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charts/chart5.xml" ContentType="application/vnd.openxmlformats-officedocument.drawingml.chart+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charts/chart6.xml" ContentType="application/vnd.openxmlformats-officedocument.drawingml.chart+xml"/>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charts/chart7.xml" ContentType="application/vnd.openxmlformats-officedocument.drawingml.chart+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9.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drawings/drawing10.xml" ContentType="application/vnd.openxmlformats-officedocument.drawing+xml"/>
  <Override PartName="/xl/comments14.xml" ContentType="application/vnd.openxmlformats-officedocument.spreadsheetml.comment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270" yWindow="6480" windowWidth="15450" windowHeight="7290" tabRatio="894"/>
  </bookViews>
  <sheets>
    <sheet name="Cover" sheetId="59" r:id="rId1"/>
    <sheet name="Instructions " sheetId="39" r:id="rId2"/>
    <sheet name="Changes" sheetId="58" r:id="rId3"/>
    <sheet name="INPUT-OUTPUT" sheetId="20" r:id="rId4"/>
    <sheet name="Annual Cost Charts" sheetId="49" r:id="rId5"/>
    <sheet name="Yearly Costs" sheetId="53" r:id="rId6"/>
    <sheet name="Print Tables" sheetId="50" r:id="rId7"/>
    <sheet name="Screening Curve" sheetId="48" r:id="rId8"/>
    <sheet name="Sensitivity Curve" sheetId="47" r:id="rId9"/>
    <sheet name="Physical Data" sheetId="21" r:id="rId10"/>
    <sheet name="Financial Data" sheetId="51" r:id="rId11"/>
    <sheet name="Construction Costs" sheetId="2" r:id="rId12"/>
    <sheet name="O&amp;M Costs" sheetId="52" r:id="rId13"/>
    <sheet name="Income_Cash Flow" sheetId="40" r:id="rId14"/>
    <sheet name="Income_Rev_Req" sheetId="1" r:id="rId15"/>
    <sheet name="Inflation" sheetId="25" r:id="rId16"/>
    <sheet name="Financial Assumptions" sheetId="12" r:id="rId17"/>
    <sheet name="Tax_Equity" sheetId="57" r:id="rId18"/>
    <sheet name="Tax Incentives" sheetId="46" r:id="rId19"/>
    <sheet name="Transmission" sheetId="54" r:id="rId20"/>
    <sheet name="Fuel Price Forecasts" sheetId="15" r:id="rId21"/>
    <sheet name="Air &amp; Water Data" sheetId="27" r:id="rId22"/>
    <sheet name="ERC Forecasts" sheetId="55" r:id="rId23"/>
    <sheet name="SCAQMD Fees" sheetId="56" r:id="rId24"/>
    <sheet name="Plant Type Assumptions" sheetId="22" r:id="rId25"/>
    <sheet name="PTA-Mid" sheetId="44" r:id="rId26"/>
    <sheet name="PTA-Hi" sheetId="45" r:id="rId27"/>
    <sheet name="PTA-Lo" sheetId="43" r:id="rId28"/>
    <sheet name="General Assumptions" sheetId="26" r:id="rId29"/>
    <sheet name="Labor Table" sheetId="29" r:id="rId30"/>
    <sheet name="Overhaul Calcs" sheetId="8" r:id="rId31"/>
  </sheets>
  <functionGroups builtInGroupCount="17"/>
  <externalReferences>
    <externalReference r:id="rId32"/>
    <externalReference r:id="rId33"/>
  </externalReferences>
  <definedNames>
    <definedName name="_xlnm._FilterDatabase" localSheetId="3" hidden="1">'INPUT-OUTPUT'!$I$106:$I$114</definedName>
    <definedName name="ACAT_ActiveFuelAndGHGs">'Fuel Price Forecasts'!$A$16:$D$71</definedName>
    <definedName name="ACAT_ActiveFuelYears" comment="ACAT_ActiveFuelYears">'Fuel Price Forecasts'!$A$16:$A$71</definedName>
    <definedName name="ACAT_ActiveNGForecast">'Fuel Price Forecasts'!$C$16:$C$57</definedName>
    <definedName name="ACAT_BiomassPrice">'Fuel Price Forecasts'!$AG$4:$AJ$78</definedName>
    <definedName name="ACAT_CarbonPrice">'Fuel Price Forecasts'!$AK$4:$AN$78</definedName>
    <definedName name="ACAT_Execute">'INPUT-OUTPUT'!$C$84</definedName>
    <definedName name="ACAT_FinAssumptions">'Financial Assumptions'!$C$4:$C$6</definedName>
    <definedName name="ACAT_FinAssumptionsValsHi">'Financial Assumptions'!$I$17:$M$19</definedName>
    <definedName name="ACAT_FinAssumptionValsLo">'Financial Assumptions'!$N$17:$R$19</definedName>
    <definedName name="ACAT_FinAssumptionValsMid">'Financial Assumptions'!$D$17:$H$19</definedName>
    <definedName name="ACAT_FuelYear">'Fuel Price Forecasts'!$A$16:$A$61</definedName>
    <definedName name="ACAT_GasCoalPrice">'Fuel Price Forecasts'!$V$4:$Y$78</definedName>
    <definedName name="ACAT_NGScenarios">'Fuel Price Forecasts'!$F$4:$Q$78</definedName>
    <definedName name="ACAT_OwnershipScenarios">'Financial Assumptions'!$D$2:$H$2</definedName>
    <definedName name="ACAT_PTAValsHi">'PTA-Hi'!$D$3:$V$451</definedName>
    <definedName name="ACAT_PTAValsLo">'PTA-Lo'!$D$3:$V$451</definedName>
    <definedName name="ACAT_PTAValsMid">'PTA-Mid'!$D$3:$V$451</definedName>
    <definedName name="ACAT_TechNames">'PTA-Mid'!$D$2:$V$2</definedName>
    <definedName name="ACAT_UraniumPrice">'Fuel Price Forecasts'!$R$4:$U$78</definedName>
    <definedName name="AcrePerMW" localSheetId="2">'[1]Construction Costs'!$C$22</definedName>
    <definedName name="AcrePerMW">'Construction Costs'!$C$21</definedName>
    <definedName name="AcrePerPlant" localSheetId="2">'[1]Construction Costs'!$C$23</definedName>
    <definedName name="AcrePerPlant">'Construction Costs'!$C$22</definedName>
    <definedName name="AdditionalAcreage" localSheetId="2">'[1]Construction Costs'!$C$24</definedName>
    <definedName name="AdditionalAcreage">'Construction Costs'!$C$23</definedName>
    <definedName name="AdValoremTaxRate" localSheetId="2">'[1]Financial Data'!$B$35</definedName>
    <definedName name="AdValoremTaxRate">'Financial Data'!$B$35</definedName>
    <definedName name="AFUDCRate" localSheetId="2">'[1]Construction Costs'!$F$7</definedName>
    <definedName name="AFUDCRate">'Construction Costs'!$F$6</definedName>
    <definedName name="AirCapitalCosts" localSheetId="2">'[1]O&amp;M Costs'!$K$9</definedName>
    <definedName name="AirCapitalCosts">'O&amp;M Costs'!$K$8</definedName>
    <definedName name="AirControlAnnualConsumables" localSheetId="2">'[1]O&amp;M Costs'!$K$15</definedName>
    <definedName name="AirControlAnnualConsumables">'O&amp;M Costs'!$K$14</definedName>
    <definedName name="AirControlAnnualLabor" localSheetId="2">'[1]O&amp;M Costs'!$K$16</definedName>
    <definedName name="AirControlAnnualLabor">'O&amp;M Costs'!$K$15</definedName>
    <definedName name="AirControlComponentLife" localSheetId="2">'[1]O&amp;M Costs'!$K$13</definedName>
    <definedName name="AirControlComponentLife">'O&amp;M Costs'!$K$12</definedName>
    <definedName name="AirControlInstallCost" localSheetId="2">'[1]O&amp;M Costs'!$K$10</definedName>
    <definedName name="AirControlInstallCost">'O&amp;M Costs'!$K$9</definedName>
    <definedName name="AirControlReplacementCost">'O&amp;M Costs'!$K$11</definedName>
    <definedName name="AirPermitCost">'Construction Costs'!$C$33</definedName>
    <definedName name="AllPlants">'Plant Type Assumptions'!$D$2:$V$2</definedName>
    <definedName name="AlternativePlants" comment="List of alternative and renewable technologies">'Plant Type Assumptions'!$I$2:$V$2</definedName>
    <definedName name="AnnCapDegredationRate" localSheetId="2">'[1]Physical Data'!$C$27</definedName>
    <definedName name="AnnCapDegredationRate">'Physical Data'!$C$26</definedName>
    <definedName name="AnnualFuelUse">'Physical Data'!$C$51</definedName>
    <definedName name="AnnualGrossEnergy" localSheetId="2">'[1]Physical Data'!$E$19</definedName>
    <definedName name="AnnualGrossEnergy">'Physical Data'!$E$19</definedName>
    <definedName name="AnnualMaintenanceItemCosts">'O&amp;M Costs'!$H$30:$H$31</definedName>
    <definedName name="AnnualMaintenanceItemLabels">'O&amp;M Costs'!$G$30:$G$31</definedName>
    <definedName name="AnnualNetGWh" localSheetId="2">'[1]Physical Data'!$E$21</definedName>
    <definedName name="AnnualNetGWh">'Physical Data'!$E$21</definedName>
    <definedName name="AnnualSalary" localSheetId="2">'[1]O&amp;M Costs'!$C$15</definedName>
    <definedName name="AnnualSalary">'O&amp;M Costs'!$C$14</definedName>
    <definedName name="AnnualStarts" localSheetId="2">'[1]Physical Data'!$C$33</definedName>
    <definedName name="AnnualStarts">'Physical Data'!$C$32</definedName>
    <definedName name="ApplyBETC" localSheetId="2">'[1]Financial Data'!$B$49</definedName>
    <definedName name="ApplyBETC">'Financial Data'!$B$49</definedName>
    <definedName name="ApplyGeothermalDepletion" localSheetId="2">'[1]Financial Data'!$B$54</definedName>
    <definedName name="ApplyGeothermalDepletion">'Financial Data'!$B$54</definedName>
    <definedName name="ApplyREPTC" localSheetId="2">'[1]Financial Data'!$B$57</definedName>
    <definedName name="ApplyREPTC">'Financial Data'!$B$57</definedName>
    <definedName name="AverageOutputPct" localSheetId="2">'[1]Physical Data'!$C$31</definedName>
    <definedName name="AverageOutputPct">'Physical Data'!$C$30</definedName>
    <definedName name="AvgDCR" localSheetId="2">'[1]Financial Data'!$B$23</definedName>
    <definedName name="AvgDCR">'Financial Data'!$B$23</definedName>
    <definedName name="AvgEquityRate" localSheetId="2">'[1]Financial Data'!$C$16</definedName>
    <definedName name="AvgEquityRate">'Financial Data'!$C$16</definedName>
    <definedName name="AvgHeatRate" localSheetId="2">'[1]Physical Data'!$C$46</definedName>
    <definedName name="AvgHeatRate">'Physical Data'!$C$45</definedName>
    <definedName name="BaseYr" localSheetId="2">'[1]INPUT-OUTPUT'!$C$72</definedName>
    <definedName name="BaseYr">'INPUT-OUTPUT'!$C$38</definedName>
    <definedName name="BETCDepreciation" localSheetId="2">'[1]Financial Data'!$C$51</definedName>
    <definedName name="BETCDepreciation">'Financial Data'!$C$51</definedName>
    <definedName name="BETCExpires">'Financial Data'!$B$42</definedName>
    <definedName name="BETCLimitDollar">'Financial Data'!$C$50</definedName>
    <definedName name="BETCLimitPct">'Financial Data'!$C$52</definedName>
    <definedName name="BETCPct" localSheetId="2">'[1]Financial Data'!$C$49</definedName>
    <definedName name="BETCPct">'Financial Data'!$C$49</definedName>
    <definedName name="BookLife" localSheetId="2">'[1]Financial Data'!$B$27</definedName>
    <definedName name="BookLife">'Financial Data'!$B$27</definedName>
    <definedName name="Byproduct1LbsPerkW">'O&amp;M Costs'!$K$44</definedName>
    <definedName name="Byproduct1ProcessingCostPerLb">'O&amp;M Costs'!$K$45</definedName>
    <definedName name="Byproduct1RevenuesPerLb">'O&amp;M Costs'!$K$47</definedName>
    <definedName name="Byproduct1ShippingCostPerLb">'O&amp;M Costs'!$K$46</definedName>
    <definedName name="Capacity">'INPUT-OUTPUT'!$T$42</definedName>
    <definedName name="CapitalComponentCosts">'Construction Costs'!$C$7:$C$17</definedName>
    <definedName name="CapitalComponentLabels">'Construction Costs'!$B$7:$B$17</definedName>
    <definedName name="CapitalCostEscalationRate" localSheetId="2">'[1]Construction Costs'!$F$6</definedName>
    <definedName name="CapitalCostEscalationRate">'Construction Costs'!$F$5</definedName>
    <definedName name="CapitalCostTotal" localSheetId="2">'[1]Construction Costs'!$C$50</definedName>
    <definedName name="CapitalCostTotal">'Construction Costs'!$C$49</definedName>
    <definedName name="Carbon_Price_List" localSheetId="2">'[1]Fuel Price Forecasts'!$AK$4:$AN$4</definedName>
    <definedName name="Carbon_Price_List">'Fuel Price Forecasts'!$AK$4:$AN$4</definedName>
    <definedName name="CarbonPrice" localSheetId="2">'[1]INPUT-OUTPUT'!$C$15</definedName>
    <definedName name="CarbonPrice">'INPUT-OUTPUT'!$C$15</definedName>
    <definedName name="CleaningFTE">'O&amp;M Costs'!$C$9</definedName>
    <definedName name="CleaningHrs">'O&amp;M Costs'!$D$9</definedName>
    <definedName name="CleaningWage" localSheetId="2">'[1]O&amp;M Costs'!$E$10</definedName>
    <definedName name="CleaningWage">'O&amp;M Costs'!$E$9</definedName>
    <definedName name="CommitmentFee">'Construction Costs'!$G$43</definedName>
    <definedName name="ComponentCost1">'Construction Costs'!$C$7</definedName>
    <definedName name="ComponentCost10">'Construction Costs'!$C$16</definedName>
    <definedName name="ComponentCost11">'Construction Costs'!$C$17</definedName>
    <definedName name="ComponentCost2">'Construction Costs'!$C$8</definedName>
    <definedName name="ComponentCost3">'Construction Costs'!$C$9</definedName>
    <definedName name="ComponentCost4">'Construction Costs'!$C$10</definedName>
    <definedName name="ComponentCost5">'Construction Costs'!$C$11</definedName>
    <definedName name="ComponentCost6">'Construction Costs'!$C$12</definedName>
    <definedName name="ComponentCost7">'Construction Costs'!$C$13</definedName>
    <definedName name="ComponentCost8">'Construction Costs'!$C$14</definedName>
    <definedName name="ComponentCost9">'Construction Costs'!$C$15</definedName>
    <definedName name="ComponentCosts">'Construction Costs'!$B$7</definedName>
    <definedName name="ComponentName1">'Construction Costs'!$B$7</definedName>
    <definedName name="ComponentName10">'Construction Costs'!$B$16</definedName>
    <definedName name="ComponentName11">'Construction Costs'!$B$17</definedName>
    <definedName name="ComponentName2">'Construction Costs'!$B$8</definedName>
    <definedName name="ComponentName3">'Construction Costs'!$B$9</definedName>
    <definedName name="ComponentName4">'Construction Costs'!$B$10</definedName>
    <definedName name="ComponentName5">'Construction Costs'!$B$11</definedName>
    <definedName name="ComponentName6">'Construction Costs'!$B$12</definedName>
    <definedName name="ComponentName7">'Construction Costs'!$B$13</definedName>
    <definedName name="ComponentName8">'Construction Costs'!$B$14</definedName>
    <definedName name="ComponentName9">'Construction Costs'!$B$15</definedName>
    <definedName name="ConstructedCostTotal" localSheetId="2">'[1]Construction Costs'!$G$17</definedName>
    <definedName name="ConstructedCostTotal">'Construction Costs'!$G$16</definedName>
    <definedName name="ConstructionInsurance">'Construction Costs'!$G$42</definedName>
    <definedName name="ConstructTransCost" localSheetId="2">'[1]Construction Costs'!$G$51</definedName>
    <definedName name="ConstructTransCost">'Construction Costs'!$G$50</definedName>
    <definedName name="ConsumableLaborPerPeriod" localSheetId="2">'[1]O&amp;M Costs'!$H$14</definedName>
    <definedName name="ConsumableLaborPerPeriod">'O&amp;M Costs'!$H$13</definedName>
    <definedName name="ConsumableMaintenancePeriod" localSheetId="2">'[1]O&amp;M Costs'!$H$8</definedName>
    <definedName name="ConsumableMaintenancePeriod">'O&amp;M Costs'!$H$7</definedName>
    <definedName name="ConsumablesCostPerPeriod">'O&amp;M Costs'!$H$11</definedName>
    <definedName name="CostBasis">'INPUT-OUTPUT'!$C$42</definedName>
    <definedName name="CostPerAcre" localSheetId="2">'[1]Construction Costs'!$C$26</definedName>
    <definedName name="CostPerAcre">'Construction Costs'!$C$25</definedName>
    <definedName name="CostPerMajorOverhaul" localSheetId="2">'[1]O&amp;M Costs'!$H$55</definedName>
    <definedName name="CostPerMajorOverhaul">'O&amp;M Costs'!$H$54</definedName>
    <definedName name="CostScenario" localSheetId="2">'[1]INPUT-OUTPUT'!$C$70</definedName>
    <definedName name="CostScenario">'INPUT-OUTPUT'!$C$36</definedName>
    <definedName name="CostScenarios">'INPUT-OUTPUT'!$I$106:$I$108</definedName>
    <definedName name="CSI_PBI" localSheetId="2">'[1]Financial Data'!$B$69</definedName>
    <definedName name="CSI_PBI">'Financial Data'!$B$69</definedName>
    <definedName name="CSIDuration" localSheetId="2">'[1]Financial Data'!$B$70</definedName>
    <definedName name="CSIDuration">'Financial Data'!$B$70</definedName>
    <definedName name="Debt_Financed" localSheetId="2">'[1]Financial Data'!$B$19</definedName>
    <definedName name="Debt_Financed">'Financial Data'!$B$19</definedName>
    <definedName name="DebtArrangementFees">'Construction Costs'!$G$44</definedName>
    <definedName name="DebtArrangmentFees">'Construction Costs'!$G$44</definedName>
    <definedName name="DebtPremium" localSheetId="2">'[1]Financial Assumptions'!$E$38</definedName>
    <definedName name="DebtPremium">'Financial Assumptions'!$E$38</definedName>
    <definedName name="DebtRate" localSheetId="2">'[1]Financial Data'!$C$19</definedName>
    <definedName name="DebtRate">'Financial Data'!$C$19</definedName>
    <definedName name="DebtRatio" localSheetId="2">'[1]Financial Data'!$B$19</definedName>
    <definedName name="DebtRatio">'Financial Data'!$B$19</definedName>
    <definedName name="DebtTerm" localSheetId="2">'[1]Financial Data'!$B$25</definedName>
    <definedName name="DebtTerm">'Financial Data'!$B$25</definedName>
    <definedName name="DeveloperEquity" localSheetId="2">'[1]Financial Data'!$B$17</definedName>
    <definedName name="DeveloperEquity">'Financial Data'!$B$17</definedName>
    <definedName name="DiscountRate" localSheetId="2">'[1]Financial Data'!$B$20</definedName>
    <definedName name="DiscountRate">'Financial Data'!$B$20</definedName>
    <definedName name="EffectiveMW" localSheetId="2">'[1]Physical Data'!$D$26</definedName>
    <definedName name="EffectiveMW">'Physical Data'!$D$25</definedName>
    <definedName name="EligibleBETC" localSheetId="2">'[1]Financial Data'!$B$41</definedName>
    <definedName name="EligibleBETC">'Financial Data'!$B$41</definedName>
    <definedName name="EligibleCERRP">'Financial Data'!$B$69</definedName>
    <definedName name="EligibleGeothermalDepletion" localSheetId="2">'[1]Financial Data'!$B$44</definedName>
    <definedName name="EligibleGeothermalDepletion">'Financial Data'!$B$44</definedName>
    <definedName name="EligibleREPI" localSheetId="2">'[1]Financial Data'!$B$47</definedName>
    <definedName name="EligibleREPI">'Financial Data'!$B$47</definedName>
    <definedName name="EligibleREPTC" localSheetId="2">'[1]Financial Data'!$B$45</definedName>
    <definedName name="EligibleREPTC">'Financial Data'!$B$45</definedName>
    <definedName name="EmissionsList" localSheetId="2">'[1]Air &amp; Water Data'!$C$5:$C$13</definedName>
    <definedName name="EmissionsList">'Air &amp; Water Data'!$C$5:$C$13</definedName>
    <definedName name="EndDate" localSheetId="2">'[1]Financial Data'!$C$26</definedName>
    <definedName name="EndDate">'Financial Data'!$C$26</definedName>
    <definedName name="EnterSchdOutageFactor" localSheetId="2">'[1]Physical Data'!$C$35</definedName>
    <definedName name="EnterSchdOutageFactor">'Physical Data'!$C$34</definedName>
    <definedName name="EnvControlCostsPerMWh">'O&amp;M Costs'!$C$30</definedName>
    <definedName name="EnvironmenalPermitCost">'Construction Costs'!$C$32</definedName>
    <definedName name="EnvironmenalPermitCosts">'Construction Costs'!$C$32</definedName>
    <definedName name="EquipLifeHours">'Physical Data'!$D$39</definedName>
    <definedName name="EquipLifeYears" localSheetId="2">'[1]Financial Data'!$B$26</definedName>
    <definedName name="EquipLifeYears">'Financial Data'!$B$26</definedName>
    <definedName name="EquityRate" localSheetId="2">'[1]Financial Data'!$C$17</definedName>
    <definedName name="EquityRate">'Financial Data'!$C$17</definedName>
    <definedName name="EquivalentAvailabilityFactor">'Physical Data'!$C$40</definedName>
    <definedName name="ERCCosts" localSheetId="2">'[1]Air &amp; Water Data'!$D$5:$P$13</definedName>
    <definedName name="ERCCosts">'Air &amp; Water Data'!$D$5:$P$13</definedName>
    <definedName name="FedTaxLife" localSheetId="2">'[1]Financial Data'!$B$28</definedName>
    <definedName name="FedTaxLife">'Financial Data'!$B$28</definedName>
    <definedName name="FedTaxRate" localSheetId="2">'[1]Financial Data'!$B$32</definedName>
    <definedName name="FedTaxRate">'Financial Data'!$B$32</definedName>
    <definedName name="FinancialTransactionCostPct">'Construction Costs'!$C$5</definedName>
    <definedName name="FixedOMPerkWYr" localSheetId="2">'[1]O&amp;M Costs'!$C$20</definedName>
    <definedName name="FixedOMPerkWYr">'O&amp;M Costs'!$C$19</definedName>
    <definedName name="FixedOMPerkWYrUserInput" localSheetId="2">'[1]O&amp;M Costs'!$C$19</definedName>
    <definedName name="FixedOMPerkWYrUserInput">'O&amp;M Costs'!$C$18</definedName>
    <definedName name="ForcedOutageFactor" localSheetId="2">'[1]Physical Data'!$C$38</definedName>
    <definedName name="ForcedOutageFactor">'Physical Data'!$C$37</definedName>
    <definedName name="ForcedOutageRate" localSheetId="2">'[1]Physical Data'!$C$38</definedName>
    <definedName name="ForcedOutageRate">'Physical Data'!$C$37</definedName>
    <definedName name="ForceOutageHrs" localSheetId="2">'[1]Physical Data'!$D$38</definedName>
    <definedName name="ForceOutageHrs">'Physical Data'!$D$37</definedName>
    <definedName name="FossilPlants" comment="List of fossil fueled technologies">'Plant Type Assumptions'!$D$2:$H$2</definedName>
    <definedName name="Fuel_List">'Construction Costs'!$B$104:$B$107</definedName>
    <definedName name="FuelConsumptionPerHour">'Physical Data'!$C$49</definedName>
    <definedName name="FuelCostskWYr">'INPUT-OUTPUT'!$T$12</definedName>
    <definedName name="FuelCostsMWh">'INPUT-OUTPUT'!$U$12</definedName>
    <definedName name="FuelPriceList" localSheetId="2">'[1]Fuel Price Forecasts'!$H$4:$AJ$4</definedName>
    <definedName name="FuelPriceList">'Fuel Price Forecasts'!$H$4:$AJ$4</definedName>
    <definedName name="FuelPriceMultiplier" localSheetId="2">'[1]Fuel Price Forecasts'!$C$79</definedName>
    <definedName name="FuelPriceMultiplier">'Fuel Price Forecasts'!$C$79</definedName>
    <definedName name="FuelType" localSheetId="2">'[1]INPUT-OUTPUT'!$C$73</definedName>
    <definedName name="FuelType">'INPUT-OUTPUT'!$C$39</definedName>
    <definedName name="FuelWaterSewerConnectionCost">'Construction Costs'!$C$38</definedName>
    <definedName name="GasForecast">'INPUT-OUTPUT'!$I$106:$I$114</definedName>
    <definedName name="GeneralAssumptionsCellNames">'General Assumptions'!$B$3</definedName>
    <definedName name="GeneralAssumptionScenario">'INPUT-OUTPUT'!$C$37</definedName>
    <definedName name="GeneralAssumptionsOffset">'General Assumptions'!$B$2</definedName>
    <definedName name="GeneralNames" localSheetId="2">'[1]General Assumptions'!#REF!</definedName>
    <definedName name="GeneralNames">'General Assumptions'!#REF!</definedName>
    <definedName name="Generation_Turbine_49.9_MW">'Plant Type Assumptions'!$D$2:$V$2,'Plant Type Assumptions'!$I$2:$V$2</definedName>
    <definedName name="GenTieLosses" localSheetId="2">'[1]Physical Data'!$C$24</definedName>
    <definedName name="GenTieLosses">'Physical Data'!$C$24</definedName>
    <definedName name="GeothermalDepletionLimit" localSheetId="2">'[1]Financial Data'!$B$56</definedName>
    <definedName name="GeothermalDepletionLimit">'Financial Data'!$B$56</definedName>
    <definedName name="GeothermalDepletionPct" localSheetId="2">'[1]Financial Data'!$B$55</definedName>
    <definedName name="GeothermalDepletionPct">'Financial Data'!$B$55</definedName>
    <definedName name="GrossMW" localSheetId="2">'[1]Physical Data'!$C$19</definedName>
    <definedName name="GrossMW">'Physical Data'!$C$19</definedName>
    <definedName name="HazardCollectionCost" localSheetId="2">'[1]O&amp;M Costs'!$K$37</definedName>
    <definedName name="HazardCollectionCost">'O&amp;M Costs'!$K$36</definedName>
    <definedName name="HazardTippingCost" localSheetId="2">'[1]O&amp;M Costs'!$K$38</definedName>
    <definedName name="HazardTippingCost">'O&amp;M Costs'!$K$37</definedName>
    <definedName name="HazardTonsPerYear" localSheetId="2">'[1]O&amp;M Costs'!$K$36</definedName>
    <definedName name="HazardTonsPerYear">'O&amp;M Costs'!$K$35</definedName>
    <definedName name="HeatRate">'Physical Data'!$C$45</definedName>
    <definedName name="HeatRateDegredation" localSheetId="2">'[1]Physical Data'!$C$49</definedName>
    <definedName name="HeatRateDegredation">'Physical Data'!$C$48</definedName>
    <definedName name="HistInflationRate" localSheetId="2">[1]Inflation!$B$1</definedName>
    <definedName name="HistInflationRate">Inflation!$B$1</definedName>
    <definedName name="InflationRate" localSheetId="2">[1]Inflation!$B$2</definedName>
    <definedName name="InflationRate">Inflation!$B$2</definedName>
    <definedName name="InstalledCostAdder">'Construction Costs'!$G$52</definedName>
    <definedName name="InstalledCostPerkW" localSheetId="2">'[1]Construction Costs'!$G$26</definedName>
    <definedName name="InstalledCostPerkW">'Construction Costs'!$G$25</definedName>
    <definedName name="InstantCost" localSheetId="2">'[1]Construction Costs'!$G$23</definedName>
    <definedName name="InstantCost">'Construction Costs'!$G$22</definedName>
    <definedName name="InstantCostPerkW">'Construction Costs'!$G$24</definedName>
    <definedName name="InsurancePct" localSheetId="2">'[1]O&amp;M Costs'!$C$39</definedName>
    <definedName name="InsurancePct">'O&amp;M Costs'!$C$38</definedName>
    <definedName name="InvestTaxCredit">'Financial Data'!$C$53</definedName>
    <definedName name="IODSCR">'INPUT-OUTPUT'!$T$86:$T$87</definedName>
    <definedName name="IOU_Alternatives" comment="Owner Scenario">'INPUT-OUTPUT'!$C$109</definedName>
    <definedName name="IOU_Fossil" comment="Owner Scenario">'INPUT-OUTPUT'!$C$108</definedName>
    <definedName name="kW_Yr">'INPUT-OUTPUT'!$T$8:$T$19</definedName>
    <definedName name="LaborEscalation" localSheetId="2">'[1]O&amp;M Costs'!$C$37</definedName>
    <definedName name="LaborEscalation">'O&amp;M Costs'!$C$36</definedName>
    <definedName name="LandPrepCostPerAcre" localSheetId="2">'[1]Construction Costs'!$C$28</definedName>
    <definedName name="LandPrepCostPerAcre">'Construction Costs'!$C$27</definedName>
    <definedName name="LbsCH4">'Construction Costs'!$C$68</definedName>
    <definedName name="LbsCH4CostFix">'Construction Costs'!$F$68</definedName>
    <definedName name="LbsCH4CostVar">'Construction Costs'!$I$68</definedName>
    <definedName name="LbsCO" localSheetId="2">'[1]Construction Costs'!$C$66</definedName>
    <definedName name="LbsCO">'Construction Costs'!$C$65</definedName>
    <definedName name="LbsCO2" localSheetId="2">'[1]Construction Costs'!$C$67</definedName>
    <definedName name="LbsCO2">'Construction Costs'!$C$66</definedName>
    <definedName name="LbsCO2CostFix">'Construction Costs'!$F$66</definedName>
    <definedName name="LbsCO2CostVar">'Construction Costs'!$I$66</definedName>
    <definedName name="LbsCOCostFix">'Construction Costs'!$F$65</definedName>
    <definedName name="LbsCOCostVar">'Construction Costs'!$I$65</definedName>
    <definedName name="LbsH2S" localSheetId="2">'[1]Construction Costs'!$C$68</definedName>
    <definedName name="LbsH2S">'Construction Costs'!$C$67</definedName>
    <definedName name="LbsH2SCostFix">'Construction Costs'!$F$67</definedName>
    <definedName name="LbsH2SCostVar">'Construction Costs'!$I$67</definedName>
    <definedName name="LbsNH3">'Construction Costs'!$C$69</definedName>
    <definedName name="LbsNH3CostFix">'Construction Costs'!$F$69</definedName>
    <definedName name="LbsNH3CostVar">'Construction Costs'!$I$69</definedName>
    <definedName name="LbsNOx" localSheetId="2">'[1]Construction Costs'!$C$64</definedName>
    <definedName name="LbsNOx">'Construction Costs'!$C$63</definedName>
    <definedName name="LbsNOxCostFix">'Construction Costs'!$F$63</definedName>
    <definedName name="LbsNOxCostVar" localSheetId="2">'[1]Construction Costs'!$I$64</definedName>
    <definedName name="LbsNOxCostVar">'Construction Costs'!$I$63</definedName>
    <definedName name="LbsPM10" localSheetId="2">'[1]Construction Costs'!$C$72</definedName>
    <definedName name="LbsPM10">'Construction Costs'!$C$71</definedName>
    <definedName name="LbsPM10CostFix">'Construction Costs'!$F$71</definedName>
    <definedName name="LbsPM10CostVar">'Construction Costs'!$I$71</definedName>
    <definedName name="LbsSOx" localSheetId="2">'[1]Construction Costs'!$C$71</definedName>
    <definedName name="LbsSOx">'Construction Costs'!$C$70</definedName>
    <definedName name="LbsSOxCostFix">'Construction Costs'!$F$70</definedName>
    <definedName name="LbsSOxCostVar">'Construction Costs'!$I$70</definedName>
    <definedName name="LbsVOC" localSheetId="2">'[1]Construction Costs'!$C$65</definedName>
    <definedName name="LbsVOC">'Construction Costs'!$C$64</definedName>
    <definedName name="LbsVOCCostFix">'Construction Costs'!$F$64</definedName>
    <definedName name="LbsVOCCostVar">'Construction Costs'!$I$64</definedName>
    <definedName name="LevelizedkWyr">'INPUT-OUTPUT'!$T$19</definedName>
    <definedName name="LevelizedMWh" localSheetId="2">'[1]INPUT-OUTPUT'!$U$19</definedName>
    <definedName name="LevelizedMWh">'INPUT-OUTPUT'!$U$19</definedName>
    <definedName name="LinearsCost">'Construction Costs'!$C$36</definedName>
    <definedName name="LoadCenterGWh" localSheetId="2">'[1]Physical Data'!$E$26</definedName>
    <definedName name="LoadCenterGWh">'Physical Data'!$E$25</definedName>
    <definedName name="LoadCenterMW" localSheetId="2">'[1]Physical Data'!$C$26</definedName>
    <definedName name="LoadCenterMW">'Physical Data'!$C$25</definedName>
    <definedName name="LocalBuildingPermitCost">'Construction Costs'!$C$31</definedName>
    <definedName name="LocalBuildingPermitCosts">'Construction Costs'!$C$31</definedName>
    <definedName name="MaintenanceCost1">'O&amp;M Costs'!$H$30</definedName>
    <definedName name="MaintenanceCost2">'O&amp;M Costs'!$H$31</definedName>
    <definedName name="MaintenanceCost3">'O&amp;M Costs'!$H$32</definedName>
    <definedName name="MaintenanceCost4">'O&amp;M Costs'!$H$33</definedName>
    <definedName name="MaintenanceCost5">'O&amp;M Costs'!$H$34</definedName>
    <definedName name="MaintenanceCost6">'O&amp;M Costs'!$H$35</definedName>
    <definedName name="MaintenanceCost7">'O&amp;M Costs'!$H$36</definedName>
    <definedName name="MaintenanceCost8">'O&amp;M Costs'!$H$37</definedName>
    <definedName name="MaintenanceFTE">'O&amp;M Costs'!$C$8</definedName>
    <definedName name="MaintenanceHrs">'O&amp;M Costs'!$D$8</definedName>
    <definedName name="MaintenanceIntervalHours">'O&amp;M Costs'!$H$22</definedName>
    <definedName name="MaintenanceLabor">'O&amp;M Costs'!$H$24</definedName>
    <definedName name="MaintenanceName1">'O&amp;M Costs'!$G$30</definedName>
    <definedName name="MaintenanceName2">'O&amp;M Costs'!$G$31</definedName>
    <definedName name="MaintenanceName3">'O&amp;M Costs'!$G$32</definedName>
    <definedName name="MaintenanceName4">'O&amp;M Costs'!$G$33</definedName>
    <definedName name="MaintenanceName5">'O&amp;M Costs'!$G$34</definedName>
    <definedName name="MaintenanceName6">'O&amp;M Costs'!$G$35</definedName>
    <definedName name="MaintenanceName7">'O&amp;M Costs'!$G$36</definedName>
    <definedName name="MaintenanceName8">'O&amp;M Costs'!$G$37</definedName>
    <definedName name="MaintenanceSuppliesCost">'O&amp;M Costs'!$H$23</definedName>
    <definedName name="MaintenanceWage" localSheetId="2">'[1]O&amp;M Costs'!$E$9</definedName>
    <definedName name="MaintenanceWage">'O&amp;M Costs'!$E$8</definedName>
    <definedName name="MajorOverhaulInterval" localSheetId="2">'[1]O&amp;M Costs'!$H$52</definedName>
    <definedName name="MajorOverhaulInterval">'O&amp;M Costs'!$H$51</definedName>
    <definedName name="MajorOverhaulLabor">'O&amp;M Costs'!$H$52</definedName>
    <definedName name="MajorOverhaulReplacementCost">'O&amp;M Costs'!$H$53</definedName>
    <definedName name="MakeUpWater">'O&amp;M Costs'!$C$26</definedName>
    <definedName name="ManagerFTE" localSheetId="2">'[1]O&amp;M Costs'!$C$7</definedName>
    <definedName name="ManagerFTE">'O&amp;M Costs'!$C$6</definedName>
    <definedName name="ManagerHrs">'O&amp;M Costs'!$D$6</definedName>
    <definedName name="ManagerSalary" localSheetId="2">'[1]O&amp;M Costs'!$E$7</definedName>
    <definedName name="ManagerSalary">'O&amp;M Costs'!$E$6</definedName>
    <definedName name="Merchant_Alternatives" comment="Owner Scenario">'INPUT-OUTPUT'!$C$107</definedName>
    <definedName name="Merchant_Fossil" comment="OwnerScenario">'INPUT-OUTPUT'!$C$106</definedName>
    <definedName name="MerchantEquity">'Financial Assumptions'!$D$20</definedName>
    <definedName name="MinDCR" localSheetId="2">'[1]Financial Data'!$B$24</definedName>
    <definedName name="MinDCR">'Financial Data'!$B$24</definedName>
    <definedName name="MinorOverhaulItem1" localSheetId="2">'[1]O&amp;M Costs'!$H$58</definedName>
    <definedName name="MinorOverhaulItem1">'O&amp;M Costs'!$H$57</definedName>
    <definedName name="MinorOverhaulItem1Hrs" localSheetId="2">'[1]O&amp;M Costs'!$H$59</definedName>
    <definedName name="MinorOverhaulItem1Hrs">'O&amp;M Costs'!$H$58</definedName>
    <definedName name="MinorOverhaulItem2" localSheetId="2">'[1]O&amp;M Costs'!$H$60</definedName>
    <definedName name="MinorOverhaulItem2">'O&amp;M Costs'!$H$59</definedName>
    <definedName name="MinorOverhaulItem2Hrs" localSheetId="2">'[1]O&amp;M Costs'!$H$61</definedName>
    <definedName name="MinorOverhaulItem2Hrs">'O&amp;M Costs'!$H$60</definedName>
    <definedName name="MinorOverhaulItem3" localSheetId="2">'[1]O&amp;M Costs'!$H$62</definedName>
    <definedName name="MinorOverhaulItem3">'O&amp;M Costs'!$H$61</definedName>
    <definedName name="MinorOverhaulItem3Hrs" localSheetId="2">'[1]O&amp;M Costs'!$H$63</definedName>
    <definedName name="MinorOverhaulItem3Hrs">'O&amp;M Costs'!$H$62</definedName>
    <definedName name="MiscCosts">'O&amp;M Costs'!$H$26</definedName>
    <definedName name="MiscIntervalHrs">'O&amp;M Costs'!$H$25</definedName>
    <definedName name="MiscLabor">'O&amp;M Costs'!$H$27</definedName>
    <definedName name="MonthYear0">'Construction Costs'!$H$16</definedName>
    <definedName name="MonthYear1">'Construction Costs'!$H$15</definedName>
    <definedName name="MonthYear2">'Construction Costs'!$H$14</definedName>
    <definedName name="MonthYear3">'Construction Costs'!$H$13</definedName>
    <definedName name="MonthYear4">'Construction Costs'!$H$12</definedName>
    <definedName name="MonthYear5">'Construction Costs'!$H$11</definedName>
    <definedName name="MuniInlieu" localSheetId="2">'[1]Financial Data'!$B$36</definedName>
    <definedName name="MuniInlieu">'Financial Data'!$B$36</definedName>
    <definedName name="MWh" comment="Costs per MWH by component">'INPUT-OUTPUT'!$U$8:$U$19</definedName>
    <definedName name="NCF">'Physical Data'!$C$30</definedName>
    <definedName name="NetCapacityFactor" localSheetId="2">'[1]Physical Data'!$C$42</definedName>
    <definedName name="NetCapacityFactor">'Physical Data'!$C$41</definedName>
    <definedName name="NetMW" localSheetId="2">'[1]Physical Data'!$C$21</definedName>
    <definedName name="NetMW">'Physical Data'!$C$21</definedName>
    <definedName name="NetOutputFactor">'Physical Data'!$C$30</definedName>
    <definedName name="NOF">'Physical Data'!$C$30</definedName>
    <definedName name="NonHazardCollectionCost" localSheetId="2">'[1]O&amp;M Costs'!$K$32</definedName>
    <definedName name="NonHazardCollectionCost">'O&amp;M Costs'!$K$31</definedName>
    <definedName name="NonHazardTippingCost" localSheetId="2">'[1]O&amp;M Costs'!$K$33</definedName>
    <definedName name="NonHazardTippingCost">'O&amp;M Costs'!$K$32</definedName>
    <definedName name="NonHazardTonsPerYear" localSheetId="2">'[1]O&amp;M Costs'!$K$31</definedName>
    <definedName name="NonHazardTonsPerYear">'O&amp;M Costs'!$K$30</definedName>
    <definedName name="NonlaborFixedOM" localSheetId="2">'[1]O&amp;M Costs'!$C$17</definedName>
    <definedName name="NonlaborFixedOM">'O&amp;M Costs'!$C$16</definedName>
    <definedName name="OilConsumptionPerPeriod">'O&amp;M Costs'!$H$8</definedName>
    <definedName name="OilPrice">'O&amp;M Costs'!$H$9</definedName>
    <definedName name="OMEscalation" localSheetId="2">'[1]O&amp;M Costs'!$C$38</definedName>
    <definedName name="OMEscalation">'O&amp;M Costs'!$C$37</definedName>
    <definedName name="OpCapMW" localSheetId="2">'[1]Physical Data'!$D$21</definedName>
    <definedName name="OpCapMW">'Physical Data'!$D$21</definedName>
    <definedName name="OperationalInfo">'Plant Type Assumptions'!$C$38</definedName>
    <definedName name="OpHeatRate" localSheetId="2">'[1]Physical Data'!$C$47</definedName>
    <definedName name="OpHeatRate">'Physical Data'!$C$46</definedName>
    <definedName name="OpHrsPerYr" localSheetId="2">'[1]Physical Data'!$D$39</definedName>
    <definedName name="OpHrsPerYr">'Physical Data'!$D$38</definedName>
    <definedName name="OverheadMultiplier" localSheetId="2">'[1]O&amp;M Costs'!$C$14</definedName>
    <definedName name="OverheadMultiplier">'O&amp;M Costs'!$C$13</definedName>
    <definedName name="Owner_List">'INPUT-OUTPUT'!$C$106:$C$108</definedName>
    <definedName name="OwnerNames" localSheetId="2">'[1]Financial Assumptions'!#REF!</definedName>
    <definedName name="OwnerNames">'Financial Assumptions'!#REF!</definedName>
    <definedName name="OwnerOffset">'Financial Assumptions'!$B$2</definedName>
    <definedName name="OwnerScenario" localSheetId="2">'[1]INPUT-OUTPUT'!$C$7</definedName>
    <definedName name="OwnerScenario">'INPUT-OUTPUT'!$C$7</definedName>
    <definedName name="OwnershipCellNames">'Financial Assumptions'!$B$4</definedName>
    <definedName name="OwnerType" localSheetId="2">'[1]Financial Data'!$B$2</definedName>
    <definedName name="OwnerType">'Financial Data'!$B$2</definedName>
    <definedName name="PctEquity" localSheetId="2">'[1]Financial Data'!$B$16</definedName>
    <definedName name="PctEquity">'Financial Data'!$B$16</definedName>
    <definedName name="PctSubjectITC" localSheetId="2">'[1]Financial Data'!$B$43</definedName>
    <definedName name="PctSubjectITC">'Financial Data'!$B$43</definedName>
    <definedName name="PctTaxEquity" localSheetId="2">'[1]Financial Data'!$B$18</definedName>
    <definedName name="PctTaxEquity">'Financial Data'!$B$18</definedName>
    <definedName name="Perspective" localSheetId="2">'[1]INPUT-OUTPUT'!$C$75</definedName>
    <definedName name="Perspective">'INPUT-OUTPUT'!$C$41</definedName>
    <definedName name="PlannedOpHrs" localSheetId="2">'[1]Physical Data'!$D$37</definedName>
    <definedName name="PlannedOpHrs">'Physical Data'!$D$36</definedName>
    <definedName name="PlannedPctYrOp" localSheetId="2">'[1]Physical Data'!$C$32</definedName>
    <definedName name="PlannedPctYrOp">'Physical Data'!$C$31</definedName>
    <definedName name="PlantPriceList">OFFSET('[2]Fuel Price Forecast'!$G$4,0,0,1,COUNTA('[2]Fuel Price Forecast'!$G$4:$X$4))</definedName>
    <definedName name="PlantTechnology">'INPUT-OUTPUT'!$C$10</definedName>
    <definedName name="PlantType" localSheetId="2">'[1]INPUT-OUTPUT'!$C$9</definedName>
    <definedName name="PlantType">'INPUT-OUTPUT'!$C$9</definedName>
    <definedName name="PlantTypeList">'Plant Type Assumptions'!$D$2:$V$2</definedName>
    <definedName name="PlantTypes" comment="List of technologies" localSheetId="2">'[1]INPUT-OUTPUT'!$B$106:$B$126</definedName>
    <definedName name="PlantTypes" comment="List of technologies">'INPUT-OUTPUT'!$B$106:$B$126</definedName>
    <definedName name="POU" comment="Owner Scenario">'INPUT-OUTPUT'!$C$110</definedName>
    <definedName name="POU_Debt_30" localSheetId="2">'[1]Financial Assumptions'!$I$32</definedName>
    <definedName name="POU_Debt_30">'Financial Assumptions'!$I$32</definedName>
    <definedName name="PredevelopmentExpense">'Construction Costs'!$G$41</definedName>
    <definedName name="_xlnm.Print_Area" localSheetId="11">'Construction Costs'!$B$3:$N$75</definedName>
    <definedName name="_xlnm.Print_Area" localSheetId="3">'INPUT-OUTPUT'!$A$6:$AJ$61</definedName>
    <definedName name="_xlnm.Print_Area" localSheetId="19">Transmission!$L$24:$AE$41</definedName>
    <definedName name="ProductionFTE">'O&amp;M Costs'!$C$7</definedName>
    <definedName name="ProductionHrs">'O&amp;M Costs'!$D$7</definedName>
    <definedName name="ProductionWage">'O&amp;M Costs'!$E$7</definedName>
    <definedName name="PropTaxExpiration">'Tax Incentives'!$J$27</definedName>
    <definedName name="ProtectionFTE">'O&amp;M Costs'!$C$11</definedName>
    <definedName name="ProtectionHrs">'O&amp;M Costs'!$D$11</definedName>
    <definedName name="ProtectionWage">'O&amp;M Costs'!$E$11</definedName>
    <definedName name="RealDiscountRate" localSheetId="2">'[1]Financial Data'!$C$20</definedName>
    <definedName name="RealDiscountRate">'Financial Data'!$C$20</definedName>
    <definedName name="Region" localSheetId="2">'[1]INPUT-OUTPUT'!$C$17</definedName>
    <definedName name="Region">'INPUT-OUTPUT'!$C$17</definedName>
    <definedName name="RegionList" localSheetId="2">'[1]Air &amp; Water Data'!$D$2:$P$2</definedName>
    <definedName name="RegionList">'Air &amp; Water Data'!$D$2:$P$2</definedName>
    <definedName name="REPI" localSheetId="2">'[1]Financial Data'!$C$61</definedName>
    <definedName name="REPI">'Financial Data'!$C$61</definedName>
    <definedName name="REPIBaseYr" localSheetId="2">'[1]Financial Data'!$B$65</definedName>
    <definedName name="REPIBaseYr">'Financial Data'!$B$65</definedName>
    <definedName name="REPIDuration" localSheetId="2">'[1]Financial Data'!$B$64</definedName>
    <definedName name="REPIDuration">'Financial Data'!$B$64</definedName>
    <definedName name="REPIExpires">'Financial Data'!$B$48</definedName>
    <definedName name="REPIStartYr" localSheetId="2">'[1]Financial Data'!$C$66</definedName>
    <definedName name="REPIStartYr">'Financial Data'!$C$66</definedName>
    <definedName name="REPITier" localSheetId="2">'[1]Financial Data'!$B$61</definedName>
    <definedName name="REPITier">'Financial Data'!$B$61</definedName>
    <definedName name="REPITierIIPaid" localSheetId="2">'[1]Financial Data'!$B$63</definedName>
    <definedName name="REPITierIIPaid">'Financial Data'!$B$63</definedName>
    <definedName name="REPITierIPaid" localSheetId="2">'[1]Financial Data'!$B$62</definedName>
    <definedName name="REPITierIPaid">'Financial Data'!$B$62</definedName>
    <definedName name="ReplacementIntervalHrs">'O&amp;M Costs'!$H$19</definedName>
    <definedName name="ReplacementLabor">'O&amp;M Costs'!$H$21</definedName>
    <definedName name="ReplacementParts">'O&amp;M Costs'!$H$20</definedName>
    <definedName name="REPTC" localSheetId="2">'[1]Financial Data'!$C$57</definedName>
    <definedName name="REPTC">'Financial Data'!$C$57</definedName>
    <definedName name="REPTCBaseYr" localSheetId="2">'[1]Financial Data'!$B$59</definedName>
    <definedName name="REPTCBaseYr">'Financial Data'!$B$59</definedName>
    <definedName name="REPTCDuration" localSheetId="2">'[1]Financial Data'!$B$58</definedName>
    <definedName name="REPTCDuration">'Financial Data'!$B$58</definedName>
    <definedName name="REPTCExpires">'Financial Data'!$B$46</definedName>
    <definedName name="REPTCStartYr" localSheetId="2">'[1]Financial Data'!$C$60</definedName>
    <definedName name="REPTCStartYr">'Financial Data'!$C$60</definedName>
    <definedName name="ReservoirManagementCost">'O&amp;M Costs'!$C$27</definedName>
    <definedName name="ResultsPlant">'INPUT-OUTPUT'!$S$6</definedName>
    <definedName name="SalesTaxProportion" localSheetId="2">'[1]Financial Data'!$B$38</definedName>
    <definedName name="SalesTaxProportion">'Financial Data'!$B$38</definedName>
    <definedName name="SalesTaxRate" localSheetId="2">'[1]Financial Data'!$B$37</definedName>
    <definedName name="SalesTaxRate">'Financial Data'!$B$37</definedName>
    <definedName name="SchdOutageFactor" localSheetId="2">'[1]Physical Data'!$C$36</definedName>
    <definedName name="SchdOutageFactor">'Physical Data'!$C$35</definedName>
    <definedName name="SchdOutageHours" localSheetId="2">'[1]Physical Data'!$C$34</definedName>
    <definedName name="SchdOutageHours">'Physical Data'!$C$33</definedName>
    <definedName name="SchdOutHours" localSheetId="2">'[1]Physical Data'!$D$36</definedName>
    <definedName name="SchdOutHours">'Physical Data'!$D$35</definedName>
    <definedName name="SchedulerCosts" localSheetId="2">'[1]O&amp;M Costs'!$C$44</definedName>
    <definedName name="SchedulerCosts">'O&amp;M Costs'!$C$43</definedName>
    <definedName name="ScreeningCurveChart1Location">'Screening Curve'!$C$6:$Y$38</definedName>
    <definedName name="ScreeningCurveChart2Location">'Screening Curve'!$Z$6:$AV$38</definedName>
    <definedName name="ScreeningCurveTable1Location">'Screening Curve'!$C$41</definedName>
    <definedName name="ScreeningCurveTable2Location">'Screening Curve'!$AA$41</definedName>
    <definedName name="SelectedCandOCosts">'INPUT-OUTPUT'!$T$28:$U$37</definedName>
    <definedName name="SelectedCapEnergy">'INPUT-OUTPUT'!$T$42:$V$45</definedName>
    <definedName name="SelectedFinInfo">'INPUT-OUTPUT'!$T$61:$U$72</definedName>
    <definedName name="SelectedFuelUse">'INPUT-OUTPUT'!$T$55:$U$57</definedName>
    <definedName name="SelectedLevCosts">'INPUT-OUTPUT'!$T$8:$U$20</definedName>
    <definedName name="SelectedMWGWh">'INPUT-OUTPUT'!$U$42:$V$45</definedName>
    <definedName name="SelectedOpPerf">'INPUT-OUTPUT'!$T$48:$U$52</definedName>
    <definedName name="SelectedPollutant">'INPUT-OUTPUT'!$T$75:$T$83</definedName>
    <definedName name="SensitivityAnalysisChartLocation">'Sensitivity Curve'!$D$5:$AD$42</definedName>
    <definedName name="SensitivityAnalysisTableLocation">'Sensitivity Curve'!$D$45</definedName>
    <definedName name="SGBETCLimit">'Financial Data'!$C$52</definedName>
    <definedName name="SGBETCPct">'Financial Data'!$C$49</definedName>
    <definedName name="SGIPRebate" localSheetId="2">'[1]Financial Data'!$B$72</definedName>
    <definedName name="SGIPRebate">'Financial Data'!$B$72</definedName>
    <definedName name="SiteLoad">'Physical Data'!$C$20</definedName>
    <definedName name="SiteLoadPct" localSheetId="2">'[1]Physical Data'!$C$20</definedName>
    <definedName name="SiteLoadPct">'Physical Data'!$C$20</definedName>
    <definedName name="SolarInstalled">'Financial Data'!$B$71</definedName>
    <definedName name="SolarPropTax" localSheetId="2">'[1]Financial Data'!$B$67</definedName>
    <definedName name="SolarPropTax">'Financial Data'!$B$67</definedName>
    <definedName name="SolarPropTax25" localSheetId="2">'[1]Financial Data'!$B$68</definedName>
    <definedName name="SolarPropTax25">'Financial Data'!$B$68</definedName>
    <definedName name="solver_adj" localSheetId="11" hidden="1">'Construction Costs'!#REF!</definedName>
    <definedName name="solver_adj" localSheetId="14" hidden="1">#REF!</definedName>
    <definedName name="solver_cvg" localSheetId="11" hidden="1">0.0001</definedName>
    <definedName name="solver_cvg" localSheetId="14" hidden="1">0.0001</definedName>
    <definedName name="solver_drv" localSheetId="11" hidden="1">1</definedName>
    <definedName name="solver_drv" localSheetId="14" hidden="1">1</definedName>
    <definedName name="solver_est" localSheetId="11" hidden="1">1</definedName>
    <definedName name="solver_est" localSheetId="14" hidden="1">1</definedName>
    <definedName name="solver_itr" localSheetId="11" hidden="1">100</definedName>
    <definedName name="solver_itr" localSheetId="14" hidden="1">100</definedName>
    <definedName name="solver_lhs1" localSheetId="11" hidden="1">'Construction Costs'!#REF!</definedName>
    <definedName name="solver_lhs1" localSheetId="14" hidden="1">#REF!</definedName>
    <definedName name="solver_lhs2" localSheetId="11" hidden="1">'Construction Costs'!#REF!</definedName>
    <definedName name="solver_lhs2" localSheetId="14" hidden="1">'Financial Data'!$B$16</definedName>
    <definedName name="solver_lhs3" localSheetId="11" hidden="1">'Construction Costs'!#REF!</definedName>
    <definedName name="solver_lhs3" localSheetId="14" hidden="1">'Financial Data'!$B$16</definedName>
    <definedName name="solver_lhs4" localSheetId="11" hidden="1">'Construction Costs'!#REF!</definedName>
    <definedName name="solver_lhs4" localSheetId="14" hidden="1">'Construction Costs'!#REF!</definedName>
    <definedName name="solver_lhs5" localSheetId="14" hidden="1">'Construction Costs'!#REF!</definedName>
    <definedName name="solver_lhs6" localSheetId="14" hidden="1">'Construction Costs'!#REF!</definedName>
    <definedName name="solver_lin" localSheetId="11" hidden="1">2</definedName>
    <definedName name="solver_lin" localSheetId="14" hidden="1">2</definedName>
    <definedName name="solver_neg" localSheetId="11" hidden="1">2</definedName>
    <definedName name="solver_neg" localSheetId="14" hidden="1">2</definedName>
    <definedName name="solver_num" localSheetId="11" hidden="1">4</definedName>
    <definedName name="solver_num" localSheetId="14" hidden="1">1</definedName>
    <definedName name="solver_nwt" localSheetId="11" hidden="1">1</definedName>
    <definedName name="solver_nwt" localSheetId="14" hidden="1">1</definedName>
    <definedName name="solver_opt" localSheetId="11" hidden="1">'Construction Costs'!#REF!</definedName>
    <definedName name="solver_opt" localSheetId="14" hidden="1">#REF!</definedName>
    <definedName name="solver_pre" localSheetId="11" hidden="1">0.000001</definedName>
    <definedName name="solver_pre" localSheetId="14" hidden="1">0.000001</definedName>
    <definedName name="solver_rel1" localSheetId="11" hidden="1">1</definedName>
    <definedName name="solver_rel1" localSheetId="14" hidden="1">2</definedName>
    <definedName name="solver_rel2" localSheetId="11" hidden="1">3</definedName>
    <definedName name="solver_rel2" localSheetId="14" hidden="1">1</definedName>
    <definedName name="solver_rel3" localSheetId="11" hidden="1">3</definedName>
    <definedName name="solver_rel3" localSheetId="14" hidden="1">3</definedName>
    <definedName name="solver_rel4" localSheetId="11" hidden="1">3</definedName>
    <definedName name="solver_rel4" localSheetId="14" hidden="1">1</definedName>
    <definedName name="solver_rel5" localSheetId="14" hidden="1">3</definedName>
    <definedName name="solver_rel6" localSheetId="14" hidden="1">1</definedName>
    <definedName name="solver_rhs1" localSheetId="11" hidden="1">'INPUT-OUTPUT'!#REF!</definedName>
    <definedName name="solver_rhs1" localSheetId="14" hidden="1">-#REF!</definedName>
    <definedName name="solver_rhs2" localSheetId="11" hidden="1">0</definedName>
    <definedName name="solver_rhs2" localSheetId="14" hidden="1">100%</definedName>
    <definedName name="solver_rhs3" localSheetId="11" hidden="1">'Construction Costs'!#REF!</definedName>
    <definedName name="solver_rhs3" localSheetId="14" hidden="1">0</definedName>
    <definedName name="solver_rhs4" localSheetId="11" hidden="1">'Construction Costs'!#REF!</definedName>
    <definedName name="solver_rhs4" localSheetId="14" hidden="1">100%</definedName>
    <definedName name="solver_rhs5" localSheetId="14" hidden="1">0%</definedName>
    <definedName name="solver_rhs6" localSheetId="14" hidden="1">Income_Rev_Req!#REF!</definedName>
    <definedName name="solver_scl" localSheetId="11" hidden="1">2</definedName>
    <definedName name="solver_scl" localSheetId="14" hidden="1">2</definedName>
    <definedName name="solver_sho" localSheetId="11" hidden="1">2</definedName>
    <definedName name="solver_sho" localSheetId="14" hidden="1">2</definedName>
    <definedName name="solver_tim" localSheetId="11" hidden="1">100</definedName>
    <definedName name="solver_tim" localSheetId="14" hidden="1">100</definedName>
    <definedName name="solver_tol" localSheetId="11" hidden="1">0.05</definedName>
    <definedName name="solver_tol" localSheetId="14" hidden="1">0.05</definedName>
    <definedName name="solver_typ" localSheetId="11" hidden="1">2</definedName>
    <definedName name="solver_typ" localSheetId="14" hidden="1">1</definedName>
    <definedName name="solver_val" localSheetId="11" hidden="1">0</definedName>
    <definedName name="solver_val" localSheetId="14" hidden="1">0</definedName>
    <definedName name="Source">'INPUT-OUTPUT'!$C$40</definedName>
    <definedName name="StartUpFuel" localSheetId="2">'[1]Physical Data'!$C$51</definedName>
    <definedName name="StartUpFuel">'Physical Data'!$C$50</definedName>
    <definedName name="StartYr" localSheetId="2">'[1]INPUT-OUTPUT'!$C$8</definedName>
    <definedName name="StartYr">'INPUT-OUTPUT'!$C$8</definedName>
    <definedName name="StateTaxLife" localSheetId="2">'[1]Financial Data'!$B$29</definedName>
    <definedName name="StateTaxLife">'Financial Data'!$B$29</definedName>
    <definedName name="StateTaxRate" localSheetId="2">'[1]Financial Data'!$B$33</definedName>
    <definedName name="StateTaxRate">'Financial Data'!$B$33</definedName>
    <definedName name="StudyGWH" localSheetId="2">'[1]Physical Data'!$E$28</definedName>
    <definedName name="StudyGWH">'Physical Data'!$E$27</definedName>
    <definedName name="StudyMW">'Physical Data'!$D$27</definedName>
    <definedName name="SupportStaffFTE">'O&amp;M Costs'!$C$10</definedName>
    <definedName name="SupportStaffHrs">'O&amp;M Costs'!$D$10</definedName>
    <definedName name="SupportStaffWage">'O&amp;M Costs'!$E$10</definedName>
    <definedName name="T3_Merchant_kWyr" comment="Table 3 - Merchants in $/kW-yrs">'Print Tables'!$F$9:$S$39</definedName>
    <definedName name="T3_Merchant_kWyr_2">'Print Tables'!$AT$9:$BG$39</definedName>
    <definedName name="T3_Merchant_MWH" comment="Table 3 - Merchants in $/MWH">'Print Tables'!$V$9:$AI$39</definedName>
    <definedName name="T3_Merchant_MWH_2">'Print Tables'!$BJ$9:$BW$39</definedName>
    <definedName name="T4_IOU_kWyr" comment="Table 4 - IOUs in $/kW-yrs">'Print Tables'!$F$46:$S$76</definedName>
    <definedName name="T4_IOU_kWyr_2">'Print Tables'!$AT$46:$BG$75</definedName>
    <definedName name="T4_IOU_MWH" comment="Table 4 IOUs - $/MWH">'Print Tables'!$V$46:$AI$76</definedName>
    <definedName name="T4_IOU_MWH_2">'Print Tables'!$BJ$46:$BW$76</definedName>
    <definedName name="T5_POU_kWyr" comment="Table 5 - POUs in $/kW-yrs">'Print Tables'!$F$83:$S$113</definedName>
    <definedName name="T5_POU_kWyr_2">'Print Tables'!$AT$83:$BG$113</definedName>
    <definedName name="T5_POU_MWH" comment="Table 5 - POUs in $/MWH">'Print Tables'!$V$83:$AI$113</definedName>
    <definedName name="T5_POU_MWH_2">'Print Tables'!$BJ$83:$BW$113</definedName>
    <definedName name="TableNames">'INPUT-OUTPUT'!$AB$6:$AB$8</definedName>
    <definedName name="Target_CF">'INPUT-OUTPUT'!$C$15</definedName>
    <definedName name="TaxCredit" localSheetId="2">'[1]Income_Cash Flow'!$B$77</definedName>
    <definedName name="TaxCredit">'Income_Cash Flow'!$B$77</definedName>
    <definedName name="TaxCreditEquityPV" localSheetId="2">'[1]Income_Cash Flow'!$E$64</definedName>
    <definedName name="TaxCreditEquityPV">'Income_Cash Flow'!$E$64</definedName>
    <definedName name="TaxEquityRate" localSheetId="2">'[1]Financial Data'!$C$18</definedName>
    <definedName name="TaxEquityRate">'Financial Data'!$C$18</definedName>
    <definedName name="TaxLossTreatment" localSheetId="2">'[1]INPUT-OUTPUT'!$C$11</definedName>
    <definedName name="TaxLossTreatment">'INPUT-OUTPUT'!$C$11</definedName>
    <definedName name="TaxMinZero" localSheetId="2">'[1]INPUT-OUTPUT'!$I$137</definedName>
    <definedName name="TaxMinZero">'INPUT-OUTPUT'!$I$129</definedName>
    <definedName name="Tech_List">'Construction Costs'!$B$89:$B$96</definedName>
    <definedName name="TechNames">'Plant Type Assumptions'!$D$2:$IN$2</definedName>
    <definedName name="Technology_Cost_Escalation" comment="Pulls from PTA row 96">'Construction Costs'!$C$19</definedName>
    <definedName name="TechnologyCellNames">'Plant Type Assumptions'!$A$3:$A$451</definedName>
    <definedName name="TechnologyOffset">'Plant Type Assumptions'!$A$2</definedName>
    <definedName name="TotalAcres" localSheetId="2">'[1]Construction Costs'!$C$25</definedName>
    <definedName name="TotalAcres">'Construction Costs'!$C$24</definedName>
    <definedName name="TotalConsumableCostPerPeriod" localSheetId="2">'[1]O&amp;M Costs'!$H$17</definedName>
    <definedName name="TotalConsumableCostPerPeriod">'O&amp;M Costs'!$H$16</definedName>
    <definedName name="TotalTaxRate" localSheetId="2">'[1]Financial Data'!$B$34</definedName>
    <definedName name="TotalTaxRate">'Financial Data'!$B$34</definedName>
    <definedName name="TotalVariableOMPerMWh" localSheetId="2">'[1]O&amp;M Costs'!$C$34</definedName>
    <definedName name="TotalVariableOMPerMWh">'O&amp;M Costs'!$C$33</definedName>
    <definedName name="TotalVariableOMPerMWhUserInput" localSheetId="2">'[1]O&amp;M Costs'!$C$33</definedName>
    <definedName name="TotalVariableOMPerMWhUserInput">'O&amp;M Costs'!$C$32</definedName>
    <definedName name="TransEscalation" localSheetId="2">'[1]O&amp;M Costs'!$C$45</definedName>
    <definedName name="TransEscalation">'O&amp;M Costs'!$C$44</definedName>
    <definedName name="Transformer_Losses" localSheetId="2">'[1]Physical Data'!$C$22</definedName>
    <definedName name="Transformer_Losses">'Physical Data'!$C$22</definedName>
    <definedName name="Transmission_Service" localSheetId="2">'[1]O&amp;M Costs'!$C$41</definedName>
    <definedName name="Transmission_Service">'O&amp;M Costs'!$C$40</definedName>
    <definedName name="TransmissionCost">'Construction Costs'!$C$37</definedName>
    <definedName name="TransmissionLosses" localSheetId="2">'[1]Physical Data'!$C$25</definedName>
    <definedName name="TransmissionLosses">'Physical Data'!#REF!</definedName>
    <definedName name="TransServiceCostPerMW" localSheetId="2">'[1]O&amp;M Costs'!$C$42</definedName>
    <definedName name="TransServiceCostPerMW">'O&amp;M Costs'!$C$41</definedName>
    <definedName name="Turbines" localSheetId="2">'[1]INPUT-OUTPUT'!$C$18</definedName>
    <definedName name="Turbines">'INPUT-OUTPUT'!$C$18</definedName>
    <definedName name="Tx_FCR" localSheetId="2">[1]Income_Rev_Req!$D$198</definedName>
    <definedName name="Tx_FCR">Income_Rev_Req!$D$198</definedName>
    <definedName name="UnschdMaintenancePartsCost">'O&amp;M Costs'!$H$69</definedName>
    <definedName name="UtilityArea" localSheetId="2">'[1]INPUT-OUTPUT'!$C$16</definedName>
    <definedName name="UtilityArea">'INPUT-OUTPUT'!$C$16</definedName>
    <definedName name="VariableOMPerMWh">'O&amp;M Costs'!$C$29</definedName>
    <definedName name="W2_Wages" localSheetId="2">'[1]O&amp;M Costs'!$C$13</definedName>
    <definedName name="W2_Wages">'O&amp;M Costs'!$C$12</definedName>
    <definedName name="WaterCapitalCosts" localSheetId="2">'[1]O&amp;M Costs'!$K$20</definedName>
    <definedName name="WaterCapitalCosts">'O&amp;M Costs'!$K$19</definedName>
    <definedName name="WaterConsumptionAF" localSheetId="2">'[1]O&amp;M Costs'!$C$25</definedName>
    <definedName name="WaterConsumptionAF">'O&amp;M Costs'!$C$24</definedName>
    <definedName name="WaterControlAnnualConsumables" localSheetId="2">'[1]O&amp;M Costs'!$K$26</definedName>
    <definedName name="WaterControlAnnualConsumables">'O&amp;M Costs'!$K$25</definedName>
    <definedName name="WaterControlAnnualLabor" localSheetId="2">'[1]O&amp;M Costs'!$K$27</definedName>
    <definedName name="WaterControlAnnualLabor">'O&amp;M Costs'!$K$26</definedName>
    <definedName name="WaterControlComponentLife" localSheetId="2">'[1]O&amp;M Costs'!$K$24</definedName>
    <definedName name="WaterControlComponentLife">'O&amp;M Costs'!$K$23</definedName>
    <definedName name="WaterControlInstallCost" localSheetId="2">'[1]O&amp;M Costs'!$K$21</definedName>
    <definedName name="WaterControlInstallCost">'O&amp;M Costs'!$K$20</definedName>
    <definedName name="WaterControlReplacementCost">'O&amp;M Costs'!$K$22</definedName>
    <definedName name="WaterCostPerAF" localSheetId="2">'[1]O&amp;M Costs'!$C$24</definedName>
    <definedName name="WaterCostPerAF">'O&amp;M Costs'!$C$23</definedName>
    <definedName name="WaterCostPerMWh">'O&amp;M Costs'!$C$25</definedName>
    <definedName name="WaterDischargeInstreamFlows">'Construction Costs'!$C$77</definedName>
    <definedName name="WaterDischargeList">'Construction Costs'!$C$75</definedName>
    <definedName name="WaterDischargeThermal">'Construction Costs'!$C$76</definedName>
    <definedName name="WaterPrices">'Air &amp; Water Data'!$D$17:$P$17</definedName>
    <definedName name="WellChemicals">'O&amp;M Costs'!$H$44</definedName>
    <definedName name="WellCleanOut">'O&amp;M Costs'!$H$42</definedName>
    <definedName name="WellFieldCostsAnnual">'O&amp;M Costs'!$H$41</definedName>
    <definedName name="WellMisc">'O&amp;M Costs'!$H$45</definedName>
    <definedName name="WellPumpMaintenance">'O&amp;M Costs'!$H$43</definedName>
    <definedName name="WheelingChargesPerkWh" localSheetId="2">'[1]O&amp;M Costs'!$C$43</definedName>
    <definedName name="WheelingChargesPerkWh">'O&amp;M Costs'!$C$42</definedName>
    <definedName name="Year0" localSheetId="2">'[1]Construction Costs'!$F$17</definedName>
    <definedName name="Year0">'Construction Costs'!$F$16</definedName>
    <definedName name="Year1" localSheetId="2">'[1]Construction Costs'!$F$16</definedName>
    <definedName name="Year1">'Construction Costs'!$F$15</definedName>
    <definedName name="Year2" localSheetId="2">'[1]Construction Costs'!$F$15</definedName>
    <definedName name="Year2">'Construction Costs'!$F$14</definedName>
    <definedName name="Year3" localSheetId="2">'[1]Construction Costs'!$F$14</definedName>
    <definedName name="Year3">'Construction Costs'!$F$13</definedName>
    <definedName name="Year4" localSheetId="2">'[1]Construction Costs'!$F$13</definedName>
    <definedName name="Year4">'Construction Costs'!$F$12</definedName>
    <definedName name="Year5" localSheetId="2">'[1]Construction Costs'!$F$12</definedName>
    <definedName name="Year5">'Construction Costs'!$F$11</definedName>
    <definedName name="YearlyCostsChartLocation">'Yearly Costs'!$C$3:$AJ$40</definedName>
    <definedName name="YearlyCostsTableLocation">'Yearly Costs'!$C$42</definedName>
    <definedName name="Years" localSheetId="2">'[1]INPUT-OUTPUT'!$E$106:$E$119</definedName>
    <definedName name="Years">'INPUT-OUTPUT'!$E$106:$E$119</definedName>
  </definedNames>
  <calcPr calcId="145621"/>
</workbook>
</file>

<file path=xl/calcChain.xml><?xml version="1.0" encoding="utf-8"?>
<calcChain xmlns="http://schemas.openxmlformats.org/spreadsheetml/2006/main">
  <c r="B162" i="40" l="1"/>
  <c r="B159" i="40" l="1"/>
  <c r="H206" i="40" l="1"/>
  <c r="H207" i="40"/>
  <c r="H208" i="40"/>
  <c r="H209" i="40"/>
  <c r="H210" i="40"/>
  <c r="H211" i="40"/>
  <c r="H212" i="40"/>
  <c r="H213" i="40"/>
  <c r="H214" i="40"/>
  <c r="H215" i="40"/>
  <c r="H216" i="40"/>
  <c r="H217" i="40"/>
  <c r="H218" i="40"/>
  <c r="H219" i="40"/>
  <c r="H220" i="40"/>
  <c r="H221" i="40"/>
  <c r="H222" i="40"/>
  <c r="H223" i="40"/>
  <c r="H224" i="40"/>
  <c r="H225" i="40"/>
  <c r="H226" i="40"/>
  <c r="H227" i="40"/>
  <c r="H228" i="40"/>
  <c r="H232" i="40"/>
  <c r="H238" i="40"/>
  <c r="H239" i="40"/>
  <c r="H240" i="40"/>
  <c r="H241" i="40"/>
  <c r="H242" i="40"/>
  <c r="H250" i="40"/>
  <c r="H254" i="40"/>
  <c r="H255" i="40"/>
  <c r="H258" i="40"/>
  <c r="H261" i="40"/>
  <c r="H263" i="40"/>
  <c r="H264" i="40"/>
  <c r="H265" i="40"/>
  <c r="H267" i="40"/>
  <c r="H271" i="40"/>
  <c r="H272" i="40"/>
  <c r="H273" i="40"/>
  <c r="H274" i="40"/>
  <c r="H275" i="40"/>
  <c r="H276" i="40"/>
  <c r="H277" i="40"/>
  <c r="H278" i="40"/>
  <c r="H279" i="40"/>
  <c r="H280" i="40"/>
  <c r="H281" i="40"/>
  <c r="H282" i="40"/>
  <c r="H283" i="40"/>
  <c r="H284" i="40"/>
  <c r="H285" i="40"/>
  <c r="H286" i="40"/>
  <c r="H287" i="40"/>
  <c r="H288" i="40"/>
  <c r="H289" i="40"/>
  <c r="H290" i="40"/>
  <c r="H291" i="40"/>
  <c r="H292" i="40"/>
  <c r="H293" i="40"/>
  <c r="H294" i="40"/>
  <c r="H295" i="40"/>
  <c r="H296" i="40"/>
  <c r="H297" i="40"/>
  <c r="H298" i="40"/>
  <c r="H299" i="40"/>
  <c r="H300" i="40"/>
  <c r="H301" i="40"/>
  <c r="H302" i="40"/>
  <c r="H303" i="40"/>
  <c r="H304" i="40"/>
  <c r="F4" i="1"/>
  <c r="F2" i="1" s="1"/>
  <c r="F93" i="1" s="1"/>
  <c r="E20" i="25"/>
  <c r="E21" i="25" s="1"/>
  <c r="E22" i="25" s="1"/>
  <c r="F66" i="2"/>
  <c r="F67" i="2"/>
  <c r="F68" i="2"/>
  <c r="G68" i="2" s="1"/>
  <c r="F69" i="2"/>
  <c r="G69" i="2" s="1"/>
  <c r="C19" i="52"/>
  <c r="T32" i="20" s="1"/>
  <c r="B17" i="51"/>
  <c r="C16" i="51" s="1"/>
  <c r="U61" i="20" s="1"/>
  <c r="B19" i="51"/>
  <c r="T64" i="20" s="1"/>
  <c r="C33" i="52"/>
  <c r="T33" i="20" s="1"/>
  <c r="C24" i="2"/>
  <c r="C26" i="2" s="1"/>
  <c r="C18" i="25"/>
  <c r="C19" i="25" s="1"/>
  <c r="C20" i="25" s="1"/>
  <c r="C31" i="21"/>
  <c r="D31" i="21" s="1"/>
  <c r="C35" i="21"/>
  <c r="D35" i="21" s="1"/>
  <c r="U48" i="20" s="1"/>
  <c r="C21" i="21"/>
  <c r="D21" i="21" s="1"/>
  <c r="U43" i="20" s="1"/>
  <c r="C39" i="2"/>
  <c r="K8" i="52"/>
  <c r="C41" i="2" s="1"/>
  <c r="C42" i="2" s="1"/>
  <c r="K19" i="52"/>
  <c r="C44" i="2" s="1"/>
  <c r="C45" i="2" s="1"/>
  <c r="C18" i="2"/>
  <c r="C47" i="2" s="1"/>
  <c r="F153" i="1"/>
  <c r="F97" i="1" s="1"/>
  <c r="B2" i="51"/>
  <c r="D22" i="43" s="1"/>
  <c r="M28" i="20"/>
  <c r="K28" i="20"/>
  <c r="L28" i="20"/>
  <c r="J28" i="20"/>
  <c r="M27" i="20"/>
  <c r="L27" i="20"/>
  <c r="K27" i="20"/>
  <c r="J27" i="20"/>
  <c r="I27" i="20"/>
  <c r="I28" i="20"/>
  <c r="H27" i="20"/>
  <c r="H28" i="20"/>
  <c r="F34" i="2"/>
  <c r="C4" i="2"/>
  <c r="I2" i="43"/>
  <c r="I2" i="45"/>
  <c r="I2" i="44"/>
  <c r="I7" i="22"/>
  <c r="I2" i="22" s="1"/>
  <c r="B111" i="20" s="1"/>
  <c r="G39" i="44"/>
  <c r="H39" i="44"/>
  <c r="J39" i="44"/>
  <c r="K39" i="44"/>
  <c r="L39" i="44"/>
  <c r="M39" i="44"/>
  <c r="N39" i="44"/>
  <c r="O39" i="44"/>
  <c r="P39" i="44"/>
  <c r="Q39" i="44"/>
  <c r="R39" i="44"/>
  <c r="S39" i="44"/>
  <c r="T39" i="44"/>
  <c r="U39" i="44"/>
  <c r="V39" i="44"/>
  <c r="E47" i="44"/>
  <c r="F47" i="44"/>
  <c r="G47" i="44"/>
  <c r="H47" i="44"/>
  <c r="I47" i="44"/>
  <c r="J47" i="44"/>
  <c r="K47" i="44"/>
  <c r="L47" i="44"/>
  <c r="M47" i="44"/>
  <c r="N47" i="44"/>
  <c r="O47" i="44"/>
  <c r="P47" i="44"/>
  <c r="Q47" i="44"/>
  <c r="R47" i="44"/>
  <c r="S47" i="44"/>
  <c r="T47" i="44"/>
  <c r="U47" i="44"/>
  <c r="V47" i="44"/>
  <c r="D47" i="44"/>
  <c r="AB227" i="50" a="1"/>
  <c r="AB229" i="50" s="1"/>
  <c r="AA227" i="50" a="1"/>
  <c r="AA245" i="50" s="1"/>
  <c r="AE227" i="50" a="1"/>
  <c r="AE229" i="50" s="1"/>
  <c r="AD227" i="50" a="1"/>
  <c r="AD247" i="50" s="1"/>
  <c r="AC227" i="50" a="1"/>
  <c r="AC229" i="50" s="1"/>
  <c r="AA248" i="50"/>
  <c r="AA240" i="50"/>
  <c r="AA241" i="50"/>
  <c r="AA237" i="50"/>
  <c r="AA233" i="50"/>
  <c r="AA242" i="50"/>
  <c r="AA238" i="50"/>
  <c r="AA234" i="50"/>
  <c r="AA247" i="50"/>
  <c r="AA243" i="50"/>
  <c r="AA239" i="50"/>
  <c r="AA231" i="50"/>
  <c r="AA227" i="50"/>
  <c r="AA244" i="50"/>
  <c r="AA232" i="50"/>
  <c r="AA228" i="50"/>
  <c r="AD243" i="50"/>
  <c r="AD246" i="50"/>
  <c r="AD240" i="50"/>
  <c r="AD245" i="50"/>
  <c r="C84" i="20"/>
  <c r="Q2" i="43"/>
  <c r="S2" i="43"/>
  <c r="S2" i="45"/>
  <c r="Q2" i="45"/>
  <c r="S2" i="44"/>
  <c r="Q2" i="44"/>
  <c r="G69" i="20"/>
  <c r="F60" i="2"/>
  <c r="B49" i="2"/>
  <c r="B4" i="2"/>
  <c r="E25" i="2"/>
  <c r="AA161" i="50"/>
  <c r="AA162" i="50"/>
  <c r="AA163" i="50"/>
  <c r="AA164" i="50"/>
  <c r="AA165" i="50"/>
  <c r="AA166" i="50"/>
  <c r="AA167" i="50"/>
  <c r="AA168" i="50"/>
  <c r="AA169" i="50"/>
  <c r="AA170" i="50"/>
  <c r="AA171" i="50"/>
  <c r="AA172" i="50"/>
  <c r="AA173" i="50"/>
  <c r="AA160" i="50"/>
  <c r="AG45" i="50"/>
  <c r="AD124" i="50"/>
  <c r="AE124" i="50"/>
  <c r="AF124" i="50"/>
  <c r="AD125" i="50"/>
  <c r="AE125" i="50"/>
  <c r="AF125" i="50" s="1"/>
  <c r="AD126" i="50"/>
  <c r="AE126" i="50"/>
  <c r="AF126" i="50" s="1"/>
  <c r="AD127" i="50"/>
  <c r="AE127" i="50"/>
  <c r="AF127" i="50"/>
  <c r="AD128" i="50"/>
  <c r="AE128" i="50"/>
  <c r="AF128" i="50"/>
  <c r="AD129" i="50"/>
  <c r="AE129" i="50"/>
  <c r="AF129" i="50" s="1"/>
  <c r="AD130" i="50"/>
  <c r="AE130" i="50"/>
  <c r="AF130" i="50" s="1"/>
  <c r="AD131" i="50"/>
  <c r="AE131" i="50"/>
  <c r="AF131" i="50"/>
  <c r="AD132" i="50"/>
  <c r="AE132" i="50"/>
  <c r="AF132" i="50" s="1"/>
  <c r="AD133" i="50"/>
  <c r="AE133" i="50"/>
  <c r="AF133" i="50" s="1"/>
  <c r="AD134" i="50"/>
  <c r="AE134" i="50"/>
  <c r="AF134" i="50" s="1"/>
  <c r="AD135" i="50"/>
  <c r="AE135" i="50"/>
  <c r="AF135" i="50"/>
  <c r="AD136" i="50"/>
  <c r="AE136" i="50"/>
  <c r="AF136" i="50" s="1"/>
  <c r="AD137" i="50"/>
  <c r="AE137" i="50"/>
  <c r="AF137" i="50" s="1"/>
  <c r="BR124" i="50"/>
  <c r="BS124" i="50"/>
  <c r="BR125" i="50"/>
  <c r="BS125" i="50"/>
  <c r="BR126" i="50"/>
  <c r="BS126" i="50"/>
  <c r="BR127" i="50"/>
  <c r="BS127" i="50"/>
  <c r="BR128" i="50"/>
  <c r="BS128" i="50"/>
  <c r="BR129" i="50"/>
  <c r="BS129" i="50"/>
  <c r="BR130" i="50"/>
  <c r="BS130" i="50"/>
  <c r="BR131" i="50"/>
  <c r="BS131" i="50"/>
  <c r="BR132" i="50"/>
  <c r="BS132" i="50"/>
  <c r="BR133" i="50"/>
  <c r="BS133" i="50"/>
  <c r="BR134" i="50"/>
  <c r="BS134" i="50"/>
  <c r="BR135" i="50"/>
  <c r="BS135" i="50"/>
  <c r="BR136" i="50"/>
  <c r="BS136" i="50"/>
  <c r="BR137" i="50"/>
  <c r="BS137" i="50"/>
  <c r="GB113" i="50"/>
  <c r="GA113" i="50"/>
  <c r="FV113" i="50"/>
  <c r="FU113" i="50"/>
  <c r="FT113" i="50"/>
  <c r="FR113" i="50"/>
  <c r="FQ113" i="50"/>
  <c r="FL113" i="50"/>
  <c r="FK113" i="50"/>
  <c r="FI113" i="50"/>
  <c r="FY113" i="50" s="1"/>
  <c r="FH113" i="50"/>
  <c r="FX113" i="50"/>
  <c r="FG113" i="50"/>
  <c r="FW113" i="50" s="1"/>
  <c r="FF113" i="50"/>
  <c r="FE113" i="50"/>
  <c r="FD113" i="50"/>
  <c r="FA113" i="50"/>
  <c r="EY113" i="50"/>
  <c r="GB112" i="50"/>
  <c r="GA112" i="50"/>
  <c r="FV112" i="50"/>
  <c r="FU112" i="50"/>
  <c r="FT112" i="50"/>
  <c r="FQ112" i="50"/>
  <c r="FL112" i="50"/>
  <c r="FK112" i="50"/>
  <c r="FI112" i="50"/>
  <c r="FY112" i="50" s="1"/>
  <c r="FH112" i="50"/>
  <c r="FX112" i="50"/>
  <c r="FG112" i="50"/>
  <c r="FW112" i="50" s="1"/>
  <c r="FF112" i="50"/>
  <c r="FE112" i="50"/>
  <c r="FD112" i="50"/>
  <c r="FA112" i="50"/>
  <c r="EY112" i="50"/>
  <c r="GB111" i="50"/>
  <c r="GA111" i="50"/>
  <c r="FV111" i="50"/>
  <c r="FU111" i="50"/>
  <c r="FT111" i="50"/>
  <c r="FQ111" i="50"/>
  <c r="FL111" i="50"/>
  <c r="FK111" i="50"/>
  <c r="FI111" i="50"/>
  <c r="FY111" i="50"/>
  <c r="FH111" i="50"/>
  <c r="FX111" i="50" s="1"/>
  <c r="FG111" i="50"/>
  <c r="FW111" i="50"/>
  <c r="FF111" i="50"/>
  <c r="FE111" i="50"/>
  <c r="FD111" i="50"/>
  <c r="FA111" i="50"/>
  <c r="EY111" i="50"/>
  <c r="GB110" i="50"/>
  <c r="GA110" i="50"/>
  <c r="FV110" i="50"/>
  <c r="FU110" i="50"/>
  <c r="FT110" i="50"/>
  <c r="FQ110" i="50"/>
  <c r="FL110" i="50"/>
  <c r="FK110" i="50"/>
  <c r="FI110" i="50"/>
  <c r="FY110" i="50"/>
  <c r="FH110" i="50"/>
  <c r="FX110" i="50" s="1"/>
  <c r="FG110" i="50"/>
  <c r="FW110" i="50"/>
  <c r="FF110" i="50"/>
  <c r="FE110" i="50"/>
  <c r="FD110" i="50"/>
  <c r="FA110" i="50"/>
  <c r="EY110" i="50"/>
  <c r="GB109" i="50"/>
  <c r="GA109" i="50"/>
  <c r="FV109" i="50"/>
  <c r="FU109" i="50"/>
  <c r="FT109" i="50"/>
  <c r="FQ109" i="50"/>
  <c r="FL109" i="50"/>
  <c r="FK109" i="50"/>
  <c r="FI109" i="50"/>
  <c r="FY109" i="50"/>
  <c r="FH109" i="50"/>
  <c r="FX109" i="50"/>
  <c r="FG109" i="50"/>
  <c r="FW109" i="50"/>
  <c r="FF109" i="50"/>
  <c r="FE109" i="50"/>
  <c r="FD109" i="50"/>
  <c r="FA109" i="50"/>
  <c r="EY109" i="50"/>
  <c r="GB108" i="50"/>
  <c r="GA108" i="50"/>
  <c r="FV108" i="50"/>
  <c r="FU108" i="50"/>
  <c r="FT108" i="50"/>
  <c r="FQ108" i="50"/>
  <c r="FL108" i="50"/>
  <c r="FK108" i="50"/>
  <c r="FI108" i="50"/>
  <c r="FY108" i="50" s="1"/>
  <c r="FH108" i="50"/>
  <c r="FX108" i="50"/>
  <c r="FG108" i="50"/>
  <c r="FW108" i="50" s="1"/>
  <c r="FF108" i="50"/>
  <c r="FE108" i="50"/>
  <c r="FD108" i="50"/>
  <c r="FA108" i="50"/>
  <c r="EY108" i="50"/>
  <c r="GB107" i="50"/>
  <c r="GA107" i="50"/>
  <c r="FV107" i="50"/>
  <c r="FU107" i="50"/>
  <c r="FT107" i="50"/>
  <c r="FQ107" i="50"/>
  <c r="FL107" i="50"/>
  <c r="FK107" i="50"/>
  <c r="FI107" i="50"/>
  <c r="FY107" i="50" s="1"/>
  <c r="FH107" i="50"/>
  <c r="FX107" i="50"/>
  <c r="FG107" i="50"/>
  <c r="FW107" i="50" s="1"/>
  <c r="FF107" i="50"/>
  <c r="FE107" i="50"/>
  <c r="FD107" i="50"/>
  <c r="FA107" i="50"/>
  <c r="EY107" i="50"/>
  <c r="GB106" i="50"/>
  <c r="GA106" i="50"/>
  <c r="FV106" i="50"/>
  <c r="FU106" i="50"/>
  <c r="FT106" i="50"/>
  <c r="FQ106" i="50"/>
  <c r="FL106" i="50"/>
  <c r="FK106" i="50"/>
  <c r="FI106" i="50"/>
  <c r="FY106" i="50"/>
  <c r="FH106" i="50"/>
  <c r="FX106" i="50" s="1"/>
  <c r="FG106" i="50"/>
  <c r="FW106" i="50"/>
  <c r="FF106" i="50"/>
  <c r="FE106" i="50"/>
  <c r="FD106" i="50"/>
  <c r="FA106" i="50"/>
  <c r="EY106" i="50"/>
  <c r="GB105" i="50"/>
  <c r="GA105" i="50"/>
  <c r="FV105" i="50"/>
  <c r="FU105" i="50"/>
  <c r="FT105" i="50"/>
  <c r="FQ105" i="50"/>
  <c r="FL105" i="50"/>
  <c r="FK105" i="50"/>
  <c r="FI105" i="50"/>
  <c r="FY105" i="50"/>
  <c r="FH105" i="50"/>
  <c r="FX105" i="50" s="1"/>
  <c r="FG105" i="50"/>
  <c r="FW105" i="50"/>
  <c r="FF105" i="50"/>
  <c r="FE105" i="50"/>
  <c r="FD105" i="50"/>
  <c r="FA105" i="50"/>
  <c r="EY105" i="50"/>
  <c r="GB104" i="50"/>
  <c r="GA104" i="50"/>
  <c r="FZ104" i="50"/>
  <c r="FV104" i="50"/>
  <c r="FU104" i="50"/>
  <c r="FT104" i="50"/>
  <c r="FQ104" i="50"/>
  <c r="FL104" i="50"/>
  <c r="FK104" i="50"/>
  <c r="FJ104" i="50"/>
  <c r="FI104" i="50"/>
  <c r="FY104" i="50"/>
  <c r="FH104" i="50"/>
  <c r="FX104" i="50" s="1"/>
  <c r="FG104" i="50"/>
  <c r="FW104" i="50"/>
  <c r="FF104" i="50"/>
  <c r="FE104" i="50"/>
  <c r="FD104" i="50"/>
  <c r="FA104" i="50"/>
  <c r="EY104" i="50"/>
  <c r="GB103" i="50"/>
  <c r="GA103" i="50"/>
  <c r="FZ103" i="50"/>
  <c r="FV103" i="50"/>
  <c r="FU103" i="50"/>
  <c r="FT103" i="50"/>
  <c r="FQ103" i="50"/>
  <c r="FL103" i="50"/>
  <c r="FK103" i="50"/>
  <c r="FJ103" i="50"/>
  <c r="FI103" i="50"/>
  <c r="FY103" i="50" s="1"/>
  <c r="FH103" i="50"/>
  <c r="FX103" i="50"/>
  <c r="FG103" i="50"/>
  <c r="FW103" i="50" s="1"/>
  <c r="FF103" i="50"/>
  <c r="FE103" i="50"/>
  <c r="FD103" i="50"/>
  <c r="FA103" i="50"/>
  <c r="EY103" i="50"/>
  <c r="FZ82" i="50"/>
  <c r="FO82" i="50"/>
  <c r="FJ82" i="50"/>
  <c r="EY82" i="50"/>
  <c r="FQ81" i="50"/>
  <c r="FA81" i="50"/>
  <c r="GB76" i="50"/>
  <c r="GA76" i="50"/>
  <c r="FV76" i="50"/>
  <c r="FU76" i="50"/>
  <c r="FT76" i="50"/>
  <c r="FR76" i="50"/>
  <c r="FQ76" i="50"/>
  <c r="FL76" i="50"/>
  <c r="FK76" i="50"/>
  <c r="FI76" i="50"/>
  <c r="FY76" i="50"/>
  <c r="FH76" i="50"/>
  <c r="FX76" i="50" s="1"/>
  <c r="FG76" i="50"/>
  <c r="FW76" i="50"/>
  <c r="FF76" i="50"/>
  <c r="FE76" i="50"/>
  <c r="FD76" i="50"/>
  <c r="FB76" i="50"/>
  <c r="FA76" i="50"/>
  <c r="EY76" i="50"/>
  <c r="GB75" i="50"/>
  <c r="GA75" i="50"/>
  <c r="FV75" i="50"/>
  <c r="FU75" i="50"/>
  <c r="FT75" i="50"/>
  <c r="FR75" i="50"/>
  <c r="FQ75" i="50"/>
  <c r="FL75" i="50"/>
  <c r="FK75" i="50"/>
  <c r="FI75" i="50"/>
  <c r="FY75" i="50" s="1"/>
  <c r="FH75" i="50"/>
  <c r="FX75" i="50" s="1"/>
  <c r="FG75" i="50"/>
  <c r="FW75" i="50" s="1"/>
  <c r="FF75" i="50"/>
  <c r="FE75" i="50"/>
  <c r="FD75" i="50"/>
  <c r="FB75" i="50"/>
  <c r="FA75" i="50"/>
  <c r="EY75" i="50"/>
  <c r="GB74" i="50"/>
  <c r="GA74" i="50"/>
  <c r="FV74" i="50"/>
  <c r="FU74" i="50"/>
  <c r="FT74" i="50"/>
  <c r="FR74" i="50"/>
  <c r="FQ74" i="50"/>
  <c r="FL74" i="50"/>
  <c r="FK74" i="50"/>
  <c r="FI74" i="50"/>
  <c r="FY74" i="50" s="1"/>
  <c r="FH74" i="50"/>
  <c r="FX74" i="50"/>
  <c r="FG74" i="50"/>
  <c r="FW74" i="50" s="1"/>
  <c r="FF74" i="50"/>
  <c r="FE74" i="50"/>
  <c r="FD74" i="50"/>
  <c r="FB74" i="50"/>
  <c r="FA74" i="50"/>
  <c r="EY74" i="50"/>
  <c r="GB73" i="50"/>
  <c r="GA73" i="50"/>
  <c r="FV73" i="50"/>
  <c r="FU73" i="50"/>
  <c r="FT73" i="50"/>
  <c r="FR73" i="50"/>
  <c r="FQ73" i="50"/>
  <c r="FL73" i="50"/>
  <c r="FK73" i="50"/>
  <c r="FI73" i="50"/>
  <c r="FY73" i="50"/>
  <c r="FH73" i="50"/>
  <c r="FX73" i="50" s="1"/>
  <c r="FG73" i="50"/>
  <c r="FW73" i="50"/>
  <c r="FF73" i="50"/>
  <c r="FE73" i="50"/>
  <c r="FD73" i="50"/>
  <c r="FB73" i="50"/>
  <c r="FA73" i="50"/>
  <c r="EY73" i="50"/>
  <c r="GB72" i="50"/>
  <c r="GA72" i="50"/>
  <c r="FV72" i="50"/>
  <c r="FU72" i="50"/>
  <c r="FT72" i="50"/>
  <c r="FR72" i="50"/>
  <c r="FQ72" i="50"/>
  <c r="FL72" i="50"/>
  <c r="FK72" i="50"/>
  <c r="FI72" i="50"/>
  <c r="FY72" i="50"/>
  <c r="FH72" i="50"/>
  <c r="FX72" i="50" s="1"/>
  <c r="FG72" i="50"/>
  <c r="FW72" i="50"/>
  <c r="FF72" i="50"/>
  <c r="FE72" i="50"/>
  <c r="FD72" i="50"/>
  <c r="FB72" i="50"/>
  <c r="FA72" i="50"/>
  <c r="EY72" i="50"/>
  <c r="GB71" i="50"/>
  <c r="GA71" i="50"/>
  <c r="FV71" i="50"/>
  <c r="FU71" i="50"/>
  <c r="FT71" i="50"/>
  <c r="FR71" i="50"/>
  <c r="FQ71" i="50"/>
  <c r="FL71" i="50"/>
  <c r="FK71" i="50"/>
  <c r="FI71" i="50"/>
  <c r="FY71" i="50" s="1"/>
  <c r="FH71" i="50"/>
  <c r="FX71" i="50"/>
  <c r="FG71" i="50"/>
  <c r="FW71" i="50" s="1"/>
  <c r="FF71" i="50"/>
  <c r="FE71" i="50"/>
  <c r="FD71" i="50"/>
  <c r="FB71" i="50"/>
  <c r="FA71" i="50"/>
  <c r="EY71" i="50"/>
  <c r="GB70" i="50"/>
  <c r="GA70" i="50"/>
  <c r="FV70" i="50"/>
  <c r="FU70" i="50"/>
  <c r="FT70" i="50"/>
  <c r="FR70" i="50"/>
  <c r="FQ70" i="50"/>
  <c r="FL70" i="50"/>
  <c r="FK70" i="50"/>
  <c r="FI70" i="50"/>
  <c r="FY70" i="50" s="1"/>
  <c r="FH70" i="50"/>
  <c r="FX70" i="50"/>
  <c r="FG70" i="50"/>
  <c r="FW70" i="50" s="1"/>
  <c r="FF70" i="50"/>
  <c r="FE70" i="50"/>
  <c r="FD70" i="50"/>
  <c r="FB70" i="50"/>
  <c r="FA70" i="50"/>
  <c r="EY70" i="50"/>
  <c r="GB69" i="50"/>
  <c r="GA69" i="50"/>
  <c r="FV69" i="50"/>
  <c r="FU69" i="50"/>
  <c r="FT69" i="50"/>
  <c r="FR69" i="50"/>
  <c r="FQ69" i="50"/>
  <c r="FL69" i="50"/>
  <c r="FK69" i="50"/>
  <c r="FI69" i="50"/>
  <c r="FY69" i="50"/>
  <c r="FH69" i="50"/>
  <c r="FX69" i="50" s="1"/>
  <c r="FG69" i="50"/>
  <c r="FW69" i="50"/>
  <c r="FF69" i="50"/>
  <c r="FE69" i="50"/>
  <c r="FD69" i="50"/>
  <c r="FB69" i="50"/>
  <c r="FA69" i="50"/>
  <c r="EY69" i="50"/>
  <c r="GB68" i="50"/>
  <c r="GA68" i="50"/>
  <c r="FV68" i="50"/>
  <c r="FU68" i="50"/>
  <c r="FT68" i="50"/>
  <c r="FR68" i="50"/>
  <c r="FQ68" i="50"/>
  <c r="FL68" i="50"/>
  <c r="FK68" i="50"/>
  <c r="FI68" i="50"/>
  <c r="FY68" i="50"/>
  <c r="FH68" i="50"/>
  <c r="FX68" i="50" s="1"/>
  <c r="FG68" i="50"/>
  <c r="FW68" i="50"/>
  <c r="FF68" i="50"/>
  <c r="FE68" i="50"/>
  <c r="FD68" i="50"/>
  <c r="FB68" i="50"/>
  <c r="FA68" i="50"/>
  <c r="EY68" i="50"/>
  <c r="GB67" i="50"/>
  <c r="GA67" i="50"/>
  <c r="FZ67" i="50"/>
  <c r="FV67" i="50"/>
  <c r="FU67" i="50"/>
  <c r="FT67" i="50"/>
  <c r="FR67" i="50"/>
  <c r="FQ67" i="50"/>
  <c r="FL67" i="50"/>
  <c r="FK67" i="50"/>
  <c r="FJ67" i="50"/>
  <c r="FI67" i="50"/>
  <c r="FY67" i="50"/>
  <c r="FH67" i="50"/>
  <c r="FX67" i="50" s="1"/>
  <c r="FG67" i="50"/>
  <c r="FW67" i="50"/>
  <c r="FF67" i="50"/>
  <c r="FE67" i="50"/>
  <c r="FD67" i="50"/>
  <c r="FB67" i="50"/>
  <c r="FA67" i="50"/>
  <c r="EY67" i="50"/>
  <c r="GB66" i="50"/>
  <c r="GA66" i="50"/>
  <c r="FZ66" i="50"/>
  <c r="FV66" i="50"/>
  <c r="FU66" i="50"/>
  <c r="FT66" i="50"/>
  <c r="FR66" i="50"/>
  <c r="FQ66" i="50"/>
  <c r="FL66" i="50"/>
  <c r="FK66" i="50"/>
  <c r="FJ66" i="50"/>
  <c r="FI66" i="50"/>
  <c r="FY66" i="50" s="1"/>
  <c r="FH66" i="50"/>
  <c r="FX66" i="50"/>
  <c r="FG66" i="50"/>
  <c r="FW66" i="50" s="1"/>
  <c r="FF66" i="50"/>
  <c r="FE66" i="50"/>
  <c r="FD66" i="50"/>
  <c r="FB66" i="50"/>
  <c r="FA66" i="50"/>
  <c r="EY66" i="50"/>
  <c r="GB65" i="50"/>
  <c r="GA65" i="50"/>
  <c r="FZ65" i="50"/>
  <c r="FV65" i="50"/>
  <c r="FU65" i="50"/>
  <c r="FT65" i="50"/>
  <c r="FR65" i="50"/>
  <c r="FQ65" i="50"/>
  <c r="FL65" i="50"/>
  <c r="FK65" i="50"/>
  <c r="FJ65" i="50"/>
  <c r="FI65" i="50"/>
  <c r="FY65" i="50" s="1"/>
  <c r="FH65" i="50"/>
  <c r="FX65" i="50"/>
  <c r="FG65" i="50"/>
  <c r="FF65" i="50"/>
  <c r="FE65" i="50"/>
  <c r="FD65" i="50"/>
  <c r="FB65" i="50"/>
  <c r="FA65" i="50"/>
  <c r="EY65" i="50"/>
  <c r="FZ45" i="50"/>
  <c r="FO45" i="50"/>
  <c r="FJ45" i="50"/>
  <c r="EY45" i="50"/>
  <c r="FQ44" i="50"/>
  <c r="FA44" i="50"/>
  <c r="GB39" i="50"/>
  <c r="FR149" i="50"/>
  <c r="GA39" i="50"/>
  <c r="FV39" i="50"/>
  <c r="FU39" i="50"/>
  <c r="FT39" i="50"/>
  <c r="FQ39" i="50"/>
  <c r="FL39" i="50"/>
  <c r="FQ149" i="50" s="1"/>
  <c r="FK39" i="50"/>
  <c r="FI39" i="50"/>
  <c r="FY39" i="50"/>
  <c r="FH39" i="50"/>
  <c r="FX39" i="50"/>
  <c r="FG39" i="50"/>
  <c r="FW39" i="50"/>
  <c r="FF39" i="50"/>
  <c r="FE39" i="50"/>
  <c r="FD39" i="50"/>
  <c r="FB39" i="50"/>
  <c r="FA39" i="50"/>
  <c r="EY39" i="50"/>
  <c r="GB38" i="50"/>
  <c r="FR148" i="50"/>
  <c r="GA38" i="50"/>
  <c r="FV38" i="50"/>
  <c r="FU38" i="50"/>
  <c r="FT38" i="50"/>
  <c r="FQ38" i="50"/>
  <c r="FL38" i="50"/>
  <c r="FQ148" i="50"/>
  <c r="FK38" i="50"/>
  <c r="FI38" i="50"/>
  <c r="FY38" i="50"/>
  <c r="FH38" i="50"/>
  <c r="FX38" i="50"/>
  <c r="FG38" i="50"/>
  <c r="FW38" i="50"/>
  <c r="FF38" i="50"/>
  <c r="FE38" i="50"/>
  <c r="FD38" i="50"/>
  <c r="FB38" i="50"/>
  <c r="FA38" i="50"/>
  <c r="EY38" i="50"/>
  <c r="GB37" i="50"/>
  <c r="FR147" i="50"/>
  <c r="GA37" i="50"/>
  <c r="FV37" i="50"/>
  <c r="FU37" i="50"/>
  <c r="FT37" i="50"/>
  <c r="FQ37" i="50"/>
  <c r="FL37" i="50"/>
  <c r="FQ147" i="50" s="1"/>
  <c r="FK37" i="50"/>
  <c r="FI37" i="50"/>
  <c r="FY37" i="50"/>
  <c r="FH37" i="50"/>
  <c r="FX37" i="50"/>
  <c r="FG37" i="50"/>
  <c r="FW37" i="50"/>
  <c r="FF37" i="50"/>
  <c r="FE37" i="50"/>
  <c r="FD37" i="50"/>
  <c r="FB37" i="50"/>
  <c r="FA37" i="50"/>
  <c r="EY37" i="50"/>
  <c r="GB36" i="50"/>
  <c r="FR146" i="50"/>
  <c r="GA36" i="50"/>
  <c r="FV36" i="50"/>
  <c r="FU36" i="50"/>
  <c r="FT36" i="50"/>
  <c r="FQ36" i="50"/>
  <c r="FL36" i="50"/>
  <c r="FQ146" i="50"/>
  <c r="FK36" i="50"/>
  <c r="FI36" i="50"/>
  <c r="FY36" i="50"/>
  <c r="FH36" i="50"/>
  <c r="FX36" i="50"/>
  <c r="FG36" i="50"/>
  <c r="FW36" i="50"/>
  <c r="FF36" i="50"/>
  <c r="FE36" i="50"/>
  <c r="FD36" i="50"/>
  <c r="FB36" i="50"/>
  <c r="FA36" i="50"/>
  <c r="EY36" i="50"/>
  <c r="GB35" i="50"/>
  <c r="FR145" i="50"/>
  <c r="GA35" i="50"/>
  <c r="FV35" i="50"/>
  <c r="FU35" i="50"/>
  <c r="FT35" i="50"/>
  <c r="FQ35" i="50"/>
  <c r="FL35" i="50"/>
  <c r="FQ145" i="50" s="1"/>
  <c r="FK35" i="50"/>
  <c r="FI35" i="50"/>
  <c r="FY35" i="50"/>
  <c r="FH35" i="50"/>
  <c r="FX35" i="50"/>
  <c r="FG35" i="50"/>
  <c r="FW35" i="50"/>
  <c r="FF35" i="50"/>
  <c r="FE35" i="50"/>
  <c r="FD35" i="50"/>
  <c r="FB35" i="50"/>
  <c r="FA35" i="50"/>
  <c r="EY35" i="50"/>
  <c r="GB34" i="50"/>
  <c r="FR144" i="50"/>
  <c r="GA34" i="50"/>
  <c r="FV34" i="50"/>
  <c r="FU34" i="50"/>
  <c r="FT34" i="50"/>
  <c r="FQ34" i="50"/>
  <c r="FL34" i="50"/>
  <c r="FQ144" i="50"/>
  <c r="FK34" i="50"/>
  <c r="FI34" i="50"/>
  <c r="FY34" i="50"/>
  <c r="FH34" i="50"/>
  <c r="FX34" i="50"/>
  <c r="FG34" i="50"/>
  <c r="FW34" i="50"/>
  <c r="FF34" i="50"/>
  <c r="FE34" i="50"/>
  <c r="FD34" i="50"/>
  <c r="FB34" i="50"/>
  <c r="FA34" i="50"/>
  <c r="EY34" i="50"/>
  <c r="GB33" i="50"/>
  <c r="FR143" i="50"/>
  <c r="GA33" i="50"/>
  <c r="FV33" i="50"/>
  <c r="FU33" i="50"/>
  <c r="FT33" i="50"/>
  <c r="FQ33" i="50"/>
  <c r="FL33" i="50"/>
  <c r="FQ143" i="50" s="1"/>
  <c r="FK33" i="50"/>
  <c r="FI33" i="50"/>
  <c r="FY33" i="50"/>
  <c r="FH33" i="50"/>
  <c r="FX33" i="50"/>
  <c r="FG33" i="50"/>
  <c r="FW33" i="50"/>
  <c r="FF33" i="50"/>
  <c r="FE33" i="50"/>
  <c r="FD33" i="50"/>
  <c r="FB33" i="50"/>
  <c r="FA33" i="50"/>
  <c r="EY33" i="50"/>
  <c r="GB32" i="50"/>
  <c r="FR142" i="50"/>
  <c r="GA32" i="50"/>
  <c r="FV32" i="50"/>
  <c r="FU32" i="50"/>
  <c r="FT32" i="50"/>
  <c r="FQ32" i="50"/>
  <c r="FL32" i="50"/>
  <c r="FQ142" i="50"/>
  <c r="FK32" i="50"/>
  <c r="FI32" i="50"/>
  <c r="FY32" i="50"/>
  <c r="FH32" i="50"/>
  <c r="FX32" i="50"/>
  <c r="FG32" i="50"/>
  <c r="FW32" i="50"/>
  <c r="FF32" i="50"/>
  <c r="FE32" i="50"/>
  <c r="FD32" i="50"/>
  <c r="FB32" i="50"/>
  <c r="FA32" i="50"/>
  <c r="EY32" i="50"/>
  <c r="GB31" i="50"/>
  <c r="FR141" i="50"/>
  <c r="GA31" i="50"/>
  <c r="FV31" i="50"/>
  <c r="FU31" i="50"/>
  <c r="FT31" i="50"/>
  <c r="FQ31" i="50"/>
  <c r="FL31" i="50"/>
  <c r="FQ141" i="50" s="1"/>
  <c r="FK31" i="50"/>
  <c r="FI31" i="50"/>
  <c r="FY31" i="50"/>
  <c r="FH31" i="50"/>
  <c r="FX31" i="50"/>
  <c r="FG31" i="50"/>
  <c r="FW31" i="50"/>
  <c r="FF31" i="50"/>
  <c r="FE31" i="50"/>
  <c r="FD31" i="50"/>
  <c r="FB31" i="50"/>
  <c r="FA31" i="50"/>
  <c r="EY31" i="50"/>
  <c r="GB30" i="50"/>
  <c r="FR140" i="50"/>
  <c r="GA30" i="50"/>
  <c r="FZ30" i="50"/>
  <c r="FV30" i="50"/>
  <c r="FU30" i="50"/>
  <c r="FT30" i="50"/>
  <c r="FQ30" i="50"/>
  <c r="FL30" i="50"/>
  <c r="FQ140" i="50"/>
  <c r="FK30" i="50"/>
  <c r="FJ30" i="50"/>
  <c r="FI30" i="50"/>
  <c r="FY30" i="50"/>
  <c r="FH30" i="50"/>
  <c r="FX30" i="50"/>
  <c r="FG30" i="50"/>
  <c r="FW30" i="50"/>
  <c r="FF30" i="50"/>
  <c r="FE30" i="50"/>
  <c r="FD30" i="50"/>
  <c r="FB30" i="50"/>
  <c r="FA30" i="50"/>
  <c r="EY30" i="50"/>
  <c r="GB29" i="50"/>
  <c r="FR139" i="50"/>
  <c r="GA29" i="50"/>
  <c r="FZ29" i="50"/>
  <c r="FV29" i="50"/>
  <c r="FU29" i="50"/>
  <c r="FT29" i="50"/>
  <c r="FQ29" i="50"/>
  <c r="FL29" i="50"/>
  <c r="FQ139" i="50"/>
  <c r="FK29" i="50"/>
  <c r="FJ29" i="50"/>
  <c r="FI29" i="50"/>
  <c r="FY29" i="50"/>
  <c r="FH29" i="50"/>
  <c r="FX29" i="50"/>
  <c r="FG29" i="50"/>
  <c r="FW29" i="50"/>
  <c r="FF29" i="50"/>
  <c r="FE29" i="50"/>
  <c r="FD29" i="50"/>
  <c r="FB29" i="50"/>
  <c r="FA29" i="50"/>
  <c r="EY29" i="50"/>
  <c r="FZ8" i="50"/>
  <c r="FO8" i="50"/>
  <c r="FJ8" i="50"/>
  <c r="EY8" i="50"/>
  <c r="FQ7" i="50"/>
  <c r="FA7" i="50"/>
  <c r="EB27" i="50"/>
  <c r="EB101" i="50"/>
  <c r="DH138" i="50"/>
  <c r="DG138" i="50"/>
  <c r="DF138" i="50"/>
  <c r="B51" i="2"/>
  <c r="G112" i="43"/>
  <c r="F112" i="43"/>
  <c r="E112" i="43"/>
  <c r="D112" i="43"/>
  <c r="G112" i="45"/>
  <c r="F112" i="45"/>
  <c r="E112" i="45"/>
  <c r="D112" i="45"/>
  <c r="E112" i="44"/>
  <c r="F112" i="44"/>
  <c r="G112" i="44"/>
  <c r="D112" i="44"/>
  <c r="BL156" i="50"/>
  <c r="BM156" i="50"/>
  <c r="BN156" i="50"/>
  <c r="BO156" i="50"/>
  <c r="BL157" i="50"/>
  <c r="BM157" i="50"/>
  <c r="BN157" i="50"/>
  <c r="BO157" i="50"/>
  <c r="BL158" i="50"/>
  <c r="BM158" i="50"/>
  <c r="BN158" i="50"/>
  <c r="BO158" i="50"/>
  <c r="BL159" i="50"/>
  <c r="BM159" i="50"/>
  <c r="BN159" i="50"/>
  <c r="BO159" i="50"/>
  <c r="BN160" i="50"/>
  <c r="BO160" i="50"/>
  <c r="BL160" i="50"/>
  <c r="BM160" i="50"/>
  <c r="BN161" i="50"/>
  <c r="BO161" i="50"/>
  <c r="BL161" i="50"/>
  <c r="BM161" i="50"/>
  <c r="BN162" i="50"/>
  <c r="BO162" i="50"/>
  <c r="BL162" i="50"/>
  <c r="BM162" i="50"/>
  <c r="BN163" i="50"/>
  <c r="BO163" i="50"/>
  <c r="BL163" i="50"/>
  <c r="BM163" i="50"/>
  <c r="BN164" i="50"/>
  <c r="BO164" i="50"/>
  <c r="BL164" i="50"/>
  <c r="BM164" i="50"/>
  <c r="BN165" i="50"/>
  <c r="BO165" i="50"/>
  <c r="BL165" i="50"/>
  <c r="BM165" i="50"/>
  <c r="BN166" i="50"/>
  <c r="BO166" i="50"/>
  <c r="BL166" i="50"/>
  <c r="BM166" i="50"/>
  <c r="BN167" i="50"/>
  <c r="BO167" i="50"/>
  <c r="BL167" i="50"/>
  <c r="BM167" i="50"/>
  <c r="BN168" i="50"/>
  <c r="BO168" i="50"/>
  <c r="BL168" i="50"/>
  <c r="BM168" i="50"/>
  <c r="BN169" i="50"/>
  <c r="BO169" i="50"/>
  <c r="BL169" i="50"/>
  <c r="BM169" i="50"/>
  <c r="BN170" i="50"/>
  <c r="BO170" i="50"/>
  <c r="BL170" i="50"/>
  <c r="BM170" i="50"/>
  <c r="BN171" i="50"/>
  <c r="BO171" i="50"/>
  <c r="BL171" i="50"/>
  <c r="BM171" i="50"/>
  <c r="BN172" i="50"/>
  <c r="BO172" i="50"/>
  <c r="BL172" i="50"/>
  <c r="BM172" i="50"/>
  <c r="BN173" i="50"/>
  <c r="BO173" i="50"/>
  <c r="BL173" i="50"/>
  <c r="BM173" i="50"/>
  <c r="BO174" i="50"/>
  <c r="BL175" i="50"/>
  <c r="AJ9" i="50"/>
  <c r="AJ101" i="50"/>
  <c r="L235" i="43"/>
  <c r="M235" i="43"/>
  <c r="N235" i="43"/>
  <c r="N232" i="43" s="1"/>
  <c r="O235" i="43"/>
  <c r="P235" i="43"/>
  <c r="L236" i="43"/>
  <c r="M236" i="43"/>
  <c r="N236" i="43"/>
  <c r="O236" i="43"/>
  <c r="P236" i="43"/>
  <c r="Q236" i="43"/>
  <c r="R236" i="43"/>
  <c r="S236" i="43"/>
  <c r="T236" i="43"/>
  <c r="Q217" i="44"/>
  <c r="R217" i="44"/>
  <c r="S217" i="44"/>
  <c r="T217" i="44"/>
  <c r="U217" i="44"/>
  <c r="V217" i="44"/>
  <c r="Q219" i="44"/>
  <c r="R219" i="44"/>
  <c r="S219" i="44"/>
  <c r="T219" i="44"/>
  <c r="U219" i="44"/>
  <c r="V219" i="44"/>
  <c r="I218" i="44"/>
  <c r="I219" i="44" s="1"/>
  <c r="J218" i="44"/>
  <c r="J219" i="44" s="1"/>
  <c r="K217" i="44"/>
  <c r="L217" i="44"/>
  <c r="M218" i="44"/>
  <c r="M219" i="44" s="1"/>
  <c r="N218" i="44"/>
  <c r="N219" i="44" s="1"/>
  <c r="O217" i="44"/>
  <c r="P217" i="44"/>
  <c r="U222" i="44"/>
  <c r="V222" i="44"/>
  <c r="I223" i="44"/>
  <c r="J223" i="44"/>
  <c r="K223" i="44"/>
  <c r="I226" i="44"/>
  <c r="I222" i="44" s="1"/>
  <c r="J226" i="44"/>
  <c r="J222" i="44" s="1"/>
  <c r="K226" i="44"/>
  <c r="K222" i="44" s="1"/>
  <c r="I235" i="44"/>
  <c r="I232" i="44" s="1"/>
  <c r="J235" i="44"/>
  <c r="J232" i="44" s="1"/>
  <c r="K235" i="44"/>
  <c r="K232" i="44" s="1"/>
  <c r="L235" i="44"/>
  <c r="L232" i="44" s="1"/>
  <c r="M235" i="44"/>
  <c r="M232" i="44" s="1"/>
  <c r="N235" i="44"/>
  <c r="N232" i="44" s="1"/>
  <c r="O235" i="44"/>
  <c r="O232" i="44" s="1"/>
  <c r="P235" i="44"/>
  <c r="P232" i="44" s="1"/>
  <c r="L236" i="44"/>
  <c r="M236" i="44"/>
  <c r="N236" i="44"/>
  <c r="O236" i="44"/>
  <c r="P236" i="44"/>
  <c r="Q236" i="44"/>
  <c r="R236" i="44"/>
  <c r="S236" i="44"/>
  <c r="T236" i="44"/>
  <c r="L237" i="44"/>
  <c r="N237" i="44"/>
  <c r="Q41" i="43"/>
  <c r="Q39" i="43" s="1"/>
  <c r="R41" i="43"/>
  <c r="R39" i="43" s="1"/>
  <c r="S41" i="43"/>
  <c r="S39" i="43" s="1"/>
  <c r="T41" i="43"/>
  <c r="T39" i="43" s="1"/>
  <c r="U41" i="43"/>
  <c r="U39" i="43" s="1"/>
  <c r="V41" i="43"/>
  <c r="V39" i="43" s="1"/>
  <c r="V222" i="43"/>
  <c r="U222" i="43"/>
  <c r="V219" i="43"/>
  <c r="U217" i="43"/>
  <c r="T217" i="43"/>
  <c r="R219" i="43"/>
  <c r="Q217" i="43"/>
  <c r="U219" i="43"/>
  <c r="T219" i="43"/>
  <c r="S219" i="43"/>
  <c r="Q219" i="43"/>
  <c r="V217" i="43"/>
  <c r="S217" i="43"/>
  <c r="V114" i="43"/>
  <c r="V112" i="43"/>
  <c r="U114" i="43"/>
  <c r="U112" i="43" s="1"/>
  <c r="T114" i="43"/>
  <c r="S114" i="43"/>
  <c r="R114" i="43"/>
  <c r="Q114" i="43"/>
  <c r="V85" i="43"/>
  <c r="V86" i="43" s="1"/>
  <c r="U85" i="43"/>
  <c r="U86" i="43" s="1"/>
  <c r="T85" i="43"/>
  <c r="T86" i="43" s="1"/>
  <c r="S85" i="43"/>
  <c r="S86" i="43" s="1"/>
  <c r="R85" i="43"/>
  <c r="R86" i="43" s="1"/>
  <c r="Q85" i="43"/>
  <c r="Q86" i="43" s="1"/>
  <c r="V31" i="43"/>
  <c r="U31" i="43"/>
  <c r="T31" i="43"/>
  <c r="S31" i="43"/>
  <c r="R31" i="43"/>
  <c r="Q31" i="43"/>
  <c r="V14" i="43"/>
  <c r="U14" i="43"/>
  <c r="T14" i="43"/>
  <c r="S14" i="43"/>
  <c r="R14" i="43"/>
  <c r="Q14" i="43"/>
  <c r="Q41" i="45"/>
  <c r="Q39" i="45" s="1"/>
  <c r="R41" i="45"/>
  <c r="R39" i="45" s="1"/>
  <c r="S41" i="45"/>
  <c r="S39" i="45" s="1"/>
  <c r="T41" i="45"/>
  <c r="T39" i="45" s="1"/>
  <c r="U41" i="45"/>
  <c r="U39" i="45" s="1"/>
  <c r="V41" i="45"/>
  <c r="V39" i="45" s="1"/>
  <c r="T236" i="45"/>
  <c r="S236" i="45"/>
  <c r="R236" i="45"/>
  <c r="Q236" i="45"/>
  <c r="V231" i="45"/>
  <c r="V231" i="22" s="1"/>
  <c r="U231" i="45"/>
  <c r="U231" i="22" s="1"/>
  <c r="T231" i="45"/>
  <c r="T231" i="22" s="1"/>
  <c r="S231" i="45"/>
  <c r="S231" i="22" s="1"/>
  <c r="R231" i="45"/>
  <c r="Q231" i="45"/>
  <c r="Q231" i="22" s="1"/>
  <c r="U222" i="45"/>
  <c r="V222" i="45"/>
  <c r="U219" i="45"/>
  <c r="Q219" i="45"/>
  <c r="V219" i="45"/>
  <c r="T219" i="45"/>
  <c r="S219" i="45"/>
  <c r="R219" i="45"/>
  <c r="V217" i="45"/>
  <c r="U217" i="45"/>
  <c r="T217" i="45"/>
  <c r="S217" i="45"/>
  <c r="R217" i="45"/>
  <c r="Q217" i="45"/>
  <c r="V114" i="45"/>
  <c r="V112" i="45"/>
  <c r="U114" i="45"/>
  <c r="U112" i="45" s="1"/>
  <c r="T114" i="45"/>
  <c r="S114" i="45"/>
  <c r="R114" i="45"/>
  <c r="Q114" i="45"/>
  <c r="V85" i="45"/>
  <c r="V86" i="45" s="1"/>
  <c r="U85" i="45"/>
  <c r="U86" i="45" s="1"/>
  <c r="T85" i="45"/>
  <c r="T86" i="45" s="1"/>
  <c r="S85" i="45"/>
  <c r="S86" i="45" s="1"/>
  <c r="R85" i="45"/>
  <c r="R86" i="45" s="1"/>
  <c r="Q85" i="45"/>
  <c r="Q86" i="45" s="1"/>
  <c r="V31" i="45"/>
  <c r="U31" i="45"/>
  <c r="T31" i="45"/>
  <c r="S31" i="45"/>
  <c r="R31" i="45"/>
  <c r="Q31" i="45"/>
  <c r="V14" i="45"/>
  <c r="U14" i="45"/>
  <c r="T14" i="45"/>
  <c r="S14" i="45"/>
  <c r="R14" i="45"/>
  <c r="Q14" i="45"/>
  <c r="V114" i="44"/>
  <c r="V112" i="44" s="1"/>
  <c r="U114" i="44"/>
  <c r="U112" i="44"/>
  <c r="T114" i="44"/>
  <c r="T120" i="44" s="1"/>
  <c r="S114" i="44"/>
  <c r="R114" i="44"/>
  <c r="Q114" i="44"/>
  <c r="V85" i="44"/>
  <c r="V86" i="44" s="1"/>
  <c r="U85" i="44"/>
  <c r="U86" i="44" s="1"/>
  <c r="T85" i="44"/>
  <c r="T86" i="44" s="1"/>
  <c r="S85" i="44"/>
  <c r="S86" i="44" s="1"/>
  <c r="R85" i="44"/>
  <c r="R86" i="44" s="1"/>
  <c r="Q85" i="44"/>
  <c r="Q86" i="44" s="1"/>
  <c r="V44" i="44"/>
  <c r="U44" i="44"/>
  <c r="T44" i="44"/>
  <c r="S44" i="44"/>
  <c r="R44" i="44"/>
  <c r="Q44" i="44"/>
  <c r="V31" i="44"/>
  <c r="U31" i="44"/>
  <c r="T31" i="44"/>
  <c r="S31" i="44"/>
  <c r="R31" i="44"/>
  <c r="Q31" i="44"/>
  <c r="V14" i="44"/>
  <c r="U14" i="44"/>
  <c r="T14" i="44"/>
  <c r="S14" i="44"/>
  <c r="R14" i="44"/>
  <c r="Q14" i="44"/>
  <c r="Q120" i="44"/>
  <c r="Q112" i="44"/>
  <c r="Q120" i="45"/>
  <c r="Q112" i="45"/>
  <c r="S120" i="43"/>
  <c r="S112" i="43"/>
  <c r="R120" i="44"/>
  <c r="R112" i="44"/>
  <c r="R120" i="45"/>
  <c r="R112" i="45"/>
  <c r="T120" i="43"/>
  <c r="T112" i="43"/>
  <c r="S120" i="44"/>
  <c r="S112" i="44"/>
  <c r="S120" i="45"/>
  <c r="S112" i="45"/>
  <c r="Q120" i="43"/>
  <c r="Q112" i="43"/>
  <c r="T120" i="45"/>
  <c r="T112" i="45"/>
  <c r="R120" i="43"/>
  <c r="R112" i="43"/>
  <c r="N217" i="44"/>
  <c r="I217" i="44"/>
  <c r="J217" i="44"/>
  <c r="M217" i="44"/>
  <c r="R217" i="43"/>
  <c r="O218" i="44"/>
  <c r="O219" i="44" s="1"/>
  <c r="K218" i="44"/>
  <c r="K219" i="44" s="1"/>
  <c r="P218" i="44"/>
  <c r="P219" i="44" s="1"/>
  <c r="L218" i="44"/>
  <c r="L219" i="44" s="1"/>
  <c r="N33" i="54"/>
  <c r="O33" i="54"/>
  <c r="P33" i="54"/>
  <c r="Q33" i="54"/>
  <c r="R33" i="54"/>
  <c r="S33" i="54"/>
  <c r="T33" i="54"/>
  <c r="U33" i="54"/>
  <c r="V33" i="54"/>
  <c r="W33" i="54"/>
  <c r="X33" i="54"/>
  <c r="Y33" i="54"/>
  <c r="Z33" i="54"/>
  <c r="AA33" i="54"/>
  <c r="AB33" i="54"/>
  <c r="AC33" i="54"/>
  <c r="AD33" i="54"/>
  <c r="AE33" i="54"/>
  <c r="M33" i="54"/>
  <c r="N35" i="54"/>
  <c r="O35" i="54"/>
  <c r="P35" i="54"/>
  <c r="Q35" i="54"/>
  <c r="R35" i="54"/>
  <c r="S35" i="54"/>
  <c r="T35" i="54"/>
  <c r="U35" i="54"/>
  <c r="V35" i="54"/>
  <c r="W35" i="54"/>
  <c r="X35" i="54"/>
  <c r="Y35" i="54"/>
  <c r="Z35" i="54"/>
  <c r="AA35" i="54"/>
  <c r="AB35" i="54"/>
  <c r="AC35" i="54"/>
  <c r="AD35" i="54"/>
  <c r="AE35" i="54"/>
  <c r="M35" i="54"/>
  <c r="O48" i="44"/>
  <c r="P48" i="44"/>
  <c r="N27" i="54"/>
  <c r="N36" i="54" s="1"/>
  <c r="O27" i="54"/>
  <c r="P27" i="54"/>
  <c r="P36" i="54"/>
  <c r="P44" i="54"/>
  <c r="G85" i="45" s="1"/>
  <c r="Q27" i="54"/>
  <c r="R27" i="54"/>
  <c r="R36" i="54"/>
  <c r="I122" i="45" s="1"/>
  <c r="S27" i="54"/>
  <c r="T27" i="54"/>
  <c r="T36" i="54"/>
  <c r="K122" i="45" s="1"/>
  <c r="U27" i="54"/>
  <c r="V27" i="54"/>
  <c r="V36" i="54"/>
  <c r="M122" i="45" s="1"/>
  <c r="W27" i="54"/>
  <c r="X27" i="54"/>
  <c r="X36" i="54"/>
  <c r="O122" i="45" s="1"/>
  <c r="Y27" i="54"/>
  <c r="Z27" i="54"/>
  <c r="Z36" i="54"/>
  <c r="Q122" i="45" s="1"/>
  <c r="AA27" i="54"/>
  <c r="AB27" i="54"/>
  <c r="AB36" i="54"/>
  <c r="S122" i="45" s="1"/>
  <c r="AC27" i="54"/>
  <c r="AD27" i="54"/>
  <c r="AD36" i="54"/>
  <c r="U122" i="45" s="1"/>
  <c r="AE27" i="54"/>
  <c r="N28" i="54"/>
  <c r="N37" i="54"/>
  <c r="E122" i="44" s="1"/>
  <c r="O28" i="54"/>
  <c r="P28" i="54"/>
  <c r="P37" i="54"/>
  <c r="G122" i="44" s="1"/>
  <c r="Q28" i="54"/>
  <c r="R28" i="54"/>
  <c r="R37" i="54"/>
  <c r="I122" i="44" s="1"/>
  <c r="S28" i="54"/>
  <c r="T28" i="54"/>
  <c r="T37" i="54"/>
  <c r="K122" i="44" s="1"/>
  <c r="U28" i="54"/>
  <c r="V28" i="54"/>
  <c r="V37" i="54"/>
  <c r="M122" i="44" s="1"/>
  <c r="W28" i="54"/>
  <c r="X28" i="54"/>
  <c r="X37" i="54"/>
  <c r="O122" i="44" s="1"/>
  <c r="Y28" i="54"/>
  <c r="Z28" i="54"/>
  <c r="Z37" i="54"/>
  <c r="Q122" i="44" s="1"/>
  <c r="AA28" i="54"/>
  <c r="AB28" i="54"/>
  <c r="AB37" i="54"/>
  <c r="S122" i="44" s="1"/>
  <c r="AC28" i="54"/>
  <c r="AD28" i="54"/>
  <c r="AD37" i="54"/>
  <c r="U122" i="44" s="1"/>
  <c r="AE28" i="54"/>
  <c r="M27" i="54"/>
  <c r="M36" i="54"/>
  <c r="D122" i="45" s="1"/>
  <c r="M28" i="54"/>
  <c r="M37" i="54"/>
  <c r="D122" i="44"/>
  <c r="AE38" i="54"/>
  <c r="V122" i="43" s="1"/>
  <c r="AD38" i="54"/>
  <c r="U122" i="43"/>
  <c r="AC38" i="54"/>
  <c r="T122" i="43" s="1"/>
  <c r="AB38" i="54"/>
  <c r="S122" i="43"/>
  <c r="AA38" i="54"/>
  <c r="R122" i="43" s="1"/>
  <c r="Z38" i="54"/>
  <c r="Q122" i="43"/>
  <c r="Y38" i="54"/>
  <c r="P122" i="43" s="1"/>
  <c r="X38" i="54"/>
  <c r="O122" i="43"/>
  <c r="W38" i="54"/>
  <c r="N122" i="43" s="1"/>
  <c r="V38" i="54"/>
  <c r="M122" i="43"/>
  <c r="U38" i="54"/>
  <c r="L122" i="43" s="1"/>
  <c r="T38" i="54"/>
  <c r="K122" i="43"/>
  <c r="S38" i="54"/>
  <c r="J122" i="43" s="1"/>
  <c r="R38" i="54"/>
  <c r="I122" i="43"/>
  <c r="Q38" i="54"/>
  <c r="H122" i="43" s="1"/>
  <c r="P38" i="54"/>
  <c r="G122" i="43"/>
  <c r="O38" i="54"/>
  <c r="F122" i="43" s="1"/>
  <c r="N38" i="54"/>
  <c r="E122" i="43"/>
  <c r="M38" i="54"/>
  <c r="D122" i="43" s="1"/>
  <c r="AE37" i="54"/>
  <c r="V122" i="44"/>
  <c r="AC37" i="54"/>
  <c r="T122" i="44" s="1"/>
  <c r="T122" i="22" s="1"/>
  <c r="AA37" i="54"/>
  <c r="R122" i="44"/>
  <c r="Y37" i="54"/>
  <c r="P122" i="44" s="1"/>
  <c r="P122" i="22" s="1"/>
  <c r="W37" i="54"/>
  <c r="N122" i="44"/>
  <c r="U37" i="54"/>
  <c r="L122" i="44" s="1"/>
  <c r="L122" i="22" s="1"/>
  <c r="S37" i="54"/>
  <c r="J122" i="44"/>
  <c r="Q37" i="54"/>
  <c r="H122" i="44" s="1"/>
  <c r="H122" i="22" s="1"/>
  <c r="O37" i="54"/>
  <c r="F122" i="44"/>
  <c r="AE36" i="54"/>
  <c r="V122" i="45" s="1"/>
  <c r="AC36" i="54"/>
  <c r="T122" i="45"/>
  <c r="AA36" i="54"/>
  <c r="R122" i="45" s="1"/>
  <c r="Y36" i="54"/>
  <c r="Y44" i="54" s="1"/>
  <c r="P85" i="45" s="1"/>
  <c r="P86" i="45" s="1"/>
  <c r="P122" i="45"/>
  <c r="W36" i="54"/>
  <c r="N122" i="45" s="1"/>
  <c r="U36" i="54"/>
  <c r="U44" i="54" s="1"/>
  <c r="L85" i="45" s="1"/>
  <c r="L86" i="45" s="1"/>
  <c r="L122" i="45"/>
  <c r="S36" i="54"/>
  <c r="J122" i="45" s="1"/>
  <c r="Q36" i="54"/>
  <c r="H122" i="45" s="1"/>
  <c r="Q44" i="54"/>
  <c r="O36" i="54"/>
  <c r="O44" i="54" s="1"/>
  <c r="F85" i="45" s="1"/>
  <c r="G122" i="45"/>
  <c r="AB44" i="54"/>
  <c r="Z44" i="54"/>
  <c r="X44" i="54"/>
  <c r="O85" i="45" s="1"/>
  <c r="O86" i="45" s="1"/>
  <c r="V44" i="54"/>
  <c r="M85" i="45"/>
  <c r="T44" i="54"/>
  <c r="K85" i="45" s="1"/>
  <c r="R44" i="54"/>
  <c r="I85" i="45"/>
  <c r="AE44" i="54"/>
  <c r="AC44" i="54"/>
  <c r="AA44" i="54"/>
  <c r="W44" i="54"/>
  <c r="N85" i="45" s="1"/>
  <c r="N86" i="45" s="1"/>
  <c r="S44" i="54"/>
  <c r="J85" i="45" s="1"/>
  <c r="AD46" i="54"/>
  <c r="AB46" i="54"/>
  <c r="Z46" i="54"/>
  <c r="X46" i="54"/>
  <c r="O85" i="43"/>
  <c r="O86" i="43" s="1"/>
  <c r="V46" i="54"/>
  <c r="M85" i="43" s="1"/>
  <c r="M86" i="43" s="1"/>
  <c r="T46" i="54"/>
  <c r="K85" i="43"/>
  <c r="R46" i="54"/>
  <c r="I85" i="43" s="1"/>
  <c r="I86" i="43" s="1"/>
  <c r="P46" i="54"/>
  <c r="G85" i="43"/>
  <c r="N46" i="54"/>
  <c r="E85" i="43" s="1"/>
  <c r="E86" i="43" s="1"/>
  <c r="AE46" i="54"/>
  <c r="AC46" i="54"/>
  <c r="AA46" i="54"/>
  <c r="Y46" i="54"/>
  <c r="P85" i="43"/>
  <c r="P86" i="43" s="1"/>
  <c r="W46" i="54"/>
  <c r="N85" i="43" s="1"/>
  <c r="N86" i="43" s="1"/>
  <c r="U46" i="54"/>
  <c r="L85" i="43"/>
  <c r="L86" i="43" s="1"/>
  <c r="S46" i="54"/>
  <c r="J85" i="43" s="1"/>
  <c r="Q46" i="54"/>
  <c r="O46" i="54"/>
  <c r="F85" i="43"/>
  <c r="M46" i="54"/>
  <c r="D85" i="43" s="1"/>
  <c r="D86" i="43" s="1"/>
  <c r="AE45" i="54"/>
  <c r="AD45" i="54"/>
  <c r="AC45" i="54"/>
  <c r="AA45" i="54"/>
  <c r="Z45" i="54"/>
  <c r="Y45" i="54"/>
  <c r="P85" i="44" s="1"/>
  <c r="P86" i="44" s="1"/>
  <c r="X45" i="54"/>
  <c r="O85" i="44"/>
  <c r="O86" i="44" s="1"/>
  <c r="W45" i="54"/>
  <c r="N85" i="44" s="1"/>
  <c r="N86" i="44" s="1"/>
  <c r="V45" i="54"/>
  <c r="M85" i="44"/>
  <c r="M86" i="44" s="1"/>
  <c r="U45" i="54"/>
  <c r="L85" i="44" s="1"/>
  <c r="L86" i="44" s="1"/>
  <c r="T45" i="54"/>
  <c r="K85" i="44" s="1"/>
  <c r="T49" i="54" s="1"/>
  <c r="S45" i="54"/>
  <c r="J85" i="44" s="1"/>
  <c r="J85" i="22" s="1"/>
  <c r="R45" i="54"/>
  <c r="I85" i="44" s="1"/>
  <c r="I86" i="44" s="1"/>
  <c r="I86" i="22" s="1"/>
  <c r="Q45" i="54"/>
  <c r="Q49" i="54"/>
  <c r="P45" i="54"/>
  <c r="G85" i="44" s="1"/>
  <c r="G85" i="22" s="1"/>
  <c r="O45" i="54"/>
  <c r="F85" i="44" s="1"/>
  <c r="F85" i="22" s="1"/>
  <c r="N45" i="54"/>
  <c r="M45" i="54"/>
  <c r="H17" i="52"/>
  <c r="R49" i="54"/>
  <c r="N49" i="54"/>
  <c r="E85" i="44"/>
  <c r="E85" i="22" s="1"/>
  <c r="O50" i="54"/>
  <c r="P49" i="54"/>
  <c r="M49" i="54"/>
  <c r="D85" i="44"/>
  <c r="D86" i="44" s="1"/>
  <c r="D86" i="22" s="1"/>
  <c r="BJ130" i="50"/>
  <c r="K116" i="44"/>
  <c r="J116" i="44"/>
  <c r="J112" i="44" s="1"/>
  <c r="I116" i="44"/>
  <c r="K116" i="45"/>
  <c r="J116" i="45"/>
  <c r="I116" i="45"/>
  <c r="I112" i="45" s="1"/>
  <c r="P48" i="43"/>
  <c r="O48" i="43"/>
  <c r="O48" i="22" s="1"/>
  <c r="N48" i="43"/>
  <c r="M48" i="43"/>
  <c r="L48" i="43"/>
  <c r="EU82" i="50"/>
  <c r="EU45" i="50"/>
  <c r="EU8" i="50"/>
  <c r="EE82" i="50"/>
  <c r="EE45" i="50"/>
  <c r="EE8" i="50"/>
  <c r="DI82" i="50"/>
  <c r="DI45" i="50"/>
  <c r="DI8" i="50"/>
  <c r="CS45" i="50"/>
  <c r="CS82" i="50"/>
  <c r="CS8" i="50"/>
  <c r="BU82" i="50"/>
  <c r="BX82" i="50" s="1"/>
  <c r="BU45" i="50"/>
  <c r="BX45" i="50" s="1"/>
  <c r="BU8" i="50"/>
  <c r="BX8" i="50" s="1"/>
  <c r="BE82" i="50"/>
  <c r="BE45" i="50"/>
  <c r="BE8" i="50"/>
  <c r="AG8" i="50"/>
  <c r="AJ8" i="50" s="1"/>
  <c r="AJ45" i="50"/>
  <c r="AG82" i="50"/>
  <c r="AJ82" i="50" s="1"/>
  <c r="Q82" i="50"/>
  <c r="Q45" i="50"/>
  <c r="Q8" i="50"/>
  <c r="S17" i="20"/>
  <c r="G18" i="20"/>
  <c r="N237" i="45"/>
  <c r="L237" i="45"/>
  <c r="L236" i="45"/>
  <c r="N236" i="45"/>
  <c r="P236" i="45"/>
  <c r="O236" i="45"/>
  <c r="M236" i="45"/>
  <c r="F25" i="27"/>
  <c r="E27" i="27"/>
  <c r="F27" i="27"/>
  <c r="G27" i="27" s="1"/>
  <c r="H27" i="27" s="1"/>
  <c r="E23" i="27"/>
  <c r="F23" i="27"/>
  <c r="G23" i="27" s="1"/>
  <c r="H23" i="27" s="1"/>
  <c r="H44" i="15"/>
  <c r="H45" i="15"/>
  <c r="I44" i="15"/>
  <c r="J44" i="15"/>
  <c r="J45" i="15"/>
  <c r="K44" i="15"/>
  <c r="K45" i="15" s="1"/>
  <c r="K46" i="15" s="1"/>
  <c r="K47" i="15" s="1"/>
  <c r="L44" i="15"/>
  <c r="M44" i="15"/>
  <c r="I45" i="15"/>
  <c r="M10" i="15"/>
  <c r="M11" i="15"/>
  <c r="M12" i="15"/>
  <c r="M13" i="15"/>
  <c r="M14" i="15"/>
  <c r="M15" i="15"/>
  <c r="M16" i="15"/>
  <c r="M17" i="15"/>
  <c r="M18" i="15"/>
  <c r="M19" i="15"/>
  <c r="M20" i="15"/>
  <c r="M21" i="15"/>
  <c r="M22" i="15"/>
  <c r="M23" i="15"/>
  <c r="M24" i="15"/>
  <c r="M25" i="15"/>
  <c r="M26" i="15"/>
  <c r="M27" i="15"/>
  <c r="M28" i="15"/>
  <c r="M29" i="15"/>
  <c r="M30" i="15"/>
  <c r="M31" i="15"/>
  <c r="M32" i="15"/>
  <c r="M33" i="15"/>
  <c r="M34" i="15"/>
  <c r="M35" i="15"/>
  <c r="M36" i="15"/>
  <c r="M37" i="15"/>
  <c r="M38" i="15"/>
  <c r="M39" i="15"/>
  <c r="M40" i="15"/>
  <c r="M41" i="15"/>
  <c r="M42" i="15"/>
  <c r="M43" i="15"/>
  <c r="M9" i="15"/>
  <c r="Q74" i="15"/>
  <c r="Q75" i="15" s="1"/>
  <c r="Q76" i="15" s="1"/>
  <c r="Q77" i="15"/>
  <c r="Q78" i="15" s="1"/>
  <c r="P74" i="15"/>
  <c r="P75" i="15" s="1"/>
  <c r="P76" i="15" s="1"/>
  <c r="P77" i="15" s="1"/>
  <c r="P78" i="15" s="1"/>
  <c r="O74" i="15"/>
  <c r="O75" i="15"/>
  <c r="O76" i="15" s="1"/>
  <c r="O77" i="15" s="1"/>
  <c r="O78" i="15" s="1"/>
  <c r="F22" i="45"/>
  <c r="F9" i="45"/>
  <c r="F9" i="43"/>
  <c r="D9" i="44"/>
  <c r="D9" i="22" s="1"/>
  <c r="F22" i="44"/>
  <c r="F22" i="22" s="1"/>
  <c r="L45" i="15"/>
  <c r="L46" i="15" s="1"/>
  <c r="L47" i="15" s="1"/>
  <c r="M47" i="15" s="1"/>
  <c r="K48" i="15"/>
  <c r="K49" i="15" s="1"/>
  <c r="K50" i="15" s="1"/>
  <c r="H46" i="15"/>
  <c r="H47" i="15" s="1"/>
  <c r="H48" i="15" s="1"/>
  <c r="H49" i="15" s="1"/>
  <c r="H50" i="15" s="1"/>
  <c r="H51" i="15" s="1"/>
  <c r="H52" i="15" s="1"/>
  <c r="H53" i="15" s="1"/>
  <c r="H54" i="15" s="1"/>
  <c r="H55" i="15" s="1"/>
  <c r="H56" i="15" s="1"/>
  <c r="H57" i="15" s="1"/>
  <c r="H58" i="15" s="1"/>
  <c r="H59" i="15" s="1"/>
  <c r="H60" i="15" s="1"/>
  <c r="H61" i="15" s="1"/>
  <c r="H62" i="15" s="1"/>
  <c r="H63" i="15" s="1"/>
  <c r="H64" i="15" s="1"/>
  <c r="H65" i="15" s="1"/>
  <c r="H66" i="15" s="1"/>
  <c r="H67" i="15" s="1"/>
  <c r="H68" i="15" s="1"/>
  <c r="H69" i="15" s="1"/>
  <c r="H70" i="15" s="1"/>
  <c r="H71" i="15" s="1"/>
  <c r="H72" i="15" s="1"/>
  <c r="H73" i="15" s="1"/>
  <c r="H74" i="15" s="1"/>
  <c r="H75" i="15" s="1"/>
  <c r="H76" i="15" s="1"/>
  <c r="H77" i="15" s="1"/>
  <c r="H78" i="15" s="1"/>
  <c r="I46" i="15"/>
  <c r="I47" i="15"/>
  <c r="I48" i="15" s="1"/>
  <c r="I49" i="15" s="1"/>
  <c r="I50" i="15" s="1"/>
  <c r="I51" i="15" s="1"/>
  <c r="I52" i="15" s="1"/>
  <c r="I53" i="15" s="1"/>
  <c r="I54" i="15" s="1"/>
  <c r="I55" i="15" s="1"/>
  <c r="I56" i="15" s="1"/>
  <c r="I57" i="15" s="1"/>
  <c r="I58" i="15" s="1"/>
  <c r="I59" i="15" s="1"/>
  <c r="I60" i="15" s="1"/>
  <c r="I61" i="15" s="1"/>
  <c r="I62" i="15" s="1"/>
  <c r="I63" i="15" s="1"/>
  <c r="I64" i="15" s="1"/>
  <c r="I65" i="15" s="1"/>
  <c r="I66" i="15" s="1"/>
  <c r="I67" i="15" s="1"/>
  <c r="I68" i="15" s="1"/>
  <c r="I69" i="15" s="1"/>
  <c r="I70" i="15" s="1"/>
  <c r="I71" i="15" s="1"/>
  <c r="I72" i="15" s="1"/>
  <c r="I73" i="15" s="1"/>
  <c r="I74" i="15" s="1"/>
  <c r="I75" i="15" s="1"/>
  <c r="I76" i="15" s="1"/>
  <c r="I77" i="15" s="1"/>
  <c r="I78" i="15" s="1"/>
  <c r="J46" i="15"/>
  <c r="J47" i="15"/>
  <c r="K51" i="15"/>
  <c r="K52" i="15" s="1"/>
  <c r="K53" i="15" s="1"/>
  <c r="K54" i="15" s="1"/>
  <c r="K55" i="15" s="1"/>
  <c r="K56" i="15" s="1"/>
  <c r="K57" i="15" s="1"/>
  <c r="K58" i="15" s="1"/>
  <c r="K59" i="15" s="1"/>
  <c r="K60" i="15" s="1"/>
  <c r="K61" i="15" s="1"/>
  <c r="K62" i="15" s="1"/>
  <c r="K63" i="15" s="1"/>
  <c r="K64" i="15" s="1"/>
  <c r="K65" i="15" s="1"/>
  <c r="K66" i="15" s="1"/>
  <c r="K67" i="15" s="1"/>
  <c r="K68" i="15" s="1"/>
  <c r="K69" i="15" s="1"/>
  <c r="K70" i="15" s="1"/>
  <c r="K71" i="15" s="1"/>
  <c r="K72" i="15" s="1"/>
  <c r="K73" i="15" s="1"/>
  <c r="K74" i="15" s="1"/>
  <c r="K75" i="15" s="1"/>
  <c r="K76" i="15" s="1"/>
  <c r="K77" i="15" s="1"/>
  <c r="K78" i="15" s="1"/>
  <c r="J48" i="15"/>
  <c r="J49" i="15" s="1"/>
  <c r="J50" i="15" s="1"/>
  <c r="J51" i="15" s="1"/>
  <c r="J52" i="15" s="1"/>
  <c r="J53" i="15" s="1"/>
  <c r="J54" i="15" s="1"/>
  <c r="J55" i="15" s="1"/>
  <c r="J56" i="15" s="1"/>
  <c r="J57" i="15" s="1"/>
  <c r="J58" i="15" s="1"/>
  <c r="J59" i="15" s="1"/>
  <c r="J60" i="15" s="1"/>
  <c r="J61" i="15" s="1"/>
  <c r="J62" i="15" s="1"/>
  <c r="J63" i="15" s="1"/>
  <c r="J64" i="15" s="1"/>
  <c r="J65" i="15" s="1"/>
  <c r="J66" i="15" s="1"/>
  <c r="J67" i="15" s="1"/>
  <c r="J68" i="15" s="1"/>
  <c r="J69" i="15" s="1"/>
  <c r="J70" i="15" s="1"/>
  <c r="J71" i="15" s="1"/>
  <c r="J72" i="15" s="1"/>
  <c r="J73" i="15" s="1"/>
  <c r="J74" i="15" s="1"/>
  <c r="J75" i="15" s="1"/>
  <c r="J76" i="15" s="1"/>
  <c r="J77" i="15" s="1"/>
  <c r="J78" i="15" s="1"/>
  <c r="L48" i="15"/>
  <c r="M48" i="15" s="1"/>
  <c r="L49" i="15"/>
  <c r="M49" i="15" s="1"/>
  <c r="H210" i="43"/>
  <c r="H210" i="45"/>
  <c r="H210" i="44"/>
  <c r="D6" i="56"/>
  <c r="Z59" i="55" s="1"/>
  <c r="D5" i="56"/>
  <c r="Z58" i="55"/>
  <c r="D4" i="56"/>
  <c r="Z57" i="55" s="1"/>
  <c r="D3" i="56"/>
  <c r="Z56" i="55" s="1"/>
  <c r="P14" i="27"/>
  <c r="EB64" i="50"/>
  <c r="ER64" i="50" s="1"/>
  <c r="EB65" i="50"/>
  <c r="T52" i="20"/>
  <c r="U63" i="20"/>
  <c r="U62" i="20"/>
  <c r="T62" i="20"/>
  <c r="D5" i="26"/>
  <c r="D4" i="26"/>
  <c r="AJ100" i="50"/>
  <c r="AJ99" i="50"/>
  <c r="AJ98" i="50"/>
  <c r="AJ97" i="50"/>
  <c r="AJ96" i="50"/>
  <c r="AJ95" i="50"/>
  <c r="AJ94" i="50"/>
  <c r="AJ93" i="50"/>
  <c r="AJ92" i="50"/>
  <c r="AJ91" i="50"/>
  <c r="AJ90" i="50"/>
  <c r="AJ89" i="50"/>
  <c r="AJ87" i="50"/>
  <c r="AJ86" i="50"/>
  <c r="AJ85" i="50"/>
  <c r="AJ84" i="50"/>
  <c r="AJ83" i="50"/>
  <c r="AJ65" i="50"/>
  <c r="AJ64" i="50"/>
  <c r="AJ63" i="50"/>
  <c r="AJ62" i="50"/>
  <c r="AJ61" i="50"/>
  <c r="AJ60" i="50"/>
  <c r="AJ59" i="50"/>
  <c r="AJ58" i="50"/>
  <c r="AJ57" i="50"/>
  <c r="AJ56" i="50"/>
  <c r="AJ55" i="50"/>
  <c r="AJ54" i="50"/>
  <c r="AJ53" i="50"/>
  <c r="AJ52" i="50"/>
  <c r="AJ50" i="50"/>
  <c r="AJ49" i="50"/>
  <c r="AJ48" i="50"/>
  <c r="AJ47" i="50"/>
  <c r="AJ46" i="50"/>
  <c r="AJ10" i="50"/>
  <c r="AJ11" i="50"/>
  <c r="AJ12" i="50"/>
  <c r="AJ13" i="50"/>
  <c r="AJ14" i="50"/>
  <c r="AJ15" i="50"/>
  <c r="AJ16" i="50"/>
  <c r="AJ17" i="50"/>
  <c r="AJ18" i="50"/>
  <c r="AJ19" i="50"/>
  <c r="AJ20" i="50"/>
  <c r="AJ21" i="50"/>
  <c r="AJ22" i="50"/>
  <c r="AJ23" i="50"/>
  <c r="AJ24" i="50"/>
  <c r="AJ25" i="50"/>
  <c r="AJ26" i="50"/>
  <c r="AJ27" i="50"/>
  <c r="AA119" i="50"/>
  <c r="AB119" i="50"/>
  <c r="AC119" i="50" s="1"/>
  <c r="AD119" i="50"/>
  <c r="AE119" i="50"/>
  <c r="AF119" i="50" s="1"/>
  <c r="BM120" i="50"/>
  <c r="BM121" i="50"/>
  <c r="BM122" i="50"/>
  <c r="BM123" i="50"/>
  <c r="BM124" i="50"/>
  <c r="BM125" i="50"/>
  <c r="BM126" i="50"/>
  <c r="BM127" i="50"/>
  <c r="BM128" i="50"/>
  <c r="BM129" i="50"/>
  <c r="BM130" i="50"/>
  <c r="BM131" i="50"/>
  <c r="BM132" i="50"/>
  <c r="BM133" i="50"/>
  <c r="BM134" i="50"/>
  <c r="BM135" i="50"/>
  <c r="BM136" i="50"/>
  <c r="BM137" i="50"/>
  <c r="BM138" i="50"/>
  <c r="N2" i="43"/>
  <c r="N2" i="45"/>
  <c r="N2" i="44"/>
  <c r="D17" i="12"/>
  <c r="D4" i="12" s="1"/>
  <c r="N2" i="22"/>
  <c r="B116" i="20" s="1"/>
  <c r="AO15" i="15"/>
  <c r="AM16" i="15"/>
  <c r="AM15" i="15"/>
  <c r="M2" i="45"/>
  <c r="M2" i="43"/>
  <c r="L2" i="43"/>
  <c r="L2" i="45"/>
  <c r="N17" i="12"/>
  <c r="I17" i="12"/>
  <c r="H19" i="43"/>
  <c r="H19" i="44"/>
  <c r="H19" i="45"/>
  <c r="O17" i="27"/>
  <c r="N17" i="27"/>
  <c r="M17" i="27"/>
  <c r="L17" i="27"/>
  <c r="K17" i="27"/>
  <c r="J17" i="27"/>
  <c r="I17" i="27"/>
  <c r="H17" i="27"/>
  <c r="G17" i="27"/>
  <c r="F17" i="27"/>
  <c r="E17" i="27"/>
  <c r="D17" i="27"/>
  <c r="H205" i="43"/>
  <c r="G205" i="43"/>
  <c r="H204" i="43"/>
  <c r="G204" i="43"/>
  <c r="G135" i="43"/>
  <c r="G56" i="43"/>
  <c r="G55" i="43"/>
  <c r="G54" i="43"/>
  <c r="G53" i="43"/>
  <c r="G52" i="43"/>
  <c r="G51" i="43"/>
  <c r="H205" i="45"/>
  <c r="G205" i="45"/>
  <c r="H204" i="45"/>
  <c r="G204" i="45"/>
  <c r="G135" i="45"/>
  <c r="G56" i="45"/>
  <c r="G55" i="45"/>
  <c r="G54" i="45"/>
  <c r="G53" i="45"/>
  <c r="G52" i="45"/>
  <c r="G51" i="45"/>
  <c r="H205" i="44"/>
  <c r="G205" i="44"/>
  <c r="H204" i="44"/>
  <c r="G204" i="44"/>
  <c r="G135" i="44"/>
  <c r="G56" i="44"/>
  <c r="G55" i="44"/>
  <c r="G54" i="44"/>
  <c r="G53" i="44"/>
  <c r="G52" i="44"/>
  <c r="G51" i="44"/>
  <c r="F135" i="43"/>
  <c r="E135" i="43"/>
  <c r="D135" i="43"/>
  <c r="F56" i="43"/>
  <c r="E56" i="43"/>
  <c r="D56" i="43"/>
  <c r="F55" i="43"/>
  <c r="E55" i="43"/>
  <c r="D55" i="43"/>
  <c r="F54" i="43"/>
  <c r="E54" i="43"/>
  <c r="D54" i="43"/>
  <c r="F53" i="43"/>
  <c r="E53" i="43"/>
  <c r="D53" i="43"/>
  <c r="F52" i="43"/>
  <c r="E52" i="43"/>
  <c r="D52" i="43"/>
  <c r="F51" i="43"/>
  <c r="E51" i="43"/>
  <c r="D51" i="43"/>
  <c r="F135" i="45"/>
  <c r="E135" i="45"/>
  <c r="D135" i="45"/>
  <c r="F56" i="45"/>
  <c r="E56" i="45"/>
  <c r="D56" i="45"/>
  <c r="F55" i="45"/>
  <c r="E55" i="45"/>
  <c r="D55" i="45"/>
  <c r="F54" i="45"/>
  <c r="E54" i="45"/>
  <c r="D54" i="45"/>
  <c r="F53" i="45"/>
  <c r="E53" i="45"/>
  <c r="D53" i="45"/>
  <c r="F52" i="45"/>
  <c r="E52" i="45"/>
  <c r="D52" i="45"/>
  <c r="F51" i="45"/>
  <c r="E51" i="45"/>
  <c r="D51" i="45"/>
  <c r="F135" i="44"/>
  <c r="E135" i="44"/>
  <c r="D135" i="44"/>
  <c r="F56" i="44"/>
  <c r="E56" i="44"/>
  <c r="D56" i="44"/>
  <c r="F55" i="44"/>
  <c r="E55" i="44"/>
  <c r="D55" i="44"/>
  <c r="F54" i="44"/>
  <c r="E54" i="44"/>
  <c r="D54" i="44"/>
  <c r="F53" i="44"/>
  <c r="E53" i="44"/>
  <c r="D53" i="44"/>
  <c r="F52" i="44"/>
  <c r="E52" i="44"/>
  <c r="D52" i="44"/>
  <c r="F51" i="44"/>
  <c r="E51" i="44"/>
  <c r="D51" i="44"/>
  <c r="G120" i="43"/>
  <c r="F120" i="43"/>
  <c r="E120" i="43"/>
  <c r="D120" i="43"/>
  <c r="G120" i="45"/>
  <c r="F120" i="45"/>
  <c r="E120" i="45"/>
  <c r="D120" i="45"/>
  <c r="G120" i="44"/>
  <c r="F120" i="44"/>
  <c r="E120" i="44"/>
  <c r="D120" i="44"/>
  <c r="U46" i="53"/>
  <c r="V46" i="53"/>
  <c r="W46" i="53"/>
  <c r="X46" i="53"/>
  <c r="Y46" i="53"/>
  <c r="Z46" i="53"/>
  <c r="AA46" i="53"/>
  <c r="AB46" i="53"/>
  <c r="AC46" i="53"/>
  <c r="BJ154" i="50"/>
  <c r="V154" i="50"/>
  <c r="H161" i="15"/>
  <c r="I161" i="15"/>
  <c r="J161" i="15"/>
  <c r="J166" i="15" s="1"/>
  <c r="K161" i="15"/>
  <c r="K166" i="15"/>
  <c r="L161" i="15"/>
  <c r="M161" i="15"/>
  <c r="H162" i="15"/>
  <c r="H167" i="15"/>
  <c r="I162" i="15"/>
  <c r="I167" i="15" s="1"/>
  <c r="J162" i="15"/>
  <c r="K162" i="15"/>
  <c r="K167" i="15" s="1"/>
  <c r="L162" i="15"/>
  <c r="L167" i="15" s="1"/>
  <c r="M162" i="15"/>
  <c r="M167" i="15" s="1"/>
  <c r="Q160" i="15"/>
  <c r="Q165" i="15" s="1"/>
  <c r="R160" i="15"/>
  <c r="R165" i="15" s="1"/>
  <c r="S160" i="15"/>
  <c r="S165" i="15" s="1"/>
  <c r="T160" i="15"/>
  <c r="T165" i="15" s="1"/>
  <c r="U160" i="15"/>
  <c r="V160" i="15"/>
  <c r="V165" i="15"/>
  <c r="W160" i="15"/>
  <c r="W165" i="15" s="1"/>
  <c r="X160" i="15"/>
  <c r="X165" i="15"/>
  <c r="Y160" i="15"/>
  <c r="Y165" i="15" s="1"/>
  <c r="Z160" i="15"/>
  <c r="Z165" i="15"/>
  <c r="AA160" i="15"/>
  <c r="AA165" i="15" s="1"/>
  <c r="AB160" i="15"/>
  <c r="AB165" i="15"/>
  <c r="AC160" i="15"/>
  <c r="AC165" i="15" s="1"/>
  <c r="AD160" i="15"/>
  <c r="AD165" i="15"/>
  <c r="AE160" i="15"/>
  <c r="AE165" i="15" s="1"/>
  <c r="AF160" i="15"/>
  <c r="AF165" i="15"/>
  <c r="AG160" i="15"/>
  <c r="AG165" i="15" s="1"/>
  <c r="AH160" i="15"/>
  <c r="AH165" i="15"/>
  <c r="AI160" i="15"/>
  <c r="AI165" i="15" s="1"/>
  <c r="AJ160" i="15"/>
  <c r="AJ165" i="15"/>
  <c r="AK160" i="15"/>
  <c r="AL160" i="15"/>
  <c r="AL165" i="15" s="1"/>
  <c r="AM160" i="15"/>
  <c r="AM165" i="15" s="1"/>
  <c r="AN160" i="15"/>
  <c r="AN165" i="15" s="1"/>
  <c r="AO160" i="15"/>
  <c r="AO165" i="15" s="1"/>
  <c r="AP160" i="15"/>
  <c r="AP165" i="15" s="1"/>
  <c r="AQ160" i="15"/>
  <c r="AQ165" i="15" s="1"/>
  <c r="AR160" i="15"/>
  <c r="AR165" i="15" s="1"/>
  <c r="AS160" i="15"/>
  <c r="AS165" i="15" s="1"/>
  <c r="AT160" i="15"/>
  <c r="AT165" i="15" s="1"/>
  <c r="AU160" i="15"/>
  <c r="AU165" i="15" s="1"/>
  <c r="AV160" i="15"/>
  <c r="AW160" i="15"/>
  <c r="AX160" i="15"/>
  <c r="AY160" i="15"/>
  <c r="AZ160" i="15"/>
  <c r="BA160" i="15"/>
  <c r="BB160" i="15"/>
  <c r="BC160" i="15"/>
  <c r="BD160" i="15"/>
  <c r="BE160" i="15"/>
  <c r="BF160" i="15"/>
  <c r="BG160" i="15"/>
  <c r="BH160" i="15"/>
  <c r="BI160" i="15"/>
  <c r="BJ160" i="15"/>
  <c r="BK160" i="15"/>
  <c r="BL160" i="15"/>
  <c r="BM160" i="15"/>
  <c r="BN160" i="15"/>
  <c r="BO160" i="15"/>
  <c r="BP160" i="15"/>
  <c r="BQ160" i="15"/>
  <c r="BR160" i="15"/>
  <c r="BS160" i="15"/>
  <c r="H160" i="15"/>
  <c r="H165" i="15"/>
  <c r="I160" i="15"/>
  <c r="J160" i="15"/>
  <c r="J165" i="15" s="1"/>
  <c r="K160" i="15"/>
  <c r="K165" i="15" s="1"/>
  <c r="L160" i="15"/>
  <c r="L165" i="15" s="1"/>
  <c r="M160" i="15"/>
  <c r="M165" i="15" s="1"/>
  <c r="N160" i="15"/>
  <c r="N165" i="15" s="1"/>
  <c r="O160" i="15"/>
  <c r="O165" i="15" s="1"/>
  <c r="P160" i="15"/>
  <c r="P165" i="15" s="1"/>
  <c r="I165" i="15"/>
  <c r="U165" i="15"/>
  <c r="AK165" i="15"/>
  <c r="H166" i="15"/>
  <c r="I166" i="15"/>
  <c r="L166" i="15"/>
  <c r="M166" i="15"/>
  <c r="J167" i="15"/>
  <c r="H172" i="15"/>
  <c r="D172" i="15"/>
  <c r="D158" i="15"/>
  <c r="E40" i="45"/>
  <c r="F40" i="45" s="1"/>
  <c r="K39" i="45"/>
  <c r="J39" i="45"/>
  <c r="H39" i="45"/>
  <c r="G39" i="45"/>
  <c r="K39" i="43"/>
  <c r="J39" i="43"/>
  <c r="I39" i="43"/>
  <c r="H39" i="43"/>
  <c r="G39" i="43"/>
  <c r="P44" i="44"/>
  <c r="O44" i="44"/>
  <c r="N44" i="44"/>
  <c r="M44" i="44"/>
  <c r="L44" i="44"/>
  <c r="K44" i="44"/>
  <c r="J44" i="44"/>
  <c r="I44" i="44"/>
  <c r="H44" i="44"/>
  <c r="G44" i="44"/>
  <c r="F44" i="44"/>
  <c r="E44" i="44"/>
  <c r="D44" i="44"/>
  <c r="H211" i="43"/>
  <c r="G211" i="43"/>
  <c r="G210" i="43"/>
  <c r="H206" i="43"/>
  <c r="G206" i="43"/>
  <c r="F206" i="43"/>
  <c r="E206" i="43"/>
  <c r="D206" i="43"/>
  <c r="H203" i="43"/>
  <c r="G203" i="43"/>
  <c r="H211" i="45"/>
  <c r="G211" i="45"/>
  <c r="G210" i="45"/>
  <c r="E210" i="45"/>
  <c r="H206" i="45"/>
  <c r="G206" i="45"/>
  <c r="F206" i="45"/>
  <c r="E206" i="45"/>
  <c r="D206" i="45"/>
  <c r="H203" i="45"/>
  <c r="G203" i="45"/>
  <c r="H211" i="44"/>
  <c r="H203" i="44"/>
  <c r="G211" i="44"/>
  <c r="G210" i="44"/>
  <c r="G203" i="44"/>
  <c r="T245" i="22"/>
  <c r="T243" i="22"/>
  <c r="T242" i="22"/>
  <c r="T241" i="22"/>
  <c r="T239" i="22"/>
  <c r="T238" i="22"/>
  <c r="T237" i="22"/>
  <c r="T234" i="22"/>
  <c r="T233" i="22"/>
  <c r="T230" i="22"/>
  <c r="T229" i="22"/>
  <c r="T228" i="22"/>
  <c r="T227" i="22"/>
  <c r="T226" i="22"/>
  <c r="T225" i="22"/>
  <c r="T224" i="22"/>
  <c r="T223" i="22"/>
  <c r="T222" i="22"/>
  <c r="T221" i="22"/>
  <c r="T215" i="22"/>
  <c r="T214" i="22"/>
  <c r="T213" i="22"/>
  <c r="T211" i="22"/>
  <c r="T210" i="22"/>
  <c r="T209" i="22"/>
  <c r="T208" i="22"/>
  <c r="T207" i="22"/>
  <c r="T206" i="22"/>
  <c r="T205" i="22"/>
  <c r="T204" i="22"/>
  <c r="T203" i="22"/>
  <c r="T156" i="22"/>
  <c r="T155" i="22"/>
  <c r="T154" i="22"/>
  <c r="T153" i="22"/>
  <c r="T152" i="22"/>
  <c r="T151" i="22"/>
  <c r="T149" i="22"/>
  <c r="T148" i="22"/>
  <c r="T147" i="22"/>
  <c r="T146" i="22"/>
  <c r="T145" i="22"/>
  <c r="T144" i="22"/>
  <c r="T143" i="22"/>
  <c r="T142" i="22"/>
  <c r="T141" i="22"/>
  <c r="T140" i="22"/>
  <c r="T139" i="22"/>
  <c r="T138" i="22"/>
  <c r="T137" i="22"/>
  <c r="T136" i="22"/>
  <c r="T135" i="22"/>
  <c r="T133" i="22"/>
  <c r="T124" i="22"/>
  <c r="T123" i="22"/>
  <c r="T119" i="22"/>
  <c r="T117" i="22"/>
  <c r="T116" i="22"/>
  <c r="T115" i="22"/>
  <c r="T113" i="22"/>
  <c r="T111" i="22"/>
  <c r="T110" i="22"/>
  <c r="T109" i="22"/>
  <c r="T108" i="22"/>
  <c r="T107" i="22"/>
  <c r="T106" i="22"/>
  <c r="T105" i="22"/>
  <c r="T103" i="22"/>
  <c r="T102" i="22"/>
  <c r="T101" i="22"/>
  <c r="T100" i="22"/>
  <c r="T99" i="22"/>
  <c r="T98" i="22"/>
  <c r="T97" i="22"/>
  <c r="T96" i="22"/>
  <c r="T95" i="22"/>
  <c r="T94" i="22"/>
  <c r="T93" i="22"/>
  <c r="T92" i="22"/>
  <c r="T91" i="22"/>
  <c r="T90" i="22"/>
  <c r="T78" i="22"/>
  <c r="T77" i="22"/>
  <c r="T76" i="22"/>
  <c r="T74" i="22"/>
  <c r="T73" i="22"/>
  <c r="T72" i="22"/>
  <c r="T69" i="22"/>
  <c r="T68" i="22"/>
  <c r="T67" i="22"/>
  <c r="T66" i="22"/>
  <c r="T65" i="22"/>
  <c r="T62" i="22"/>
  <c r="T61" i="22"/>
  <c r="T60" i="22"/>
  <c r="T59" i="22"/>
  <c r="T58" i="22"/>
  <c r="T55" i="22"/>
  <c r="T54" i="22"/>
  <c r="T53" i="22"/>
  <c r="T52" i="22"/>
  <c r="T51" i="22"/>
  <c r="T49" i="22"/>
  <c r="T48" i="22"/>
  <c r="T46" i="22"/>
  <c r="T45" i="22"/>
  <c r="T44" i="22"/>
  <c r="T43" i="22"/>
  <c r="T42" i="22"/>
  <c r="T40" i="22"/>
  <c r="T37" i="22"/>
  <c r="T36" i="22"/>
  <c r="T35" i="22"/>
  <c r="T34" i="22"/>
  <c r="T33" i="22"/>
  <c r="T32" i="22"/>
  <c r="T30" i="22"/>
  <c r="T29" i="22"/>
  <c r="T28" i="22"/>
  <c r="T27" i="22"/>
  <c r="T26" i="22"/>
  <c r="T25" i="22"/>
  <c r="T22" i="22"/>
  <c r="T21" i="22"/>
  <c r="T20" i="22"/>
  <c r="T19" i="22"/>
  <c r="T17" i="22"/>
  <c r="T16" i="22"/>
  <c r="T15" i="22"/>
  <c r="T13" i="22"/>
  <c r="T12" i="22"/>
  <c r="T11" i="22"/>
  <c r="T10" i="22"/>
  <c r="T9" i="22"/>
  <c r="T8" i="22"/>
  <c r="T7" i="22"/>
  <c r="T2" i="22" s="1"/>
  <c r="B122" i="20" s="1"/>
  <c r="S243" i="22"/>
  <c r="S242" i="22"/>
  <c r="S241" i="22"/>
  <c r="S239" i="22"/>
  <c r="S238" i="22"/>
  <c r="S237" i="22"/>
  <c r="S234" i="22"/>
  <c r="S233" i="22"/>
  <c r="S230" i="22"/>
  <c r="S229" i="22"/>
  <c r="S228" i="22"/>
  <c r="S227" i="22"/>
  <c r="S226" i="22"/>
  <c r="S225" i="22"/>
  <c r="S224" i="22"/>
  <c r="S223" i="22"/>
  <c r="S222" i="22"/>
  <c r="S221" i="22"/>
  <c r="S215" i="22"/>
  <c r="S214" i="22"/>
  <c r="S213" i="22"/>
  <c r="S211" i="22"/>
  <c r="S210" i="22"/>
  <c r="S209" i="22"/>
  <c r="S208" i="22"/>
  <c r="S207" i="22"/>
  <c r="S206" i="22"/>
  <c r="S205" i="22"/>
  <c r="S204" i="22"/>
  <c r="S203" i="22"/>
  <c r="S156" i="22"/>
  <c r="S155" i="22"/>
  <c r="S154" i="22"/>
  <c r="S153" i="22"/>
  <c r="S152" i="22"/>
  <c r="S151" i="22"/>
  <c r="S149" i="22"/>
  <c r="S148" i="22"/>
  <c r="S147" i="22"/>
  <c r="S146" i="22"/>
  <c r="S145" i="22"/>
  <c r="S144" i="22"/>
  <c r="S143" i="22"/>
  <c r="S142" i="22"/>
  <c r="S141" i="22"/>
  <c r="S140" i="22"/>
  <c r="S139" i="22"/>
  <c r="S138" i="22"/>
  <c r="S137" i="22"/>
  <c r="S136" i="22"/>
  <c r="S135" i="22"/>
  <c r="S133" i="22"/>
  <c r="S124" i="22"/>
  <c r="S123" i="22"/>
  <c r="S122" i="22"/>
  <c r="S119" i="22"/>
  <c r="S117" i="22"/>
  <c r="S116" i="22"/>
  <c r="S115" i="22"/>
  <c r="S113" i="22"/>
  <c r="S111" i="22"/>
  <c r="S110" i="22"/>
  <c r="S109" i="22"/>
  <c r="S108" i="22"/>
  <c r="S107" i="22"/>
  <c r="S106" i="22"/>
  <c r="S105" i="22"/>
  <c r="S103" i="22"/>
  <c r="S102" i="22"/>
  <c r="S101" i="22"/>
  <c r="S100" i="22"/>
  <c r="S99" i="22"/>
  <c r="S98" i="22"/>
  <c r="S97" i="22"/>
  <c r="S96" i="22"/>
  <c r="S95" i="22"/>
  <c r="S94" i="22"/>
  <c r="S93" i="22"/>
  <c r="S92" i="22"/>
  <c r="S91" i="22"/>
  <c r="S90" i="22"/>
  <c r="S78" i="22"/>
  <c r="S77" i="22"/>
  <c r="S76" i="22"/>
  <c r="S74" i="22"/>
  <c r="S73" i="22"/>
  <c r="S72" i="22"/>
  <c r="S69" i="22"/>
  <c r="S68" i="22"/>
  <c r="S67" i="22"/>
  <c r="S66" i="22"/>
  <c r="S65" i="22"/>
  <c r="S62" i="22"/>
  <c r="S61" i="22"/>
  <c r="S60" i="22"/>
  <c r="S59" i="22"/>
  <c r="S58" i="22"/>
  <c r="S55" i="22"/>
  <c r="S54" i="22"/>
  <c r="S53" i="22"/>
  <c r="S52" i="22"/>
  <c r="S51" i="22"/>
  <c r="S49" i="22"/>
  <c r="S48" i="22"/>
  <c r="S46" i="22"/>
  <c r="S45" i="22"/>
  <c r="S44" i="22"/>
  <c r="S43" i="22"/>
  <c r="S42" i="22"/>
  <c r="S40" i="22"/>
  <c r="S37" i="22"/>
  <c r="S36" i="22"/>
  <c r="S35" i="22"/>
  <c r="S34" i="22"/>
  <c r="S33" i="22"/>
  <c r="S32" i="22"/>
  <c r="S30" i="22"/>
  <c r="S29" i="22"/>
  <c r="S28" i="22"/>
  <c r="S27" i="22"/>
  <c r="S26" i="22"/>
  <c r="S25" i="22"/>
  <c r="S22" i="22"/>
  <c r="S21" i="22"/>
  <c r="S20" i="22"/>
  <c r="S19" i="22"/>
  <c r="S17" i="22"/>
  <c r="S16" i="22"/>
  <c r="S15" i="22"/>
  <c r="S13" i="22"/>
  <c r="S12" i="22"/>
  <c r="S11" i="22"/>
  <c r="S10" i="22"/>
  <c r="S9" i="22"/>
  <c r="S8" i="22"/>
  <c r="S7" i="22"/>
  <c r="S2" i="22" s="1"/>
  <c r="B121" i="20" s="1"/>
  <c r="T120" i="22"/>
  <c r="T31" i="22"/>
  <c r="S14" i="22"/>
  <c r="T2" i="44"/>
  <c r="T39" i="22"/>
  <c r="S39" i="22"/>
  <c r="T2" i="45"/>
  <c r="T2" i="43"/>
  <c r="T14" i="22"/>
  <c r="S219" i="22"/>
  <c r="S31" i="22"/>
  <c r="S120" i="22"/>
  <c r="T41" i="22"/>
  <c r="S235" i="22"/>
  <c r="S41" i="22"/>
  <c r="S232" i="22"/>
  <c r="T114" i="22"/>
  <c r="S114" i="22"/>
  <c r="S220" i="22"/>
  <c r="T235" i="22"/>
  <c r="T220" i="22"/>
  <c r="T232" i="22"/>
  <c r="P40" i="22"/>
  <c r="P42" i="22"/>
  <c r="P43" i="22"/>
  <c r="P44" i="22"/>
  <c r="P45" i="22"/>
  <c r="P46" i="22"/>
  <c r="P49" i="22"/>
  <c r="P51" i="22"/>
  <c r="P52" i="22"/>
  <c r="P53" i="22"/>
  <c r="P54" i="22"/>
  <c r="P55" i="22"/>
  <c r="P58" i="22"/>
  <c r="P59" i="22"/>
  <c r="P60" i="22"/>
  <c r="P61" i="22"/>
  <c r="P62" i="22"/>
  <c r="P65" i="22"/>
  <c r="P66" i="22"/>
  <c r="P67" i="22"/>
  <c r="P68" i="22"/>
  <c r="P69" i="22"/>
  <c r="P72" i="22"/>
  <c r="P73" i="22"/>
  <c r="P74" i="22"/>
  <c r="P76" i="22"/>
  <c r="P77" i="22"/>
  <c r="P78" i="22"/>
  <c r="P90" i="22"/>
  <c r="P91" i="22"/>
  <c r="P92" i="22"/>
  <c r="P93" i="22"/>
  <c r="P94" i="22"/>
  <c r="P95" i="22"/>
  <c r="P96" i="22"/>
  <c r="P97" i="22"/>
  <c r="P98" i="22"/>
  <c r="P99" i="22"/>
  <c r="P100" i="22"/>
  <c r="P101" i="22"/>
  <c r="P102" i="22"/>
  <c r="P103" i="22"/>
  <c r="P105" i="22"/>
  <c r="P106" i="22"/>
  <c r="P107" i="22"/>
  <c r="P108" i="22"/>
  <c r="P109" i="22"/>
  <c r="P110" i="22"/>
  <c r="P111" i="22"/>
  <c r="P113" i="22"/>
  <c r="P115" i="22"/>
  <c r="P116" i="22"/>
  <c r="P117" i="22"/>
  <c r="P119" i="22"/>
  <c r="P123" i="22"/>
  <c r="P124" i="22"/>
  <c r="P133" i="22"/>
  <c r="P135" i="22"/>
  <c r="P136" i="22"/>
  <c r="P137" i="22"/>
  <c r="P138" i="22"/>
  <c r="P139" i="22"/>
  <c r="P140" i="22"/>
  <c r="P141" i="22"/>
  <c r="P142" i="22"/>
  <c r="P143" i="22"/>
  <c r="P144" i="22"/>
  <c r="P145" i="22"/>
  <c r="P146" i="22"/>
  <c r="P147" i="22"/>
  <c r="P148" i="22"/>
  <c r="P149" i="22"/>
  <c r="P151" i="22"/>
  <c r="P152" i="22"/>
  <c r="P153" i="22"/>
  <c r="P154" i="22"/>
  <c r="P155" i="22"/>
  <c r="P156" i="22"/>
  <c r="P203" i="22"/>
  <c r="P204" i="22"/>
  <c r="P205" i="22"/>
  <c r="P206" i="22"/>
  <c r="P207" i="22"/>
  <c r="P208" i="22"/>
  <c r="P209" i="22"/>
  <c r="P210" i="22"/>
  <c r="P211" i="22"/>
  <c r="P213" i="22"/>
  <c r="P214" i="22"/>
  <c r="P215" i="22"/>
  <c r="P221" i="22"/>
  <c r="P222" i="22"/>
  <c r="P223" i="22"/>
  <c r="P224" i="22"/>
  <c r="P225" i="22"/>
  <c r="P226" i="22"/>
  <c r="P227" i="22"/>
  <c r="P228" i="22"/>
  <c r="P229" i="22"/>
  <c r="P230" i="22"/>
  <c r="P233" i="22"/>
  <c r="P234" i="22"/>
  <c r="P237" i="22"/>
  <c r="P238" i="22"/>
  <c r="P239" i="22"/>
  <c r="P241" i="22"/>
  <c r="P242" i="22"/>
  <c r="P243" i="22"/>
  <c r="P22" i="22"/>
  <c r="P25" i="22"/>
  <c r="P26" i="22"/>
  <c r="P27" i="22"/>
  <c r="P28" i="22"/>
  <c r="P29" i="22"/>
  <c r="P30" i="22"/>
  <c r="P32" i="22"/>
  <c r="P33" i="22"/>
  <c r="P34" i="22"/>
  <c r="P35" i="22"/>
  <c r="P36" i="22"/>
  <c r="P37" i="22"/>
  <c r="P8" i="22"/>
  <c r="P9" i="22"/>
  <c r="P10" i="22"/>
  <c r="P11" i="22"/>
  <c r="P12" i="22"/>
  <c r="P13" i="22"/>
  <c r="P15" i="22"/>
  <c r="P16" i="22"/>
  <c r="P17" i="22"/>
  <c r="S218" i="22"/>
  <c r="T219" i="22"/>
  <c r="T218" i="22"/>
  <c r="P2" i="43"/>
  <c r="P2" i="45"/>
  <c r="P2" i="44"/>
  <c r="P232" i="43"/>
  <c r="P220" i="43"/>
  <c r="P217" i="43" s="1"/>
  <c r="P114" i="43"/>
  <c r="P120" i="43" s="1"/>
  <c r="P41" i="43"/>
  <c r="P39" i="43" s="1"/>
  <c r="P31" i="43"/>
  <c r="P14" i="43"/>
  <c r="P235" i="45"/>
  <c r="P232" i="45" s="1"/>
  <c r="P231" i="45"/>
  <c r="P231" i="22" s="1"/>
  <c r="P220" i="45"/>
  <c r="P218" i="45" s="1"/>
  <c r="P219" i="45" s="1"/>
  <c r="P217" i="45"/>
  <c r="P114" i="45"/>
  <c r="P120" i="45" s="1"/>
  <c r="P41" i="45"/>
  <c r="P39" i="45" s="1"/>
  <c r="P31" i="45"/>
  <c r="P14" i="45"/>
  <c r="P114" i="44"/>
  <c r="P112" i="44" s="1"/>
  <c r="P31" i="44"/>
  <c r="P31" i="22" s="1"/>
  <c r="P14" i="44"/>
  <c r="P14" i="22" s="1"/>
  <c r="P2" i="22"/>
  <c r="B118" i="20" s="1"/>
  <c r="P21" i="22"/>
  <c r="P20" i="22"/>
  <c r="P19" i="22"/>
  <c r="P112" i="45"/>
  <c r="P112" i="43"/>
  <c r="P39" i="22"/>
  <c r="P41" i="22"/>
  <c r="P235" i="22"/>
  <c r="P220" i="22"/>
  <c r="O2" i="43"/>
  <c r="O2" i="45"/>
  <c r="O2" i="44"/>
  <c r="O2" i="22"/>
  <c r="AT22" i="55"/>
  <c r="AS22" i="55"/>
  <c r="AR22" i="55"/>
  <c r="AQ22" i="55"/>
  <c r="AP22" i="55"/>
  <c r="AO22" i="55"/>
  <c r="AN22" i="55"/>
  <c r="AM22" i="55"/>
  <c r="AL22" i="55"/>
  <c r="AK22" i="55"/>
  <c r="AJ22" i="55"/>
  <c r="AI22" i="55"/>
  <c r="AH22" i="55"/>
  <c r="AG22" i="55"/>
  <c r="AF22" i="55"/>
  <c r="AE22" i="55"/>
  <c r="AD22" i="55"/>
  <c r="AC22" i="55"/>
  <c r="AB22" i="55"/>
  <c r="AA22" i="55"/>
  <c r="Z22" i="55"/>
  <c r="N7" i="27" s="1"/>
  <c r="Y22" i="55"/>
  <c r="X22" i="55"/>
  <c r="W22" i="55"/>
  <c r="V22" i="55"/>
  <c r="U22" i="55"/>
  <c r="T22" i="55"/>
  <c r="S22" i="55"/>
  <c r="R22" i="55"/>
  <c r="Q22" i="55"/>
  <c r="P22" i="55"/>
  <c r="O22" i="55"/>
  <c r="N22" i="55"/>
  <c r="M22" i="55"/>
  <c r="L22" i="55"/>
  <c r="K22" i="55"/>
  <c r="J22" i="55"/>
  <c r="I22" i="55"/>
  <c r="H22" i="55"/>
  <c r="G22" i="55"/>
  <c r="F22" i="55"/>
  <c r="I114" i="45"/>
  <c r="I114" i="43"/>
  <c r="I112" i="43" s="1"/>
  <c r="I114" i="44"/>
  <c r="I113" i="45"/>
  <c r="J14" i="44"/>
  <c r="K14" i="44"/>
  <c r="L14" i="44"/>
  <c r="M14" i="44"/>
  <c r="N14" i="44"/>
  <c r="O14" i="44"/>
  <c r="I14" i="44"/>
  <c r="W227" i="50" a="1"/>
  <c r="W236" i="50" s="1"/>
  <c r="O14" i="45"/>
  <c r="N14" i="45"/>
  <c r="M14" i="45"/>
  <c r="L14" i="45"/>
  <c r="K14" i="45"/>
  <c r="J14" i="45"/>
  <c r="O14" i="43"/>
  <c r="N14" i="43"/>
  <c r="M14" i="43"/>
  <c r="L14" i="43"/>
  <c r="K14" i="43"/>
  <c r="J14" i="43"/>
  <c r="I14" i="45"/>
  <c r="I14" i="43"/>
  <c r="Y227" i="50" s="1" a="1"/>
  <c r="Y248" i="50" s="1"/>
  <c r="X227" i="50" a="1"/>
  <c r="X239" i="50" s="1"/>
  <c r="W246" i="50"/>
  <c r="K11" i="44"/>
  <c r="J11" i="44"/>
  <c r="I11" i="44"/>
  <c r="E3" i="57"/>
  <c r="F3" i="57" s="1"/>
  <c r="G3" i="57" s="1"/>
  <c r="H3" i="57" s="1"/>
  <c r="I3" i="57" s="1"/>
  <c r="J3" i="57" s="1"/>
  <c r="K3" i="57" s="1"/>
  <c r="E9" i="57"/>
  <c r="F9" i="57"/>
  <c r="G9" i="57" s="1"/>
  <c r="H9" i="57" s="1"/>
  <c r="I9" i="57" s="1"/>
  <c r="J9" i="57" s="1"/>
  <c r="R13" i="27"/>
  <c r="R12" i="27"/>
  <c r="R7" i="27"/>
  <c r="R6" i="27"/>
  <c r="R5" i="27"/>
  <c r="E26" i="55"/>
  <c r="D26" i="55"/>
  <c r="D27" i="55"/>
  <c r="AT25" i="55"/>
  <c r="AS25" i="55"/>
  <c r="AR25" i="55"/>
  <c r="AQ25" i="55"/>
  <c r="AP25" i="55"/>
  <c r="AO25" i="55"/>
  <c r="AN25" i="55"/>
  <c r="AM25" i="55"/>
  <c r="AL25" i="55"/>
  <c r="AK25" i="55"/>
  <c r="AJ25" i="55"/>
  <c r="AI25" i="55"/>
  <c r="AH25" i="55"/>
  <c r="AG25" i="55"/>
  <c r="AF25" i="55"/>
  <c r="AE25" i="55"/>
  <c r="AD25" i="55"/>
  <c r="AC25" i="55"/>
  <c r="AB25" i="55"/>
  <c r="AA25" i="55"/>
  <c r="Z25" i="55"/>
  <c r="Y25" i="55"/>
  <c r="X25" i="55"/>
  <c r="W25" i="55"/>
  <c r="V25" i="55"/>
  <c r="U25" i="55"/>
  <c r="T25" i="55"/>
  <c r="S25" i="55"/>
  <c r="R25" i="55"/>
  <c r="Q25" i="55"/>
  <c r="P25" i="55"/>
  <c r="O25" i="55"/>
  <c r="N25" i="55"/>
  <c r="M25" i="55"/>
  <c r="L25" i="55"/>
  <c r="K25" i="55"/>
  <c r="J25" i="55"/>
  <c r="I25" i="55"/>
  <c r="H25" i="55"/>
  <c r="G25" i="55"/>
  <c r="F25" i="55"/>
  <c r="AT24" i="55"/>
  <c r="AS24" i="55"/>
  <c r="AR24" i="55"/>
  <c r="AQ24" i="55"/>
  <c r="AP24" i="55"/>
  <c r="AO24" i="55"/>
  <c r="AN24" i="55"/>
  <c r="AM24" i="55"/>
  <c r="AL24" i="55"/>
  <c r="AK24" i="55"/>
  <c r="AJ24" i="55"/>
  <c r="AI24" i="55"/>
  <c r="AH24" i="55"/>
  <c r="AG24" i="55"/>
  <c r="AF24" i="55"/>
  <c r="AE24" i="55"/>
  <c r="AD24" i="55"/>
  <c r="AC24" i="55"/>
  <c r="AB24" i="55"/>
  <c r="AA24" i="55"/>
  <c r="Z24" i="55"/>
  <c r="Y24" i="55"/>
  <c r="X24" i="55"/>
  <c r="W24" i="55"/>
  <c r="V24" i="55"/>
  <c r="U24" i="55"/>
  <c r="T24" i="55"/>
  <c r="S24" i="55"/>
  <c r="R24" i="55"/>
  <c r="Q24" i="55"/>
  <c r="P24" i="55"/>
  <c r="O24" i="55"/>
  <c r="N24" i="55"/>
  <c r="M24" i="55"/>
  <c r="L24" i="55"/>
  <c r="K24" i="55"/>
  <c r="J24" i="55"/>
  <c r="I24" i="55"/>
  <c r="H24" i="55"/>
  <c r="G24" i="55"/>
  <c r="F24" i="55"/>
  <c r="AT23" i="55"/>
  <c r="AS23" i="55"/>
  <c r="AR23" i="55"/>
  <c r="AQ23" i="55"/>
  <c r="AP23" i="55"/>
  <c r="AO23" i="55"/>
  <c r="AN23" i="55"/>
  <c r="AM23" i="55"/>
  <c r="AL23" i="55"/>
  <c r="AK23" i="55"/>
  <c r="AJ23" i="55"/>
  <c r="AI23" i="55"/>
  <c r="AH23" i="55"/>
  <c r="AG23" i="55"/>
  <c r="AF23" i="55"/>
  <c r="AE23" i="55"/>
  <c r="AD23" i="55"/>
  <c r="AC23" i="55"/>
  <c r="AB23" i="55"/>
  <c r="AA23" i="55"/>
  <c r="Z23" i="55"/>
  <c r="J7" i="27" s="1"/>
  <c r="Y23" i="55"/>
  <c r="X23" i="55"/>
  <c r="W23" i="55"/>
  <c r="V23" i="55"/>
  <c r="U23" i="55"/>
  <c r="T23" i="55"/>
  <c r="S23" i="55"/>
  <c r="R23" i="55"/>
  <c r="Q23" i="55"/>
  <c r="P23" i="55"/>
  <c r="O23" i="55"/>
  <c r="N23" i="55"/>
  <c r="M23" i="55"/>
  <c r="L23" i="55"/>
  <c r="K23" i="55"/>
  <c r="J23" i="55"/>
  <c r="I23" i="55"/>
  <c r="H23" i="55"/>
  <c r="G23" i="55"/>
  <c r="F23" i="55"/>
  <c r="AT21" i="55"/>
  <c r="AS21" i="55"/>
  <c r="AR21" i="55"/>
  <c r="AQ21" i="55"/>
  <c r="AP21" i="55"/>
  <c r="AO21" i="55"/>
  <c r="AN21" i="55"/>
  <c r="AM21" i="55"/>
  <c r="AL21" i="55"/>
  <c r="AK21" i="55"/>
  <c r="AJ21" i="55"/>
  <c r="AI21" i="55"/>
  <c r="AH21" i="55"/>
  <c r="AG21" i="55"/>
  <c r="AF21" i="55"/>
  <c r="AE21" i="55"/>
  <c r="AD21" i="55"/>
  <c r="AC21" i="55"/>
  <c r="AB21" i="55"/>
  <c r="AA21" i="55"/>
  <c r="Z21" i="55"/>
  <c r="K7" i="27" s="1"/>
  <c r="Y21" i="55"/>
  <c r="X21" i="55"/>
  <c r="W21" i="55"/>
  <c r="V21" i="55"/>
  <c r="U21" i="55"/>
  <c r="T21" i="55"/>
  <c r="S21" i="55"/>
  <c r="R21" i="55"/>
  <c r="Q21" i="55"/>
  <c r="P21" i="55"/>
  <c r="O21" i="55"/>
  <c r="N21" i="55"/>
  <c r="M21" i="55"/>
  <c r="L21" i="55"/>
  <c r="K21" i="55"/>
  <c r="J21" i="55"/>
  <c r="I21" i="55"/>
  <c r="H21" i="55"/>
  <c r="G21" i="55"/>
  <c r="F21" i="55"/>
  <c r="E35" i="55"/>
  <c r="D35" i="55"/>
  <c r="AT34" i="55"/>
  <c r="AS34" i="55"/>
  <c r="AR34" i="55"/>
  <c r="AQ34" i="55"/>
  <c r="AP34" i="55"/>
  <c r="AO34" i="55"/>
  <c r="AN34" i="55"/>
  <c r="AM34" i="55"/>
  <c r="AL34" i="55"/>
  <c r="AK34" i="55"/>
  <c r="AJ34" i="55"/>
  <c r="AI34" i="55"/>
  <c r="AH34" i="55"/>
  <c r="AG34" i="55"/>
  <c r="AF34" i="55"/>
  <c r="AE34" i="55"/>
  <c r="AD34" i="55"/>
  <c r="AC34" i="55"/>
  <c r="AB34" i="55"/>
  <c r="AA34" i="55"/>
  <c r="Z34" i="55"/>
  <c r="Y34" i="55"/>
  <c r="X34" i="55"/>
  <c r="W34" i="55"/>
  <c r="V34" i="55"/>
  <c r="U34" i="55"/>
  <c r="T34" i="55"/>
  <c r="S34" i="55"/>
  <c r="R34" i="55"/>
  <c r="Q34" i="55"/>
  <c r="P34" i="55"/>
  <c r="O34" i="55"/>
  <c r="N34" i="55"/>
  <c r="M34" i="55"/>
  <c r="L34" i="55"/>
  <c r="K34" i="55"/>
  <c r="J34" i="55"/>
  <c r="I34" i="55"/>
  <c r="H34" i="55"/>
  <c r="G34" i="55"/>
  <c r="F34" i="55"/>
  <c r="AT33" i="55"/>
  <c r="AS33" i="55"/>
  <c r="AR33" i="55"/>
  <c r="AQ33" i="55"/>
  <c r="AP33" i="55"/>
  <c r="AO33" i="55"/>
  <c r="AN33" i="55"/>
  <c r="AM33" i="55"/>
  <c r="AL33" i="55"/>
  <c r="AK33" i="55"/>
  <c r="AJ33" i="55"/>
  <c r="AI33" i="55"/>
  <c r="AH33" i="55"/>
  <c r="AG33" i="55"/>
  <c r="AF33" i="55"/>
  <c r="AE33" i="55"/>
  <c r="AD33" i="55"/>
  <c r="AC33" i="55"/>
  <c r="AB33" i="55"/>
  <c r="AA33" i="55"/>
  <c r="Z33" i="55"/>
  <c r="Y33" i="55"/>
  <c r="X33" i="55"/>
  <c r="W33" i="55"/>
  <c r="V33" i="55"/>
  <c r="U33" i="55"/>
  <c r="T33" i="55"/>
  <c r="S33" i="55"/>
  <c r="R33" i="55"/>
  <c r="Q33" i="55"/>
  <c r="P33" i="55"/>
  <c r="O33" i="55"/>
  <c r="N33" i="55"/>
  <c r="M33" i="55"/>
  <c r="L33" i="55"/>
  <c r="K33" i="55"/>
  <c r="J33" i="55"/>
  <c r="I33" i="55"/>
  <c r="H33" i="55"/>
  <c r="G33" i="55"/>
  <c r="F33" i="55"/>
  <c r="AT32" i="55"/>
  <c r="AS32" i="55"/>
  <c r="AR32" i="55"/>
  <c r="AQ32" i="55"/>
  <c r="AP32" i="55"/>
  <c r="AO32" i="55"/>
  <c r="AN32" i="55"/>
  <c r="AM32" i="55"/>
  <c r="AL32" i="55"/>
  <c r="AK32" i="55"/>
  <c r="AJ32" i="55"/>
  <c r="AI32" i="55"/>
  <c r="AH32" i="55"/>
  <c r="AG32" i="55"/>
  <c r="AF32" i="55"/>
  <c r="AE32" i="55"/>
  <c r="AD32" i="55"/>
  <c r="AC32" i="55"/>
  <c r="AB32" i="55"/>
  <c r="AA32" i="55"/>
  <c r="Z32" i="55"/>
  <c r="J12" i="27" s="1"/>
  <c r="Y32" i="55"/>
  <c r="X32" i="55"/>
  <c r="W32" i="55"/>
  <c r="V32" i="55"/>
  <c r="U32" i="55"/>
  <c r="T32" i="55"/>
  <c r="S32" i="55"/>
  <c r="R32" i="55"/>
  <c r="Q32" i="55"/>
  <c r="P32" i="55"/>
  <c r="O32" i="55"/>
  <c r="N32" i="55"/>
  <c r="M32" i="55"/>
  <c r="L32" i="55"/>
  <c r="K32" i="55"/>
  <c r="J32" i="55"/>
  <c r="I32" i="55"/>
  <c r="H32" i="55"/>
  <c r="G32" i="55"/>
  <c r="F32" i="55"/>
  <c r="AT30" i="55"/>
  <c r="AS30" i="55"/>
  <c r="AR30" i="55"/>
  <c r="AQ30" i="55"/>
  <c r="AP30" i="55"/>
  <c r="AO30" i="55"/>
  <c r="AN30" i="55"/>
  <c r="AM30" i="55"/>
  <c r="AL30" i="55"/>
  <c r="AK30" i="55"/>
  <c r="AJ30" i="55"/>
  <c r="AI30" i="55"/>
  <c r="AH30" i="55"/>
  <c r="AG30" i="55"/>
  <c r="AF30" i="55"/>
  <c r="AE30" i="55"/>
  <c r="AD30" i="55"/>
  <c r="AC30" i="55"/>
  <c r="AB30" i="55"/>
  <c r="AA30" i="55"/>
  <c r="Z30" i="55"/>
  <c r="Y30" i="55"/>
  <c r="X30" i="55"/>
  <c r="W30" i="55"/>
  <c r="V30" i="55"/>
  <c r="U30" i="55"/>
  <c r="T30" i="55"/>
  <c r="S30" i="55"/>
  <c r="R30" i="55"/>
  <c r="Q30" i="55"/>
  <c r="P30" i="55"/>
  <c r="O30" i="55"/>
  <c r="N30" i="55"/>
  <c r="M30" i="55"/>
  <c r="L30" i="55"/>
  <c r="K30" i="55"/>
  <c r="J30" i="55"/>
  <c r="I30" i="55"/>
  <c r="H30" i="55"/>
  <c r="G30" i="55"/>
  <c r="F30" i="55"/>
  <c r="E44" i="55"/>
  <c r="D44" i="55"/>
  <c r="AT43" i="55"/>
  <c r="AS43" i="55"/>
  <c r="AR43" i="55"/>
  <c r="AQ43" i="55"/>
  <c r="AP43" i="55"/>
  <c r="AO43" i="55"/>
  <c r="AN43" i="55"/>
  <c r="AM43" i="55"/>
  <c r="AL43" i="55"/>
  <c r="AK43" i="55"/>
  <c r="AJ43" i="55"/>
  <c r="AI43" i="55"/>
  <c r="AH43" i="55"/>
  <c r="AG43" i="55"/>
  <c r="AF43" i="55"/>
  <c r="AE43" i="55"/>
  <c r="AD43" i="55"/>
  <c r="AC43" i="55"/>
  <c r="AB43" i="55"/>
  <c r="AA43" i="55"/>
  <c r="Z43" i="55"/>
  <c r="Y43" i="55"/>
  <c r="X43" i="55"/>
  <c r="W43" i="55"/>
  <c r="V43" i="55"/>
  <c r="U43" i="55"/>
  <c r="T43" i="55"/>
  <c r="S43" i="55"/>
  <c r="R43" i="55"/>
  <c r="Q43" i="55"/>
  <c r="P43" i="55"/>
  <c r="O43" i="55"/>
  <c r="N43" i="55"/>
  <c r="M43" i="55"/>
  <c r="L43" i="55"/>
  <c r="K43" i="55"/>
  <c r="J43" i="55"/>
  <c r="I43" i="55"/>
  <c r="H43" i="55"/>
  <c r="G43" i="55"/>
  <c r="F43" i="55"/>
  <c r="AT42" i="55"/>
  <c r="AS42" i="55"/>
  <c r="AR42" i="55"/>
  <c r="AQ42" i="55"/>
  <c r="AP42" i="55"/>
  <c r="AO42" i="55"/>
  <c r="AN42" i="55"/>
  <c r="AM42" i="55"/>
  <c r="AL42" i="55"/>
  <c r="AK42" i="55"/>
  <c r="AJ42" i="55"/>
  <c r="AI42" i="55"/>
  <c r="AH42" i="55"/>
  <c r="AG42" i="55"/>
  <c r="AF42" i="55"/>
  <c r="AE42" i="55"/>
  <c r="AD42" i="55"/>
  <c r="AC42" i="55"/>
  <c r="AB42" i="55"/>
  <c r="AA42" i="55"/>
  <c r="Z42" i="55"/>
  <c r="Y42" i="55"/>
  <c r="X42" i="55"/>
  <c r="W42" i="55"/>
  <c r="V42" i="55"/>
  <c r="U42" i="55"/>
  <c r="T42" i="55"/>
  <c r="S42" i="55"/>
  <c r="R42" i="55"/>
  <c r="Q42" i="55"/>
  <c r="P42" i="55"/>
  <c r="O42" i="55"/>
  <c r="N42" i="55"/>
  <c r="M42" i="55"/>
  <c r="L42" i="55"/>
  <c r="K42" i="55"/>
  <c r="J42" i="55"/>
  <c r="I42" i="55"/>
  <c r="H42" i="55"/>
  <c r="G42" i="55"/>
  <c r="F42" i="55"/>
  <c r="AT41" i="55"/>
  <c r="AS41" i="55"/>
  <c r="AR41" i="55"/>
  <c r="AQ41" i="55"/>
  <c r="AP41" i="55"/>
  <c r="AO41" i="55"/>
  <c r="AN41" i="55"/>
  <c r="AM41" i="55"/>
  <c r="AL41" i="55"/>
  <c r="AK41" i="55"/>
  <c r="AJ41" i="55"/>
  <c r="AI41" i="55"/>
  <c r="AH41" i="55"/>
  <c r="AG41" i="55"/>
  <c r="AF41" i="55"/>
  <c r="AE41" i="55"/>
  <c r="AD41" i="55"/>
  <c r="AC41" i="55"/>
  <c r="AB41" i="55"/>
  <c r="AA41" i="55"/>
  <c r="Z41" i="55"/>
  <c r="Y41" i="55"/>
  <c r="X41" i="55"/>
  <c r="W41" i="55"/>
  <c r="V41" i="55"/>
  <c r="U41" i="55"/>
  <c r="T41" i="55"/>
  <c r="S41" i="55"/>
  <c r="R41" i="55"/>
  <c r="Q41" i="55"/>
  <c r="P41" i="55"/>
  <c r="O41" i="55"/>
  <c r="N41" i="55"/>
  <c r="M41" i="55"/>
  <c r="L41" i="55"/>
  <c r="K41" i="55"/>
  <c r="J41" i="55"/>
  <c r="I41" i="55"/>
  <c r="H41" i="55"/>
  <c r="G41" i="55"/>
  <c r="F41" i="55"/>
  <c r="AT39" i="55"/>
  <c r="AS39" i="55"/>
  <c r="AR39" i="55"/>
  <c r="AQ39" i="55"/>
  <c r="AP39" i="55"/>
  <c r="AO39" i="55"/>
  <c r="AN39" i="55"/>
  <c r="AM39" i="55"/>
  <c r="AL39" i="55"/>
  <c r="AK39" i="55"/>
  <c r="AJ39" i="55"/>
  <c r="AI39" i="55"/>
  <c r="AH39" i="55"/>
  <c r="AG39" i="55"/>
  <c r="AF39" i="55"/>
  <c r="AE39" i="55"/>
  <c r="AD39" i="55"/>
  <c r="AC39" i="55"/>
  <c r="AB39" i="55"/>
  <c r="AA39" i="55"/>
  <c r="Z39" i="55"/>
  <c r="Y39" i="55"/>
  <c r="X39" i="55"/>
  <c r="W39" i="55"/>
  <c r="V39" i="55"/>
  <c r="U39" i="55"/>
  <c r="T39" i="55"/>
  <c r="S39" i="55"/>
  <c r="R39" i="55"/>
  <c r="Q39" i="55"/>
  <c r="P39" i="55"/>
  <c r="O39" i="55"/>
  <c r="N39" i="55"/>
  <c r="M39" i="55"/>
  <c r="L39" i="55"/>
  <c r="K39" i="55"/>
  <c r="J39" i="55"/>
  <c r="I39" i="55"/>
  <c r="H39" i="55"/>
  <c r="G39" i="55"/>
  <c r="F39" i="55"/>
  <c r="E8" i="55"/>
  <c r="D8" i="55"/>
  <c r="AT7" i="55"/>
  <c r="AS7" i="55"/>
  <c r="AR7" i="55"/>
  <c r="AQ7" i="55"/>
  <c r="AP7" i="55"/>
  <c r="AO7" i="55"/>
  <c r="AN7" i="55"/>
  <c r="AM7" i="55"/>
  <c r="AL7" i="55"/>
  <c r="AK7" i="55"/>
  <c r="AJ7" i="55"/>
  <c r="AI7" i="55"/>
  <c r="AH7" i="55"/>
  <c r="AG7" i="55"/>
  <c r="AF7" i="55"/>
  <c r="AE7" i="55"/>
  <c r="AD7" i="55"/>
  <c r="AC7" i="55"/>
  <c r="AB7" i="55"/>
  <c r="AA7" i="55"/>
  <c r="Z7" i="55"/>
  <c r="Y7" i="55"/>
  <c r="X7" i="55"/>
  <c r="W7" i="55"/>
  <c r="V7" i="55"/>
  <c r="U7" i="55"/>
  <c r="T7" i="55"/>
  <c r="S7" i="55"/>
  <c r="R7" i="55"/>
  <c r="Q7" i="55"/>
  <c r="P7" i="55"/>
  <c r="O7" i="55"/>
  <c r="N7" i="55"/>
  <c r="M7" i="55"/>
  <c r="L7" i="55"/>
  <c r="K7" i="55"/>
  <c r="J7" i="55"/>
  <c r="I7" i="55"/>
  <c r="H7" i="55"/>
  <c r="G7" i="55"/>
  <c r="F7" i="55"/>
  <c r="AT6" i="55"/>
  <c r="AS6" i="55"/>
  <c r="AR6" i="55"/>
  <c r="AQ6" i="55"/>
  <c r="AP6" i="55"/>
  <c r="AO6" i="55"/>
  <c r="AN6" i="55"/>
  <c r="AM6" i="55"/>
  <c r="AL6" i="55"/>
  <c r="AK6" i="55"/>
  <c r="AJ6" i="55"/>
  <c r="AI6" i="55"/>
  <c r="AH6" i="55"/>
  <c r="AG6" i="55"/>
  <c r="AF6" i="55"/>
  <c r="AE6" i="55"/>
  <c r="AD6" i="55"/>
  <c r="AC6" i="55"/>
  <c r="AB6" i="55"/>
  <c r="AA6" i="55"/>
  <c r="Z6" i="55"/>
  <c r="Y6" i="55"/>
  <c r="X6" i="55"/>
  <c r="W6" i="55"/>
  <c r="V6" i="55"/>
  <c r="U6" i="55"/>
  <c r="T6" i="55"/>
  <c r="S6" i="55"/>
  <c r="R6" i="55"/>
  <c r="Q6" i="55"/>
  <c r="P6" i="55"/>
  <c r="O6" i="55"/>
  <c r="N6" i="55"/>
  <c r="M6" i="55"/>
  <c r="L6" i="55"/>
  <c r="K6" i="55"/>
  <c r="J6" i="55"/>
  <c r="I6" i="55"/>
  <c r="H6" i="55"/>
  <c r="G6" i="55"/>
  <c r="F6" i="55"/>
  <c r="AT5" i="55"/>
  <c r="AS5" i="55"/>
  <c r="AR5" i="55"/>
  <c r="AQ5" i="55"/>
  <c r="AP5" i="55"/>
  <c r="AO5" i="55"/>
  <c r="AN5" i="55"/>
  <c r="AM5" i="55"/>
  <c r="AL5" i="55"/>
  <c r="AK5" i="55"/>
  <c r="AJ5" i="55"/>
  <c r="AI5" i="55"/>
  <c r="AH5" i="55"/>
  <c r="AG5" i="55"/>
  <c r="AF5" i="55"/>
  <c r="AE5" i="55"/>
  <c r="AD5" i="55"/>
  <c r="AC5" i="55"/>
  <c r="AB5" i="55"/>
  <c r="AA5" i="55"/>
  <c r="Z5" i="55"/>
  <c r="J5" i="27" s="1"/>
  <c r="Y5" i="55"/>
  <c r="X5" i="55"/>
  <c r="W5" i="55"/>
  <c r="V5" i="55"/>
  <c r="U5" i="55"/>
  <c r="T5" i="55"/>
  <c r="S5" i="55"/>
  <c r="R5" i="55"/>
  <c r="Q5" i="55"/>
  <c r="P5" i="55"/>
  <c r="O5" i="55"/>
  <c r="N5" i="55"/>
  <c r="M5" i="55"/>
  <c r="L5" i="55"/>
  <c r="K5" i="55"/>
  <c r="J5" i="55"/>
  <c r="I5" i="55"/>
  <c r="H5" i="55"/>
  <c r="G5" i="55"/>
  <c r="F5" i="55"/>
  <c r="AT3" i="55"/>
  <c r="AS3" i="55"/>
  <c r="AR3" i="55"/>
  <c r="AQ3" i="55"/>
  <c r="AP3" i="55"/>
  <c r="AO3" i="55"/>
  <c r="AN3" i="55"/>
  <c r="AM3" i="55"/>
  <c r="AL3" i="55"/>
  <c r="AK3" i="55"/>
  <c r="AJ3" i="55"/>
  <c r="AI3" i="55"/>
  <c r="AH3" i="55"/>
  <c r="AG3" i="55"/>
  <c r="AF3" i="55"/>
  <c r="AE3" i="55"/>
  <c r="AD3" i="55"/>
  <c r="AC3" i="55"/>
  <c r="AB3" i="55"/>
  <c r="AA3" i="55"/>
  <c r="Z3" i="55"/>
  <c r="K5" i="27" s="1"/>
  <c r="Y3" i="55"/>
  <c r="X3" i="55"/>
  <c r="W3" i="55"/>
  <c r="V3" i="55"/>
  <c r="U3" i="55"/>
  <c r="T3" i="55"/>
  <c r="S3" i="55"/>
  <c r="R3" i="55"/>
  <c r="Q3" i="55"/>
  <c r="P3" i="55"/>
  <c r="O3" i="55"/>
  <c r="N3" i="55"/>
  <c r="M3" i="55"/>
  <c r="L3" i="55"/>
  <c r="K3" i="55"/>
  <c r="J3" i="55"/>
  <c r="I3" i="55"/>
  <c r="H3" i="55"/>
  <c r="G3" i="55"/>
  <c r="F3" i="55"/>
  <c r="E17" i="55"/>
  <c r="D17" i="55"/>
  <c r="AT16" i="55"/>
  <c r="AS16" i="55"/>
  <c r="AR16" i="55"/>
  <c r="AQ16" i="55"/>
  <c r="AP16" i="55"/>
  <c r="AO16" i="55"/>
  <c r="AN16" i="55"/>
  <c r="AM16" i="55"/>
  <c r="AL16" i="55"/>
  <c r="AK16" i="55"/>
  <c r="AJ16" i="55"/>
  <c r="AI16" i="55"/>
  <c r="AH16" i="55"/>
  <c r="AG16" i="55"/>
  <c r="AF16" i="55"/>
  <c r="AE16" i="55"/>
  <c r="AD16" i="55"/>
  <c r="AC16" i="55"/>
  <c r="AB16" i="55"/>
  <c r="AA16" i="55"/>
  <c r="Z16" i="55"/>
  <c r="Y16" i="55"/>
  <c r="X16" i="55"/>
  <c r="W16" i="55"/>
  <c r="V16" i="55"/>
  <c r="U16" i="55"/>
  <c r="T16" i="55"/>
  <c r="S16" i="55"/>
  <c r="R16" i="55"/>
  <c r="Q16" i="55"/>
  <c r="P16" i="55"/>
  <c r="O16" i="55"/>
  <c r="N16" i="55"/>
  <c r="M16" i="55"/>
  <c r="L16" i="55"/>
  <c r="K16" i="55"/>
  <c r="J16" i="55"/>
  <c r="I16" i="55"/>
  <c r="H16" i="55"/>
  <c r="G16" i="55"/>
  <c r="F16" i="55"/>
  <c r="AT15" i="55"/>
  <c r="AS15" i="55"/>
  <c r="AR15" i="55"/>
  <c r="AQ15" i="55"/>
  <c r="AP15" i="55"/>
  <c r="AO15" i="55"/>
  <c r="AN15" i="55"/>
  <c r="AM15" i="55"/>
  <c r="AL15" i="55"/>
  <c r="AK15" i="55"/>
  <c r="AJ15" i="55"/>
  <c r="AI15" i="55"/>
  <c r="AH15" i="55"/>
  <c r="AG15" i="55"/>
  <c r="AF15" i="55"/>
  <c r="AE15" i="55"/>
  <c r="AD15" i="55"/>
  <c r="AC15" i="55"/>
  <c r="AB15" i="55"/>
  <c r="AA15" i="55"/>
  <c r="Z15" i="55"/>
  <c r="Y15" i="55"/>
  <c r="X15" i="55"/>
  <c r="W15" i="55"/>
  <c r="V15" i="55"/>
  <c r="U15" i="55"/>
  <c r="T15" i="55"/>
  <c r="S15" i="55"/>
  <c r="R15" i="55"/>
  <c r="Q15" i="55"/>
  <c r="P15" i="55"/>
  <c r="O15" i="55"/>
  <c r="N15" i="55"/>
  <c r="M15" i="55"/>
  <c r="L15" i="55"/>
  <c r="K15" i="55"/>
  <c r="J15" i="55"/>
  <c r="I15" i="55"/>
  <c r="H15" i="55"/>
  <c r="G15" i="55"/>
  <c r="F15" i="55"/>
  <c r="AT14" i="55"/>
  <c r="AS14" i="55"/>
  <c r="AR14" i="55"/>
  <c r="AQ14" i="55"/>
  <c r="AP14" i="55"/>
  <c r="AO14" i="55"/>
  <c r="AN14" i="55"/>
  <c r="AM14" i="55"/>
  <c r="AL14" i="55"/>
  <c r="AK14" i="55"/>
  <c r="AJ14" i="55"/>
  <c r="AI14" i="55"/>
  <c r="AH14" i="55"/>
  <c r="AG14" i="55"/>
  <c r="AF14" i="55"/>
  <c r="AE14" i="55"/>
  <c r="AD14" i="55"/>
  <c r="AC14" i="55"/>
  <c r="AB14" i="55"/>
  <c r="AA14" i="55"/>
  <c r="Z14" i="55"/>
  <c r="J6" i="27" s="1"/>
  <c r="Y14" i="55"/>
  <c r="X14" i="55"/>
  <c r="W14" i="55"/>
  <c r="V14" i="55"/>
  <c r="U14" i="55"/>
  <c r="T14" i="55"/>
  <c r="S14" i="55"/>
  <c r="R14" i="55"/>
  <c r="Q14" i="55"/>
  <c r="P14" i="55"/>
  <c r="O14" i="55"/>
  <c r="N14" i="55"/>
  <c r="M14" i="55"/>
  <c r="L14" i="55"/>
  <c r="K14" i="55"/>
  <c r="J14" i="55"/>
  <c r="I14" i="55"/>
  <c r="H14" i="55"/>
  <c r="G14" i="55"/>
  <c r="F14" i="55"/>
  <c r="AT12" i="55"/>
  <c r="AS12" i="55"/>
  <c r="AR12" i="55"/>
  <c r="AQ12" i="55"/>
  <c r="AP12" i="55"/>
  <c r="AO12" i="55"/>
  <c r="AN12" i="55"/>
  <c r="AM12" i="55"/>
  <c r="AL12" i="55"/>
  <c r="AK12" i="55"/>
  <c r="AJ12" i="55"/>
  <c r="AI12" i="55"/>
  <c r="AH12" i="55"/>
  <c r="AG12" i="55"/>
  <c r="AF12" i="55"/>
  <c r="AE12" i="55"/>
  <c r="AD12" i="55"/>
  <c r="AC12" i="55"/>
  <c r="AB12" i="55"/>
  <c r="AA12" i="55"/>
  <c r="Z12" i="55"/>
  <c r="Y12" i="55"/>
  <c r="X12" i="55"/>
  <c r="W12" i="55"/>
  <c r="V12" i="55"/>
  <c r="U12" i="55"/>
  <c r="T12" i="55"/>
  <c r="S12" i="55"/>
  <c r="R12" i="55"/>
  <c r="Q12" i="55"/>
  <c r="P12" i="55"/>
  <c r="O12" i="55"/>
  <c r="N12" i="55"/>
  <c r="M12" i="55"/>
  <c r="L12" i="55"/>
  <c r="K12" i="55"/>
  <c r="J12" i="55"/>
  <c r="I12" i="55"/>
  <c r="H12" i="55"/>
  <c r="G12" i="55"/>
  <c r="F12" i="55"/>
  <c r="S2" i="55"/>
  <c r="AF38" i="55"/>
  <c r="AA20" i="55"/>
  <c r="AO29" i="55"/>
  <c r="P20" i="55"/>
  <c r="AQ20" i="55"/>
  <c r="AQ2" i="55"/>
  <c r="AK20" i="55"/>
  <c r="AA2" i="55"/>
  <c r="AS38" i="55"/>
  <c r="AG2" i="55"/>
  <c r="K38" i="55"/>
  <c r="D45" i="55"/>
  <c r="L2" i="55"/>
  <c r="AN2" i="55"/>
  <c r="K9" i="57"/>
  <c r="P38" i="55"/>
  <c r="AK38" i="55"/>
  <c r="I20" i="55"/>
  <c r="AE20" i="55"/>
  <c r="AR2" i="55"/>
  <c r="AA38" i="55"/>
  <c r="AK29" i="55"/>
  <c r="O20" i="55"/>
  <c r="Y20" i="55"/>
  <c r="AJ20" i="55"/>
  <c r="AC11" i="55"/>
  <c r="T20" i="55"/>
  <c r="AO20" i="55"/>
  <c r="U38" i="55"/>
  <c r="AQ38" i="55"/>
  <c r="Y29" i="55"/>
  <c r="K20" i="55"/>
  <c r="U20" i="55"/>
  <c r="AF20" i="55"/>
  <c r="T11" i="55"/>
  <c r="M2" i="55"/>
  <c r="AB2" i="55"/>
  <c r="AE29" i="55"/>
  <c r="M11" i="55"/>
  <c r="AI11" i="55"/>
  <c r="AS11" i="55"/>
  <c r="H2" i="55"/>
  <c r="P2" i="55"/>
  <c r="W2" i="55"/>
  <c r="AC2" i="55"/>
  <c r="AK2" i="55"/>
  <c r="D9" i="55"/>
  <c r="O29" i="55"/>
  <c r="AJ29" i="55"/>
  <c r="G20" i="55"/>
  <c r="L20" i="55"/>
  <c r="Q20" i="55"/>
  <c r="W20" i="55"/>
  <c r="AB20" i="55"/>
  <c r="AG20" i="55"/>
  <c r="AM20" i="55"/>
  <c r="AR20" i="55"/>
  <c r="I11" i="55"/>
  <c r="AO11" i="55"/>
  <c r="G2" i="55"/>
  <c r="U2" i="55"/>
  <c r="AI2" i="55"/>
  <c r="AO2" i="55"/>
  <c r="I29" i="55"/>
  <c r="O11" i="55"/>
  <c r="K2" i="55"/>
  <c r="Q2" i="55"/>
  <c r="X2" i="55"/>
  <c r="AF2" i="55"/>
  <c r="AM2" i="55"/>
  <c r="AS2" i="55"/>
  <c r="T29" i="55"/>
  <c r="H20" i="55"/>
  <c r="M20" i="55"/>
  <c r="S20" i="55"/>
  <c r="X20" i="55"/>
  <c r="AC20" i="55"/>
  <c r="AI20" i="55"/>
  <c r="AN20" i="55"/>
  <c r="AS20" i="55"/>
  <c r="G38" i="55"/>
  <c r="Q38" i="55"/>
  <c r="AB38" i="55"/>
  <c r="AM38" i="55"/>
  <c r="AR38" i="55"/>
  <c r="P29" i="55"/>
  <c r="AF29" i="55"/>
  <c r="AQ29" i="55"/>
  <c r="AT29" i="55"/>
  <c r="AP29" i="55"/>
  <c r="AL29" i="55"/>
  <c r="AH29" i="55"/>
  <c r="AD29" i="55"/>
  <c r="Z29" i="55"/>
  <c r="V29" i="55"/>
  <c r="R29" i="55"/>
  <c r="N29" i="55"/>
  <c r="J29" i="55"/>
  <c r="F29" i="55"/>
  <c r="K11" i="55"/>
  <c r="U11" i="55"/>
  <c r="AA11" i="55"/>
  <c r="AF11" i="55"/>
  <c r="AQ11" i="55"/>
  <c r="AT11" i="55"/>
  <c r="AP11" i="55"/>
  <c r="AH11" i="55"/>
  <c r="AD11" i="55"/>
  <c r="Z11" i="55"/>
  <c r="R11" i="55"/>
  <c r="N11" i="55"/>
  <c r="J11" i="55"/>
  <c r="I2" i="55"/>
  <c r="O2" i="55"/>
  <c r="T2" i="55"/>
  <c r="Y2" i="55"/>
  <c r="AE2" i="55"/>
  <c r="AJ2" i="55"/>
  <c r="H38" i="55"/>
  <c r="M38" i="55"/>
  <c r="S38" i="55"/>
  <c r="X38" i="55"/>
  <c r="AC38" i="55"/>
  <c r="AI38" i="55"/>
  <c r="AN38" i="55"/>
  <c r="G29" i="55"/>
  <c r="L29" i="55"/>
  <c r="Q29" i="55"/>
  <c r="W29" i="55"/>
  <c r="AB29" i="55"/>
  <c r="AG29" i="55"/>
  <c r="AM29" i="55"/>
  <c r="AR29" i="55"/>
  <c r="D36" i="55"/>
  <c r="AT38" i="55"/>
  <c r="AP38" i="55"/>
  <c r="AL38" i="55"/>
  <c r="AH38" i="55"/>
  <c r="AD38" i="55"/>
  <c r="Z38" i="55"/>
  <c r="V38" i="55"/>
  <c r="R38" i="55"/>
  <c r="N38" i="55"/>
  <c r="J38" i="55"/>
  <c r="F38" i="55"/>
  <c r="L38" i="55"/>
  <c r="W38" i="55"/>
  <c r="AG38" i="55"/>
  <c r="K29" i="55"/>
  <c r="U29" i="55"/>
  <c r="AA29" i="55"/>
  <c r="G11" i="55"/>
  <c r="L11" i="55"/>
  <c r="Q11" i="55"/>
  <c r="W11" i="55"/>
  <c r="AB11" i="55"/>
  <c r="AG11" i="55"/>
  <c r="AM11" i="55"/>
  <c r="AR11" i="55"/>
  <c r="AT2" i="55"/>
  <c r="AP2" i="55"/>
  <c r="AL2" i="55"/>
  <c r="AH2" i="55"/>
  <c r="AD2" i="55"/>
  <c r="Z2" i="55"/>
  <c r="V2" i="55"/>
  <c r="R2" i="55"/>
  <c r="N2" i="55"/>
  <c r="J2" i="55"/>
  <c r="F2" i="55"/>
  <c r="I38" i="55"/>
  <c r="O38" i="55"/>
  <c r="T38" i="55"/>
  <c r="Y38" i="55"/>
  <c r="AE38" i="55"/>
  <c r="AJ38" i="55"/>
  <c r="AO38" i="55"/>
  <c r="H29" i="55"/>
  <c r="M29" i="55"/>
  <c r="S29" i="55"/>
  <c r="X29" i="55"/>
  <c r="AC29" i="55"/>
  <c r="AI29" i="55"/>
  <c r="AN29" i="55"/>
  <c r="AS29" i="55"/>
  <c r="AT20" i="55"/>
  <c r="AP20" i="55"/>
  <c r="AL20" i="55"/>
  <c r="AH20" i="55"/>
  <c r="AD20" i="55"/>
  <c r="Z20" i="55"/>
  <c r="V20" i="55"/>
  <c r="R20" i="55"/>
  <c r="N20" i="55"/>
  <c r="J20" i="55"/>
  <c r="F20" i="55"/>
  <c r="L9" i="57"/>
  <c r="L3" i="57"/>
  <c r="M3" i="57"/>
  <c r="M9" i="57"/>
  <c r="F167" i="15"/>
  <c r="E167" i="15"/>
  <c r="F166" i="15"/>
  <c r="E166" i="15"/>
  <c r="AV163" i="15"/>
  <c r="G159" i="15"/>
  <c r="H159" i="15"/>
  <c r="I159" i="15"/>
  <c r="J159" i="15"/>
  <c r="K159" i="15"/>
  <c r="L159" i="15"/>
  <c r="M159" i="15"/>
  <c r="N159" i="15"/>
  <c r="O159" i="15"/>
  <c r="P159" i="15"/>
  <c r="Q159" i="15"/>
  <c r="R159" i="15"/>
  <c r="S159" i="15"/>
  <c r="T159" i="15"/>
  <c r="U159" i="15"/>
  <c r="V159" i="15"/>
  <c r="W159" i="15"/>
  <c r="X159" i="15"/>
  <c r="Y159" i="15"/>
  <c r="Z159" i="15"/>
  <c r="AA159" i="15"/>
  <c r="AB159" i="15"/>
  <c r="AC159" i="15"/>
  <c r="AD159" i="15"/>
  <c r="AE159" i="15"/>
  <c r="AF159" i="15"/>
  <c r="AG159" i="15"/>
  <c r="AH159" i="15"/>
  <c r="AI159" i="15"/>
  <c r="AJ159" i="15"/>
  <c r="AK159" i="15"/>
  <c r="AL159" i="15"/>
  <c r="AM159" i="15"/>
  <c r="AN159" i="15"/>
  <c r="AO159" i="15"/>
  <c r="AP159" i="15"/>
  <c r="AQ159" i="15"/>
  <c r="AR159" i="15"/>
  <c r="AS159" i="15"/>
  <c r="AT159" i="15"/>
  <c r="AU159" i="15"/>
  <c r="AV159" i="15"/>
  <c r="AW159" i="15"/>
  <c r="AX159" i="15"/>
  <c r="AY159" i="15"/>
  <c r="AZ159" i="15"/>
  <c r="BA159" i="15"/>
  <c r="BB159" i="15"/>
  <c r="BC159" i="15"/>
  <c r="BD159" i="15"/>
  <c r="BE159" i="15"/>
  <c r="BF159" i="15"/>
  <c r="BG159" i="15"/>
  <c r="BH159" i="15"/>
  <c r="BI159" i="15"/>
  <c r="BJ159" i="15"/>
  <c r="BK159" i="15"/>
  <c r="BL159" i="15"/>
  <c r="BM159" i="15"/>
  <c r="BN159" i="15"/>
  <c r="BO159" i="15"/>
  <c r="BP159" i="15"/>
  <c r="BQ159" i="15"/>
  <c r="BR159" i="15"/>
  <c r="BS159" i="15"/>
  <c r="E160" i="15"/>
  <c r="F160" i="15"/>
  <c r="G160" i="15"/>
  <c r="G165" i="15" s="1"/>
  <c r="E161" i="15"/>
  <c r="F161" i="15"/>
  <c r="G161" i="15"/>
  <c r="G166" i="15" s="1"/>
  <c r="N161" i="15"/>
  <c r="N166" i="15" s="1"/>
  <c r="O161" i="15"/>
  <c r="O166" i="15" s="1"/>
  <c r="P161" i="15"/>
  <c r="P166" i="15" s="1"/>
  <c r="Q161" i="15"/>
  <c r="Q166" i="15" s="1"/>
  <c r="R161" i="15"/>
  <c r="R166" i="15" s="1"/>
  <c r="S161" i="15"/>
  <c r="S166" i="15" s="1"/>
  <c r="T161" i="15"/>
  <c r="T166" i="15" s="1"/>
  <c r="U161" i="15"/>
  <c r="U166" i="15" s="1"/>
  <c r="V161" i="15"/>
  <c r="V166" i="15" s="1"/>
  <c r="W161" i="15"/>
  <c r="W166" i="15" s="1"/>
  <c r="X161" i="15"/>
  <c r="X166" i="15" s="1"/>
  <c r="Y161" i="15"/>
  <c r="Y166" i="15" s="1"/>
  <c r="Z161" i="15"/>
  <c r="Z166" i="15" s="1"/>
  <c r="AA161" i="15"/>
  <c r="AA166" i="15" s="1"/>
  <c r="AB161" i="15"/>
  <c r="AB166" i="15" s="1"/>
  <c r="AC161" i="15"/>
  <c r="AC166" i="15" s="1"/>
  <c r="AD161" i="15"/>
  <c r="AD166" i="15" s="1"/>
  <c r="AE161" i="15"/>
  <c r="AE166" i="15" s="1"/>
  <c r="AF161" i="15"/>
  <c r="AF166" i="15" s="1"/>
  <c r="AG161" i="15"/>
  <c r="AG166" i="15" s="1"/>
  <c r="AH161" i="15"/>
  <c r="AH166" i="15" s="1"/>
  <c r="AI161" i="15"/>
  <c r="AI166" i="15" s="1"/>
  <c r="AJ161" i="15"/>
  <c r="AJ166" i="15" s="1"/>
  <c r="AK161" i="15"/>
  <c r="AK166" i="15" s="1"/>
  <c r="AL161" i="15"/>
  <c r="AL166" i="15" s="1"/>
  <c r="AM161" i="15"/>
  <c r="AM166" i="15" s="1"/>
  <c r="AN161" i="15"/>
  <c r="AN166" i="15" s="1"/>
  <c r="AO161" i="15"/>
  <c r="AO166" i="15" s="1"/>
  <c r="AP161" i="15"/>
  <c r="AP166" i="15" s="1"/>
  <c r="AQ161" i="15"/>
  <c r="AQ166" i="15" s="1"/>
  <c r="AR161" i="15"/>
  <c r="AR166" i="15" s="1"/>
  <c r="AS161" i="15"/>
  <c r="AS166" i="15" s="1"/>
  <c r="AT161" i="15"/>
  <c r="AT166" i="15" s="1"/>
  <c r="AU161" i="15"/>
  <c r="AU166" i="15" s="1"/>
  <c r="AV161" i="15"/>
  <c r="AV166" i="15" s="1"/>
  <c r="AW161" i="15"/>
  <c r="AX161" i="15"/>
  <c r="AY161" i="15"/>
  <c r="AZ161" i="15"/>
  <c r="AZ166" i="15" s="1"/>
  <c r="BA161" i="15"/>
  <c r="BB161" i="15"/>
  <c r="BC161" i="15"/>
  <c r="BD161" i="15"/>
  <c r="BE161" i="15"/>
  <c r="BF161" i="15"/>
  <c r="BG161" i="15"/>
  <c r="BH161" i="15"/>
  <c r="BI161" i="15"/>
  <c r="BJ161" i="15"/>
  <c r="BK161" i="15"/>
  <c r="BL161" i="15"/>
  <c r="BM161" i="15"/>
  <c r="BN161" i="15"/>
  <c r="BO161" i="15"/>
  <c r="BP161" i="15"/>
  <c r="BQ161" i="15"/>
  <c r="BR161" i="15"/>
  <c r="BS161" i="15"/>
  <c r="E162" i="15"/>
  <c r="F162" i="15"/>
  <c r="G162" i="15"/>
  <c r="G167" i="15" s="1"/>
  <c r="N162" i="15"/>
  <c r="N167" i="15" s="1"/>
  <c r="O162" i="15"/>
  <c r="O167" i="15" s="1"/>
  <c r="P162" i="15"/>
  <c r="P167" i="15" s="1"/>
  <c r="Q162" i="15"/>
  <c r="Q167" i="15" s="1"/>
  <c r="R162" i="15"/>
  <c r="R167" i="15" s="1"/>
  <c r="S162" i="15"/>
  <c r="S167" i="15" s="1"/>
  <c r="T162" i="15"/>
  <c r="T167" i="15" s="1"/>
  <c r="U162" i="15"/>
  <c r="U167" i="15" s="1"/>
  <c r="V162" i="15"/>
  <c r="V167" i="15" s="1"/>
  <c r="W162" i="15"/>
  <c r="W167" i="15" s="1"/>
  <c r="X162" i="15"/>
  <c r="X167" i="15" s="1"/>
  <c r="Y162" i="15"/>
  <c r="Y167" i="15" s="1"/>
  <c r="Z162" i="15"/>
  <c r="Z167" i="15" s="1"/>
  <c r="AA162" i="15"/>
  <c r="AA167" i="15" s="1"/>
  <c r="AB162" i="15"/>
  <c r="AB167" i="15" s="1"/>
  <c r="AC162" i="15"/>
  <c r="AC167" i="15" s="1"/>
  <c r="AD162" i="15"/>
  <c r="AD167" i="15" s="1"/>
  <c r="AE162" i="15"/>
  <c r="AE167" i="15" s="1"/>
  <c r="AF162" i="15"/>
  <c r="AF167" i="15" s="1"/>
  <c r="AG162" i="15"/>
  <c r="AG167" i="15" s="1"/>
  <c r="AH162" i="15"/>
  <c r="AH167" i="15" s="1"/>
  <c r="AI162" i="15"/>
  <c r="AI167" i="15" s="1"/>
  <c r="AJ162" i="15"/>
  <c r="AJ167" i="15" s="1"/>
  <c r="AK162" i="15"/>
  <c r="AK167" i="15" s="1"/>
  <c r="AL162" i="15"/>
  <c r="AL167" i="15" s="1"/>
  <c r="AM162" i="15"/>
  <c r="AM167" i="15" s="1"/>
  <c r="AN162" i="15"/>
  <c r="AN167" i="15" s="1"/>
  <c r="AO162" i="15"/>
  <c r="AO167" i="15" s="1"/>
  <c r="AP162" i="15"/>
  <c r="AP167" i="15" s="1"/>
  <c r="AQ162" i="15"/>
  <c r="AQ167" i="15" s="1"/>
  <c r="AR162" i="15"/>
  <c r="AR167" i="15" s="1"/>
  <c r="AS162" i="15"/>
  <c r="AS167" i="15" s="1"/>
  <c r="AT162" i="15"/>
  <c r="AT167" i="15" s="1"/>
  <c r="AU162" i="15"/>
  <c r="AU167" i="15" s="1"/>
  <c r="AV162" i="15"/>
  <c r="AV167" i="15" s="1"/>
  <c r="AW162" i="15"/>
  <c r="AX162" i="15"/>
  <c r="AX167" i="15" s="1"/>
  <c r="AY162" i="15"/>
  <c r="AZ162" i="15"/>
  <c r="BA162" i="15"/>
  <c r="BB162" i="15"/>
  <c r="BC162" i="15"/>
  <c r="BD162" i="15"/>
  <c r="BE162" i="15"/>
  <c r="BF162" i="15"/>
  <c r="BG162" i="15"/>
  <c r="BH162" i="15"/>
  <c r="BI162" i="15"/>
  <c r="BJ162" i="15"/>
  <c r="BK162" i="15"/>
  <c r="BL162" i="15"/>
  <c r="BM162" i="15"/>
  <c r="BN162" i="15"/>
  <c r="BO162" i="15"/>
  <c r="BP162" i="15"/>
  <c r="BQ162" i="15"/>
  <c r="BR162" i="15"/>
  <c r="BS162" i="15"/>
  <c r="D160" i="15"/>
  <c r="D165" i="15" s="1"/>
  <c r="D161" i="15"/>
  <c r="D166" i="15" s="1"/>
  <c r="D162" i="15"/>
  <c r="D167" i="15" s="1"/>
  <c r="AW163" i="15"/>
  <c r="AW165" i="15" s="1"/>
  <c r="AV165" i="15"/>
  <c r="N9" i="57"/>
  <c r="G33" i="20"/>
  <c r="G30" i="20"/>
  <c r="G29" i="20"/>
  <c r="G34" i="20"/>
  <c r="AV177" i="15"/>
  <c r="AW177" i="15" s="1"/>
  <c r="AX177" i="15" s="1"/>
  <c r="AY177" i="15" s="1"/>
  <c r="AZ177" i="15" s="1"/>
  <c r="BA177" i="15" s="1"/>
  <c r="BB177" i="15" s="1"/>
  <c r="BC177" i="15" s="1"/>
  <c r="BD177" i="15" s="1"/>
  <c r="BE177" i="15" s="1"/>
  <c r="BF177" i="15" s="1"/>
  <c r="BG177" i="15" s="1"/>
  <c r="BH177" i="15" s="1"/>
  <c r="BI177" i="15" s="1"/>
  <c r="BJ177" i="15" s="1"/>
  <c r="BK177" i="15" s="1"/>
  <c r="BL177" i="15" s="1"/>
  <c r="BM177" i="15" s="1"/>
  <c r="BN177" i="15" s="1"/>
  <c r="BO177" i="15" s="1"/>
  <c r="BP177" i="15" s="1"/>
  <c r="BQ177" i="15" s="1"/>
  <c r="BR177" i="15" s="1"/>
  <c r="BS177" i="15" s="1"/>
  <c r="BK173" i="15"/>
  <c r="BL173" i="15"/>
  <c r="BM173" i="15"/>
  <c r="BN173" i="15"/>
  <c r="BO173" i="15"/>
  <c r="BP173" i="15"/>
  <c r="BQ173" i="15"/>
  <c r="BR173" i="15"/>
  <c r="BS173" i="15"/>
  <c r="BC173" i="15"/>
  <c r="BD173" i="15"/>
  <c r="BE173" i="15"/>
  <c r="BF173" i="15"/>
  <c r="BG173" i="15"/>
  <c r="BH173" i="15"/>
  <c r="BI173" i="15"/>
  <c r="BJ173" i="15"/>
  <c r="G173" i="15"/>
  <c r="H173" i="15"/>
  <c r="I173" i="15"/>
  <c r="J173" i="15"/>
  <c r="K173" i="15"/>
  <c r="L173" i="15"/>
  <c r="M173" i="15"/>
  <c r="N173" i="15"/>
  <c r="O173" i="15"/>
  <c r="P173" i="15"/>
  <c r="Q173" i="15"/>
  <c r="R173" i="15"/>
  <c r="S173" i="15"/>
  <c r="T173" i="15"/>
  <c r="U173" i="15"/>
  <c r="V173" i="15"/>
  <c r="W173" i="15"/>
  <c r="X173" i="15"/>
  <c r="Y173" i="15"/>
  <c r="Z173" i="15"/>
  <c r="AA173" i="15"/>
  <c r="AB173" i="15"/>
  <c r="AC173" i="15"/>
  <c r="AD173" i="15"/>
  <c r="AE173" i="15"/>
  <c r="AF173" i="15"/>
  <c r="AG173" i="15"/>
  <c r="AH173" i="15"/>
  <c r="AI173" i="15"/>
  <c r="AJ173" i="15"/>
  <c r="AK173" i="15"/>
  <c r="AL173" i="15"/>
  <c r="AM173" i="15"/>
  <c r="AN173" i="15"/>
  <c r="AO173" i="15"/>
  <c r="AP173" i="15"/>
  <c r="AQ173" i="15"/>
  <c r="AR173" i="15"/>
  <c r="AS173" i="15"/>
  <c r="AT173" i="15"/>
  <c r="AU173" i="15"/>
  <c r="AV173" i="15"/>
  <c r="AW173" i="15"/>
  <c r="AX173" i="15"/>
  <c r="AY173" i="15"/>
  <c r="AZ173" i="15"/>
  <c r="BA173" i="15"/>
  <c r="BB173" i="15"/>
  <c r="D176" i="15"/>
  <c r="D181" i="15" s="1"/>
  <c r="D173" i="15"/>
  <c r="D174" i="15"/>
  <c r="D179" i="15"/>
  <c r="D175" i="15"/>
  <c r="D180" i="15"/>
  <c r="J240" i="15"/>
  <c r="N240" i="15"/>
  <c r="K240" i="15"/>
  <c r="O240" i="15"/>
  <c r="J241" i="15"/>
  <c r="N241" i="15"/>
  <c r="K241" i="15"/>
  <c r="O241" i="15"/>
  <c r="J242" i="15"/>
  <c r="N242" i="15"/>
  <c r="K242" i="15"/>
  <c r="O242" i="15"/>
  <c r="J243" i="15"/>
  <c r="N243" i="15"/>
  <c r="K243" i="15"/>
  <c r="O243" i="15"/>
  <c r="J244" i="15"/>
  <c r="N244" i="15"/>
  <c r="K244" i="15"/>
  <c r="O244" i="15"/>
  <c r="J245" i="15"/>
  <c r="N245" i="15"/>
  <c r="K245" i="15"/>
  <c r="O245" i="15"/>
  <c r="J246" i="15"/>
  <c r="N246" i="15"/>
  <c r="K246" i="15"/>
  <c r="O246" i="15"/>
  <c r="J247" i="15"/>
  <c r="N247" i="15"/>
  <c r="K247" i="15"/>
  <c r="O247" i="15"/>
  <c r="J248" i="15"/>
  <c r="N248" i="15"/>
  <c r="K248" i="15"/>
  <c r="O248" i="15"/>
  <c r="J249" i="15"/>
  <c r="N249" i="15"/>
  <c r="K249" i="15"/>
  <c r="O249" i="15"/>
  <c r="J250" i="15"/>
  <c r="N250" i="15"/>
  <c r="K250" i="15"/>
  <c r="O250" i="15"/>
  <c r="J251" i="15"/>
  <c r="N251" i="15"/>
  <c r="K251" i="15"/>
  <c r="O251" i="15"/>
  <c r="J252" i="15"/>
  <c r="N252" i="15"/>
  <c r="K252" i="15"/>
  <c r="O252" i="15"/>
  <c r="J253" i="15"/>
  <c r="N253" i="15"/>
  <c r="K253" i="15"/>
  <c r="O253" i="15"/>
  <c r="J254" i="15"/>
  <c r="N254" i="15"/>
  <c r="K254" i="15"/>
  <c r="O254" i="15"/>
  <c r="J255" i="15"/>
  <c r="N255" i="15"/>
  <c r="K255" i="15"/>
  <c r="O255" i="15"/>
  <c r="J256" i="15"/>
  <c r="N256" i="15"/>
  <c r="K256" i="15"/>
  <c r="O256" i="15"/>
  <c r="J257" i="15"/>
  <c r="N257" i="15"/>
  <c r="K257" i="15"/>
  <c r="O257" i="15"/>
  <c r="J258" i="15"/>
  <c r="N258" i="15"/>
  <c r="K258" i="15"/>
  <c r="O258" i="15"/>
  <c r="J259" i="15"/>
  <c r="N259" i="15"/>
  <c r="K259" i="15"/>
  <c r="O259" i="15"/>
  <c r="J260" i="15"/>
  <c r="N260" i="15"/>
  <c r="K260" i="15"/>
  <c r="O260" i="15"/>
  <c r="J261" i="15"/>
  <c r="N261" i="15"/>
  <c r="K261" i="15"/>
  <c r="O261" i="15"/>
  <c r="J262" i="15"/>
  <c r="N262" i="15"/>
  <c r="K262" i="15"/>
  <c r="O262" i="15"/>
  <c r="J263" i="15"/>
  <c r="N263" i="15"/>
  <c r="K263" i="15"/>
  <c r="O263" i="15"/>
  <c r="J264" i="15"/>
  <c r="N264" i="15"/>
  <c r="K264" i="15"/>
  <c r="O264" i="15"/>
  <c r="J265" i="15"/>
  <c r="N265" i="15"/>
  <c r="K265" i="15"/>
  <c r="O265" i="15"/>
  <c r="J266" i="15"/>
  <c r="N266" i="15"/>
  <c r="K266" i="15"/>
  <c r="O266" i="15"/>
  <c r="J267" i="15"/>
  <c r="N267" i="15"/>
  <c r="K267" i="15"/>
  <c r="O267" i="15"/>
  <c r="J268" i="15"/>
  <c r="N268" i="15"/>
  <c r="K268" i="15"/>
  <c r="O268" i="15"/>
  <c r="J269" i="15"/>
  <c r="N269" i="15"/>
  <c r="K269" i="15"/>
  <c r="O269" i="15"/>
  <c r="J270" i="15"/>
  <c r="N270" i="15"/>
  <c r="K270" i="15"/>
  <c r="O270" i="15"/>
  <c r="J271" i="15"/>
  <c r="N271" i="15"/>
  <c r="K271" i="15"/>
  <c r="O271" i="15"/>
  <c r="J272" i="15"/>
  <c r="N272" i="15"/>
  <c r="K272" i="15"/>
  <c r="O272" i="15"/>
  <c r="J273" i="15"/>
  <c r="N273" i="15"/>
  <c r="K273" i="15"/>
  <c r="O273" i="15"/>
  <c r="J274" i="15"/>
  <c r="N274" i="15"/>
  <c r="K274" i="15"/>
  <c r="O274" i="15"/>
  <c r="J275" i="15"/>
  <c r="N275" i="15"/>
  <c r="K275" i="15"/>
  <c r="O275" i="15"/>
  <c r="J276" i="15"/>
  <c r="N276" i="15"/>
  <c r="K276" i="15"/>
  <c r="O276" i="15"/>
  <c r="J277" i="15"/>
  <c r="N277" i="15"/>
  <c r="K277" i="15"/>
  <c r="O277" i="15"/>
  <c r="J278" i="15"/>
  <c r="N278" i="15"/>
  <c r="K278" i="15"/>
  <c r="O278" i="15"/>
  <c r="J279" i="15"/>
  <c r="N279" i="15"/>
  <c r="K279" i="15"/>
  <c r="O279" i="15"/>
  <c r="J280" i="15"/>
  <c r="N280" i="15"/>
  <c r="K280" i="15"/>
  <c r="O280" i="15"/>
  <c r="J281" i="15"/>
  <c r="N281" i="15"/>
  <c r="K281" i="15"/>
  <c r="O281" i="15"/>
  <c r="J282" i="15"/>
  <c r="N282" i="15"/>
  <c r="K282" i="15"/>
  <c r="O282" i="15"/>
  <c r="J283" i="15"/>
  <c r="N283" i="15"/>
  <c r="K283" i="15"/>
  <c r="O283" i="15"/>
  <c r="J284" i="15"/>
  <c r="N284" i="15"/>
  <c r="K284" i="15"/>
  <c r="O284" i="15"/>
  <c r="J285" i="15"/>
  <c r="N285" i="15"/>
  <c r="K285" i="15"/>
  <c r="O285" i="15"/>
  <c r="J286" i="15"/>
  <c r="N286" i="15"/>
  <c r="K286" i="15"/>
  <c r="O286" i="15"/>
  <c r="J287" i="15"/>
  <c r="N287" i="15"/>
  <c r="K287" i="15"/>
  <c r="O287" i="15"/>
  <c r="J288" i="15"/>
  <c r="N288" i="15"/>
  <c r="K288" i="15"/>
  <c r="O288" i="15"/>
  <c r="J289" i="15"/>
  <c r="N289" i="15"/>
  <c r="K289" i="15"/>
  <c r="O289" i="15"/>
  <c r="J290" i="15"/>
  <c r="N290" i="15"/>
  <c r="K290" i="15"/>
  <c r="O290" i="15"/>
  <c r="J291" i="15"/>
  <c r="N291" i="15"/>
  <c r="K291" i="15"/>
  <c r="O291" i="15"/>
  <c r="J292" i="15"/>
  <c r="N292" i="15"/>
  <c r="K292" i="15"/>
  <c r="O292" i="15"/>
  <c r="J293" i="15"/>
  <c r="N293" i="15"/>
  <c r="K293" i="15"/>
  <c r="O293" i="15"/>
  <c r="J294" i="15"/>
  <c r="N294" i="15"/>
  <c r="K294" i="15"/>
  <c r="O294" i="15"/>
  <c r="J295" i="15"/>
  <c r="N295" i="15"/>
  <c r="K295" i="15"/>
  <c r="O295" i="15"/>
  <c r="J296" i="15"/>
  <c r="N296" i="15"/>
  <c r="K296" i="15"/>
  <c r="O296" i="15"/>
  <c r="J297" i="15"/>
  <c r="N297" i="15"/>
  <c r="K297" i="15"/>
  <c r="O297" i="15"/>
  <c r="J298" i="15"/>
  <c r="N298" i="15"/>
  <c r="K298" i="15"/>
  <c r="O298" i="15"/>
  <c r="J299" i="15"/>
  <c r="N299" i="15"/>
  <c r="K299" i="15"/>
  <c r="O299" i="15"/>
  <c r="J300" i="15"/>
  <c r="N300" i="15"/>
  <c r="K300" i="15"/>
  <c r="O300" i="15"/>
  <c r="J301" i="15"/>
  <c r="N301" i="15"/>
  <c r="K301" i="15"/>
  <c r="O301" i="15"/>
  <c r="J302" i="15"/>
  <c r="N302" i="15"/>
  <c r="K302" i="15"/>
  <c r="O302" i="15"/>
  <c r="J303" i="15"/>
  <c r="N303" i="15"/>
  <c r="K303" i="15"/>
  <c r="O303" i="15"/>
  <c r="J304" i="15"/>
  <c r="N304" i="15"/>
  <c r="K304" i="15"/>
  <c r="O304" i="15"/>
  <c r="J305" i="15"/>
  <c r="N305" i="15"/>
  <c r="K305" i="15"/>
  <c r="O305" i="15"/>
  <c r="J306" i="15"/>
  <c r="N306" i="15"/>
  <c r="K306" i="15"/>
  <c r="O306" i="15"/>
  <c r="J307" i="15"/>
  <c r="N307" i="15"/>
  <c r="K307" i="15"/>
  <c r="O307" i="15"/>
  <c r="J308" i="15"/>
  <c r="N308" i="15"/>
  <c r="K308" i="15"/>
  <c r="O308" i="15"/>
  <c r="K239" i="15"/>
  <c r="O239" i="15"/>
  <c r="J239" i="15"/>
  <c r="N239" i="15"/>
  <c r="AX163" i="15"/>
  <c r="AX165" i="15" s="1"/>
  <c r="O9" i="57"/>
  <c r="P9" i="57" s="1"/>
  <c r="AY163" i="15"/>
  <c r="AY167" i="15" s="1"/>
  <c r="AX166" i="15"/>
  <c r="AZ163" i="15"/>
  <c r="AZ165" i="15" s="1"/>
  <c r="AY166" i="15"/>
  <c r="AZ167" i="15"/>
  <c r="N9" i="15"/>
  <c r="N10" i="15"/>
  <c r="N11" i="15"/>
  <c r="N12" i="15"/>
  <c r="N13" i="15"/>
  <c r="N14" i="15"/>
  <c r="N15" i="15"/>
  <c r="N16" i="15"/>
  <c r="N17" i="15"/>
  <c r="N18" i="15"/>
  <c r="N19" i="15"/>
  <c r="N20" i="15"/>
  <c r="N21" i="15"/>
  <c r="N22" i="15"/>
  <c r="N23" i="15"/>
  <c r="N24" i="15"/>
  <c r="N25" i="15"/>
  <c r="N26" i="15"/>
  <c r="N27" i="15"/>
  <c r="N28" i="15"/>
  <c r="N29" i="15"/>
  <c r="N30" i="15"/>
  <c r="N31" i="15"/>
  <c r="N32" i="15"/>
  <c r="N33" i="15"/>
  <c r="N34" i="15"/>
  <c r="N35" i="15"/>
  <c r="N36" i="15"/>
  <c r="N37" i="15"/>
  <c r="N38" i="15"/>
  <c r="N39" i="15"/>
  <c r="N40" i="15"/>
  <c r="N41" i="15"/>
  <c r="N42" i="15"/>
  <c r="N43" i="15"/>
  <c r="N44" i="15"/>
  <c r="N45" i="15"/>
  <c r="N46" i="15"/>
  <c r="N47" i="15"/>
  <c r="N48" i="15"/>
  <c r="N49" i="15"/>
  <c r="N50" i="15"/>
  <c r="N51" i="15"/>
  <c r="N52" i="15"/>
  <c r="N53" i="15"/>
  <c r="N54" i="15"/>
  <c r="N55" i="15"/>
  <c r="N56" i="15"/>
  <c r="N57" i="15"/>
  <c r="N58" i="15"/>
  <c r="N59" i="15"/>
  <c r="N60" i="15"/>
  <c r="N61" i="15"/>
  <c r="N62" i="15"/>
  <c r="N63" i="15"/>
  <c r="N64" i="15"/>
  <c r="N65" i="15"/>
  <c r="N66" i="15"/>
  <c r="N67" i="15"/>
  <c r="N68" i="15"/>
  <c r="N69" i="15"/>
  <c r="N70" i="15"/>
  <c r="N71" i="15"/>
  <c r="N72" i="15"/>
  <c r="N73" i="15"/>
  <c r="N74" i="15"/>
  <c r="N75" i="15"/>
  <c r="N76" i="15"/>
  <c r="N77" i="15"/>
  <c r="N78" i="15"/>
  <c r="J40" i="22"/>
  <c r="O41" i="43"/>
  <c r="O39" i="43" s="1"/>
  <c r="N41" i="43"/>
  <c r="N39" i="43" s="1"/>
  <c r="M41" i="43"/>
  <c r="M39" i="43" s="1"/>
  <c r="L41" i="43"/>
  <c r="L39" i="43" s="1"/>
  <c r="O41" i="45"/>
  <c r="O39" i="45" s="1"/>
  <c r="N41" i="45"/>
  <c r="N39" i="45" s="1"/>
  <c r="M41" i="45"/>
  <c r="M39" i="45" s="1"/>
  <c r="L41" i="45"/>
  <c r="L39" i="45" s="1"/>
  <c r="H44" i="12"/>
  <c r="H43" i="12"/>
  <c r="H42" i="12"/>
  <c r="H96" i="12" s="1"/>
  <c r="Q44" i="12"/>
  <c r="Q43" i="12"/>
  <c r="Q42" i="12"/>
  <c r="Q45" i="12"/>
  <c r="F17" i="12" s="1"/>
  <c r="G17" i="12" s="1"/>
  <c r="G4" i="12" s="1"/>
  <c r="G6" i="20"/>
  <c r="J133" i="22"/>
  <c r="K133" i="22"/>
  <c r="L133" i="22"/>
  <c r="M133" i="22"/>
  <c r="N133" i="22"/>
  <c r="O133" i="22"/>
  <c r="Q133" i="22"/>
  <c r="R133" i="22"/>
  <c r="U133" i="22"/>
  <c r="V133" i="22"/>
  <c r="I133" i="22"/>
  <c r="L45" i="22"/>
  <c r="M45" i="22"/>
  <c r="N45" i="22"/>
  <c r="O45" i="22"/>
  <c r="Q45" i="22"/>
  <c r="R45" i="22"/>
  <c r="R2" i="45"/>
  <c r="M2" i="44"/>
  <c r="L2" i="44"/>
  <c r="I40" i="44"/>
  <c r="I39" i="44" s="1"/>
  <c r="M48" i="44"/>
  <c r="L48" i="44"/>
  <c r="N48" i="44"/>
  <c r="O232" i="43"/>
  <c r="M232" i="43"/>
  <c r="L232" i="43"/>
  <c r="K235" i="43"/>
  <c r="K232" i="43" s="1"/>
  <c r="J235" i="43"/>
  <c r="J232" i="43" s="1"/>
  <c r="I235" i="43"/>
  <c r="I232" i="43" s="1"/>
  <c r="K226" i="43"/>
  <c r="J226" i="43"/>
  <c r="J222" i="43" s="1"/>
  <c r="I226" i="43"/>
  <c r="I222" i="43" s="1"/>
  <c r="K223" i="43"/>
  <c r="J223" i="43"/>
  <c r="I223" i="43"/>
  <c r="O220" i="43"/>
  <c r="O218" i="43" s="1"/>
  <c r="N220" i="43"/>
  <c r="N217" i="43" s="1"/>
  <c r="M220" i="43"/>
  <c r="M218" i="43" s="1"/>
  <c r="M219" i="43" s="1"/>
  <c r="L220" i="43"/>
  <c r="L217" i="43" s="1"/>
  <c r="K220" i="43"/>
  <c r="K218" i="43" s="1"/>
  <c r="K219" i="43" s="1"/>
  <c r="J220" i="43"/>
  <c r="J218" i="43" s="1"/>
  <c r="J219" i="43" s="1"/>
  <c r="I220" i="43"/>
  <c r="I217" i="43" s="1"/>
  <c r="O235" i="45"/>
  <c r="O232" i="45" s="1"/>
  <c r="N235" i="45"/>
  <c r="N232" i="45" s="1"/>
  <c r="M235" i="45"/>
  <c r="M232" i="45" s="1"/>
  <c r="L235" i="45"/>
  <c r="L232" i="45" s="1"/>
  <c r="K235" i="45"/>
  <c r="K232" i="45" s="1"/>
  <c r="J235" i="45"/>
  <c r="J232" i="45" s="1"/>
  <c r="I235" i="45"/>
  <c r="I232" i="45" s="1"/>
  <c r="K226" i="45"/>
  <c r="K222" i="45" s="1"/>
  <c r="J226" i="45"/>
  <c r="J222" i="45" s="1"/>
  <c r="I226" i="45"/>
  <c r="I222" i="45" s="1"/>
  <c r="K223" i="45"/>
  <c r="J223" i="45"/>
  <c r="I223" i="45"/>
  <c r="O220" i="45"/>
  <c r="O218" i="45" s="1"/>
  <c r="O219" i="45" s="1"/>
  <c r="N220" i="45"/>
  <c r="N218" i="45" s="1"/>
  <c r="N219" i="45" s="1"/>
  <c r="M220" i="45"/>
  <c r="M218" i="45" s="1"/>
  <c r="M219" i="45" s="1"/>
  <c r="L220" i="45"/>
  <c r="L218" i="45" s="1"/>
  <c r="L219" i="45" s="1"/>
  <c r="K220" i="45"/>
  <c r="K218" i="45" s="1"/>
  <c r="K219" i="45" s="1"/>
  <c r="J220" i="45"/>
  <c r="J218" i="45" s="1"/>
  <c r="J219" i="45" s="1"/>
  <c r="I220" i="45"/>
  <c r="I217" i="45" s="1"/>
  <c r="M217" i="43"/>
  <c r="J217" i="43"/>
  <c r="N218" i="43"/>
  <c r="N219" i="43" s="1"/>
  <c r="K222" i="43"/>
  <c r="K206" i="43"/>
  <c r="G133" i="43"/>
  <c r="O114" i="43"/>
  <c r="N114" i="43"/>
  <c r="N112" i="43" s="1"/>
  <c r="M114" i="43"/>
  <c r="L114" i="43"/>
  <c r="L112" i="43" s="1"/>
  <c r="K114" i="43"/>
  <c r="K112" i="43"/>
  <c r="J114" i="43"/>
  <c r="J112" i="43"/>
  <c r="H102" i="43"/>
  <c r="G102" i="43"/>
  <c r="F102" i="43"/>
  <c r="E102" i="43"/>
  <c r="D102" i="43"/>
  <c r="K86" i="43"/>
  <c r="J86" i="43"/>
  <c r="G86" i="43"/>
  <c r="F86" i="43"/>
  <c r="H42" i="43"/>
  <c r="G42" i="43"/>
  <c r="F42" i="43"/>
  <c r="E42" i="43"/>
  <c r="D42" i="43"/>
  <c r="O31" i="43"/>
  <c r="N31" i="43"/>
  <c r="M31" i="43"/>
  <c r="L31" i="43"/>
  <c r="K31" i="43"/>
  <c r="J31" i="43"/>
  <c r="I31" i="43"/>
  <c r="H31" i="43"/>
  <c r="G31" i="43"/>
  <c r="F31" i="43"/>
  <c r="E31" i="43"/>
  <c r="D31" i="43"/>
  <c r="G20" i="43"/>
  <c r="F20" i="43"/>
  <c r="E20" i="43"/>
  <c r="D20" i="43"/>
  <c r="H17" i="43"/>
  <c r="G17" i="43"/>
  <c r="AH227" i="50" a="1"/>
  <c r="AH227" i="50" s="1"/>
  <c r="H7" i="43"/>
  <c r="O231" i="45"/>
  <c r="N231" i="45"/>
  <c r="N231" i="22" s="1"/>
  <c r="M231" i="45"/>
  <c r="M231" i="22" s="1"/>
  <c r="L231" i="45"/>
  <c r="L231" i="22" s="1"/>
  <c r="J231" i="45"/>
  <c r="O217" i="45"/>
  <c r="N217" i="45"/>
  <c r="M217" i="45"/>
  <c r="L217" i="45"/>
  <c r="K217" i="45"/>
  <c r="J217" i="45"/>
  <c r="G133" i="45"/>
  <c r="O114" i="45"/>
  <c r="O112" i="45" s="1"/>
  <c r="N114" i="45"/>
  <c r="M114" i="45"/>
  <c r="M112" i="45" s="1"/>
  <c r="L114" i="45"/>
  <c r="K114" i="45"/>
  <c r="J114" i="45"/>
  <c r="H102" i="45"/>
  <c r="G102" i="45"/>
  <c r="F102" i="45"/>
  <c r="E102" i="45"/>
  <c r="D102" i="45"/>
  <c r="G86" i="45"/>
  <c r="F86" i="45"/>
  <c r="K86" i="45"/>
  <c r="J86" i="45"/>
  <c r="I86" i="45"/>
  <c r="H42" i="45"/>
  <c r="G42" i="45"/>
  <c r="F42" i="45"/>
  <c r="E42" i="45"/>
  <c r="D42" i="45"/>
  <c r="I40" i="45"/>
  <c r="I39" i="45" s="1"/>
  <c r="O31" i="45"/>
  <c r="N31" i="45"/>
  <c r="M31" i="45"/>
  <c r="L31" i="45"/>
  <c r="K31" i="45"/>
  <c r="J31" i="45"/>
  <c r="H31" i="45"/>
  <c r="G31" i="45"/>
  <c r="F31" i="45"/>
  <c r="E31" i="45"/>
  <c r="D31" i="45"/>
  <c r="I27" i="45"/>
  <c r="I26" i="45"/>
  <c r="I31" i="45" s="1"/>
  <c r="I25" i="45"/>
  <c r="G20" i="45"/>
  <c r="F20" i="45"/>
  <c r="E20" i="45"/>
  <c r="D20" i="45"/>
  <c r="H17" i="45"/>
  <c r="G17" i="45"/>
  <c r="D17" i="45"/>
  <c r="AG227" i="50" s="1" a="1"/>
  <c r="H7" i="45"/>
  <c r="H52" i="45" s="1"/>
  <c r="K206" i="44"/>
  <c r="H206" i="44"/>
  <c r="E206" i="44"/>
  <c r="D206" i="44"/>
  <c r="G133" i="44"/>
  <c r="O114" i="44"/>
  <c r="O112" i="44" s="1"/>
  <c r="N114" i="44"/>
  <c r="M114" i="44"/>
  <c r="M112" i="44" s="1"/>
  <c r="L114" i="44"/>
  <c r="K114" i="44"/>
  <c r="J114" i="44"/>
  <c r="H102" i="44"/>
  <c r="G102" i="44"/>
  <c r="F102" i="44"/>
  <c r="E102" i="44"/>
  <c r="D102" i="44"/>
  <c r="K86" i="44"/>
  <c r="K86" i="22" s="1"/>
  <c r="J86" i="44"/>
  <c r="J86" i="22" s="1"/>
  <c r="G86" i="44"/>
  <c r="G86" i="22" s="1"/>
  <c r="F86" i="44"/>
  <c r="F86" i="22" s="1"/>
  <c r="E86" i="44"/>
  <c r="E86" i="22" s="1"/>
  <c r="H42" i="44"/>
  <c r="G42" i="44"/>
  <c r="F42" i="44"/>
  <c r="E42" i="44"/>
  <c r="D42" i="44"/>
  <c r="O31" i="44"/>
  <c r="N31" i="44"/>
  <c r="M31" i="44"/>
  <c r="L31" i="44"/>
  <c r="K31" i="44"/>
  <c r="J31" i="44"/>
  <c r="I31" i="44"/>
  <c r="H31" i="44"/>
  <c r="G31" i="44"/>
  <c r="F31" i="44"/>
  <c r="E31" i="44"/>
  <c r="D31" i="44"/>
  <c r="G20" i="44"/>
  <c r="F20" i="44"/>
  <c r="E20" i="44"/>
  <c r="D20" i="44"/>
  <c r="K19" i="44"/>
  <c r="J19" i="44"/>
  <c r="G206" i="44"/>
  <c r="F206" i="44"/>
  <c r="H17" i="44"/>
  <c r="G17" i="44"/>
  <c r="F17" i="44"/>
  <c r="E17" i="44"/>
  <c r="D17" i="44"/>
  <c r="AF227" i="50" s="1" a="1"/>
  <c r="H7" i="44"/>
  <c r="H56" i="44" s="1"/>
  <c r="AH229" i="50"/>
  <c r="AH236" i="50"/>
  <c r="AH241" i="50"/>
  <c r="AH248" i="50"/>
  <c r="AH245" i="50"/>
  <c r="O120" i="45"/>
  <c r="L120" i="43"/>
  <c r="H85" i="44"/>
  <c r="H85" i="22" s="1"/>
  <c r="H85" i="43"/>
  <c r="H86" i="43" s="1"/>
  <c r="H112" i="43"/>
  <c r="L120" i="44"/>
  <c r="L112" i="44"/>
  <c r="N120" i="45"/>
  <c r="N112" i="45"/>
  <c r="O120" i="43"/>
  <c r="O112" i="43"/>
  <c r="M120" i="44"/>
  <c r="N120" i="44"/>
  <c r="N112" i="44"/>
  <c r="L120" i="45"/>
  <c r="L112" i="45"/>
  <c r="M120" i="43"/>
  <c r="M112" i="43"/>
  <c r="H85" i="45"/>
  <c r="H86" i="45" s="1"/>
  <c r="N120" i="43"/>
  <c r="H54" i="44"/>
  <c r="H55" i="44"/>
  <c r="H52" i="44"/>
  <c r="H51" i="44"/>
  <c r="H55" i="45"/>
  <c r="H56" i="45"/>
  <c r="H53" i="45"/>
  <c r="H135" i="45"/>
  <c r="H56" i="43"/>
  <c r="H52" i="43"/>
  <c r="H53" i="43"/>
  <c r="H54" i="43"/>
  <c r="H135" i="43"/>
  <c r="H55" i="43"/>
  <c r="H51" i="43"/>
  <c r="H120" i="43"/>
  <c r="H133" i="44"/>
  <c r="H20" i="43"/>
  <c r="H133" i="43"/>
  <c r="H133" i="45"/>
  <c r="S32" i="20"/>
  <c r="V2" i="43"/>
  <c r="U2" i="43"/>
  <c r="R2" i="43"/>
  <c r="K2" i="43"/>
  <c r="J2" i="43"/>
  <c r="G2" i="43"/>
  <c r="F2" i="43"/>
  <c r="E2" i="43"/>
  <c r="D2" i="43"/>
  <c r="V2" i="45"/>
  <c r="U2" i="45"/>
  <c r="K2" i="45"/>
  <c r="J2" i="45"/>
  <c r="G2" i="45"/>
  <c r="F2" i="45"/>
  <c r="E2" i="45"/>
  <c r="D2" i="45"/>
  <c r="G2" i="44"/>
  <c r="F2" i="44"/>
  <c r="E2" i="44"/>
  <c r="D2" i="44"/>
  <c r="V2" i="44"/>
  <c r="U2" i="44"/>
  <c r="R2" i="44"/>
  <c r="K2" i="44"/>
  <c r="J2" i="44"/>
  <c r="E18" i="12"/>
  <c r="E22" i="12" s="1"/>
  <c r="D18" i="12"/>
  <c r="D5" i="12" s="1"/>
  <c r="J108" i="12"/>
  <c r="J107" i="12"/>
  <c r="J106" i="12"/>
  <c r="J105" i="12"/>
  <c r="J104" i="12"/>
  <c r="I102" i="12"/>
  <c r="G102" i="12"/>
  <c r="I101" i="12"/>
  <c r="G101" i="12"/>
  <c r="H101" i="12"/>
  <c r="I100" i="12"/>
  <c r="G100" i="12" s="1"/>
  <c r="H100" i="12"/>
  <c r="H98" i="12"/>
  <c r="H97" i="12"/>
  <c r="I78" i="12"/>
  <c r="I77" i="12"/>
  <c r="I76" i="12"/>
  <c r="I75" i="12"/>
  <c r="I74" i="12"/>
  <c r="I73" i="12"/>
  <c r="I72" i="12"/>
  <c r="J72" i="12" s="1"/>
  <c r="I71" i="12"/>
  <c r="I70" i="12"/>
  <c r="I69" i="12"/>
  <c r="I68" i="12"/>
  <c r="I67" i="12"/>
  <c r="I66" i="12"/>
  <c r="I65" i="12"/>
  <c r="I64" i="12"/>
  <c r="I63" i="12"/>
  <c r="I62" i="12"/>
  <c r="I61" i="12"/>
  <c r="J61" i="12"/>
  <c r="J75" i="12" s="1"/>
  <c r="I51" i="12"/>
  <c r="I50" i="12"/>
  <c r="I49" i="12"/>
  <c r="H47" i="12"/>
  <c r="G44" i="12"/>
  <c r="G43" i="12"/>
  <c r="G42" i="12"/>
  <c r="I37" i="12"/>
  <c r="I30" i="12" s="1"/>
  <c r="H37" i="12"/>
  <c r="H30" i="12" s="1"/>
  <c r="G37" i="12"/>
  <c r="G30" i="12" s="1"/>
  <c r="H102" i="12" s="1"/>
  <c r="F37" i="12"/>
  <c r="F30" i="12" s="1"/>
  <c r="I35" i="12"/>
  <c r="H35" i="12"/>
  <c r="G35" i="12"/>
  <c r="F35" i="12"/>
  <c r="I32" i="12"/>
  <c r="H19" i="12" s="1"/>
  <c r="H32" i="12"/>
  <c r="G32" i="12"/>
  <c r="D31" i="12"/>
  <c r="G18" i="12" s="1"/>
  <c r="G5" i="12" s="1"/>
  <c r="P18" i="12"/>
  <c r="Q18" i="12" s="1"/>
  <c r="O18" i="12"/>
  <c r="N18" i="12"/>
  <c r="K18" i="12"/>
  <c r="L18" i="12" s="1"/>
  <c r="J18" i="12"/>
  <c r="H5" i="12"/>
  <c r="H4" i="12"/>
  <c r="F4" i="12"/>
  <c r="J73" i="12"/>
  <c r="J64" i="12"/>
  <c r="J67" i="12"/>
  <c r="I31" i="12"/>
  <c r="E4" i="57"/>
  <c r="AE4" i="57"/>
  <c r="S4" i="57"/>
  <c r="AA4" i="57"/>
  <c r="AD4" i="57"/>
  <c r="V4" i="57"/>
  <c r="N4" i="57"/>
  <c r="AC4" i="57"/>
  <c r="U4" i="57"/>
  <c r="F4" i="57"/>
  <c r="AF4" i="57"/>
  <c r="X4" i="57"/>
  <c r="P4" i="57"/>
  <c r="O4" i="57"/>
  <c r="B10" i="57"/>
  <c r="H10" i="57" s="1"/>
  <c r="D4" i="57"/>
  <c r="W4" i="57"/>
  <c r="Z4" i="57"/>
  <c r="R4" i="57"/>
  <c r="AG4" i="57"/>
  <c r="AG6" i="57" s="1"/>
  <c r="Y4" i="57"/>
  <c r="Q4" i="57"/>
  <c r="G4" i="57"/>
  <c r="AB4" i="57"/>
  <c r="AB6" i="57" s="1"/>
  <c r="T4" i="57"/>
  <c r="I4" i="57"/>
  <c r="H4" i="57"/>
  <c r="J4" i="57"/>
  <c r="K4" i="57"/>
  <c r="L4" i="57"/>
  <c r="M4" i="57"/>
  <c r="G19" i="12"/>
  <c r="G6" i="12" s="1"/>
  <c r="AG10" i="57"/>
  <c r="I10" i="57"/>
  <c r="G10" i="57"/>
  <c r="D10" i="57"/>
  <c r="AD10" i="57"/>
  <c r="J10" i="57"/>
  <c r="F10" i="57"/>
  <c r="AE10" i="57"/>
  <c r="AF10" i="57"/>
  <c r="AB10" i="57"/>
  <c r="K10" i="57"/>
  <c r="L10" i="57"/>
  <c r="N10" i="57"/>
  <c r="O10" i="57"/>
  <c r="P10" i="57"/>
  <c r="F5" i="57"/>
  <c r="W5" i="57"/>
  <c r="W6" i="57" s="1"/>
  <c r="AE5" i="57"/>
  <c r="Z5" i="57"/>
  <c r="R5" i="57"/>
  <c r="E5" i="57"/>
  <c r="E6" i="57" s="1"/>
  <c r="AC5" i="57"/>
  <c r="U5" i="57"/>
  <c r="U6" i="57" s="1"/>
  <c r="H5" i="57"/>
  <c r="B11" i="57"/>
  <c r="AB5" i="57"/>
  <c r="T5" i="57"/>
  <c r="T6" i="57"/>
  <c r="G5" i="57"/>
  <c r="G6" i="57"/>
  <c r="AA5" i="57"/>
  <c r="AA6" i="57"/>
  <c r="S5" i="57"/>
  <c r="S6" i="57"/>
  <c r="AD5" i="57"/>
  <c r="AD6" i="57"/>
  <c r="V5" i="57"/>
  <c r="V6" i="57"/>
  <c r="N5" i="57"/>
  <c r="N6" i="57"/>
  <c r="AG5" i="57"/>
  <c r="Y5" i="57"/>
  <c r="Y6" i="57"/>
  <c r="Q5" i="57"/>
  <c r="Q6" i="57"/>
  <c r="D5" i="57"/>
  <c r="D6" i="57"/>
  <c r="AF5" i="57"/>
  <c r="AF6" i="57"/>
  <c r="X5" i="57"/>
  <c r="X6" i="57"/>
  <c r="P5" i="57"/>
  <c r="P6" i="57"/>
  <c r="O5" i="57"/>
  <c r="O6" i="57"/>
  <c r="I5" i="57"/>
  <c r="I6" i="57"/>
  <c r="J5" i="57"/>
  <c r="J6" i="57"/>
  <c r="K5" i="57"/>
  <c r="K6" i="57"/>
  <c r="L5" i="57"/>
  <c r="L6" i="57"/>
  <c r="M5" i="57"/>
  <c r="M6" i="57"/>
  <c r="V13" i="22"/>
  <c r="U13" i="22"/>
  <c r="R13" i="22"/>
  <c r="Q13" i="22"/>
  <c r="O13" i="22"/>
  <c r="N13" i="22"/>
  <c r="M13" i="22"/>
  <c r="L13" i="22"/>
  <c r="K13" i="22"/>
  <c r="J13" i="22"/>
  <c r="I13" i="22"/>
  <c r="H13" i="22"/>
  <c r="G13" i="22"/>
  <c r="F13" i="22"/>
  <c r="E13" i="22"/>
  <c r="D13" i="22"/>
  <c r="V12" i="22"/>
  <c r="U12" i="22"/>
  <c r="R12" i="22"/>
  <c r="Q12" i="22"/>
  <c r="O12" i="22"/>
  <c r="N12" i="22"/>
  <c r="M12" i="22"/>
  <c r="L12" i="22"/>
  <c r="K12" i="22"/>
  <c r="J12" i="22"/>
  <c r="I12" i="22"/>
  <c r="H12" i="22"/>
  <c r="G12" i="22"/>
  <c r="F12" i="22"/>
  <c r="E12" i="22"/>
  <c r="D12" i="22"/>
  <c r="V11" i="22"/>
  <c r="U11" i="22"/>
  <c r="R11" i="22"/>
  <c r="Q11" i="22"/>
  <c r="O11" i="22"/>
  <c r="N11" i="22"/>
  <c r="M11" i="22"/>
  <c r="L11" i="22"/>
  <c r="K11" i="22"/>
  <c r="J11" i="22"/>
  <c r="I11" i="22"/>
  <c r="H11" i="22"/>
  <c r="G11" i="22"/>
  <c r="F11" i="22"/>
  <c r="E11" i="22"/>
  <c r="D11" i="22"/>
  <c r="V10" i="22"/>
  <c r="U10" i="22"/>
  <c r="R10" i="22"/>
  <c r="Q10" i="22"/>
  <c r="O10" i="22"/>
  <c r="N10" i="22"/>
  <c r="M10" i="22"/>
  <c r="L10" i="22"/>
  <c r="K10" i="22"/>
  <c r="J10" i="22"/>
  <c r="I10" i="22"/>
  <c r="H10" i="22"/>
  <c r="G10" i="22"/>
  <c r="F10" i="22"/>
  <c r="E10" i="22"/>
  <c r="D10" i="22"/>
  <c r="X86" i="20"/>
  <c r="X85" i="20"/>
  <c r="G73" i="20"/>
  <c r="E25" i="22"/>
  <c r="D6" i="54"/>
  <c r="H6" i="54"/>
  <c r="I6" i="54"/>
  <c r="J6" i="54" s="1"/>
  <c r="D7" i="54"/>
  <c r="H7" i="54"/>
  <c r="I7" i="54"/>
  <c r="J7" i="54" s="1"/>
  <c r="AB41" i="54" s="1"/>
  <c r="S79" i="43" s="1"/>
  <c r="D8" i="54"/>
  <c r="H8" i="54"/>
  <c r="I8" i="54"/>
  <c r="J8" i="54" s="1"/>
  <c r="S40" i="54" s="1"/>
  <c r="J79" i="44" s="1"/>
  <c r="J79" i="22" s="1"/>
  <c r="D9" i="54"/>
  <c r="H9" i="54"/>
  <c r="I9" i="54"/>
  <c r="J9" i="54" s="1"/>
  <c r="D10" i="54"/>
  <c r="H10" i="54"/>
  <c r="I10" i="54"/>
  <c r="J10" i="54" s="1"/>
  <c r="R40" i="54" s="1"/>
  <c r="I79" i="44" s="1"/>
  <c r="I79" i="22" s="1"/>
  <c r="D11" i="54"/>
  <c r="H11" i="54"/>
  <c r="I11" i="54"/>
  <c r="J11" i="54" s="1"/>
  <c r="D12" i="54"/>
  <c r="H12" i="54"/>
  <c r="I12" i="54"/>
  <c r="J12" i="54" s="1"/>
  <c r="D13" i="54"/>
  <c r="H13" i="54"/>
  <c r="I13" i="54"/>
  <c r="J13" i="54" s="1"/>
  <c r="D14" i="54"/>
  <c r="H14" i="54"/>
  <c r="I14" i="54"/>
  <c r="J14" i="54" s="1"/>
  <c r="D15" i="54"/>
  <c r="H15" i="54"/>
  <c r="I15" i="54"/>
  <c r="J15" i="54" s="1"/>
  <c r="V39" i="54" s="1"/>
  <c r="M79" i="45" s="1"/>
  <c r="D16" i="54"/>
  <c r="H16" i="54"/>
  <c r="I16" i="54"/>
  <c r="J16" i="54" s="1"/>
  <c r="D17" i="54"/>
  <c r="H17" i="54"/>
  <c r="I17" i="54"/>
  <c r="J17" i="54" s="1"/>
  <c r="D18" i="54"/>
  <c r="H18" i="54"/>
  <c r="I18" i="54"/>
  <c r="J18" i="54" s="1"/>
  <c r="P39" i="54" s="1"/>
  <c r="G79" i="45" s="1"/>
  <c r="D19" i="54"/>
  <c r="H19" i="54"/>
  <c r="I19" i="54"/>
  <c r="J19" i="54" s="1"/>
  <c r="D20" i="54"/>
  <c r="H20" i="54"/>
  <c r="I20" i="54"/>
  <c r="J20" i="54" s="1"/>
  <c r="O40" i="54"/>
  <c r="F79" i="44" s="1"/>
  <c r="F79" i="22" s="1"/>
  <c r="V40" i="54"/>
  <c r="M79" i="44" s="1"/>
  <c r="M79" i="22" s="1"/>
  <c r="U39" i="54"/>
  <c r="L79" i="45" s="1"/>
  <c r="U41" i="54"/>
  <c r="L79" i="43" s="1"/>
  <c r="O39" i="54"/>
  <c r="F79" i="45" s="1"/>
  <c r="AC40" i="54"/>
  <c r="T79" i="44" s="1"/>
  <c r="T79" i="22" s="1"/>
  <c r="AB39" i="54"/>
  <c r="S79" i="45" s="1"/>
  <c r="P41" i="54"/>
  <c r="G79" i="43" s="1"/>
  <c r="Q39" i="54"/>
  <c r="H79" i="45" s="1"/>
  <c r="Q40" i="54"/>
  <c r="H79" i="44" s="1"/>
  <c r="Q41" i="54"/>
  <c r="H79" i="43" s="1"/>
  <c r="P40" i="54"/>
  <c r="G79" i="44" s="1"/>
  <c r="G79" i="22" s="1"/>
  <c r="R39" i="54"/>
  <c r="I79" i="45" s="1"/>
  <c r="R41" i="54"/>
  <c r="I79" i="43" s="1"/>
  <c r="T41" i="54"/>
  <c r="K79" i="43" s="1"/>
  <c r="T39" i="54"/>
  <c r="K79" i="45" s="1"/>
  <c r="T40" i="54"/>
  <c r="K79" i="44" s="1"/>
  <c r="X41" i="54"/>
  <c r="O79" i="43" s="1"/>
  <c r="AE40" i="54"/>
  <c r="V79" i="44" s="1"/>
  <c r="V79" i="22" s="1"/>
  <c r="AA40" i="54"/>
  <c r="R79" i="44" s="1"/>
  <c r="R79" i="22" s="1"/>
  <c r="W40" i="54"/>
  <c r="N79" i="44" s="1"/>
  <c r="N79" i="22" s="1"/>
  <c r="AD39" i="54"/>
  <c r="U79" i="45" s="1"/>
  <c r="Z39" i="54"/>
  <c r="Q79" i="45" s="1"/>
  <c r="N39" i="54"/>
  <c r="E79" i="45" s="1"/>
  <c r="AE41" i="54"/>
  <c r="V79" i="43" s="1"/>
  <c r="AA41" i="54"/>
  <c r="R79" i="43" s="1"/>
  <c r="W41" i="54"/>
  <c r="N79" i="43" s="1"/>
  <c r="AD40" i="54"/>
  <c r="U79" i="44" s="1"/>
  <c r="U79" i="22" s="1"/>
  <c r="Z40" i="54"/>
  <c r="Q79" i="44" s="1"/>
  <c r="Q79" i="22" s="1"/>
  <c r="N40" i="54"/>
  <c r="E79" i="44" s="1"/>
  <c r="Y39" i="54"/>
  <c r="P79" i="45" s="1"/>
  <c r="AD41" i="54"/>
  <c r="U79" i="43" s="1"/>
  <c r="Z41" i="54"/>
  <c r="Q79" i="43" s="1"/>
  <c r="N41" i="54"/>
  <c r="E79" i="43" s="1"/>
  <c r="Y40" i="54"/>
  <c r="P79" i="44" s="1"/>
  <c r="P79" i="22" s="1"/>
  <c r="X39" i="54"/>
  <c r="O79" i="45" s="1"/>
  <c r="Y41" i="54"/>
  <c r="P79" i="43" s="1"/>
  <c r="X40" i="54"/>
  <c r="O79" i="44" s="1"/>
  <c r="O79" i="22" s="1"/>
  <c r="AE39" i="54"/>
  <c r="V79" i="45" s="1"/>
  <c r="AA39" i="54"/>
  <c r="R79" i="45" s="1"/>
  <c r="W39" i="54"/>
  <c r="N79" i="45" s="1"/>
  <c r="M39" i="54"/>
  <c r="D79" i="45" s="1"/>
  <c r="M40" i="54"/>
  <c r="D79" i="44" s="1"/>
  <c r="D79" i="22" s="1"/>
  <c r="M41" i="54"/>
  <c r="D79" i="43" s="1"/>
  <c r="ED113" i="50"/>
  <c r="EC113" i="50"/>
  <c r="EB113" i="50"/>
  <c r="ER113" i="50" s="1"/>
  <c r="EA113" i="50"/>
  <c r="DZ113" i="50"/>
  <c r="DY113" i="50"/>
  <c r="DV113" i="50"/>
  <c r="ED112" i="50"/>
  <c r="EC112" i="50"/>
  <c r="EB112" i="50"/>
  <c r="ER112" i="50" s="1"/>
  <c r="EA112" i="50"/>
  <c r="DZ112" i="50"/>
  <c r="DY112" i="50"/>
  <c r="DV112" i="50"/>
  <c r="ED111" i="50"/>
  <c r="EC111" i="50"/>
  <c r="EB111" i="50"/>
  <c r="ER111" i="50" s="1"/>
  <c r="EA111" i="50"/>
  <c r="DZ111" i="50"/>
  <c r="DY111" i="50"/>
  <c r="DV111" i="50"/>
  <c r="ED110" i="50"/>
  <c r="EC110" i="50"/>
  <c r="EB110" i="50"/>
  <c r="ER110" i="50" s="1"/>
  <c r="EA110" i="50"/>
  <c r="DZ110" i="50"/>
  <c r="DY110" i="50"/>
  <c r="DV110" i="50"/>
  <c r="ED109" i="50"/>
  <c r="EC109" i="50"/>
  <c r="EB109" i="50"/>
  <c r="ER109" i="50" s="1"/>
  <c r="EA109" i="50"/>
  <c r="DZ109" i="50"/>
  <c r="DY109" i="50"/>
  <c r="DV109" i="50"/>
  <c r="ED108" i="50"/>
  <c r="EC108" i="50"/>
  <c r="EB108" i="50"/>
  <c r="ER108" i="50" s="1"/>
  <c r="EA108" i="50"/>
  <c r="DZ108" i="50"/>
  <c r="DY108" i="50"/>
  <c r="DV108" i="50"/>
  <c r="ED107" i="50"/>
  <c r="EC107" i="50"/>
  <c r="EB107" i="50"/>
  <c r="ER107" i="50" s="1"/>
  <c r="EA107" i="50"/>
  <c r="DZ107" i="50"/>
  <c r="DY107" i="50"/>
  <c r="DV107" i="50"/>
  <c r="ED106" i="50"/>
  <c r="EC106" i="50"/>
  <c r="EB106" i="50"/>
  <c r="ER106" i="50" s="1"/>
  <c r="EA106" i="50"/>
  <c r="DZ106" i="50"/>
  <c r="DY106" i="50"/>
  <c r="DV106" i="50"/>
  <c r="ED105" i="50"/>
  <c r="EC105" i="50"/>
  <c r="EB105" i="50"/>
  <c r="ER105" i="50" s="1"/>
  <c r="EA105" i="50"/>
  <c r="DZ105" i="50"/>
  <c r="DY105" i="50"/>
  <c r="DV105" i="50"/>
  <c r="ED104" i="50"/>
  <c r="EC104" i="50"/>
  <c r="EB104" i="50"/>
  <c r="ER104" i="50" s="1"/>
  <c r="EA104" i="50"/>
  <c r="DZ104" i="50"/>
  <c r="DY104" i="50"/>
  <c r="DV104" i="50"/>
  <c r="ED103" i="50"/>
  <c r="EC103" i="50"/>
  <c r="EB103" i="50"/>
  <c r="ER103" i="50" s="1"/>
  <c r="EA103" i="50"/>
  <c r="DZ103" i="50"/>
  <c r="DY103" i="50"/>
  <c r="DV103" i="50"/>
  <c r="EB100" i="50"/>
  <c r="ER100" i="50" s="1"/>
  <c r="EB99" i="50"/>
  <c r="ER99" i="50" s="1"/>
  <c r="EB98" i="50"/>
  <c r="ER98" i="50" s="1"/>
  <c r="ED97" i="50"/>
  <c r="ET97" i="50" s="1"/>
  <c r="EC97" i="50"/>
  <c r="ES97" i="50" s="1"/>
  <c r="EB97" i="50"/>
  <c r="ER97" i="50" s="1"/>
  <c r="EB96" i="50"/>
  <c r="ER96" i="50" s="1"/>
  <c r="EB95" i="50"/>
  <c r="ER95" i="50" s="1"/>
  <c r="EB94" i="50"/>
  <c r="ER94" i="50" s="1"/>
  <c r="EB93" i="50"/>
  <c r="ER93" i="50" s="1"/>
  <c r="EB92" i="50"/>
  <c r="ER92" i="50" s="1"/>
  <c r="ED76" i="50"/>
  <c r="EC76" i="50"/>
  <c r="EB76" i="50"/>
  <c r="ER76" i="50" s="1"/>
  <c r="EA76" i="50"/>
  <c r="DZ76" i="50"/>
  <c r="DY76" i="50"/>
  <c r="DW76" i="50"/>
  <c r="DV76" i="50"/>
  <c r="ED75" i="50"/>
  <c r="EC75" i="50"/>
  <c r="EB75" i="50"/>
  <c r="ER75" i="50" s="1"/>
  <c r="EA75" i="50"/>
  <c r="DZ75" i="50"/>
  <c r="DY75" i="50"/>
  <c r="DW75" i="50"/>
  <c r="DV75" i="50"/>
  <c r="ED74" i="50"/>
  <c r="EC74" i="50"/>
  <c r="EB74" i="50"/>
  <c r="ER74" i="50" s="1"/>
  <c r="EA74" i="50"/>
  <c r="DZ74" i="50"/>
  <c r="DY74" i="50"/>
  <c r="DW74" i="50"/>
  <c r="DV74" i="50"/>
  <c r="ED73" i="50"/>
  <c r="EC73" i="50"/>
  <c r="EB73" i="50"/>
  <c r="ER73" i="50"/>
  <c r="EA73" i="50"/>
  <c r="DZ73" i="50"/>
  <c r="DY73" i="50"/>
  <c r="DW73" i="50"/>
  <c r="DV73" i="50"/>
  <c r="ED72" i="50"/>
  <c r="EC72" i="50"/>
  <c r="EB72" i="50"/>
  <c r="ER72" i="50" s="1"/>
  <c r="EA72" i="50"/>
  <c r="DZ72" i="50"/>
  <c r="DY72" i="50"/>
  <c r="DW72" i="50"/>
  <c r="DV72" i="50"/>
  <c r="ED71" i="50"/>
  <c r="EC71" i="50"/>
  <c r="EB71" i="50"/>
  <c r="ER71" i="50" s="1"/>
  <c r="EA71" i="50"/>
  <c r="DZ71" i="50"/>
  <c r="DY71" i="50"/>
  <c r="DW71" i="50"/>
  <c r="DV71" i="50"/>
  <c r="ED70" i="50"/>
  <c r="EC70" i="50"/>
  <c r="EB70" i="50"/>
  <c r="ER70" i="50" s="1"/>
  <c r="EA70" i="50"/>
  <c r="DZ70" i="50"/>
  <c r="DY70" i="50"/>
  <c r="DW70" i="50"/>
  <c r="DV70" i="50"/>
  <c r="ED69" i="50"/>
  <c r="EC69" i="50"/>
  <c r="EB69" i="50"/>
  <c r="ER69" i="50"/>
  <c r="EA69" i="50"/>
  <c r="DZ69" i="50"/>
  <c r="DY69" i="50"/>
  <c r="DW69" i="50"/>
  <c r="DV69" i="50"/>
  <c r="ED68" i="50"/>
  <c r="EC68" i="50"/>
  <c r="EB68" i="50"/>
  <c r="ER68" i="50" s="1"/>
  <c r="EA68" i="50"/>
  <c r="DZ68" i="50"/>
  <c r="DY68" i="50"/>
  <c r="DW68" i="50"/>
  <c r="DV68" i="50"/>
  <c r="ED67" i="50"/>
  <c r="EC67" i="50"/>
  <c r="EB67" i="50"/>
  <c r="ER67" i="50" s="1"/>
  <c r="EA67" i="50"/>
  <c r="DZ67" i="50"/>
  <c r="DY67" i="50"/>
  <c r="DW67" i="50"/>
  <c r="DV67" i="50"/>
  <c r="ED66" i="50"/>
  <c r="EC66" i="50"/>
  <c r="EB66" i="50"/>
  <c r="ER66" i="50" s="1"/>
  <c r="EA66" i="50"/>
  <c r="DZ66" i="50"/>
  <c r="DY66" i="50"/>
  <c r="DW66" i="50"/>
  <c r="DV66" i="50"/>
  <c r="EB63" i="50"/>
  <c r="ER63" i="50" s="1"/>
  <c r="EB62" i="50"/>
  <c r="ER62" i="50"/>
  <c r="EB61" i="50"/>
  <c r="ER61" i="50" s="1"/>
  <c r="ED60" i="50"/>
  <c r="ET60" i="50"/>
  <c r="EC60" i="50"/>
  <c r="ES60" i="50" s="1"/>
  <c r="EB60" i="50"/>
  <c r="ER60" i="50"/>
  <c r="EB59" i="50"/>
  <c r="ER59" i="50" s="1"/>
  <c r="EB58" i="50"/>
  <c r="ER58" i="50"/>
  <c r="EB57" i="50"/>
  <c r="ER57" i="50" s="1"/>
  <c r="EB56" i="50"/>
  <c r="ER56" i="50"/>
  <c r="EB55" i="50"/>
  <c r="ER55" i="50" s="1"/>
  <c r="EQ113" i="50"/>
  <c r="EP113" i="50"/>
  <c r="EO113" i="50"/>
  <c r="EM113" i="50"/>
  <c r="EL113" i="50"/>
  <c r="EQ112" i="50"/>
  <c r="EP112" i="50"/>
  <c r="EO112" i="50"/>
  <c r="EL112" i="50"/>
  <c r="EQ111" i="50"/>
  <c r="EP111" i="50"/>
  <c r="EO111" i="50"/>
  <c r="EL111" i="50"/>
  <c r="EQ110" i="50"/>
  <c r="EP110" i="50"/>
  <c r="EO110" i="50"/>
  <c r="EL110" i="50"/>
  <c r="EQ109" i="50"/>
  <c r="EP109" i="50"/>
  <c r="EO109" i="50"/>
  <c r="EL109" i="50"/>
  <c r="EQ108" i="50"/>
  <c r="EP108" i="50"/>
  <c r="EO108" i="50"/>
  <c r="EL108" i="50"/>
  <c r="EQ107" i="50"/>
  <c r="EP107" i="50"/>
  <c r="EO107" i="50"/>
  <c r="EL107" i="50"/>
  <c r="EQ106" i="50"/>
  <c r="EP106" i="50"/>
  <c r="EO106" i="50"/>
  <c r="EL106" i="50"/>
  <c r="EQ105" i="50"/>
  <c r="EP105" i="50"/>
  <c r="EO105" i="50"/>
  <c r="EL105" i="50"/>
  <c r="EQ104" i="50"/>
  <c r="EP104" i="50"/>
  <c r="EO104" i="50"/>
  <c r="EL104" i="50"/>
  <c r="EQ103" i="50"/>
  <c r="EP103" i="50"/>
  <c r="EO103" i="50"/>
  <c r="EL103" i="50"/>
  <c r="EQ76" i="50"/>
  <c r="EP76" i="50"/>
  <c r="EO76" i="50"/>
  <c r="EM76" i="50"/>
  <c r="EL76" i="50"/>
  <c r="EQ75" i="50"/>
  <c r="EP75" i="50"/>
  <c r="EO75" i="50"/>
  <c r="EM75" i="50"/>
  <c r="EL75" i="50"/>
  <c r="EQ74" i="50"/>
  <c r="EP74" i="50"/>
  <c r="EO74" i="50"/>
  <c r="EM74" i="50"/>
  <c r="EL74" i="50"/>
  <c r="EQ73" i="50"/>
  <c r="EP73" i="50"/>
  <c r="EO73" i="50"/>
  <c r="EM73" i="50"/>
  <c r="EL73" i="50"/>
  <c r="EQ72" i="50"/>
  <c r="EP72" i="50"/>
  <c r="EO72" i="50"/>
  <c r="EM72" i="50"/>
  <c r="EL72" i="50"/>
  <c r="EQ71" i="50"/>
  <c r="EP71" i="50"/>
  <c r="EO71" i="50"/>
  <c r="EM71" i="50"/>
  <c r="EL71" i="50"/>
  <c r="EQ70" i="50"/>
  <c r="EP70" i="50"/>
  <c r="EO70" i="50"/>
  <c r="EM70" i="50"/>
  <c r="EL70" i="50"/>
  <c r="EQ69" i="50"/>
  <c r="EP69" i="50"/>
  <c r="EO69" i="50"/>
  <c r="EM69" i="50"/>
  <c r="EL69" i="50"/>
  <c r="EQ68" i="50"/>
  <c r="EP68" i="50"/>
  <c r="EO68" i="50"/>
  <c r="EM68" i="50"/>
  <c r="EL68" i="50"/>
  <c r="EQ67" i="50"/>
  <c r="EP67" i="50"/>
  <c r="EO67" i="50"/>
  <c r="EM67" i="50"/>
  <c r="EL67" i="50"/>
  <c r="EQ66" i="50"/>
  <c r="EP66" i="50"/>
  <c r="EO66" i="50"/>
  <c r="EM66" i="50"/>
  <c r="EL66" i="50"/>
  <c r="EB26" i="50"/>
  <c r="ER26" i="50"/>
  <c r="EB25" i="50"/>
  <c r="ER25" i="50" s="1"/>
  <c r="EB24" i="50"/>
  <c r="ER24" i="50"/>
  <c r="EB23" i="50"/>
  <c r="ER23" i="50" s="1"/>
  <c r="EB22" i="50"/>
  <c r="ER22" i="50"/>
  <c r="EB21" i="50"/>
  <c r="ER21" i="50" s="1"/>
  <c r="EB20" i="50"/>
  <c r="ER20" i="50"/>
  <c r="EB19" i="50"/>
  <c r="ER19" i="50" s="1"/>
  <c r="EB18" i="50"/>
  <c r="ER18" i="50"/>
  <c r="ED23" i="50"/>
  <c r="ET23" i="50" s="1"/>
  <c r="EC23" i="50"/>
  <c r="ES23" i="50"/>
  <c r="ED39" i="50"/>
  <c r="ED38" i="50"/>
  <c r="ED37" i="50"/>
  <c r="ED36" i="50"/>
  <c r="ED35" i="50"/>
  <c r="ED34" i="50"/>
  <c r="ED33" i="50"/>
  <c r="ED32" i="50"/>
  <c r="ED31" i="50"/>
  <c r="ED30" i="50"/>
  <c r="ED29" i="50"/>
  <c r="EC39" i="50"/>
  <c r="EC38" i="50"/>
  <c r="EC37" i="50"/>
  <c r="EC36" i="50"/>
  <c r="EC35" i="50"/>
  <c r="EC34" i="50"/>
  <c r="EC33" i="50"/>
  <c r="EC32" i="50"/>
  <c r="EC31" i="50"/>
  <c r="EC30" i="50"/>
  <c r="EC29" i="50"/>
  <c r="EB39" i="50"/>
  <c r="ER39" i="50"/>
  <c r="EB38" i="50"/>
  <c r="ER38" i="50" s="1"/>
  <c r="EB37" i="50"/>
  <c r="ER37" i="50"/>
  <c r="EB36" i="50"/>
  <c r="ER36" i="50" s="1"/>
  <c r="EB35" i="50"/>
  <c r="ER35" i="50"/>
  <c r="EB34" i="50"/>
  <c r="ER34" i="50" s="1"/>
  <c r="EB33" i="50"/>
  <c r="ER33" i="50"/>
  <c r="EB32" i="50"/>
  <c r="ER32" i="50" s="1"/>
  <c r="EB31" i="50"/>
  <c r="ER31" i="50"/>
  <c r="EB30" i="50"/>
  <c r="ER30" i="50" s="1"/>
  <c r="EB29" i="50"/>
  <c r="ER29" i="50"/>
  <c r="BW172" i="50"/>
  <c r="BX172" i="50"/>
  <c r="BW173" i="50"/>
  <c r="BX173" i="50"/>
  <c r="BW175" i="50"/>
  <c r="BX175" i="50"/>
  <c r="BW176" i="50"/>
  <c r="BX176" i="50"/>
  <c r="BM227" i="50" a="1"/>
  <c r="BM227" i="50" s="1"/>
  <c r="BL227" i="50" a="1"/>
  <c r="BL234" i="50" s="1"/>
  <c r="BK227" i="50" a="1"/>
  <c r="AI171" i="50"/>
  <c r="AJ171" i="50"/>
  <c r="AI172" i="50"/>
  <c r="AJ172" i="50"/>
  <c r="AI173" i="50"/>
  <c r="AJ173" i="50"/>
  <c r="AI175" i="50"/>
  <c r="AJ175" i="50"/>
  <c r="AI176" i="50"/>
  <c r="AJ176" i="50"/>
  <c r="X171" i="50"/>
  <c r="Y171" i="50"/>
  <c r="Z171" i="50"/>
  <c r="X172" i="50"/>
  <c r="Y172" i="50"/>
  <c r="Z172" i="50"/>
  <c r="X173" i="50"/>
  <c r="Y173" i="50"/>
  <c r="Z173" i="50"/>
  <c r="X175" i="50"/>
  <c r="Y175" i="50"/>
  <c r="Z175" i="50"/>
  <c r="X176" i="50"/>
  <c r="Y176" i="50"/>
  <c r="Z176" i="50"/>
  <c r="AA175" i="50"/>
  <c r="X177" i="50"/>
  <c r="Y177" i="50"/>
  <c r="Z177" i="50"/>
  <c r="AA176" i="50"/>
  <c r="BO136" i="50"/>
  <c r="BP136" i="50"/>
  <c r="BO137" i="50"/>
  <c r="BP137" i="50"/>
  <c r="BO138" i="50"/>
  <c r="BP138" i="50"/>
  <c r="BO139" i="50"/>
  <c r="BP139" i="50"/>
  <c r="BR139" i="50"/>
  <c r="BS139" i="50"/>
  <c r="BO140" i="50"/>
  <c r="BP140" i="50"/>
  <c r="BR140" i="50"/>
  <c r="BS140" i="50"/>
  <c r="BK136" i="50"/>
  <c r="BL136" i="50"/>
  <c r="BK137" i="50"/>
  <c r="BL137" i="50"/>
  <c r="BK138" i="50"/>
  <c r="BL138" i="50"/>
  <c r="BK139" i="50"/>
  <c r="BL139" i="50"/>
  <c r="BM139" i="50"/>
  <c r="BK140" i="50"/>
  <c r="BL140" i="50"/>
  <c r="BM140" i="50"/>
  <c r="BJ136" i="50"/>
  <c r="BJ172" i="50" s="1"/>
  <c r="BJ137" i="50"/>
  <c r="BJ173" i="50" s="1"/>
  <c r="BJ138" i="50"/>
  <c r="BJ175" i="50" s="1"/>
  <c r="BJ139" i="50"/>
  <c r="BJ176" i="50" s="1"/>
  <c r="BJ140" i="50"/>
  <c r="BJ177" i="50" s="1"/>
  <c r="BL176" i="50"/>
  <c r="BM175" i="50"/>
  <c r="BN175" i="50"/>
  <c r="BO175" i="50"/>
  <c r="BM176" i="50"/>
  <c r="BN176" i="50"/>
  <c r="BO176" i="50"/>
  <c r="B127" i="20"/>
  <c r="B126" i="20"/>
  <c r="ET103" i="50"/>
  <c r="FP103" i="50"/>
  <c r="ES104" i="50"/>
  <c r="FO104" i="50"/>
  <c r="ET105" i="50"/>
  <c r="FP105" i="50"/>
  <c r="ES106" i="50"/>
  <c r="FO106" i="50"/>
  <c r="ET107" i="50"/>
  <c r="FP107" i="50"/>
  <c r="ES108" i="50"/>
  <c r="FO108" i="50"/>
  <c r="ET109" i="50"/>
  <c r="FP109" i="50"/>
  <c r="ES110" i="50"/>
  <c r="FO110" i="50"/>
  <c r="ET111" i="50"/>
  <c r="FP111" i="50"/>
  <c r="ES112" i="50"/>
  <c r="FO112" i="50"/>
  <c r="ET113" i="50"/>
  <c r="FP113" i="50"/>
  <c r="ES103" i="50"/>
  <c r="FO103" i="50"/>
  <c r="ET104" i="50"/>
  <c r="FP104" i="50"/>
  <c r="ES105" i="50"/>
  <c r="FO105" i="50"/>
  <c r="ET106" i="50"/>
  <c r="FP106" i="50"/>
  <c r="ES107" i="50"/>
  <c r="FO107" i="50"/>
  <c r="ET108" i="50"/>
  <c r="FP108" i="50"/>
  <c r="ES109" i="50"/>
  <c r="FO109" i="50"/>
  <c r="ET110" i="50"/>
  <c r="FP110" i="50"/>
  <c r="ES111" i="50"/>
  <c r="FO111" i="50"/>
  <c r="ET112" i="50"/>
  <c r="FP112" i="50"/>
  <c r="ES113" i="50"/>
  <c r="FO113" i="50"/>
  <c r="ES66" i="50"/>
  <c r="FO66" i="50"/>
  <c r="ES67" i="50"/>
  <c r="FO67" i="50"/>
  <c r="ES68" i="50"/>
  <c r="FO68" i="50"/>
  <c r="ES69" i="50"/>
  <c r="FO69" i="50"/>
  <c r="ES70" i="50"/>
  <c r="FO70" i="50"/>
  <c r="ES71" i="50"/>
  <c r="FO71" i="50"/>
  <c r="ES72" i="50"/>
  <c r="FO72" i="50"/>
  <c r="ES73" i="50"/>
  <c r="FO73" i="50"/>
  <c r="ES74" i="50"/>
  <c r="FO74" i="50"/>
  <c r="ES75" i="50"/>
  <c r="FO75" i="50"/>
  <c r="ES76" i="50"/>
  <c r="FO76" i="50"/>
  <c r="ET66" i="50"/>
  <c r="FP66" i="50"/>
  <c r="ET67" i="50"/>
  <c r="FP67" i="50"/>
  <c r="ET68" i="50"/>
  <c r="FP68" i="50"/>
  <c r="ET69" i="50"/>
  <c r="FP69" i="50"/>
  <c r="ET70" i="50"/>
  <c r="FP70" i="50"/>
  <c r="ET71" i="50"/>
  <c r="FP71" i="50"/>
  <c r="ET72" i="50"/>
  <c r="FP72" i="50"/>
  <c r="ET73" i="50"/>
  <c r="FP73" i="50"/>
  <c r="ET74" i="50"/>
  <c r="FP74" i="50"/>
  <c r="ET75" i="50"/>
  <c r="FP75" i="50"/>
  <c r="ET76" i="50"/>
  <c r="FP76" i="50"/>
  <c r="ES29" i="50"/>
  <c r="FO29" i="50"/>
  <c r="FO139" i="50" s="1"/>
  <c r="ES31" i="50"/>
  <c r="FO31" i="50"/>
  <c r="FO141" i="50"/>
  <c r="ES33" i="50"/>
  <c r="FO33" i="50"/>
  <c r="FO143" i="50" s="1"/>
  <c r="ES35" i="50"/>
  <c r="FO35" i="50"/>
  <c r="FO145" i="50" s="1"/>
  <c r="ES37" i="50"/>
  <c r="FO37" i="50"/>
  <c r="FO147" i="50" s="1"/>
  <c r="ES39" i="50"/>
  <c r="FO39" i="50"/>
  <c r="FO149" i="50"/>
  <c r="ET30" i="50"/>
  <c r="FP30" i="50"/>
  <c r="FP140" i="50" s="1"/>
  <c r="ET32" i="50"/>
  <c r="FP32" i="50"/>
  <c r="FP142" i="50" s="1"/>
  <c r="ET34" i="50"/>
  <c r="FP34" i="50"/>
  <c r="FP144" i="50" s="1"/>
  <c r="ET36" i="50"/>
  <c r="FP36" i="50"/>
  <c r="FP146" i="50"/>
  <c r="ET38" i="50"/>
  <c r="FP38" i="50"/>
  <c r="FP148" i="50" s="1"/>
  <c r="ES30" i="50"/>
  <c r="FO30" i="50"/>
  <c r="FO140" i="50" s="1"/>
  <c r="ES32" i="50"/>
  <c r="FO32" i="50"/>
  <c r="FO142" i="50" s="1"/>
  <c r="ES34" i="50"/>
  <c r="FO34" i="50"/>
  <c r="FO144" i="50"/>
  <c r="ES36" i="50"/>
  <c r="FO36" i="50"/>
  <c r="FO146" i="50" s="1"/>
  <c r="ES38" i="50"/>
  <c r="FO38" i="50"/>
  <c r="FO148" i="50" s="1"/>
  <c r="ET29" i="50"/>
  <c r="FP29" i="50"/>
  <c r="FP139" i="50" s="1"/>
  <c r="ET31" i="50"/>
  <c r="FP31" i="50"/>
  <c r="FP141" i="50"/>
  <c r="ET33" i="50"/>
  <c r="FP33" i="50"/>
  <c r="FP143" i="50" s="1"/>
  <c r="ET35" i="50"/>
  <c r="FP35" i="50"/>
  <c r="FP145" i="50" s="1"/>
  <c r="ET37" i="50"/>
  <c r="FP37" i="50"/>
  <c r="FP147" i="50" s="1"/>
  <c r="ET39" i="50"/>
  <c r="FP39" i="50"/>
  <c r="FP149" i="50"/>
  <c r="K79" i="22"/>
  <c r="E79" i="22"/>
  <c r="BK227" i="50"/>
  <c r="BK234" i="50"/>
  <c r="BK242" i="50"/>
  <c r="BK246" i="50"/>
  <c r="BK238" i="50"/>
  <c r="BK230" i="50"/>
  <c r="BK248" i="50"/>
  <c r="BK240" i="50"/>
  <c r="BK232" i="50"/>
  <c r="BM240" i="50"/>
  <c r="BK244" i="50"/>
  <c r="BK236" i="50"/>
  <c r="BK228" i="50"/>
  <c r="BM228" i="50"/>
  <c r="BM241" i="50"/>
  <c r="BM233" i="50"/>
  <c r="BL235" i="50"/>
  <c r="BK247" i="50"/>
  <c r="BK245" i="50"/>
  <c r="BK243" i="50"/>
  <c r="BK241" i="50"/>
  <c r="BK239" i="50"/>
  <c r="BK237" i="50"/>
  <c r="BK235" i="50"/>
  <c r="BK233" i="50"/>
  <c r="BK231" i="50"/>
  <c r="BK229" i="50"/>
  <c r="U7" i="22"/>
  <c r="U2" i="22" s="1"/>
  <c r="B123" i="20" s="1"/>
  <c r="U8" i="22"/>
  <c r="U9" i="22"/>
  <c r="L40" i="22"/>
  <c r="D15" i="26"/>
  <c r="BM206" i="50" s="1"/>
  <c r="Q7" i="22"/>
  <c r="Q2" i="22" s="1"/>
  <c r="B119" i="20" s="1"/>
  <c r="N8" i="22"/>
  <c r="O8" i="22"/>
  <c r="Q8" i="22"/>
  <c r="N9" i="22"/>
  <c r="O9" i="22"/>
  <c r="Q9" i="22"/>
  <c r="N14" i="22"/>
  <c r="O14" i="22"/>
  <c r="Q14" i="22"/>
  <c r="N15" i="22"/>
  <c r="O15" i="22"/>
  <c r="Q15" i="22"/>
  <c r="N16" i="22"/>
  <c r="O16" i="22"/>
  <c r="Q16" i="22"/>
  <c r="N17" i="22"/>
  <c r="O17" i="22"/>
  <c r="Q17" i="22"/>
  <c r="N19" i="22"/>
  <c r="O19" i="22"/>
  <c r="Q19" i="22"/>
  <c r="N20" i="22"/>
  <c r="O20" i="22"/>
  <c r="Q20" i="22"/>
  <c r="N21" i="22"/>
  <c r="O21" i="22"/>
  <c r="Q21" i="22"/>
  <c r="N22" i="22"/>
  <c r="O22" i="22"/>
  <c r="Q22" i="22"/>
  <c r="N25" i="22"/>
  <c r="O25" i="22"/>
  <c r="Q25" i="22"/>
  <c r="N26" i="22"/>
  <c r="O26" i="22"/>
  <c r="Q26" i="22"/>
  <c r="N27" i="22"/>
  <c r="O27" i="22"/>
  <c r="Q27" i="22"/>
  <c r="N28" i="22"/>
  <c r="O28" i="22"/>
  <c r="Q28" i="22"/>
  <c r="N29" i="22"/>
  <c r="O29" i="22"/>
  <c r="Q29" i="22"/>
  <c r="N30" i="22"/>
  <c r="O30" i="22"/>
  <c r="Q30" i="22"/>
  <c r="N32" i="22"/>
  <c r="O32" i="22"/>
  <c r="Q32" i="22"/>
  <c r="N33" i="22"/>
  <c r="O33" i="22"/>
  <c r="Q33" i="22"/>
  <c r="N34" i="22"/>
  <c r="O34" i="22"/>
  <c r="Q34" i="22"/>
  <c r="N35" i="22"/>
  <c r="O35" i="22"/>
  <c r="Q35" i="22"/>
  <c r="N36" i="22"/>
  <c r="O36" i="22"/>
  <c r="Q36" i="22"/>
  <c r="N37" i="22"/>
  <c r="O37" i="22"/>
  <c r="Q37" i="22"/>
  <c r="N40" i="22"/>
  <c r="O40" i="22"/>
  <c r="Q40" i="22"/>
  <c r="N42" i="22"/>
  <c r="O42" i="22"/>
  <c r="Q42" i="22"/>
  <c r="N43" i="22"/>
  <c r="O43" i="22"/>
  <c r="Q43" i="22"/>
  <c r="N44" i="22"/>
  <c r="O44" i="22"/>
  <c r="Q44" i="22"/>
  <c r="N46" i="22"/>
  <c r="O46" i="22"/>
  <c r="Q46" i="22"/>
  <c r="Q48" i="22"/>
  <c r="N49" i="22"/>
  <c r="O49" i="22"/>
  <c r="Q49" i="22"/>
  <c r="N51" i="22"/>
  <c r="O51" i="22"/>
  <c r="Q51" i="22"/>
  <c r="N52" i="22"/>
  <c r="O52" i="22"/>
  <c r="Q52" i="22"/>
  <c r="N53" i="22"/>
  <c r="O53" i="22"/>
  <c r="Q53" i="22"/>
  <c r="N54" i="22"/>
  <c r="O54" i="22"/>
  <c r="Q54" i="22"/>
  <c r="N55" i="22"/>
  <c r="O55" i="22"/>
  <c r="Q55" i="22"/>
  <c r="N58" i="22"/>
  <c r="O58" i="22"/>
  <c r="Q58" i="22"/>
  <c r="N59" i="22"/>
  <c r="O59" i="22"/>
  <c r="Q59" i="22"/>
  <c r="N60" i="22"/>
  <c r="O60" i="22"/>
  <c r="Q60" i="22"/>
  <c r="N61" i="22"/>
  <c r="O61" i="22"/>
  <c r="Q61" i="22"/>
  <c r="N62" i="22"/>
  <c r="O62" i="22"/>
  <c r="Q62" i="22"/>
  <c r="N65" i="22"/>
  <c r="O65" i="22"/>
  <c r="Q65" i="22"/>
  <c r="N66" i="22"/>
  <c r="O66" i="22"/>
  <c r="Q66" i="22"/>
  <c r="N67" i="22"/>
  <c r="O67" i="22"/>
  <c r="Q67" i="22"/>
  <c r="N68" i="22"/>
  <c r="O68" i="22"/>
  <c r="Q68" i="22"/>
  <c r="N69" i="22"/>
  <c r="O69" i="22"/>
  <c r="Q69" i="22"/>
  <c r="N72" i="22"/>
  <c r="O72" i="22"/>
  <c r="Q72" i="22"/>
  <c r="N73" i="22"/>
  <c r="O73" i="22"/>
  <c r="Q73" i="22"/>
  <c r="N74" i="22"/>
  <c r="O74" i="22"/>
  <c r="Q74" i="22"/>
  <c r="N76" i="22"/>
  <c r="O76" i="22"/>
  <c r="Q76" i="22"/>
  <c r="N77" i="22"/>
  <c r="O77" i="22"/>
  <c r="Q77" i="22"/>
  <c r="N78" i="22"/>
  <c r="O78" i="22"/>
  <c r="Q78" i="22"/>
  <c r="N90" i="22"/>
  <c r="O90" i="22"/>
  <c r="Q90" i="22"/>
  <c r="N91" i="22"/>
  <c r="O91" i="22"/>
  <c r="Q91" i="22"/>
  <c r="N92" i="22"/>
  <c r="O92" i="22"/>
  <c r="Q92" i="22"/>
  <c r="N93" i="22"/>
  <c r="O93" i="22"/>
  <c r="Q93" i="22"/>
  <c r="N94" i="22"/>
  <c r="O94" i="22"/>
  <c r="Q94" i="22"/>
  <c r="N95" i="22"/>
  <c r="O95" i="22"/>
  <c r="Q95" i="22"/>
  <c r="N96" i="22"/>
  <c r="O96" i="22"/>
  <c r="Q96" i="22"/>
  <c r="N97" i="22"/>
  <c r="O97" i="22"/>
  <c r="Q97" i="22"/>
  <c r="N98" i="22"/>
  <c r="O98" i="22"/>
  <c r="Q98" i="22"/>
  <c r="N99" i="22"/>
  <c r="O99" i="22"/>
  <c r="Q99" i="22"/>
  <c r="N100" i="22"/>
  <c r="O100" i="22"/>
  <c r="Q100" i="22"/>
  <c r="N101" i="22"/>
  <c r="O101" i="22"/>
  <c r="Q101" i="22"/>
  <c r="N102" i="22"/>
  <c r="O102" i="22"/>
  <c r="Q102" i="22"/>
  <c r="N103" i="22"/>
  <c r="O103" i="22"/>
  <c r="Q103" i="22"/>
  <c r="N105" i="22"/>
  <c r="O105" i="22"/>
  <c r="Q105" i="22"/>
  <c r="N106" i="22"/>
  <c r="O106" i="22"/>
  <c r="Q106" i="22"/>
  <c r="N107" i="22"/>
  <c r="O107" i="22"/>
  <c r="Q107" i="22"/>
  <c r="N108" i="22"/>
  <c r="O108" i="22"/>
  <c r="Q108" i="22"/>
  <c r="N109" i="22"/>
  <c r="O109" i="22"/>
  <c r="Q109" i="22"/>
  <c r="N110" i="22"/>
  <c r="O110" i="22"/>
  <c r="Q110" i="22"/>
  <c r="N111" i="22"/>
  <c r="O111" i="22"/>
  <c r="Q111" i="22"/>
  <c r="N113" i="22"/>
  <c r="O113" i="22"/>
  <c r="Q113" i="22"/>
  <c r="N114" i="22"/>
  <c r="O114" i="22"/>
  <c r="Q114" i="22"/>
  <c r="N115" i="22"/>
  <c r="O115" i="22"/>
  <c r="Q115" i="22"/>
  <c r="N116" i="22"/>
  <c r="O116" i="22"/>
  <c r="Q116" i="22"/>
  <c r="N117" i="22"/>
  <c r="O117" i="22"/>
  <c r="Q117" i="22"/>
  <c r="N119" i="22"/>
  <c r="O119" i="22"/>
  <c r="Q119" i="22"/>
  <c r="N120" i="22"/>
  <c r="Q120" i="22"/>
  <c r="N122" i="22"/>
  <c r="O122" i="22"/>
  <c r="Q122" i="22"/>
  <c r="N123" i="22"/>
  <c r="O123" i="22"/>
  <c r="Q123" i="22"/>
  <c r="N124" i="22"/>
  <c r="O124" i="22"/>
  <c r="Q124" i="22"/>
  <c r="N135" i="22"/>
  <c r="O135" i="22"/>
  <c r="Q135" i="22"/>
  <c r="N136" i="22"/>
  <c r="O136" i="22"/>
  <c r="Q136" i="22"/>
  <c r="N137" i="22"/>
  <c r="O137" i="22"/>
  <c r="Q137" i="22"/>
  <c r="N138" i="22"/>
  <c r="O138" i="22"/>
  <c r="Q138" i="22"/>
  <c r="N139" i="22"/>
  <c r="O139" i="22"/>
  <c r="Q139" i="22"/>
  <c r="N140" i="22"/>
  <c r="O140" i="22"/>
  <c r="Q140" i="22"/>
  <c r="N141" i="22"/>
  <c r="O141" i="22"/>
  <c r="Q141" i="22"/>
  <c r="N142" i="22"/>
  <c r="O142" i="22"/>
  <c r="Q142" i="22"/>
  <c r="N143" i="22"/>
  <c r="O143" i="22"/>
  <c r="Q143" i="22"/>
  <c r="N144" i="22"/>
  <c r="O144" i="22"/>
  <c r="Q144" i="22"/>
  <c r="N145" i="22"/>
  <c r="O145" i="22"/>
  <c r="Q145" i="22"/>
  <c r="N146" i="22"/>
  <c r="O146" i="22"/>
  <c r="Q146" i="22"/>
  <c r="N147" i="22"/>
  <c r="O147" i="22"/>
  <c r="Q147" i="22"/>
  <c r="N148" i="22"/>
  <c r="O148" i="22"/>
  <c r="Q148" i="22"/>
  <c r="N149" i="22"/>
  <c r="O149" i="22"/>
  <c r="Q149" i="22"/>
  <c r="N151" i="22"/>
  <c r="O151" i="22"/>
  <c r="Q151" i="22"/>
  <c r="N152" i="22"/>
  <c r="O152" i="22"/>
  <c r="Q152" i="22"/>
  <c r="N153" i="22"/>
  <c r="O153" i="22"/>
  <c r="Q153" i="22"/>
  <c r="N154" i="22"/>
  <c r="O154" i="22"/>
  <c r="Q154" i="22"/>
  <c r="N155" i="22"/>
  <c r="O155" i="22"/>
  <c r="Q155" i="22"/>
  <c r="N156" i="22"/>
  <c r="O156" i="22"/>
  <c r="Q156" i="22"/>
  <c r="N203" i="22"/>
  <c r="O203" i="22"/>
  <c r="Q203" i="22"/>
  <c r="N204" i="22"/>
  <c r="O204" i="22"/>
  <c r="Q204" i="22"/>
  <c r="N205" i="22"/>
  <c r="O205" i="22"/>
  <c r="Q205" i="22"/>
  <c r="N206" i="22"/>
  <c r="O206" i="22"/>
  <c r="Q206" i="22"/>
  <c r="N207" i="22"/>
  <c r="O207" i="22"/>
  <c r="Q207" i="22"/>
  <c r="N208" i="22"/>
  <c r="O208" i="22"/>
  <c r="Q208" i="22"/>
  <c r="N209" i="22"/>
  <c r="O209" i="22"/>
  <c r="Q209" i="22"/>
  <c r="N210" i="22"/>
  <c r="O210" i="22"/>
  <c r="Q210" i="22"/>
  <c r="N211" i="22"/>
  <c r="O211" i="22"/>
  <c r="Q211" i="22"/>
  <c r="N213" i="22"/>
  <c r="O213" i="22"/>
  <c r="Q213" i="22"/>
  <c r="N214" i="22"/>
  <c r="O214" i="22"/>
  <c r="Q214" i="22"/>
  <c r="N215" i="22"/>
  <c r="O215" i="22"/>
  <c r="Q215" i="22"/>
  <c r="N221" i="22"/>
  <c r="O221" i="22"/>
  <c r="Q221" i="22"/>
  <c r="N222" i="22"/>
  <c r="O222" i="22"/>
  <c r="Q222" i="22"/>
  <c r="N223" i="22"/>
  <c r="O223" i="22"/>
  <c r="Q223" i="22"/>
  <c r="N224" i="22"/>
  <c r="O224" i="22"/>
  <c r="Q224" i="22"/>
  <c r="N225" i="22"/>
  <c r="O225" i="22"/>
  <c r="Q225" i="22"/>
  <c r="N226" i="22"/>
  <c r="O226" i="22"/>
  <c r="Q226" i="22"/>
  <c r="N227" i="22"/>
  <c r="O227" i="22"/>
  <c r="Q227" i="22"/>
  <c r="N228" i="22"/>
  <c r="O228" i="22"/>
  <c r="Q228" i="22"/>
  <c r="N229" i="22"/>
  <c r="O229" i="22"/>
  <c r="Q229" i="22"/>
  <c r="N230" i="22"/>
  <c r="O230" i="22"/>
  <c r="Q230" i="22"/>
  <c r="N233" i="22"/>
  <c r="O233" i="22"/>
  <c r="Q233" i="22"/>
  <c r="N234" i="22"/>
  <c r="O234" i="22"/>
  <c r="Q234" i="22"/>
  <c r="O237" i="22"/>
  <c r="Q237" i="22"/>
  <c r="N239" i="22"/>
  <c r="O239" i="22"/>
  <c r="Q239" i="22"/>
  <c r="N241" i="22"/>
  <c r="O241" i="22"/>
  <c r="Q241" i="22"/>
  <c r="N242" i="22"/>
  <c r="O242" i="22"/>
  <c r="Q242" i="22"/>
  <c r="N243" i="22"/>
  <c r="O243" i="22"/>
  <c r="Q243" i="22"/>
  <c r="O231" i="22"/>
  <c r="Q39" i="22"/>
  <c r="Q31" i="22"/>
  <c r="O31" i="22"/>
  <c r="N31" i="22"/>
  <c r="N235" i="22"/>
  <c r="N39" i="22"/>
  <c r="O220" i="22"/>
  <c r="O41" i="22"/>
  <c r="O39" i="22"/>
  <c r="Q232" i="22"/>
  <c r="N220" i="22"/>
  <c r="N41" i="22"/>
  <c r="Q41" i="22"/>
  <c r="O238" i="22"/>
  <c r="Q238" i="22"/>
  <c r="N238" i="22"/>
  <c r="Q219" i="22"/>
  <c r="Q220" i="22"/>
  <c r="Q235" i="22"/>
  <c r="O235" i="22"/>
  <c r="Q218" i="22"/>
  <c r="AT82" i="50"/>
  <c r="AV81" i="50"/>
  <c r="BX104" i="50"/>
  <c r="BX103" i="50"/>
  <c r="BX102" i="50"/>
  <c r="BX101" i="50"/>
  <c r="BT137" i="50" s="1"/>
  <c r="BX100" i="50"/>
  <c r="BT136" i="50"/>
  <c r="BX99" i="50"/>
  <c r="BT135" i="50" s="1"/>
  <c r="BX98" i="50"/>
  <c r="BT134" i="50"/>
  <c r="BX97" i="50"/>
  <c r="BT133" i="50" s="1"/>
  <c r="BX96" i="50"/>
  <c r="BT132" i="50"/>
  <c r="BX95" i="50"/>
  <c r="BT131" i="50" s="1"/>
  <c r="BX94" i="50"/>
  <c r="BT130" i="50"/>
  <c r="BX93" i="50"/>
  <c r="BT129" i="50" s="1"/>
  <c r="BX92" i="50"/>
  <c r="BT128" i="50"/>
  <c r="BX91" i="50"/>
  <c r="BT127" i="50" s="1"/>
  <c r="BX90" i="50"/>
  <c r="BT126" i="50"/>
  <c r="BX89" i="50"/>
  <c r="BT125" i="50" s="1"/>
  <c r="BX88" i="50"/>
  <c r="BT124" i="50"/>
  <c r="BX87" i="50"/>
  <c r="BX86" i="50"/>
  <c r="BX85" i="50"/>
  <c r="BX84" i="50"/>
  <c r="DL84" i="50"/>
  <c r="BX83" i="50"/>
  <c r="BX67" i="50"/>
  <c r="BX66" i="50"/>
  <c r="BX65" i="50"/>
  <c r="BX64" i="50"/>
  <c r="BQ137" i="50" s="1"/>
  <c r="BX63" i="50"/>
  <c r="BQ136" i="50"/>
  <c r="BX62" i="50"/>
  <c r="BX61" i="50"/>
  <c r="BX60" i="50"/>
  <c r="BX59" i="50"/>
  <c r="BX58" i="50"/>
  <c r="BX57" i="50"/>
  <c r="DL57" i="50"/>
  <c r="BX56" i="50"/>
  <c r="DL56" i="50" s="1"/>
  <c r="BX55" i="50"/>
  <c r="BX54" i="50"/>
  <c r="BX53" i="50"/>
  <c r="BX52" i="50"/>
  <c r="BX51" i="50"/>
  <c r="BX50" i="50"/>
  <c r="BX49" i="50"/>
  <c r="BX48" i="50"/>
  <c r="BX47" i="50"/>
  <c r="BX46" i="50"/>
  <c r="BX30" i="50"/>
  <c r="BN140" i="50" s="1"/>
  <c r="BX29" i="50"/>
  <c r="BN139" i="50"/>
  <c r="BN138" i="50"/>
  <c r="BX27" i="50"/>
  <c r="BN137" i="50" s="1"/>
  <c r="BX26" i="50"/>
  <c r="BN136" i="50"/>
  <c r="BX25" i="50"/>
  <c r="BX24" i="50"/>
  <c r="BX23" i="50"/>
  <c r="BX22" i="50"/>
  <c r="BX21" i="50"/>
  <c r="BX20" i="50"/>
  <c r="BX19" i="50"/>
  <c r="BX18" i="50"/>
  <c r="DL18" i="50" s="1"/>
  <c r="BX17" i="50"/>
  <c r="BX16" i="50"/>
  <c r="BX15" i="50"/>
  <c r="BX14" i="50"/>
  <c r="BX13" i="50"/>
  <c r="BX12" i="50"/>
  <c r="BX11" i="50"/>
  <c r="BX10" i="50"/>
  <c r="BX9" i="50"/>
  <c r="DI83" i="50"/>
  <c r="DJ83" i="50"/>
  <c r="DK83" i="50"/>
  <c r="DI84" i="50"/>
  <c r="DJ84" i="50"/>
  <c r="DK84" i="50"/>
  <c r="DI85" i="50"/>
  <c r="DJ85" i="50"/>
  <c r="DK85" i="50"/>
  <c r="DI86" i="50"/>
  <c r="DJ86" i="50"/>
  <c r="DK86" i="50"/>
  <c r="DI87" i="50"/>
  <c r="DJ87" i="50"/>
  <c r="DK87" i="50"/>
  <c r="GB87" i="50" s="1"/>
  <c r="DI88" i="50"/>
  <c r="DJ88" i="50"/>
  <c r="DK88" i="50"/>
  <c r="GB88" i="50" s="1"/>
  <c r="DI89" i="50"/>
  <c r="DJ89" i="50"/>
  <c r="DK89" i="50"/>
  <c r="GB89" i="50" s="1"/>
  <c r="DI90" i="50"/>
  <c r="DJ90" i="50"/>
  <c r="DK90" i="50"/>
  <c r="GB90" i="50" s="1"/>
  <c r="DI91" i="50"/>
  <c r="DJ91" i="50"/>
  <c r="DK91" i="50"/>
  <c r="GB91" i="50" s="1"/>
  <c r="DI92" i="50"/>
  <c r="DJ92" i="50"/>
  <c r="DK92" i="50"/>
  <c r="GB92" i="50" s="1"/>
  <c r="DI93" i="50"/>
  <c r="DJ93" i="50"/>
  <c r="DK93" i="50"/>
  <c r="GB93" i="50" s="1"/>
  <c r="DI94" i="50"/>
  <c r="DJ94" i="50"/>
  <c r="DK94" i="50"/>
  <c r="GB94" i="50" s="1"/>
  <c r="DI95" i="50"/>
  <c r="DJ95" i="50"/>
  <c r="DK95" i="50"/>
  <c r="GB95" i="50" s="1"/>
  <c r="DI96" i="50"/>
  <c r="DJ96" i="50"/>
  <c r="DK96" i="50"/>
  <c r="GB96" i="50" s="1"/>
  <c r="DI97" i="50"/>
  <c r="DJ97" i="50"/>
  <c r="DK97" i="50"/>
  <c r="GB97" i="50" s="1"/>
  <c r="DI98" i="50"/>
  <c r="DJ98" i="50"/>
  <c r="DK98" i="50"/>
  <c r="GB98" i="50" s="1"/>
  <c r="DI99" i="50"/>
  <c r="DJ99" i="50"/>
  <c r="DK99" i="50"/>
  <c r="GB99" i="50" s="1"/>
  <c r="DI100" i="50"/>
  <c r="DJ100" i="50"/>
  <c r="DK100" i="50"/>
  <c r="GB100" i="50" s="1"/>
  <c r="DI101" i="50"/>
  <c r="DJ101" i="50"/>
  <c r="DK101" i="50"/>
  <c r="GB101" i="50" s="1"/>
  <c r="DI102" i="50"/>
  <c r="DJ102" i="50"/>
  <c r="EV102" i="50"/>
  <c r="DK102" i="50"/>
  <c r="DI103" i="50"/>
  <c r="EU103" i="50"/>
  <c r="DJ103" i="50"/>
  <c r="EV103" i="50"/>
  <c r="DK103" i="50"/>
  <c r="EW103" i="50"/>
  <c r="DI104" i="50"/>
  <c r="EU104" i="50"/>
  <c r="DJ104" i="50"/>
  <c r="EV104" i="50"/>
  <c r="DK104" i="50"/>
  <c r="EW104" i="50"/>
  <c r="DI46" i="50"/>
  <c r="DJ46" i="50"/>
  <c r="DK46" i="50"/>
  <c r="DI47" i="50"/>
  <c r="DJ47" i="50"/>
  <c r="DK47" i="50"/>
  <c r="DI48" i="50"/>
  <c r="DJ48" i="50"/>
  <c r="DK48" i="50"/>
  <c r="DI49" i="50"/>
  <c r="DJ49" i="50"/>
  <c r="DK49" i="50"/>
  <c r="DI50" i="50"/>
  <c r="DJ50" i="50"/>
  <c r="DK50" i="50"/>
  <c r="DI51" i="50"/>
  <c r="DJ51" i="50"/>
  <c r="DK51" i="50"/>
  <c r="DI52" i="50"/>
  <c r="DJ52" i="50"/>
  <c r="DK52" i="50"/>
  <c r="DI53" i="50"/>
  <c r="DJ53" i="50"/>
  <c r="DK53" i="50"/>
  <c r="DI54" i="50"/>
  <c r="DJ54" i="50"/>
  <c r="DK54" i="50"/>
  <c r="DI55" i="50"/>
  <c r="DJ55" i="50"/>
  <c r="DK55" i="50"/>
  <c r="DI56" i="50"/>
  <c r="DJ56" i="50"/>
  <c r="DK56" i="50"/>
  <c r="DI57" i="50"/>
  <c r="DJ57" i="50"/>
  <c r="DK57" i="50"/>
  <c r="DI58" i="50"/>
  <c r="DJ58" i="50"/>
  <c r="DK58" i="50"/>
  <c r="DI59" i="50"/>
  <c r="DJ59" i="50"/>
  <c r="DK59" i="50"/>
  <c r="DI60" i="50"/>
  <c r="DJ60" i="50"/>
  <c r="DK60" i="50"/>
  <c r="DI61" i="50"/>
  <c r="DJ61" i="50"/>
  <c r="DK61" i="50"/>
  <c r="DI62" i="50"/>
  <c r="DJ62" i="50"/>
  <c r="DK62" i="50"/>
  <c r="DI63" i="50"/>
  <c r="DJ63" i="50"/>
  <c r="DK63" i="50"/>
  <c r="DI64" i="50"/>
  <c r="DJ64" i="50"/>
  <c r="DK64" i="50"/>
  <c r="DI65" i="50"/>
  <c r="EU65" i="50"/>
  <c r="DJ65" i="50"/>
  <c r="EV65" i="50"/>
  <c r="DK65" i="50"/>
  <c r="EW65" i="50"/>
  <c r="DI66" i="50"/>
  <c r="EU66" i="50"/>
  <c r="DJ66" i="50"/>
  <c r="EV66" i="50"/>
  <c r="DK66" i="50"/>
  <c r="EW66" i="50"/>
  <c r="DI67" i="50"/>
  <c r="EU67" i="50"/>
  <c r="DJ67" i="50"/>
  <c r="EV67" i="50"/>
  <c r="DK67" i="50"/>
  <c r="EW67" i="50"/>
  <c r="DI9" i="50"/>
  <c r="DJ9" i="50"/>
  <c r="DK9" i="50"/>
  <c r="DI10" i="50"/>
  <c r="DJ10" i="50"/>
  <c r="DK10" i="50"/>
  <c r="DI11" i="50"/>
  <c r="DJ11" i="50"/>
  <c r="DK11" i="50"/>
  <c r="DI12" i="50"/>
  <c r="DJ12" i="50"/>
  <c r="DK12" i="50"/>
  <c r="DI13" i="50"/>
  <c r="DJ13" i="50"/>
  <c r="DK13" i="50"/>
  <c r="DI14" i="50"/>
  <c r="DJ14" i="50"/>
  <c r="DK14" i="50"/>
  <c r="DI15" i="50"/>
  <c r="DJ15" i="50"/>
  <c r="DK15" i="50"/>
  <c r="DI16" i="50"/>
  <c r="DJ16" i="50"/>
  <c r="DK16" i="50"/>
  <c r="DI17" i="50"/>
  <c r="DJ17" i="50"/>
  <c r="DK17" i="50"/>
  <c r="DI18" i="50"/>
  <c r="DJ18" i="50"/>
  <c r="DK18" i="50"/>
  <c r="DI19" i="50"/>
  <c r="DJ19" i="50"/>
  <c r="DK19" i="50"/>
  <c r="DI20" i="50"/>
  <c r="DJ20" i="50"/>
  <c r="DK20" i="50"/>
  <c r="DI21" i="50"/>
  <c r="DJ21" i="50"/>
  <c r="DK21" i="50"/>
  <c r="DI22" i="50"/>
  <c r="DJ22" i="50"/>
  <c r="DK22" i="50"/>
  <c r="DI23" i="50"/>
  <c r="DJ23" i="50"/>
  <c r="DK23" i="50"/>
  <c r="DI24" i="50"/>
  <c r="DJ24" i="50"/>
  <c r="DK24" i="50"/>
  <c r="DI25" i="50"/>
  <c r="DJ25" i="50"/>
  <c r="DK25" i="50"/>
  <c r="DI26" i="50"/>
  <c r="DJ26" i="50"/>
  <c r="DK26" i="50"/>
  <c r="DI27" i="50"/>
  <c r="DJ27" i="50"/>
  <c r="DK27" i="50"/>
  <c r="DI29" i="50"/>
  <c r="EU29" i="50"/>
  <c r="DJ29" i="50"/>
  <c r="EV29" i="50"/>
  <c r="DK29" i="50"/>
  <c r="EW29" i="50"/>
  <c r="DI30" i="50"/>
  <c r="EU30" i="50"/>
  <c r="DJ30" i="50"/>
  <c r="EV30" i="50"/>
  <c r="DK30" i="50"/>
  <c r="EW30" i="50"/>
  <c r="CS83" i="50"/>
  <c r="CT83" i="50"/>
  <c r="CU83" i="50"/>
  <c r="CS84" i="50"/>
  <c r="CT84" i="50"/>
  <c r="CU84" i="50"/>
  <c r="CS85" i="50"/>
  <c r="CT85" i="50"/>
  <c r="CU85" i="50"/>
  <c r="CS86" i="50"/>
  <c r="CT86" i="50"/>
  <c r="CU86" i="50"/>
  <c r="CS87" i="50"/>
  <c r="CT87" i="50"/>
  <c r="CU87" i="50"/>
  <c r="CS88" i="50"/>
  <c r="CT88" i="50"/>
  <c r="CU88" i="50"/>
  <c r="CS89" i="50"/>
  <c r="CT89" i="50"/>
  <c r="CU89" i="50"/>
  <c r="CS90" i="50"/>
  <c r="CT90" i="50"/>
  <c r="CU90" i="50"/>
  <c r="CS91" i="50"/>
  <c r="CT91" i="50"/>
  <c r="CU91" i="50"/>
  <c r="CS92" i="50"/>
  <c r="CT92" i="50"/>
  <c r="CU92" i="50"/>
  <c r="CS93" i="50"/>
  <c r="CT93" i="50"/>
  <c r="CU93" i="50"/>
  <c r="CS94" i="50"/>
  <c r="CT94" i="50"/>
  <c r="CU94" i="50"/>
  <c r="CS95" i="50"/>
  <c r="CT95" i="50"/>
  <c r="CU95" i="50"/>
  <c r="CS96" i="50"/>
  <c r="CT96" i="50"/>
  <c r="CU96" i="50"/>
  <c r="CS97" i="50"/>
  <c r="CT97" i="50"/>
  <c r="CU97" i="50"/>
  <c r="CS98" i="50"/>
  <c r="CT98" i="50"/>
  <c r="CU98" i="50"/>
  <c r="CS99" i="50"/>
  <c r="CT99" i="50"/>
  <c r="CU99" i="50"/>
  <c r="CS100" i="50"/>
  <c r="CT100" i="50"/>
  <c r="CU100" i="50"/>
  <c r="CS101" i="50"/>
  <c r="CT101" i="50"/>
  <c r="CU101" i="50"/>
  <c r="CS102" i="50"/>
  <c r="CT102" i="50"/>
  <c r="EF102" i="50"/>
  <c r="CU102" i="50"/>
  <c r="CS103" i="50"/>
  <c r="EE103" i="50"/>
  <c r="CT103" i="50"/>
  <c r="EF103" i="50"/>
  <c r="CU103" i="50"/>
  <c r="EG103" i="50"/>
  <c r="CS104" i="50"/>
  <c r="EE104" i="50"/>
  <c r="CT104" i="50"/>
  <c r="EF104" i="50"/>
  <c r="CU104" i="50"/>
  <c r="EG104" i="50"/>
  <c r="CS46" i="50"/>
  <c r="CT46" i="50"/>
  <c r="CU46" i="50"/>
  <c r="CS47" i="50"/>
  <c r="CT47" i="50"/>
  <c r="CU47" i="50"/>
  <c r="CS48" i="50"/>
  <c r="CT48" i="50"/>
  <c r="CU48" i="50"/>
  <c r="CS49" i="50"/>
  <c r="CT49" i="50"/>
  <c r="CU49" i="50"/>
  <c r="CS50" i="50"/>
  <c r="CT50" i="50"/>
  <c r="CU50" i="50"/>
  <c r="CS51" i="50"/>
  <c r="CT51" i="50"/>
  <c r="CU51" i="50"/>
  <c r="CS52" i="50"/>
  <c r="CT52" i="50"/>
  <c r="CU52" i="50"/>
  <c r="CS53" i="50"/>
  <c r="CT53" i="50"/>
  <c r="CU53" i="50"/>
  <c r="CS54" i="50"/>
  <c r="CT54" i="50"/>
  <c r="CU54" i="50"/>
  <c r="CS55" i="50"/>
  <c r="CT55" i="50"/>
  <c r="CU55" i="50"/>
  <c r="CS56" i="50"/>
  <c r="CT56" i="50"/>
  <c r="CU56" i="50"/>
  <c r="CS57" i="50"/>
  <c r="CT57" i="50"/>
  <c r="CU57" i="50"/>
  <c r="CS58" i="50"/>
  <c r="CT58" i="50"/>
  <c r="CU58" i="50"/>
  <c r="CS59" i="50"/>
  <c r="CT59" i="50"/>
  <c r="CU59" i="50"/>
  <c r="CS60" i="50"/>
  <c r="CT60" i="50"/>
  <c r="CU60" i="50"/>
  <c r="CS61" i="50"/>
  <c r="CT61" i="50"/>
  <c r="CU61" i="50"/>
  <c r="CS62" i="50"/>
  <c r="CT62" i="50"/>
  <c r="CU62" i="50"/>
  <c r="CS63" i="50"/>
  <c r="CT63" i="50"/>
  <c r="CU63" i="50"/>
  <c r="CS64" i="50"/>
  <c r="CT64" i="50"/>
  <c r="CU64" i="50"/>
  <c r="CS65" i="50"/>
  <c r="EE65" i="50"/>
  <c r="CT65" i="50"/>
  <c r="EF65" i="50"/>
  <c r="CU65" i="50"/>
  <c r="EG65" i="50"/>
  <c r="CS66" i="50"/>
  <c r="EE66" i="50"/>
  <c r="CT66" i="50"/>
  <c r="EF66" i="50"/>
  <c r="CU66" i="50"/>
  <c r="EG66" i="50"/>
  <c r="CS67" i="50"/>
  <c r="EE67" i="50"/>
  <c r="CT67" i="50"/>
  <c r="EF67" i="50"/>
  <c r="CU67" i="50"/>
  <c r="EG67" i="50"/>
  <c r="CT29" i="50"/>
  <c r="EF29" i="50"/>
  <c r="CU29" i="50"/>
  <c r="EG29" i="50"/>
  <c r="CT30" i="50"/>
  <c r="EF30" i="50"/>
  <c r="CU30" i="50"/>
  <c r="EG30" i="50"/>
  <c r="CS9" i="50"/>
  <c r="CS10" i="50"/>
  <c r="CS11" i="50"/>
  <c r="CS12" i="50"/>
  <c r="CS13" i="50"/>
  <c r="CS14" i="50"/>
  <c r="CS15" i="50"/>
  <c r="CS16" i="50"/>
  <c r="CS17" i="50"/>
  <c r="CS18" i="50"/>
  <c r="CS19" i="50"/>
  <c r="CS20" i="50"/>
  <c r="CS21" i="50"/>
  <c r="CS22" i="50"/>
  <c r="CS23" i="50"/>
  <c r="CS24" i="50"/>
  <c r="CS25" i="50"/>
  <c r="CS26" i="50"/>
  <c r="CS27" i="50"/>
  <c r="CS29" i="50"/>
  <c r="EE29" i="50"/>
  <c r="CS30" i="50"/>
  <c r="EE30" i="50"/>
  <c r="AD140" i="50"/>
  <c r="AD139" i="50"/>
  <c r="AD123" i="50"/>
  <c r="AD122" i="50"/>
  <c r="AD121" i="50"/>
  <c r="AD120" i="50"/>
  <c r="AA140" i="50"/>
  <c r="AA139" i="50"/>
  <c r="AA137" i="50"/>
  <c r="AA136" i="50"/>
  <c r="AA135" i="50"/>
  <c r="AA134" i="50"/>
  <c r="AA133" i="50"/>
  <c r="AA132" i="50"/>
  <c r="AA131" i="50"/>
  <c r="AA130" i="50"/>
  <c r="AA129" i="50"/>
  <c r="AA128" i="50"/>
  <c r="AA127" i="50"/>
  <c r="AA126" i="50"/>
  <c r="AA125" i="50"/>
  <c r="AA124" i="50"/>
  <c r="AA123" i="50"/>
  <c r="AA122" i="50"/>
  <c r="AA121" i="50"/>
  <c r="AA120" i="50"/>
  <c r="X120" i="50"/>
  <c r="X121" i="50"/>
  <c r="X122" i="50"/>
  <c r="X123" i="50"/>
  <c r="X124" i="50"/>
  <c r="X125" i="50"/>
  <c r="X126" i="50"/>
  <c r="X127" i="50"/>
  <c r="X128" i="50"/>
  <c r="X129" i="50"/>
  <c r="X130" i="50"/>
  <c r="X131" i="50"/>
  <c r="X132" i="50"/>
  <c r="X133" i="50"/>
  <c r="X134" i="50"/>
  <c r="X135" i="50"/>
  <c r="X136" i="50"/>
  <c r="X137" i="50"/>
  <c r="X138" i="50"/>
  <c r="X139" i="50"/>
  <c r="X140" i="50"/>
  <c r="X119" i="50"/>
  <c r="AJ104" i="50"/>
  <c r="AJ103" i="50"/>
  <c r="AJ67" i="50"/>
  <c r="AJ66" i="50"/>
  <c r="AJ29" i="50"/>
  <c r="AJ30" i="50"/>
  <c r="H81" i="50"/>
  <c r="H44" i="50"/>
  <c r="EV101" i="50"/>
  <c r="GA101" i="50"/>
  <c r="EV99" i="50"/>
  <c r="GA99" i="50"/>
  <c r="EV97" i="50"/>
  <c r="GA97" i="50"/>
  <c r="EV95" i="50"/>
  <c r="GA95" i="50"/>
  <c r="EV93" i="50"/>
  <c r="GA93" i="50"/>
  <c r="EV91" i="50"/>
  <c r="GA91" i="50"/>
  <c r="EV89" i="50"/>
  <c r="GA89" i="50"/>
  <c r="EV87" i="50"/>
  <c r="GA87" i="50"/>
  <c r="EW86" i="50"/>
  <c r="GB86" i="50"/>
  <c r="EV85" i="50"/>
  <c r="GA85" i="50"/>
  <c r="EW84" i="50"/>
  <c r="GB84" i="50"/>
  <c r="EV83" i="50"/>
  <c r="GA83" i="50"/>
  <c r="EV100" i="50"/>
  <c r="GA100" i="50"/>
  <c r="EV98" i="50"/>
  <c r="GA98" i="50"/>
  <c r="EV96" i="50"/>
  <c r="GA96" i="50"/>
  <c r="EV94" i="50"/>
  <c r="GA94" i="50"/>
  <c r="EV92" i="50"/>
  <c r="GA92" i="50"/>
  <c r="EV90" i="50"/>
  <c r="GA90" i="50"/>
  <c r="EV88" i="50"/>
  <c r="GA88" i="50"/>
  <c r="EV86" i="50"/>
  <c r="GA86" i="50"/>
  <c r="EW85" i="50"/>
  <c r="GB85" i="50"/>
  <c r="EV84" i="50"/>
  <c r="GA84" i="50"/>
  <c r="EW83" i="50"/>
  <c r="GB83" i="50"/>
  <c r="EF100" i="50"/>
  <c r="FK100" i="50"/>
  <c r="EF98" i="50"/>
  <c r="FK98" i="50"/>
  <c r="EF96" i="50"/>
  <c r="FK96" i="50"/>
  <c r="EF94" i="50"/>
  <c r="FK94" i="50"/>
  <c r="EF92" i="50"/>
  <c r="FK92" i="50"/>
  <c r="EF90" i="50"/>
  <c r="FK90" i="50"/>
  <c r="EF86" i="50"/>
  <c r="FK86" i="50"/>
  <c r="EF84" i="50"/>
  <c r="FK84" i="50"/>
  <c r="EF99" i="50"/>
  <c r="FK99" i="50"/>
  <c r="EF97" i="50"/>
  <c r="FK97" i="50"/>
  <c r="EF95" i="50"/>
  <c r="FK95" i="50"/>
  <c r="EF93" i="50"/>
  <c r="FK93" i="50"/>
  <c r="EF91" i="50"/>
  <c r="FK91" i="50"/>
  <c r="EF89" i="50"/>
  <c r="FK89" i="50"/>
  <c r="EF87" i="50"/>
  <c r="FK87" i="50"/>
  <c r="EF85" i="50"/>
  <c r="FK85" i="50"/>
  <c r="EF83" i="50"/>
  <c r="FK83" i="50"/>
  <c r="EV64" i="50"/>
  <c r="GA64" i="50"/>
  <c r="EW63" i="50"/>
  <c r="EO136" i="50" s="1"/>
  <c r="GB63" i="50"/>
  <c r="EV62" i="50"/>
  <c r="GA62" i="50"/>
  <c r="EW61" i="50"/>
  <c r="GB61" i="50"/>
  <c r="EV60" i="50"/>
  <c r="GA60" i="50"/>
  <c r="EW59" i="50"/>
  <c r="GB59" i="50"/>
  <c r="EV58" i="50"/>
  <c r="GA58" i="50"/>
  <c r="EW57" i="50"/>
  <c r="GB57" i="50"/>
  <c r="EV56" i="50"/>
  <c r="GA56" i="50"/>
  <c r="EW55" i="50"/>
  <c r="GB55" i="50"/>
  <c r="EV54" i="50"/>
  <c r="GA54" i="50"/>
  <c r="EW53" i="50"/>
  <c r="GB53" i="50"/>
  <c r="EV52" i="50"/>
  <c r="GA52" i="50"/>
  <c r="EW51" i="50"/>
  <c r="GB51" i="50"/>
  <c r="EV50" i="50"/>
  <c r="GA50" i="50"/>
  <c r="EW49" i="50"/>
  <c r="GB49" i="50"/>
  <c r="EV48" i="50"/>
  <c r="GA48" i="50"/>
  <c r="EW47" i="50"/>
  <c r="GB47" i="50"/>
  <c r="EV46" i="50"/>
  <c r="GA46" i="50"/>
  <c r="EW64" i="50"/>
  <c r="EO137" i="50" s="1"/>
  <c r="GB64" i="50"/>
  <c r="EV63" i="50"/>
  <c r="GA63" i="50"/>
  <c r="EW62" i="50"/>
  <c r="GB62" i="50"/>
  <c r="EV61" i="50"/>
  <c r="GA61" i="50"/>
  <c r="EW60" i="50"/>
  <c r="GB60" i="50"/>
  <c r="EV59" i="50"/>
  <c r="GA59" i="50"/>
  <c r="EW58" i="50"/>
  <c r="GB58" i="50"/>
  <c r="EV57" i="50"/>
  <c r="GA57" i="50"/>
  <c r="EW56" i="50"/>
  <c r="GB56" i="50"/>
  <c r="EV55" i="50"/>
  <c r="GA55" i="50"/>
  <c r="EW54" i="50"/>
  <c r="GB54" i="50"/>
  <c r="EV53" i="50"/>
  <c r="GA53" i="50"/>
  <c r="EW52" i="50"/>
  <c r="GB52" i="50"/>
  <c r="EV51" i="50"/>
  <c r="GA51" i="50"/>
  <c r="EW50" i="50"/>
  <c r="GB50" i="50"/>
  <c r="EV49" i="50"/>
  <c r="GA49" i="50"/>
  <c r="EW48" i="50"/>
  <c r="GB48" i="50"/>
  <c r="EV47" i="50"/>
  <c r="GA47" i="50"/>
  <c r="EW46" i="50"/>
  <c r="GB46" i="50"/>
  <c r="EF63" i="50"/>
  <c r="FK63" i="50"/>
  <c r="EF61" i="50"/>
  <c r="FK61" i="50"/>
  <c r="EF59" i="50"/>
  <c r="FK59" i="50"/>
  <c r="EF57" i="50"/>
  <c r="FK57" i="50"/>
  <c r="EF55" i="50"/>
  <c r="FK55" i="50"/>
  <c r="EF53" i="50"/>
  <c r="FK53" i="50"/>
  <c r="EF51" i="50"/>
  <c r="FK51" i="50"/>
  <c r="EF49" i="50"/>
  <c r="FK49" i="50"/>
  <c r="EF47" i="50"/>
  <c r="FK47" i="50"/>
  <c r="EF64" i="50"/>
  <c r="FK64" i="50"/>
  <c r="EF62" i="50"/>
  <c r="FK62" i="50"/>
  <c r="EF60" i="50"/>
  <c r="FK60" i="50"/>
  <c r="EF58" i="50"/>
  <c r="FK58" i="50"/>
  <c r="EF56" i="50"/>
  <c r="FK56" i="50"/>
  <c r="EF54" i="50"/>
  <c r="FK54" i="50"/>
  <c r="EF52" i="50"/>
  <c r="FK52" i="50"/>
  <c r="EF50" i="50"/>
  <c r="FK50" i="50"/>
  <c r="EF48" i="50"/>
  <c r="FK48" i="50"/>
  <c r="EF46" i="50"/>
  <c r="FK46" i="50"/>
  <c r="EV27" i="50"/>
  <c r="GA27" i="50"/>
  <c r="EW26" i="50"/>
  <c r="GB26" i="50"/>
  <c r="EV25" i="50"/>
  <c r="GA25" i="50"/>
  <c r="EW24" i="50"/>
  <c r="GB24" i="50"/>
  <c r="EV23" i="50"/>
  <c r="GA23" i="50"/>
  <c r="EW22" i="50"/>
  <c r="GB22" i="50"/>
  <c r="EV21" i="50"/>
  <c r="GA21" i="50"/>
  <c r="EW20" i="50"/>
  <c r="GB20" i="50"/>
  <c r="EV19" i="50"/>
  <c r="GA19" i="50"/>
  <c r="EW18" i="50"/>
  <c r="GB18" i="50"/>
  <c r="EV17" i="50"/>
  <c r="GA17" i="50"/>
  <c r="EW16" i="50"/>
  <c r="GB16" i="50"/>
  <c r="EV15" i="50"/>
  <c r="GA15" i="50"/>
  <c r="EW14" i="50"/>
  <c r="GB14" i="50"/>
  <c r="EV13" i="50"/>
  <c r="GA13" i="50"/>
  <c r="EW12" i="50"/>
  <c r="GB12" i="50"/>
  <c r="EV11" i="50"/>
  <c r="GA11" i="50"/>
  <c r="EW10" i="50"/>
  <c r="GB10" i="50"/>
  <c r="EV9" i="50"/>
  <c r="GA9" i="50"/>
  <c r="EW27" i="50"/>
  <c r="GB27" i="50"/>
  <c r="EV26" i="50"/>
  <c r="GA26" i="50"/>
  <c r="EW25" i="50"/>
  <c r="GB25" i="50"/>
  <c r="EV24" i="50"/>
  <c r="GA24" i="50"/>
  <c r="EW23" i="50"/>
  <c r="GB23" i="50"/>
  <c r="EV22" i="50"/>
  <c r="GA22" i="50"/>
  <c r="EW21" i="50"/>
  <c r="GB21" i="50"/>
  <c r="EV20" i="50"/>
  <c r="GA20" i="50"/>
  <c r="EW19" i="50"/>
  <c r="GB19" i="50"/>
  <c r="EV18" i="50"/>
  <c r="GA18" i="50"/>
  <c r="EW17" i="50"/>
  <c r="GB17" i="50"/>
  <c r="EV16" i="50"/>
  <c r="GA16" i="50"/>
  <c r="EW15" i="50"/>
  <c r="GB15" i="50"/>
  <c r="EV14" i="50"/>
  <c r="GA14" i="50"/>
  <c r="EW13" i="50"/>
  <c r="GB13" i="50"/>
  <c r="EV12" i="50"/>
  <c r="GA12" i="50"/>
  <c r="EW11" i="50"/>
  <c r="GB11" i="50"/>
  <c r="EV10" i="50"/>
  <c r="GA10" i="50"/>
  <c r="EW9" i="50"/>
  <c r="GB9" i="50"/>
  <c r="FK27" i="50"/>
  <c r="FK26" i="50"/>
  <c r="FK25" i="50"/>
  <c r="FK24" i="50"/>
  <c r="FK23" i="50"/>
  <c r="FK22" i="50"/>
  <c r="FK21" i="50"/>
  <c r="FK20" i="50"/>
  <c r="FK19" i="50"/>
  <c r="FK18" i="50"/>
  <c r="FK17" i="50"/>
  <c r="FK16" i="50"/>
  <c r="FK15" i="50"/>
  <c r="FK14" i="50"/>
  <c r="FK13" i="50"/>
  <c r="FK12" i="50"/>
  <c r="FK11" i="50"/>
  <c r="FK10" i="50"/>
  <c r="FK9" i="50"/>
  <c r="EF88" i="50"/>
  <c r="FK88" i="50"/>
  <c r="EF101" i="50"/>
  <c r="FK101" i="50"/>
  <c r="EW88" i="50"/>
  <c r="EQ124" i="50"/>
  <c r="EW87" i="50"/>
  <c r="EE102" i="50"/>
  <c r="EG101" i="50"/>
  <c r="EP137" i="50" s="1"/>
  <c r="FL101" i="50"/>
  <c r="FU137" i="50"/>
  <c r="EE101" i="50"/>
  <c r="FJ101" i="50"/>
  <c r="EG99" i="50"/>
  <c r="EP135" i="50"/>
  <c r="FL99" i="50"/>
  <c r="FU135" i="50"/>
  <c r="EE99" i="50"/>
  <c r="FJ99" i="50"/>
  <c r="EG97" i="50"/>
  <c r="EP133" i="50"/>
  <c r="FL97" i="50"/>
  <c r="FU133" i="50"/>
  <c r="EE97" i="50"/>
  <c r="FJ97" i="50"/>
  <c r="EG95" i="50"/>
  <c r="EP131" i="50"/>
  <c r="FL95" i="50"/>
  <c r="FU131" i="50" s="1"/>
  <c r="EE95" i="50"/>
  <c r="FJ95" i="50"/>
  <c r="EG93" i="50"/>
  <c r="EP129" i="50" s="1"/>
  <c r="FL93" i="50"/>
  <c r="FU129" i="50"/>
  <c r="EE93" i="50"/>
  <c r="FJ93" i="50"/>
  <c r="EG91" i="50"/>
  <c r="EP127" i="50"/>
  <c r="FL91" i="50"/>
  <c r="FU127" i="50" s="1"/>
  <c r="EE91" i="50"/>
  <c r="FJ91" i="50"/>
  <c r="EG89" i="50"/>
  <c r="EP125" i="50"/>
  <c r="FL89" i="50"/>
  <c r="FU125" i="50"/>
  <c r="EE89" i="50"/>
  <c r="FJ89" i="50"/>
  <c r="EG87" i="50"/>
  <c r="FL87" i="50"/>
  <c r="FU123" i="50" s="1"/>
  <c r="EE87" i="50"/>
  <c r="FJ87" i="50"/>
  <c r="EG85" i="50"/>
  <c r="FL85" i="50"/>
  <c r="FU121" i="50" s="1"/>
  <c r="EE85" i="50"/>
  <c r="FJ85" i="50"/>
  <c r="EG83" i="50"/>
  <c r="FL83" i="50"/>
  <c r="FU119" i="50"/>
  <c r="EE83" i="50"/>
  <c r="FJ83" i="50"/>
  <c r="EW102" i="50"/>
  <c r="EU102" i="50"/>
  <c r="EW100" i="50"/>
  <c r="EQ136" i="50" s="1"/>
  <c r="EU100" i="50"/>
  <c r="FZ100" i="50"/>
  <c r="EW98" i="50"/>
  <c r="EQ134" i="50" s="1"/>
  <c r="EU98" i="50"/>
  <c r="FZ98" i="50"/>
  <c r="EW96" i="50"/>
  <c r="EQ132" i="50" s="1"/>
  <c r="EU96" i="50"/>
  <c r="FZ96" i="50"/>
  <c r="EW94" i="50"/>
  <c r="EQ130" i="50" s="1"/>
  <c r="EU94" i="50"/>
  <c r="FZ94" i="50"/>
  <c r="EW92" i="50"/>
  <c r="EQ128" i="50" s="1"/>
  <c r="EU92" i="50"/>
  <c r="FZ92" i="50"/>
  <c r="EW90" i="50"/>
  <c r="EQ126" i="50" s="1"/>
  <c r="EU90" i="50"/>
  <c r="FZ90" i="50"/>
  <c r="EU88" i="50"/>
  <c r="FZ88" i="50"/>
  <c r="EU86" i="50"/>
  <c r="FZ86" i="50"/>
  <c r="EU84" i="50"/>
  <c r="FZ84" i="50"/>
  <c r="EG102" i="50"/>
  <c r="EG100" i="50"/>
  <c r="EP136" i="50" s="1"/>
  <c r="FL100" i="50"/>
  <c r="FU136" i="50"/>
  <c r="EE100" i="50"/>
  <c r="FJ100" i="50"/>
  <c r="EG98" i="50"/>
  <c r="EP134" i="50"/>
  <c r="FL98" i="50"/>
  <c r="FU134" i="50"/>
  <c r="EE98" i="50"/>
  <c r="FJ98" i="50"/>
  <c r="EG96" i="50"/>
  <c r="EP132" i="50"/>
  <c r="FL96" i="50"/>
  <c r="FU132" i="50"/>
  <c r="EE96" i="50"/>
  <c r="FJ96" i="50"/>
  <c r="EG94" i="50"/>
  <c r="EP130" i="50"/>
  <c r="FL94" i="50"/>
  <c r="FU130" i="50" s="1"/>
  <c r="EE94" i="50"/>
  <c r="FJ94" i="50"/>
  <c r="EG92" i="50"/>
  <c r="EP128" i="50" s="1"/>
  <c r="FL92" i="50"/>
  <c r="FU128" i="50"/>
  <c r="EE92" i="50"/>
  <c r="FJ92" i="50"/>
  <c r="EG90" i="50"/>
  <c r="EP126" i="50" s="1"/>
  <c r="FL90" i="50"/>
  <c r="FU126" i="50" s="1"/>
  <c r="EE90" i="50"/>
  <c r="FJ90" i="50"/>
  <c r="EG88" i="50"/>
  <c r="EP124" i="50" s="1"/>
  <c r="FL88" i="50"/>
  <c r="FU124" i="50" s="1"/>
  <c r="EE88" i="50"/>
  <c r="FJ88" i="50"/>
  <c r="EG86" i="50"/>
  <c r="FL86" i="50"/>
  <c r="FU122" i="50"/>
  <c r="EE86" i="50"/>
  <c r="FJ86" i="50"/>
  <c r="EG84" i="50"/>
  <c r="FL84" i="50"/>
  <c r="FU120" i="50" s="1"/>
  <c r="EE84" i="50"/>
  <c r="FJ84" i="50"/>
  <c r="EW101" i="50"/>
  <c r="EQ137" i="50" s="1"/>
  <c r="EU101" i="50"/>
  <c r="FZ101" i="50"/>
  <c r="EW99" i="50"/>
  <c r="EQ135" i="50" s="1"/>
  <c r="EU99" i="50"/>
  <c r="FZ99" i="50"/>
  <c r="EW97" i="50"/>
  <c r="EQ133" i="50" s="1"/>
  <c r="EU97" i="50"/>
  <c r="FZ97" i="50"/>
  <c r="EW95" i="50"/>
  <c r="EQ131" i="50" s="1"/>
  <c r="EU95" i="50"/>
  <c r="FZ95" i="50"/>
  <c r="EW93" i="50"/>
  <c r="EQ129" i="50" s="1"/>
  <c r="EU93" i="50"/>
  <c r="FZ93" i="50"/>
  <c r="EW91" i="50"/>
  <c r="EQ127" i="50" s="1"/>
  <c r="EU91" i="50"/>
  <c r="FZ91" i="50"/>
  <c r="EW89" i="50"/>
  <c r="EQ125" i="50" s="1"/>
  <c r="EU89" i="50"/>
  <c r="FZ89" i="50"/>
  <c r="EU87" i="50"/>
  <c r="FZ87" i="50"/>
  <c r="EU85" i="50"/>
  <c r="FZ85" i="50"/>
  <c r="EU83" i="50"/>
  <c r="FZ83" i="50"/>
  <c r="EG64" i="50"/>
  <c r="EN137" i="50" s="1"/>
  <c r="FL64" i="50"/>
  <c r="FS137" i="50" s="1"/>
  <c r="EE64" i="50"/>
  <c r="FJ64" i="50"/>
  <c r="EG62" i="50"/>
  <c r="FL62" i="50"/>
  <c r="FS135" i="50" s="1"/>
  <c r="EE62" i="50"/>
  <c r="FJ62" i="50"/>
  <c r="EG60" i="50"/>
  <c r="FL60" i="50"/>
  <c r="FS133" i="50" s="1"/>
  <c r="EE60" i="50"/>
  <c r="FJ60" i="50"/>
  <c r="EG58" i="50"/>
  <c r="FL58" i="50"/>
  <c r="FS131" i="50"/>
  <c r="EE58" i="50"/>
  <c r="FJ58" i="50"/>
  <c r="EG56" i="50"/>
  <c r="FL56" i="50"/>
  <c r="FS129" i="50" s="1"/>
  <c r="EE56" i="50"/>
  <c r="FJ56" i="50"/>
  <c r="EG54" i="50"/>
  <c r="FL54" i="50"/>
  <c r="FS127" i="50" s="1"/>
  <c r="EE54" i="50"/>
  <c r="FJ54" i="50"/>
  <c r="EG52" i="50"/>
  <c r="FL52" i="50"/>
  <c r="FS125" i="50" s="1"/>
  <c r="EE52" i="50"/>
  <c r="FJ52" i="50"/>
  <c r="EG50" i="50"/>
  <c r="FL50" i="50"/>
  <c r="FS123" i="50"/>
  <c r="EE50" i="50"/>
  <c r="FJ50" i="50"/>
  <c r="EG48" i="50"/>
  <c r="FL48" i="50"/>
  <c r="FS121" i="50" s="1"/>
  <c r="EE48" i="50"/>
  <c r="FJ48" i="50"/>
  <c r="EG46" i="50"/>
  <c r="FL46" i="50"/>
  <c r="FS119" i="50" s="1"/>
  <c r="EE46" i="50"/>
  <c r="FJ46" i="50"/>
  <c r="EU63" i="50"/>
  <c r="FZ63" i="50"/>
  <c r="EU61" i="50"/>
  <c r="FZ61" i="50"/>
  <c r="EU59" i="50"/>
  <c r="FZ59" i="50"/>
  <c r="EU57" i="50"/>
  <c r="FZ57" i="50"/>
  <c r="EU55" i="50"/>
  <c r="FZ55" i="50"/>
  <c r="EU53" i="50"/>
  <c r="FZ53" i="50"/>
  <c r="EU51" i="50"/>
  <c r="FZ51" i="50"/>
  <c r="EU49" i="50"/>
  <c r="FZ49" i="50"/>
  <c r="EU47" i="50"/>
  <c r="FZ47" i="50"/>
  <c r="EG63" i="50"/>
  <c r="EN136" i="50"/>
  <c r="FL63" i="50"/>
  <c r="FS136" i="50" s="1"/>
  <c r="EE63" i="50"/>
  <c r="FJ63" i="50"/>
  <c r="EG61" i="50"/>
  <c r="FL61" i="50"/>
  <c r="FS134" i="50" s="1"/>
  <c r="EE61" i="50"/>
  <c r="FJ61" i="50"/>
  <c r="EG59" i="50"/>
  <c r="FL59" i="50"/>
  <c r="FS132" i="50"/>
  <c r="EE59" i="50"/>
  <c r="FJ59" i="50"/>
  <c r="EG57" i="50"/>
  <c r="FL57" i="50"/>
  <c r="FS130" i="50" s="1"/>
  <c r="EE57" i="50"/>
  <c r="FJ57" i="50"/>
  <c r="EG55" i="50"/>
  <c r="FL55" i="50"/>
  <c r="FS128" i="50" s="1"/>
  <c r="EE55" i="50"/>
  <c r="FJ55" i="50"/>
  <c r="EG53" i="50"/>
  <c r="FL53" i="50"/>
  <c r="FS126" i="50"/>
  <c r="EE53" i="50"/>
  <c r="FJ53" i="50"/>
  <c r="EG51" i="50"/>
  <c r="FL51" i="50"/>
  <c r="FS124" i="50"/>
  <c r="EE51" i="50"/>
  <c r="FJ51" i="50"/>
  <c r="EG49" i="50"/>
  <c r="FL49" i="50"/>
  <c r="FS122" i="50" s="1"/>
  <c r="EE49" i="50"/>
  <c r="FJ49" i="50"/>
  <c r="EG47" i="50"/>
  <c r="FL47" i="50"/>
  <c r="FS120" i="50" s="1"/>
  <c r="EE47" i="50"/>
  <c r="FJ47" i="50"/>
  <c r="EU64" i="50"/>
  <c r="FZ64" i="50"/>
  <c r="EU62" i="50"/>
  <c r="FZ62" i="50"/>
  <c r="EU60" i="50"/>
  <c r="FZ60" i="50"/>
  <c r="EU58" i="50"/>
  <c r="FZ58" i="50"/>
  <c r="EU56" i="50"/>
  <c r="FZ56" i="50"/>
  <c r="EU54" i="50"/>
  <c r="FZ54" i="50"/>
  <c r="EU52" i="50"/>
  <c r="FZ52" i="50"/>
  <c r="EU50" i="50"/>
  <c r="FZ50" i="50"/>
  <c r="EU48" i="50"/>
  <c r="FZ48" i="50"/>
  <c r="EU46" i="50"/>
  <c r="FZ46" i="50"/>
  <c r="EE27" i="50"/>
  <c r="FJ27" i="50"/>
  <c r="EE25" i="50"/>
  <c r="FJ25" i="50"/>
  <c r="EE23" i="50"/>
  <c r="FJ23" i="50"/>
  <c r="EE21" i="50"/>
  <c r="FJ21" i="50"/>
  <c r="EE19" i="50"/>
  <c r="FJ19" i="50"/>
  <c r="EE17" i="50"/>
  <c r="FJ17" i="50"/>
  <c r="EE15" i="50"/>
  <c r="FJ15" i="50"/>
  <c r="EE13" i="50"/>
  <c r="FJ13" i="50"/>
  <c r="EE11" i="50"/>
  <c r="FJ11" i="50"/>
  <c r="EE9" i="50"/>
  <c r="FJ9" i="50"/>
  <c r="EU26" i="50"/>
  <c r="FZ26" i="50"/>
  <c r="EU24" i="50"/>
  <c r="FZ24" i="50"/>
  <c r="EU22" i="50"/>
  <c r="FZ22" i="50"/>
  <c r="EU20" i="50"/>
  <c r="FZ20" i="50"/>
  <c r="EU18" i="50"/>
  <c r="FZ18" i="50"/>
  <c r="EU16" i="50"/>
  <c r="FZ16" i="50"/>
  <c r="EU14" i="50"/>
  <c r="FZ14" i="50"/>
  <c r="EU12" i="50"/>
  <c r="FZ12" i="50"/>
  <c r="EU10" i="50"/>
  <c r="FZ10" i="50"/>
  <c r="EE26" i="50"/>
  <c r="FJ26" i="50"/>
  <c r="EE24" i="50"/>
  <c r="FJ24" i="50"/>
  <c r="EE22" i="50"/>
  <c r="FJ22" i="50"/>
  <c r="EE20" i="50"/>
  <c r="FJ20" i="50"/>
  <c r="EE18" i="50"/>
  <c r="FJ18" i="50"/>
  <c r="EE16" i="50"/>
  <c r="FJ16" i="50"/>
  <c r="EE14" i="50"/>
  <c r="FJ14" i="50"/>
  <c r="EE12" i="50"/>
  <c r="FJ12" i="50"/>
  <c r="EE10" i="50"/>
  <c r="FJ10" i="50"/>
  <c r="FL27" i="50"/>
  <c r="FQ137" i="50" s="1"/>
  <c r="FL26" i="50"/>
  <c r="FQ136" i="50"/>
  <c r="FL25" i="50"/>
  <c r="FQ135" i="50" s="1"/>
  <c r="FL24" i="50"/>
  <c r="FQ134" i="50"/>
  <c r="FL23" i="50"/>
  <c r="FQ133" i="50" s="1"/>
  <c r="FL22" i="50"/>
  <c r="FQ132" i="50"/>
  <c r="FL21" i="50"/>
  <c r="FQ131" i="50" s="1"/>
  <c r="FL20" i="50"/>
  <c r="FQ130" i="50"/>
  <c r="FL19" i="50"/>
  <c r="FQ129" i="50" s="1"/>
  <c r="FL18" i="50"/>
  <c r="FQ128" i="50"/>
  <c r="FL17" i="50"/>
  <c r="FQ127" i="50" s="1"/>
  <c r="FL16" i="50"/>
  <c r="FQ126" i="50"/>
  <c r="FL15" i="50"/>
  <c r="FQ125" i="50" s="1"/>
  <c r="FL14" i="50"/>
  <c r="FQ124" i="50"/>
  <c r="FL13" i="50"/>
  <c r="FQ123" i="50" s="1"/>
  <c r="FL12" i="50"/>
  <c r="FQ122" i="50"/>
  <c r="FL11" i="50"/>
  <c r="FQ121" i="50" s="1"/>
  <c r="FL10" i="50"/>
  <c r="FQ120" i="50"/>
  <c r="FL9" i="50"/>
  <c r="FQ119" i="50" s="1"/>
  <c r="EU27" i="50"/>
  <c r="FZ27" i="50"/>
  <c r="EU25" i="50"/>
  <c r="FZ25" i="50"/>
  <c r="EU23" i="50"/>
  <c r="FZ23" i="50"/>
  <c r="EU21" i="50"/>
  <c r="FZ21" i="50"/>
  <c r="EU19" i="50"/>
  <c r="FZ19" i="50"/>
  <c r="EU17" i="50"/>
  <c r="FZ17" i="50"/>
  <c r="EU15" i="50"/>
  <c r="FZ15" i="50"/>
  <c r="EU13" i="50"/>
  <c r="FZ13" i="50"/>
  <c r="EU11" i="50"/>
  <c r="FZ11" i="50"/>
  <c r="EU9" i="50"/>
  <c r="FZ9" i="50"/>
  <c r="DL64" i="50"/>
  <c r="DL29" i="50"/>
  <c r="Z139" i="50"/>
  <c r="DL30" i="50"/>
  <c r="Z140" i="50"/>
  <c r="DL22" i="50"/>
  <c r="DL14" i="50"/>
  <c r="DL101" i="50"/>
  <c r="DL103" i="50"/>
  <c r="BT139" i="50"/>
  <c r="DL102" i="50"/>
  <c r="DL104" i="50"/>
  <c r="BT140" i="50"/>
  <c r="DL66" i="50"/>
  <c r="BQ139" i="50"/>
  <c r="DL65" i="50"/>
  <c r="BQ138" i="50"/>
  <c r="DL67" i="50"/>
  <c r="BQ140" i="50"/>
  <c r="DL16" i="50"/>
  <c r="DL94" i="50"/>
  <c r="DL93" i="50"/>
  <c r="DL92" i="50"/>
  <c r="DL21" i="50"/>
  <c r="DL17" i="50"/>
  <c r="DL100" i="50"/>
  <c r="DL99" i="50"/>
  <c r="DL98" i="50"/>
  <c r="DL97" i="50"/>
  <c r="DL96" i="50"/>
  <c r="DL95" i="50"/>
  <c r="DL91" i="50"/>
  <c r="DL90" i="50"/>
  <c r="DL89" i="50"/>
  <c r="DL88" i="50"/>
  <c r="DL87" i="50"/>
  <c r="DL86" i="50"/>
  <c r="DL85" i="50"/>
  <c r="DL83" i="50"/>
  <c r="DL63" i="50"/>
  <c r="DL61" i="50"/>
  <c r="DL55" i="50"/>
  <c r="DL53" i="50"/>
  <c r="DL48" i="50"/>
  <c r="DL47" i="50"/>
  <c r="DL25" i="50"/>
  <c r="DL9" i="50"/>
  <c r="DL62" i="50"/>
  <c r="DL60" i="50"/>
  <c r="DL59" i="50"/>
  <c r="DL58" i="50"/>
  <c r="DL54" i="50"/>
  <c r="DL52" i="50"/>
  <c r="DL51" i="50"/>
  <c r="DL50" i="50"/>
  <c r="DL49" i="50"/>
  <c r="DL46" i="50"/>
  <c r="DL27" i="50"/>
  <c r="DL26" i="50"/>
  <c r="DL24" i="50"/>
  <c r="DL23" i="50"/>
  <c r="DL20" i="50"/>
  <c r="DL19" i="50"/>
  <c r="DL15" i="50"/>
  <c r="DL13" i="50"/>
  <c r="DL12" i="50"/>
  <c r="DL11" i="50"/>
  <c r="DL10" i="50"/>
  <c r="G50" i="20"/>
  <c r="L46" i="20"/>
  <c r="J46" i="20"/>
  <c r="H46" i="20"/>
  <c r="G8" i="20"/>
  <c r="G7" i="20"/>
  <c r="P1" i="39"/>
  <c r="B29" i="26"/>
  <c r="C28" i="26" s="1"/>
  <c r="D16" i="26" s="1"/>
  <c r="B30" i="26"/>
  <c r="B31" i="26"/>
  <c r="C30" i="26" s="1"/>
  <c r="D17" i="26" s="1"/>
  <c r="B28" i="26"/>
  <c r="D111" i="22"/>
  <c r="E111" i="22"/>
  <c r="F111" i="22"/>
  <c r="G111" i="22"/>
  <c r="H111" i="22"/>
  <c r="I111" i="22"/>
  <c r="J111" i="22"/>
  <c r="K111" i="22"/>
  <c r="L111" i="22"/>
  <c r="M111" i="22"/>
  <c r="R111" i="22"/>
  <c r="U111" i="22"/>
  <c r="V111" i="22"/>
  <c r="G46" i="2"/>
  <c r="G47" i="2"/>
  <c r="V239" i="22"/>
  <c r="U239" i="22"/>
  <c r="R239" i="22"/>
  <c r="M239" i="22"/>
  <c r="L239" i="22"/>
  <c r="K239" i="22"/>
  <c r="J239" i="22"/>
  <c r="I239" i="22"/>
  <c r="H239" i="22"/>
  <c r="G239" i="22"/>
  <c r="F239" i="22"/>
  <c r="E239" i="22"/>
  <c r="D239" i="22"/>
  <c r="Z81" i="1"/>
  <c r="AA81" i="1"/>
  <c r="AB81" i="1"/>
  <c r="AC81" i="1"/>
  <c r="AD81" i="1"/>
  <c r="AE81" i="1"/>
  <c r="AF81" i="1"/>
  <c r="AG81" i="1"/>
  <c r="AH81" i="1"/>
  <c r="AI81" i="1"/>
  <c r="AJ81" i="1"/>
  <c r="AK81" i="1"/>
  <c r="AL81" i="1"/>
  <c r="AM81" i="1"/>
  <c r="AN81" i="1"/>
  <c r="AO81" i="1"/>
  <c r="AP81" i="1"/>
  <c r="AQ81" i="1"/>
  <c r="AR81" i="1"/>
  <c r="AS81" i="1"/>
  <c r="Z89" i="1"/>
  <c r="AA89" i="1"/>
  <c r="AB89" i="1"/>
  <c r="AC89" i="1"/>
  <c r="AD89" i="1"/>
  <c r="AE89" i="1"/>
  <c r="AF89" i="1"/>
  <c r="AG89" i="1"/>
  <c r="AH89" i="1"/>
  <c r="AI89" i="1"/>
  <c r="AJ89" i="1"/>
  <c r="AK89" i="1"/>
  <c r="AL89" i="1"/>
  <c r="AM89" i="1"/>
  <c r="AN89" i="1"/>
  <c r="AO89" i="1"/>
  <c r="AP89" i="1"/>
  <c r="AQ89" i="1"/>
  <c r="AR89" i="1"/>
  <c r="AS89" i="1"/>
  <c r="D221" i="22"/>
  <c r="E221" i="22"/>
  <c r="F221" i="22"/>
  <c r="G221" i="22"/>
  <c r="H221" i="22"/>
  <c r="V221" i="22"/>
  <c r="U221" i="22"/>
  <c r="R221" i="22"/>
  <c r="M221" i="22"/>
  <c r="L221" i="22"/>
  <c r="K221" i="22"/>
  <c r="J221" i="22"/>
  <c r="I221" i="22"/>
  <c r="R237" i="22"/>
  <c r="M237" i="22"/>
  <c r="L238" i="22"/>
  <c r="M238" i="22"/>
  <c r="R238" i="22"/>
  <c r="Y89" i="1"/>
  <c r="X89" i="1"/>
  <c r="W89" i="1"/>
  <c r="V89" i="1"/>
  <c r="U89" i="1"/>
  <c r="T89" i="1"/>
  <c r="S89" i="1"/>
  <c r="R89" i="1"/>
  <c r="Q89" i="1"/>
  <c r="P89" i="1"/>
  <c r="O89" i="1"/>
  <c r="N89" i="1"/>
  <c r="M89" i="1"/>
  <c r="L89" i="1"/>
  <c r="K89" i="1"/>
  <c r="J89" i="1"/>
  <c r="I89" i="1"/>
  <c r="H89" i="1"/>
  <c r="G89" i="1"/>
  <c r="F89" i="1"/>
  <c r="Y81" i="1"/>
  <c r="X81" i="1"/>
  <c r="W81" i="1"/>
  <c r="V81" i="1"/>
  <c r="U81" i="1"/>
  <c r="T81" i="1"/>
  <c r="S81" i="1"/>
  <c r="R81" i="1"/>
  <c r="Q81" i="1"/>
  <c r="P81" i="1"/>
  <c r="O81" i="1"/>
  <c r="N81" i="1"/>
  <c r="M81" i="1"/>
  <c r="L81" i="1"/>
  <c r="K81" i="1"/>
  <c r="J81" i="1"/>
  <c r="I81" i="1"/>
  <c r="H81" i="1"/>
  <c r="G81" i="1"/>
  <c r="F81" i="1"/>
  <c r="D5" i="48"/>
  <c r="V5" i="48"/>
  <c r="P5" i="48"/>
  <c r="K5" i="48"/>
  <c r="BB4" i="50"/>
  <c r="O4" i="50"/>
  <c r="DL113" i="50"/>
  <c r="DK113" i="50"/>
  <c r="DJ113" i="50"/>
  <c r="DH113" i="50"/>
  <c r="DG113" i="50"/>
  <c r="DF113" i="50"/>
  <c r="DE113" i="50"/>
  <c r="DD113" i="50"/>
  <c r="DC113" i="50"/>
  <c r="DB113" i="50"/>
  <c r="DA113" i="50"/>
  <c r="CZ113" i="50"/>
  <c r="DL112" i="50"/>
  <c r="DK112" i="50"/>
  <c r="DJ112" i="50"/>
  <c r="DH112" i="50"/>
  <c r="DG112" i="50"/>
  <c r="DF112" i="50"/>
  <c r="DE112" i="50"/>
  <c r="DD112" i="50"/>
  <c r="DC112" i="50"/>
  <c r="DB112" i="50"/>
  <c r="DA112" i="50"/>
  <c r="CZ112" i="50"/>
  <c r="DL111" i="50"/>
  <c r="DK111" i="50"/>
  <c r="DJ111" i="50"/>
  <c r="DH111" i="50"/>
  <c r="DG111" i="50"/>
  <c r="DF111" i="50"/>
  <c r="DE111" i="50"/>
  <c r="DD111" i="50"/>
  <c r="DC111" i="50"/>
  <c r="DB111" i="50"/>
  <c r="DA111" i="50"/>
  <c r="CZ111" i="50"/>
  <c r="DL110" i="50"/>
  <c r="DK110" i="50"/>
  <c r="DJ110" i="50"/>
  <c r="DH110" i="50"/>
  <c r="DG110" i="50"/>
  <c r="DF110" i="50"/>
  <c r="DE110" i="50"/>
  <c r="DD110" i="50"/>
  <c r="DC110" i="50"/>
  <c r="DB110" i="50"/>
  <c r="DA110" i="50"/>
  <c r="CZ110" i="50"/>
  <c r="DL109" i="50"/>
  <c r="DK109" i="50"/>
  <c r="DJ109" i="50"/>
  <c r="DH109" i="50"/>
  <c r="DG109" i="50"/>
  <c r="DF109" i="50"/>
  <c r="DE109" i="50"/>
  <c r="DD109" i="50"/>
  <c r="DC109" i="50"/>
  <c r="DB109" i="50"/>
  <c r="DA109" i="50"/>
  <c r="CZ109" i="50"/>
  <c r="DL108" i="50"/>
  <c r="DK108" i="50"/>
  <c r="DJ108" i="50"/>
  <c r="DH108" i="50"/>
  <c r="DG108" i="50"/>
  <c r="DF108" i="50"/>
  <c r="DE108" i="50"/>
  <c r="DD108" i="50"/>
  <c r="DC108" i="50"/>
  <c r="DB108" i="50"/>
  <c r="DA108" i="50"/>
  <c r="CZ108" i="50"/>
  <c r="DL107" i="50"/>
  <c r="DK107" i="50"/>
  <c r="DJ107" i="50"/>
  <c r="DH107" i="50"/>
  <c r="DG107" i="50"/>
  <c r="DF107" i="50"/>
  <c r="DE107" i="50"/>
  <c r="DD107" i="50"/>
  <c r="DC107" i="50"/>
  <c r="DB107" i="50"/>
  <c r="DA107" i="50"/>
  <c r="CZ107" i="50"/>
  <c r="DL106" i="50"/>
  <c r="DK106" i="50"/>
  <c r="DJ106" i="50"/>
  <c r="DH106" i="50"/>
  <c r="DG106" i="50"/>
  <c r="DF106" i="50"/>
  <c r="DE106" i="50"/>
  <c r="DD106" i="50"/>
  <c r="DC106" i="50"/>
  <c r="DB106" i="50"/>
  <c r="DA106" i="50"/>
  <c r="CZ106" i="50"/>
  <c r="DL105" i="50"/>
  <c r="DK105" i="50"/>
  <c r="DJ105" i="50"/>
  <c r="DH105" i="50"/>
  <c r="DG105" i="50"/>
  <c r="DF105" i="50"/>
  <c r="DE105" i="50"/>
  <c r="DD105" i="50"/>
  <c r="DC105" i="50"/>
  <c r="DB105" i="50"/>
  <c r="DA105" i="50"/>
  <c r="CZ105" i="50"/>
  <c r="DH104" i="50"/>
  <c r="DG104" i="50"/>
  <c r="DF104" i="50"/>
  <c r="DE104" i="50"/>
  <c r="DD104" i="50"/>
  <c r="DC104" i="50"/>
  <c r="DB104" i="50"/>
  <c r="DA104" i="50"/>
  <c r="CZ104" i="50"/>
  <c r="DH103" i="50"/>
  <c r="DG103" i="50"/>
  <c r="DF103" i="50"/>
  <c r="DE103" i="50"/>
  <c r="DD103" i="50"/>
  <c r="DC103" i="50"/>
  <c r="DB103" i="50"/>
  <c r="DA103" i="50"/>
  <c r="CZ103" i="50"/>
  <c r="DH102" i="50"/>
  <c r="DG102" i="50"/>
  <c r="DF102" i="50"/>
  <c r="DE102" i="50"/>
  <c r="DD102" i="50"/>
  <c r="DC102" i="50"/>
  <c r="DB102" i="50"/>
  <c r="DA102" i="50"/>
  <c r="CZ102" i="50"/>
  <c r="DH101" i="50"/>
  <c r="FY101" i="50" s="1"/>
  <c r="DG101" i="50"/>
  <c r="FX101" i="50" s="1"/>
  <c r="DF101" i="50"/>
  <c r="DE101" i="50"/>
  <c r="DD101" i="50"/>
  <c r="DC101" i="50"/>
  <c r="DB101" i="50"/>
  <c r="FS101" i="50" s="1"/>
  <c r="DA101" i="50"/>
  <c r="CZ101" i="50"/>
  <c r="DH100" i="50"/>
  <c r="FY100" i="50" s="1"/>
  <c r="DG100" i="50"/>
  <c r="FX100" i="50" s="1"/>
  <c r="DF100" i="50"/>
  <c r="FW100" i="50" s="1"/>
  <c r="DE100" i="50"/>
  <c r="FV100" i="50" s="1"/>
  <c r="DD100" i="50"/>
  <c r="FU100" i="50" s="1"/>
  <c r="DC100" i="50"/>
  <c r="FT100" i="50" s="1"/>
  <c r="DB100" i="50"/>
  <c r="FS100" i="50" s="1"/>
  <c r="DA100" i="50"/>
  <c r="CZ100" i="50"/>
  <c r="DH99" i="50"/>
  <c r="FY99" i="50" s="1"/>
  <c r="DG99" i="50"/>
  <c r="FX99" i="50" s="1"/>
  <c r="DF99" i="50"/>
  <c r="FW99" i="50" s="1"/>
  <c r="DE99" i="50"/>
  <c r="FV99" i="50" s="1"/>
  <c r="DD99" i="50"/>
  <c r="FU99" i="50" s="1"/>
  <c r="DC99" i="50"/>
  <c r="FT99" i="50" s="1"/>
  <c r="DB99" i="50"/>
  <c r="FS99" i="50" s="1"/>
  <c r="DA99" i="50"/>
  <c r="CZ99" i="50"/>
  <c r="DH98" i="50"/>
  <c r="FY98" i="50" s="1"/>
  <c r="DG98" i="50"/>
  <c r="FX98" i="50" s="1"/>
  <c r="DF98" i="50"/>
  <c r="FW98" i="50" s="1"/>
  <c r="DE98" i="50"/>
  <c r="FV98" i="50" s="1"/>
  <c r="DD98" i="50"/>
  <c r="FU98" i="50" s="1"/>
  <c r="DC98" i="50"/>
  <c r="FT98" i="50" s="1"/>
  <c r="DB98" i="50"/>
  <c r="FS98" i="50" s="1"/>
  <c r="DA98" i="50"/>
  <c r="CZ98" i="50"/>
  <c r="DH97" i="50"/>
  <c r="FY97" i="50" s="1"/>
  <c r="DG97" i="50"/>
  <c r="FX97" i="50" s="1"/>
  <c r="DF97" i="50"/>
  <c r="FW97" i="50" s="1"/>
  <c r="DE97" i="50"/>
  <c r="FV97" i="50" s="1"/>
  <c r="DD97" i="50"/>
  <c r="FU97" i="50" s="1"/>
  <c r="DC97" i="50"/>
  <c r="FT97" i="50" s="1"/>
  <c r="DB97" i="50"/>
  <c r="FS97" i="50" s="1"/>
  <c r="DA97" i="50"/>
  <c r="CZ97" i="50"/>
  <c r="DH96" i="50"/>
  <c r="FY96" i="50" s="1"/>
  <c r="DG96" i="50"/>
  <c r="FX96" i="50" s="1"/>
  <c r="DF96" i="50"/>
  <c r="FW96" i="50" s="1"/>
  <c r="DE96" i="50"/>
  <c r="FV96" i="50" s="1"/>
  <c r="DD96" i="50"/>
  <c r="FU96" i="50" s="1"/>
  <c r="DC96" i="50"/>
  <c r="FT96" i="50" s="1"/>
  <c r="DB96" i="50"/>
  <c r="FS96" i="50" s="1"/>
  <c r="DA96" i="50"/>
  <c r="CZ96" i="50"/>
  <c r="DH95" i="50"/>
  <c r="FY95" i="50" s="1"/>
  <c r="DG95" i="50"/>
  <c r="FX95" i="50" s="1"/>
  <c r="DF95" i="50"/>
  <c r="FW95" i="50" s="1"/>
  <c r="DE95" i="50"/>
  <c r="FV95" i="50" s="1"/>
  <c r="DD95" i="50"/>
  <c r="FU95" i="50" s="1"/>
  <c r="DC95" i="50"/>
  <c r="FT95" i="50" s="1"/>
  <c r="DB95" i="50"/>
  <c r="FS95" i="50" s="1"/>
  <c r="DA95" i="50"/>
  <c r="CZ95" i="50"/>
  <c r="DH94" i="50"/>
  <c r="FY94" i="50" s="1"/>
  <c r="DG94" i="50"/>
  <c r="FX94" i="50" s="1"/>
  <c r="DF94" i="50"/>
  <c r="FW94" i="50" s="1"/>
  <c r="DE94" i="50"/>
  <c r="FV94" i="50" s="1"/>
  <c r="DD94" i="50"/>
  <c r="FU94" i="50" s="1"/>
  <c r="DC94" i="50"/>
  <c r="FT94" i="50" s="1"/>
  <c r="DB94" i="50"/>
  <c r="FS94" i="50" s="1"/>
  <c r="DA94" i="50"/>
  <c r="CZ94" i="50"/>
  <c r="DH93" i="50"/>
  <c r="FY93" i="50" s="1"/>
  <c r="DG93" i="50"/>
  <c r="FX93" i="50" s="1"/>
  <c r="DF93" i="50"/>
  <c r="FW93" i="50" s="1"/>
  <c r="DE93" i="50"/>
  <c r="FV93" i="50" s="1"/>
  <c r="DD93" i="50"/>
  <c r="FU93" i="50" s="1"/>
  <c r="DC93" i="50"/>
  <c r="FT93" i="50" s="1"/>
  <c r="DB93" i="50"/>
  <c r="FS93" i="50" s="1"/>
  <c r="DA93" i="50"/>
  <c r="CZ93" i="50"/>
  <c r="DH92" i="50"/>
  <c r="FY92" i="50" s="1"/>
  <c r="DG92" i="50"/>
  <c r="FX92" i="50" s="1"/>
  <c r="DF92" i="50"/>
  <c r="FW92" i="50" s="1"/>
  <c r="DE92" i="50"/>
  <c r="FV92" i="50" s="1"/>
  <c r="DD92" i="50"/>
  <c r="FU92" i="50" s="1"/>
  <c r="DC92" i="50"/>
  <c r="FT92" i="50" s="1"/>
  <c r="DB92" i="50"/>
  <c r="FS92" i="50" s="1"/>
  <c r="DA92" i="50"/>
  <c r="CZ92" i="50"/>
  <c r="DH91" i="50"/>
  <c r="FY91" i="50" s="1"/>
  <c r="DG91" i="50"/>
  <c r="FX91" i="50" s="1"/>
  <c r="DF91" i="50"/>
  <c r="FW91" i="50" s="1"/>
  <c r="DE91" i="50"/>
  <c r="FV91" i="50" s="1"/>
  <c r="DD91" i="50"/>
  <c r="FU91" i="50" s="1"/>
  <c r="DC91" i="50"/>
  <c r="FT91" i="50" s="1"/>
  <c r="DB91" i="50"/>
  <c r="FS91" i="50" s="1"/>
  <c r="DA91" i="50"/>
  <c r="CZ91" i="50"/>
  <c r="DH90" i="50"/>
  <c r="FY90" i="50" s="1"/>
  <c r="DG90" i="50"/>
  <c r="FX90" i="50" s="1"/>
  <c r="DF90" i="50"/>
  <c r="FW90" i="50" s="1"/>
  <c r="DE90" i="50"/>
  <c r="FV90" i="50" s="1"/>
  <c r="DD90" i="50"/>
  <c r="FU90" i="50" s="1"/>
  <c r="DC90" i="50"/>
  <c r="FT90" i="50" s="1"/>
  <c r="DB90" i="50"/>
  <c r="FS90" i="50" s="1"/>
  <c r="DA90" i="50"/>
  <c r="CZ90" i="50"/>
  <c r="DH89" i="50"/>
  <c r="FY89" i="50" s="1"/>
  <c r="DG89" i="50"/>
  <c r="FX89" i="50" s="1"/>
  <c r="DF89" i="50"/>
  <c r="FW89" i="50" s="1"/>
  <c r="DE89" i="50"/>
  <c r="FV89" i="50" s="1"/>
  <c r="DD89" i="50"/>
  <c r="FU89" i="50" s="1"/>
  <c r="DC89" i="50"/>
  <c r="FT89" i="50" s="1"/>
  <c r="DB89" i="50"/>
  <c r="FS89" i="50" s="1"/>
  <c r="DA89" i="50"/>
  <c r="CZ89" i="50"/>
  <c r="DH88" i="50"/>
  <c r="FY88" i="50" s="1"/>
  <c r="DG88" i="50"/>
  <c r="FX88" i="50" s="1"/>
  <c r="DF88" i="50"/>
  <c r="FW88" i="50" s="1"/>
  <c r="DE88" i="50"/>
  <c r="FV88" i="50" s="1"/>
  <c r="DD88" i="50"/>
  <c r="FU88" i="50" s="1"/>
  <c r="DC88" i="50"/>
  <c r="FT88" i="50" s="1"/>
  <c r="DB88" i="50"/>
  <c r="FS88" i="50" s="1"/>
  <c r="DA88" i="50"/>
  <c r="CZ88" i="50"/>
  <c r="DH87" i="50"/>
  <c r="FY87" i="50" s="1"/>
  <c r="DG87" i="50"/>
  <c r="FX87" i="50" s="1"/>
  <c r="DF87" i="50"/>
  <c r="FW87" i="50" s="1"/>
  <c r="DE87" i="50"/>
  <c r="FV87" i="50" s="1"/>
  <c r="DD87" i="50"/>
  <c r="FU87" i="50" s="1"/>
  <c r="DC87" i="50"/>
  <c r="FT87" i="50" s="1"/>
  <c r="DB87" i="50"/>
  <c r="FS87" i="50" s="1"/>
  <c r="DA87" i="50"/>
  <c r="CZ87" i="50"/>
  <c r="DH86" i="50"/>
  <c r="FY86" i="50" s="1"/>
  <c r="DG86" i="50"/>
  <c r="FX86" i="50" s="1"/>
  <c r="DF86" i="50"/>
  <c r="FW86" i="50" s="1"/>
  <c r="DE86" i="50"/>
  <c r="FV86" i="50" s="1"/>
  <c r="DD86" i="50"/>
  <c r="FU86" i="50" s="1"/>
  <c r="DC86" i="50"/>
  <c r="FT86" i="50" s="1"/>
  <c r="DB86" i="50"/>
  <c r="FS86" i="50" s="1"/>
  <c r="DA86" i="50"/>
  <c r="CZ86" i="50"/>
  <c r="DH85" i="50"/>
  <c r="FY85" i="50" s="1"/>
  <c r="DG85" i="50"/>
  <c r="FX85" i="50" s="1"/>
  <c r="DF85" i="50"/>
  <c r="FW85" i="50" s="1"/>
  <c r="DE85" i="50"/>
  <c r="FV85" i="50" s="1"/>
  <c r="DD85" i="50"/>
  <c r="FU85" i="50" s="1"/>
  <c r="DC85" i="50"/>
  <c r="FT85" i="50" s="1"/>
  <c r="DB85" i="50"/>
  <c r="FS85" i="50" s="1"/>
  <c r="DA85" i="50"/>
  <c r="CZ85" i="50"/>
  <c r="DH84" i="50"/>
  <c r="FY84" i="50" s="1"/>
  <c r="DG84" i="50"/>
  <c r="FX84" i="50" s="1"/>
  <c r="DF84" i="50"/>
  <c r="FW84" i="50" s="1"/>
  <c r="DE84" i="50"/>
  <c r="FV84" i="50" s="1"/>
  <c r="DD84" i="50"/>
  <c r="FU84" i="50" s="1"/>
  <c r="DC84" i="50"/>
  <c r="FT84" i="50" s="1"/>
  <c r="DB84" i="50"/>
  <c r="FS84" i="50" s="1"/>
  <c r="DA84" i="50"/>
  <c r="CZ84" i="50"/>
  <c r="DH83" i="50"/>
  <c r="FY83" i="50" s="1"/>
  <c r="DG83" i="50"/>
  <c r="FX83" i="50" s="1"/>
  <c r="DF83" i="50"/>
  <c r="FW83" i="50" s="1"/>
  <c r="DE83" i="50"/>
  <c r="FV83" i="50" s="1"/>
  <c r="DD83" i="50"/>
  <c r="FU83" i="50" s="1"/>
  <c r="DC83" i="50"/>
  <c r="FT83" i="50" s="1"/>
  <c r="DB83" i="50"/>
  <c r="FS83" i="50" s="1"/>
  <c r="DA83" i="50"/>
  <c r="CZ83" i="50"/>
  <c r="DL76" i="50"/>
  <c r="DK76" i="50"/>
  <c r="DJ76" i="50"/>
  <c r="DH76" i="50"/>
  <c r="DG76" i="50"/>
  <c r="DF76" i="50"/>
  <c r="DE76" i="50"/>
  <c r="DD76" i="50"/>
  <c r="DC76" i="50"/>
  <c r="DB76" i="50"/>
  <c r="DA76" i="50"/>
  <c r="CZ76" i="50"/>
  <c r="DL75" i="50"/>
  <c r="DK75" i="50"/>
  <c r="DJ75" i="50"/>
  <c r="DH75" i="50"/>
  <c r="DG75" i="50"/>
  <c r="DF75" i="50"/>
  <c r="DE75" i="50"/>
  <c r="DD75" i="50"/>
  <c r="DC75" i="50"/>
  <c r="DB75" i="50"/>
  <c r="DA75" i="50"/>
  <c r="CZ75" i="50"/>
  <c r="DL74" i="50"/>
  <c r="DK74" i="50"/>
  <c r="DJ74" i="50"/>
  <c r="DH74" i="50"/>
  <c r="DG74" i="50"/>
  <c r="DF74" i="50"/>
  <c r="DE74" i="50"/>
  <c r="DD74" i="50"/>
  <c r="DC74" i="50"/>
  <c r="DB74" i="50"/>
  <c r="DA74" i="50"/>
  <c r="CZ74" i="50"/>
  <c r="DL73" i="50"/>
  <c r="DK73" i="50"/>
  <c r="DJ73" i="50"/>
  <c r="DH73" i="50"/>
  <c r="DG73" i="50"/>
  <c r="DF73" i="50"/>
  <c r="DE73" i="50"/>
  <c r="DD73" i="50"/>
  <c r="DC73" i="50"/>
  <c r="DB73" i="50"/>
  <c r="DA73" i="50"/>
  <c r="CZ73" i="50"/>
  <c r="DL72" i="50"/>
  <c r="DK72" i="50"/>
  <c r="DJ72" i="50"/>
  <c r="DH72" i="50"/>
  <c r="DG72" i="50"/>
  <c r="DF72" i="50"/>
  <c r="DE72" i="50"/>
  <c r="DD72" i="50"/>
  <c r="DC72" i="50"/>
  <c r="DB72" i="50"/>
  <c r="DA72" i="50"/>
  <c r="CZ72" i="50"/>
  <c r="DL71" i="50"/>
  <c r="DK71" i="50"/>
  <c r="DJ71" i="50"/>
  <c r="DH71" i="50"/>
  <c r="DG71" i="50"/>
  <c r="DF71" i="50"/>
  <c r="DE71" i="50"/>
  <c r="DD71" i="50"/>
  <c r="DC71" i="50"/>
  <c r="DB71" i="50"/>
  <c r="DA71" i="50"/>
  <c r="CZ71" i="50"/>
  <c r="DL70" i="50"/>
  <c r="DK70" i="50"/>
  <c r="DJ70" i="50"/>
  <c r="DH70" i="50"/>
  <c r="DG70" i="50"/>
  <c r="DF70" i="50"/>
  <c r="DE70" i="50"/>
  <c r="DD70" i="50"/>
  <c r="DC70" i="50"/>
  <c r="DB70" i="50"/>
  <c r="DA70" i="50"/>
  <c r="CZ70" i="50"/>
  <c r="DL69" i="50"/>
  <c r="DK69" i="50"/>
  <c r="DJ69" i="50"/>
  <c r="DH69" i="50"/>
  <c r="DG69" i="50"/>
  <c r="DF69" i="50"/>
  <c r="DE69" i="50"/>
  <c r="DD69" i="50"/>
  <c r="DC69" i="50"/>
  <c r="DB69" i="50"/>
  <c r="DA69" i="50"/>
  <c r="CZ69" i="50"/>
  <c r="DL68" i="50"/>
  <c r="DK68" i="50"/>
  <c r="DJ68" i="50"/>
  <c r="DH68" i="50"/>
  <c r="DG68" i="50"/>
  <c r="DF68" i="50"/>
  <c r="DE68" i="50"/>
  <c r="DD68" i="50"/>
  <c r="DC68" i="50"/>
  <c r="DB68" i="50"/>
  <c r="DA68" i="50"/>
  <c r="CZ68" i="50"/>
  <c r="DH67" i="50"/>
  <c r="DG67" i="50"/>
  <c r="DF67" i="50"/>
  <c r="DE67" i="50"/>
  <c r="DD67" i="50"/>
  <c r="DC67" i="50"/>
  <c r="DB67" i="50"/>
  <c r="DA67" i="50"/>
  <c r="CZ67" i="50"/>
  <c r="DH66" i="50"/>
  <c r="DG66" i="50"/>
  <c r="DF66" i="50"/>
  <c r="DE66" i="50"/>
  <c r="DD66" i="50"/>
  <c r="DC66" i="50"/>
  <c r="DB66" i="50"/>
  <c r="DA66" i="50"/>
  <c r="CZ66" i="50"/>
  <c r="DH65" i="50"/>
  <c r="DG65" i="50"/>
  <c r="DF65" i="50"/>
  <c r="DE65" i="50"/>
  <c r="EQ65" i="50"/>
  <c r="DD65" i="50"/>
  <c r="EP65" i="50"/>
  <c r="DC65" i="50"/>
  <c r="EO65" i="50"/>
  <c r="DB65" i="50"/>
  <c r="DA65" i="50"/>
  <c r="EM65" i="50"/>
  <c r="CZ65" i="50"/>
  <c r="EL65" i="50"/>
  <c r="DH64" i="50"/>
  <c r="FY64" i="50"/>
  <c r="DG64" i="50"/>
  <c r="FX64" i="50" s="1"/>
  <c r="DF64" i="50"/>
  <c r="FW64" i="50"/>
  <c r="DE64" i="50"/>
  <c r="DD64" i="50"/>
  <c r="DC64" i="50"/>
  <c r="DB64" i="50"/>
  <c r="FS64" i="50" s="1"/>
  <c r="DA64" i="50"/>
  <c r="CZ64" i="50"/>
  <c r="DH63" i="50"/>
  <c r="FY63" i="50" s="1"/>
  <c r="DG63" i="50"/>
  <c r="FX63" i="50"/>
  <c r="DF63" i="50"/>
  <c r="FW63" i="50" s="1"/>
  <c r="DE63" i="50"/>
  <c r="FV63" i="50"/>
  <c r="DD63" i="50"/>
  <c r="FU63" i="50" s="1"/>
  <c r="DC63" i="50"/>
  <c r="FT63" i="50"/>
  <c r="DB63" i="50"/>
  <c r="FS63" i="50" s="1"/>
  <c r="DA63" i="50"/>
  <c r="CZ63" i="50"/>
  <c r="DH62" i="50"/>
  <c r="FY62" i="50" s="1"/>
  <c r="DG62" i="50"/>
  <c r="FX62" i="50"/>
  <c r="DF62" i="50"/>
  <c r="FW62" i="50" s="1"/>
  <c r="DE62" i="50"/>
  <c r="FV62" i="50"/>
  <c r="DD62" i="50"/>
  <c r="FU62" i="50" s="1"/>
  <c r="DC62" i="50"/>
  <c r="FT62" i="50"/>
  <c r="DB62" i="50"/>
  <c r="FS62" i="50" s="1"/>
  <c r="DA62" i="50"/>
  <c r="CZ62" i="50"/>
  <c r="DH61" i="50"/>
  <c r="FY61" i="50" s="1"/>
  <c r="DG61" i="50"/>
  <c r="FX61" i="50"/>
  <c r="DF61" i="50"/>
  <c r="FW61" i="50" s="1"/>
  <c r="DE61" i="50"/>
  <c r="FV61" i="50"/>
  <c r="DD61" i="50"/>
  <c r="FU61" i="50" s="1"/>
  <c r="DC61" i="50"/>
  <c r="FT61" i="50"/>
  <c r="DB61" i="50"/>
  <c r="FS61" i="50" s="1"/>
  <c r="DA61" i="50"/>
  <c r="CZ61" i="50"/>
  <c r="DH60" i="50"/>
  <c r="FY60" i="50" s="1"/>
  <c r="DG60" i="50"/>
  <c r="FX60" i="50"/>
  <c r="DF60" i="50"/>
  <c r="FW60" i="50" s="1"/>
  <c r="DE60" i="50"/>
  <c r="FV60" i="50"/>
  <c r="DD60" i="50"/>
  <c r="FU60" i="50" s="1"/>
  <c r="DC60" i="50"/>
  <c r="FT60" i="50"/>
  <c r="DB60" i="50"/>
  <c r="FS60" i="50" s="1"/>
  <c r="DA60" i="50"/>
  <c r="CZ60" i="50"/>
  <c r="DH59" i="50"/>
  <c r="FY59" i="50" s="1"/>
  <c r="DG59" i="50"/>
  <c r="FX59" i="50"/>
  <c r="DF59" i="50"/>
  <c r="FW59" i="50" s="1"/>
  <c r="DE59" i="50"/>
  <c r="FV59" i="50"/>
  <c r="DD59" i="50"/>
  <c r="FU59" i="50" s="1"/>
  <c r="DC59" i="50"/>
  <c r="FT59" i="50"/>
  <c r="DB59" i="50"/>
  <c r="FS59" i="50" s="1"/>
  <c r="DA59" i="50"/>
  <c r="CZ59" i="50"/>
  <c r="DH58" i="50"/>
  <c r="FY58" i="50" s="1"/>
  <c r="DG58" i="50"/>
  <c r="FX58" i="50"/>
  <c r="DF58" i="50"/>
  <c r="FW58" i="50" s="1"/>
  <c r="DE58" i="50"/>
  <c r="FV58" i="50"/>
  <c r="DD58" i="50"/>
  <c r="FU58" i="50" s="1"/>
  <c r="DC58" i="50"/>
  <c r="FT58" i="50"/>
  <c r="DB58" i="50"/>
  <c r="FS58" i="50" s="1"/>
  <c r="DA58" i="50"/>
  <c r="CZ58" i="50"/>
  <c r="DH57" i="50"/>
  <c r="FY57" i="50" s="1"/>
  <c r="DG57" i="50"/>
  <c r="FX57" i="50"/>
  <c r="DF57" i="50"/>
  <c r="FW57" i="50" s="1"/>
  <c r="DE57" i="50"/>
  <c r="FV57" i="50"/>
  <c r="DD57" i="50"/>
  <c r="FU57" i="50" s="1"/>
  <c r="DC57" i="50"/>
  <c r="FT57" i="50"/>
  <c r="DB57" i="50"/>
  <c r="FS57" i="50" s="1"/>
  <c r="DA57" i="50"/>
  <c r="CZ57" i="50"/>
  <c r="DH56" i="50"/>
  <c r="FY56" i="50" s="1"/>
  <c r="DG56" i="50"/>
  <c r="FX56" i="50"/>
  <c r="DF56" i="50"/>
  <c r="FW56" i="50" s="1"/>
  <c r="DE56" i="50"/>
  <c r="FV56" i="50"/>
  <c r="DD56" i="50"/>
  <c r="FU56" i="50" s="1"/>
  <c r="DC56" i="50"/>
  <c r="FT56" i="50"/>
  <c r="DB56" i="50"/>
  <c r="FS56" i="50" s="1"/>
  <c r="DA56" i="50"/>
  <c r="CZ56" i="50"/>
  <c r="DH55" i="50"/>
  <c r="FY55" i="50" s="1"/>
  <c r="DG55" i="50"/>
  <c r="FX55" i="50"/>
  <c r="DF55" i="50"/>
  <c r="FW55" i="50" s="1"/>
  <c r="DE55" i="50"/>
  <c r="FV55" i="50"/>
  <c r="DD55" i="50"/>
  <c r="FU55" i="50" s="1"/>
  <c r="DC55" i="50"/>
  <c r="FT55" i="50"/>
  <c r="DB55" i="50"/>
  <c r="FS55" i="50" s="1"/>
  <c r="DA55" i="50"/>
  <c r="CZ55" i="50"/>
  <c r="DH54" i="50"/>
  <c r="FY54" i="50" s="1"/>
  <c r="DG54" i="50"/>
  <c r="FX54" i="50"/>
  <c r="DF54" i="50"/>
  <c r="FW54" i="50" s="1"/>
  <c r="DE54" i="50"/>
  <c r="FV54" i="50"/>
  <c r="DD54" i="50"/>
  <c r="FU54" i="50" s="1"/>
  <c r="DC54" i="50"/>
  <c r="FT54" i="50"/>
  <c r="DB54" i="50"/>
  <c r="FS54" i="50" s="1"/>
  <c r="DA54" i="50"/>
  <c r="CZ54" i="50"/>
  <c r="DH53" i="50"/>
  <c r="FY53" i="50" s="1"/>
  <c r="DG53" i="50"/>
  <c r="FX53" i="50"/>
  <c r="DF53" i="50"/>
  <c r="FW53" i="50" s="1"/>
  <c r="DE53" i="50"/>
  <c r="FV53" i="50"/>
  <c r="DD53" i="50"/>
  <c r="FU53" i="50" s="1"/>
  <c r="DC53" i="50"/>
  <c r="FT53" i="50"/>
  <c r="DB53" i="50"/>
  <c r="FS53" i="50" s="1"/>
  <c r="DA53" i="50"/>
  <c r="CZ53" i="50"/>
  <c r="DH52" i="50"/>
  <c r="FY52" i="50" s="1"/>
  <c r="DG52" i="50"/>
  <c r="FX52" i="50"/>
  <c r="DF52" i="50"/>
  <c r="FW52" i="50" s="1"/>
  <c r="DE52" i="50"/>
  <c r="FV52" i="50"/>
  <c r="DD52" i="50"/>
  <c r="FU52" i="50" s="1"/>
  <c r="DC52" i="50"/>
  <c r="FT52" i="50"/>
  <c r="DB52" i="50"/>
  <c r="FS52" i="50" s="1"/>
  <c r="DA52" i="50"/>
  <c r="CZ52" i="50"/>
  <c r="DH51" i="50"/>
  <c r="FY51" i="50" s="1"/>
  <c r="DG51" i="50"/>
  <c r="FX51" i="50"/>
  <c r="DF51" i="50"/>
  <c r="FW51" i="50" s="1"/>
  <c r="DE51" i="50"/>
  <c r="FV51" i="50"/>
  <c r="DD51" i="50"/>
  <c r="FU51" i="50" s="1"/>
  <c r="DC51" i="50"/>
  <c r="FT51" i="50"/>
  <c r="DB51" i="50"/>
  <c r="FS51" i="50" s="1"/>
  <c r="DA51" i="50"/>
  <c r="CZ51" i="50"/>
  <c r="DH50" i="50"/>
  <c r="FY50" i="50" s="1"/>
  <c r="DG50" i="50"/>
  <c r="FX50" i="50"/>
  <c r="DF50" i="50"/>
  <c r="FW50" i="50" s="1"/>
  <c r="DE50" i="50"/>
  <c r="FV50" i="50"/>
  <c r="DD50" i="50"/>
  <c r="FU50" i="50" s="1"/>
  <c r="DC50" i="50"/>
  <c r="FT50" i="50"/>
  <c r="DB50" i="50"/>
  <c r="FS50" i="50" s="1"/>
  <c r="DA50" i="50"/>
  <c r="CZ50" i="50"/>
  <c r="DH49" i="50"/>
  <c r="FY49" i="50" s="1"/>
  <c r="DG49" i="50"/>
  <c r="FX49" i="50"/>
  <c r="DF49" i="50"/>
  <c r="FW49" i="50" s="1"/>
  <c r="DE49" i="50"/>
  <c r="FV49" i="50"/>
  <c r="DD49" i="50"/>
  <c r="FU49" i="50" s="1"/>
  <c r="DC49" i="50"/>
  <c r="FT49" i="50"/>
  <c r="DB49" i="50"/>
  <c r="FS49" i="50" s="1"/>
  <c r="DA49" i="50"/>
  <c r="CZ49" i="50"/>
  <c r="DH48" i="50"/>
  <c r="FY48" i="50" s="1"/>
  <c r="DG48" i="50"/>
  <c r="FX48" i="50"/>
  <c r="DF48" i="50"/>
  <c r="FW48" i="50" s="1"/>
  <c r="DE48" i="50"/>
  <c r="FV48" i="50"/>
  <c r="DD48" i="50"/>
  <c r="FU48" i="50" s="1"/>
  <c r="DC48" i="50"/>
  <c r="FT48" i="50"/>
  <c r="DB48" i="50"/>
  <c r="FS48" i="50" s="1"/>
  <c r="DA48" i="50"/>
  <c r="CZ48" i="50"/>
  <c r="DH47" i="50"/>
  <c r="FY47" i="50" s="1"/>
  <c r="DG47" i="50"/>
  <c r="FX47" i="50"/>
  <c r="DF47" i="50"/>
  <c r="FW47" i="50" s="1"/>
  <c r="DE47" i="50"/>
  <c r="FV47" i="50"/>
  <c r="DD47" i="50"/>
  <c r="FU47" i="50" s="1"/>
  <c r="DC47" i="50"/>
  <c r="FT47" i="50"/>
  <c r="DB47" i="50"/>
  <c r="FS47" i="50" s="1"/>
  <c r="DA47" i="50"/>
  <c r="CZ47" i="50"/>
  <c r="DH46" i="50"/>
  <c r="FY46" i="50" s="1"/>
  <c r="DG46" i="50"/>
  <c r="FX46" i="50"/>
  <c r="DF46" i="50"/>
  <c r="FW46" i="50" s="1"/>
  <c r="DE46" i="50"/>
  <c r="FV46" i="50"/>
  <c r="DD46" i="50"/>
  <c r="FU46" i="50" s="1"/>
  <c r="DC46" i="50"/>
  <c r="FT46" i="50"/>
  <c r="DB46" i="50"/>
  <c r="FS46" i="50" s="1"/>
  <c r="DA46" i="50"/>
  <c r="CZ46" i="50"/>
  <c r="DL39" i="50"/>
  <c r="DL38" i="50"/>
  <c r="DL37" i="50"/>
  <c r="DL36" i="50"/>
  <c r="DL35" i="50"/>
  <c r="DL34" i="50"/>
  <c r="DL33" i="50"/>
  <c r="DL32" i="50"/>
  <c r="DL31" i="50"/>
  <c r="DK39" i="50"/>
  <c r="DJ39" i="50"/>
  <c r="DH39" i="50"/>
  <c r="DG39" i="50"/>
  <c r="DF39" i="50"/>
  <c r="DE39" i="50"/>
  <c r="DD39" i="50"/>
  <c r="DC39" i="50"/>
  <c r="DB39" i="50"/>
  <c r="DA39" i="50"/>
  <c r="CZ39" i="50"/>
  <c r="DK38" i="50"/>
  <c r="DJ38" i="50"/>
  <c r="DH38" i="50"/>
  <c r="DG38" i="50"/>
  <c r="DF38" i="50"/>
  <c r="DE38" i="50"/>
  <c r="DD38" i="50"/>
  <c r="DC38" i="50"/>
  <c r="DB38" i="50"/>
  <c r="DA38" i="50"/>
  <c r="CZ38" i="50"/>
  <c r="DK37" i="50"/>
  <c r="DJ37" i="50"/>
  <c r="DH37" i="50"/>
  <c r="DG37" i="50"/>
  <c r="DF37" i="50"/>
  <c r="DE37" i="50"/>
  <c r="DD37" i="50"/>
  <c r="DC37" i="50"/>
  <c r="DB37" i="50"/>
  <c r="DA37" i="50"/>
  <c r="CZ37" i="50"/>
  <c r="DK36" i="50"/>
  <c r="DJ36" i="50"/>
  <c r="DH36" i="50"/>
  <c r="DG36" i="50"/>
  <c r="DF36" i="50"/>
  <c r="DE36" i="50"/>
  <c r="DD36" i="50"/>
  <c r="DC36" i="50"/>
  <c r="DB36" i="50"/>
  <c r="DA36" i="50"/>
  <c r="CZ36" i="50"/>
  <c r="DK35" i="50"/>
  <c r="DJ35" i="50"/>
  <c r="DH35" i="50"/>
  <c r="DG35" i="50"/>
  <c r="DF35" i="50"/>
  <c r="DE35" i="50"/>
  <c r="DD35" i="50"/>
  <c r="DC35" i="50"/>
  <c r="DB35" i="50"/>
  <c r="DA35" i="50"/>
  <c r="CZ35" i="50"/>
  <c r="DK34" i="50"/>
  <c r="DJ34" i="50"/>
  <c r="DH34" i="50"/>
  <c r="DG34" i="50"/>
  <c r="DF34" i="50"/>
  <c r="DE34" i="50"/>
  <c r="DD34" i="50"/>
  <c r="DC34" i="50"/>
  <c r="DB34" i="50"/>
  <c r="DA34" i="50"/>
  <c r="CZ34" i="50"/>
  <c r="DK33" i="50"/>
  <c r="DJ33" i="50"/>
  <c r="DH33" i="50"/>
  <c r="DG33" i="50"/>
  <c r="DF33" i="50"/>
  <c r="DE33" i="50"/>
  <c r="DD33" i="50"/>
  <c r="DC33" i="50"/>
  <c r="DB33" i="50"/>
  <c r="DA33" i="50"/>
  <c r="CZ33" i="50"/>
  <c r="DK32" i="50"/>
  <c r="DJ32" i="50"/>
  <c r="DH32" i="50"/>
  <c r="DG32" i="50"/>
  <c r="DF32" i="50"/>
  <c r="DE32" i="50"/>
  <c r="DD32" i="50"/>
  <c r="DC32" i="50"/>
  <c r="DB32" i="50"/>
  <c r="DA32" i="50"/>
  <c r="CZ32" i="50"/>
  <c r="DK31" i="50"/>
  <c r="DJ31" i="50"/>
  <c r="DH31" i="50"/>
  <c r="DG31" i="50"/>
  <c r="DF31" i="50"/>
  <c r="DE31" i="50"/>
  <c r="DD31" i="50"/>
  <c r="DC31" i="50"/>
  <c r="DB31" i="50"/>
  <c r="DA31" i="50"/>
  <c r="CZ31" i="50"/>
  <c r="DH30" i="50"/>
  <c r="DG30" i="50"/>
  <c r="DF30" i="50"/>
  <c r="DE30" i="50"/>
  <c r="EQ30" i="50"/>
  <c r="DD30" i="50"/>
  <c r="EP30" i="50"/>
  <c r="DC30" i="50"/>
  <c r="EO30" i="50"/>
  <c r="DB30" i="50"/>
  <c r="DA30" i="50"/>
  <c r="CZ30" i="50"/>
  <c r="DH29" i="50"/>
  <c r="DG29" i="50"/>
  <c r="DF29" i="50"/>
  <c r="DE29" i="50"/>
  <c r="EQ29" i="50"/>
  <c r="DD29" i="50"/>
  <c r="EP29" i="50"/>
  <c r="DC29" i="50"/>
  <c r="EO29" i="50"/>
  <c r="DB29" i="50"/>
  <c r="DA29" i="50"/>
  <c r="CZ29" i="50"/>
  <c r="DH27" i="50"/>
  <c r="FY27" i="50" s="1"/>
  <c r="DG27" i="50"/>
  <c r="FX27" i="50"/>
  <c r="DF27" i="50"/>
  <c r="FW27" i="50" s="1"/>
  <c r="DE27" i="50"/>
  <c r="DD27" i="50"/>
  <c r="DC27" i="50"/>
  <c r="DB27" i="50"/>
  <c r="FS27" i="50" s="1"/>
  <c r="DA27" i="50"/>
  <c r="CZ27" i="50"/>
  <c r="FQ27" i="50" s="1"/>
  <c r="DH26" i="50"/>
  <c r="FY26" i="50"/>
  <c r="DG26" i="50"/>
  <c r="FX26" i="50" s="1"/>
  <c r="DF26" i="50"/>
  <c r="FW26" i="50"/>
  <c r="DE26" i="50"/>
  <c r="FV26" i="50" s="1"/>
  <c r="DD26" i="50"/>
  <c r="FU26" i="50"/>
  <c r="DC26" i="50"/>
  <c r="FT26" i="50" s="1"/>
  <c r="DB26" i="50"/>
  <c r="FS26" i="50"/>
  <c r="DA26" i="50"/>
  <c r="CZ26" i="50"/>
  <c r="FQ26" i="50" s="1"/>
  <c r="DH25" i="50"/>
  <c r="FY25" i="50"/>
  <c r="DG25" i="50"/>
  <c r="FX25" i="50" s="1"/>
  <c r="DF25" i="50"/>
  <c r="FW25" i="50"/>
  <c r="DE25" i="50"/>
  <c r="FV25" i="50" s="1"/>
  <c r="DD25" i="50"/>
  <c r="FU25" i="50"/>
  <c r="DC25" i="50"/>
  <c r="FT25" i="50" s="1"/>
  <c r="DB25" i="50"/>
  <c r="FS25" i="50"/>
  <c r="DA25" i="50"/>
  <c r="CZ25" i="50"/>
  <c r="FQ25" i="50"/>
  <c r="DH24" i="50"/>
  <c r="FY24" i="50" s="1"/>
  <c r="DG24" i="50"/>
  <c r="FX24" i="50"/>
  <c r="DF24" i="50"/>
  <c r="FW24" i="50" s="1"/>
  <c r="DE24" i="50"/>
  <c r="FV24" i="50"/>
  <c r="DD24" i="50"/>
  <c r="FU24" i="50" s="1"/>
  <c r="DC24" i="50"/>
  <c r="FT24" i="50"/>
  <c r="DB24" i="50"/>
  <c r="FS24" i="50" s="1"/>
  <c r="DA24" i="50"/>
  <c r="CZ24" i="50"/>
  <c r="FQ24" i="50"/>
  <c r="DH23" i="50"/>
  <c r="FY23" i="50" s="1"/>
  <c r="DG23" i="50"/>
  <c r="FX23" i="50"/>
  <c r="DF23" i="50"/>
  <c r="FW23" i="50" s="1"/>
  <c r="DE23" i="50"/>
  <c r="FV23" i="50"/>
  <c r="DD23" i="50"/>
  <c r="FU23" i="50" s="1"/>
  <c r="DC23" i="50"/>
  <c r="FT23" i="50"/>
  <c r="DB23" i="50"/>
  <c r="FS23" i="50" s="1"/>
  <c r="DA23" i="50"/>
  <c r="CZ23" i="50"/>
  <c r="FQ23" i="50" s="1"/>
  <c r="DH22" i="50"/>
  <c r="FY22" i="50"/>
  <c r="DG22" i="50"/>
  <c r="FX22" i="50" s="1"/>
  <c r="DF22" i="50"/>
  <c r="FW22" i="50"/>
  <c r="DE22" i="50"/>
  <c r="FV22" i="50" s="1"/>
  <c r="DD22" i="50"/>
  <c r="FU22" i="50"/>
  <c r="DC22" i="50"/>
  <c r="FT22" i="50" s="1"/>
  <c r="DB22" i="50"/>
  <c r="FS22" i="50"/>
  <c r="DA22" i="50"/>
  <c r="CZ22" i="50"/>
  <c r="FQ22" i="50" s="1"/>
  <c r="DH21" i="50"/>
  <c r="FY21" i="50"/>
  <c r="DG21" i="50"/>
  <c r="FX21" i="50" s="1"/>
  <c r="DF21" i="50"/>
  <c r="FW21" i="50"/>
  <c r="DE21" i="50"/>
  <c r="FV21" i="50" s="1"/>
  <c r="DD21" i="50"/>
  <c r="FU21" i="50"/>
  <c r="DC21" i="50"/>
  <c r="FT21" i="50" s="1"/>
  <c r="DB21" i="50"/>
  <c r="FS21" i="50"/>
  <c r="DA21" i="50"/>
  <c r="CZ21" i="50"/>
  <c r="FQ21" i="50"/>
  <c r="DH20" i="50"/>
  <c r="FY20" i="50" s="1"/>
  <c r="DG20" i="50"/>
  <c r="FX20" i="50"/>
  <c r="DF20" i="50"/>
  <c r="FW20" i="50" s="1"/>
  <c r="DE20" i="50"/>
  <c r="FV20" i="50"/>
  <c r="DD20" i="50"/>
  <c r="FU20" i="50" s="1"/>
  <c r="DC20" i="50"/>
  <c r="FT20" i="50"/>
  <c r="DB20" i="50"/>
  <c r="FS20" i="50" s="1"/>
  <c r="DA20" i="50"/>
  <c r="CZ20" i="50"/>
  <c r="FQ20" i="50"/>
  <c r="DH19" i="50"/>
  <c r="FY19" i="50" s="1"/>
  <c r="DG19" i="50"/>
  <c r="FX19" i="50"/>
  <c r="DF19" i="50"/>
  <c r="FW19" i="50" s="1"/>
  <c r="DE19" i="50"/>
  <c r="FV19" i="50"/>
  <c r="DD19" i="50"/>
  <c r="FU19" i="50" s="1"/>
  <c r="DC19" i="50"/>
  <c r="FT19" i="50"/>
  <c r="DB19" i="50"/>
  <c r="FS19" i="50" s="1"/>
  <c r="DA19" i="50"/>
  <c r="CZ19" i="50"/>
  <c r="FQ19" i="50" s="1"/>
  <c r="DH18" i="50"/>
  <c r="FY18" i="50"/>
  <c r="DG18" i="50"/>
  <c r="FX18" i="50" s="1"/>
  <c r="DF18" i="50"/>
  <c r="FW18" i="50"/>
  <c r="DE18" i="50"/>
  <c r="FV18" i="50" s="1"/>
  <c r="DD18" i="50"/>
  <c r="FU18" i="50"/>
  <c r="DC18" i="50"/>
  <c r="FT18" i="50" s="1"/>
  <c r="DB18" i="50"/>
  <c r="FS18" i="50"/>
  <c r="DA18" i="50"/>
  <c r="CZ18" i="50"/>
  <c r="FQ18" i="50" s="1"/>
  <c r="DH17" i="50"/>
  <c r="FY17" i="50"/>
  <c r="DG17" i="50"/>
  <c r="FX17" i="50" s="1"/>
  <c r="DF17" i="50"/>
  <c r="FW17" i="50"/>
  <c r="DE17" i="50"/>
  <c r="FV17" i="50" s="1"/>
  <c r="DD17" i="50"/>
  <c r="FU17" i="50"/>
  <c r="DC17" i="50"/>
  <c r="FT17" i="50" s="1"/>
  <c r="DB17" i="50"/>
  <c r="FS17" i="50"/>
  <c r="DA17" i="50"/>
  <c r="CZ17" i="50"/>
  <c r="FQ17" i="50"/>
  <c r="DH16" i="50"/>
  <c r="FY16" i="50" s="1"/>
  <c r="DG16" i="50"/>
  <c r="FX16" i="50"/>
  <c r="DF16" i="50"/>
  <c r="FW16" i="50" s="1"/>
  <c r="DE16" i="50"/>
  <c r="FV16" i="50"/>
  <c r="DD16" i="50"/>
  <c r="FU16" i="50" s="1"/>
  <c r="DC16" i="50"/>
  <c r="FT16" i="50"/>
  <c r="DB16" i="50"/>
  <c r="FS16" i="50" s="1"/>
  <c r="DA16" i="50"/>
  <c r="CZ16" i="50"/>
  <c r="FQ16" i="50"/>
  <c r="DH15" i="50"/>
  <c r="FY15" i="50" s="1"/>
  <c r="DG15" i="50"/>
  <c r="FX15" i="50"/>
  <c r="DF15" i="50"/>
  <c r="FW15" i="50" s="1"/>
  <c r="DE15" i="50"/>
  <c r="FV15" i="50"/>
  <c r="DD15" i="50"/>
  <c r="FU15" i="50" s="1"/>
  <c r="DC15" i="50"/>
  <c r="FT15" i="50"/>
  <c r="DB15" i="50"/>
  <c r="FS15" i="50" s="1"/>
  <c r="DA15" i="50"/>
  <c r="CZ15" i="50"/>
  <c r="FQ15" i="50" s="1"/>
  <c r="DH14" i="50"/>
  <c r="FY14" i="50"/>
  <c r="DG14" i="50"/>
  <c r="FX14" i="50" s="1"/>
  <c r="DF14" i="50"/>
  <c r="FW14" i="50"/>
  <c r="DE14" i="50"/>
  <c r="FV14" i="50" s="1"/>
  <c r="DD14" i="50"/>
  <c r="FU14" i="50"/>
  <c r="DC14" i="50"/>
  <c r="FT14" i="50" s="1"/>
  <c r="DB14" i="50"/>
  <c r="FS14" i="50"/>
  <c r="DA14" i="50"/>
  <c r="CZ14" i="50"/>
  <c r="FQ14" i="50" s="1"/>
  <c r="DH13" i="50"/>
  <c r="FY13" i="50"/>
  <c r="DG13" i="50"/>
  <c r="FX13" i="50" s="1"/>
  <c r="DF13" i="50"/>
  <c r="FW13" i="50"/>
  <c r="DE13" i="50"/>
  <c r="FV13" i="50" s="1"/>
  <c r="DD13" i="50"/>
  <c r="FU13" i="50"/>
  <c r="DC13" i="50"/>
  <c r="FT13" i="50" s="1"/>
  <c r="DB13" i="50"/>
  <c r="FS13" i="50"/>
  <c r="DA13" i="50"/>
  <c r="CZ13" i="50"/>
  <c r="FQ13" i="50"/>
  <c r="DH12" i="50"/>
  <c r="FY12" i="50" s="1"/>
  <c r="DG12" i="50"/>
  <c r="FX12" i="50"/>
  <c r="DF12" i="50"/>
  <c r="FW12" i="50" s="1"/>
  <c r="DE12" i="50"/>
  <c r="FV12" i="50"/>
  <c r="DD12" i="50"/>
  <c r="FU12" i="50" s="1"/>
  <c r="DC12" i="50"/>
  <c r="FT12" i="50"/>
  <c r="DB12" i="50"/>
  <c r="FS12" i="50" s="1"/>
  <c r="DA12" i="50"/>
  <c r="CZ12" i="50"/>
  <c r="FQ12" i="50"/>
  <c r="DH11" i="50"/>
  <c r="FY11" i="50" s="1"/>
  <c r="DG11" i="50"/>
  <c r="FX11" i="50"/>
  <c r="DF11" i="50"/>
  <c r="FW11" i="50" s="1"/>
  <c r="DE11" i="50"/>
  <c r="FV11" i="50"/>
  <c r="DD11" i="50"/>
  <c r="FU11" i="50" s="1"/>
  <c r="DC11" i="50"/>
  <c r="FT11" i="50"/>
  <c r="DB11" i="50"/>
  <c r="FS11" i="50" s="1"/>
  <c r="DA11" i="50"/>
  <c r="CZ11" i="50"/>
  <c r="FQ11" i="50" s="1"/>
  <c r="DH10" i="50"/>
  <c r="FY10" i="50"/>
  <c r="DG10" i="50"/>
  <c r="FX10" i="50" s="1"/>
  <c r="DF10" i="50"/>
  <c r="FW10" i="50"/>
  <c r="DE10" i="50"/>
  <c r="FV10" i="50" s="1"/>
  <c r="DD10" i="50"/>
  <c r="FU10" i="50"/>
  <c r="DC10" i="50"/>
  <c r="FT10" i="50" s="1"/>
  <c r="DB10" i="50"/>
  <c r="FS10" i="50"/>
  <c r="DA10" i="50"/>
  <c r="CZ10" i="50"/>
  <c r="FQ10" i="50" s="1"/>
  <c r="DH9" i="50"/>
  <c r="FY9" i="50"/>
  <c r="DG9" i="50"/>
  <c r="FX9" i="50" s="1"/>
  <c r="DF9" i="50"/>
  <c r="FW9" i="50"/>
  <c r="DE9" i="50"/>
  <c r="FV9" i="50" s="1"/>
  <c r="DD9" i="50"/>
  <c r="FU9" i="50"/>
  <c r="DC9" i="50"/>
  <c r="FT9" i="50" s="1"/>
  <c r="DB9" i="50"/>
  <c r="FS9" i="50"/>
  <c r="DA9" i="50"/>
  <c r="CZ9" i="50"/>
  <c r="FQ9" i="50"/>
  <c r="CU113" i="50"/>
  <c r="CT113" i="50"/>
  <c r="CR113" i="50"/>
  <c r="CQ113" i="50"/>
  <c r="CP113" i="50"/>
  <c r="CO113" i="50"/>
  <c r="CN113" i="50"/>
  <c r="CM113" i="50"/>
  <c r="CL113" i="50"/>
  <c r="CK113" i="50"/>
  <c r="CJ113" i="50"/>
  <c r="CU112" i="50"/>
  <c r="CT112" i="50"/>
  <c r="CR112" i="50"/>
  <c r="CQ112" i="50"/>
  <c r="CP112" i="50"/>
  <c r="CO112" i="50"/>
  <c r="CN112" i="50"/>
  <c r="CM112" i="50"/>
  <c r="CL112" i="50"/>
  <c r="CK112" i="50"/>
  <c r="CJ112" i="50"/>
  <c r="CU111" i="50"/>
  <c r="CT111" i="50"/>
  <c r="CR111" i="50"/>
  <c r="CQ111" i="50"/>
  <c r="CP111" i="50"/>
  <c r="CO111" i="50"/>
  <c r="CN111" i="50"/>
  <c r="CM111" i="50"/>
  <c r="CL111" i="50"/>
  <c r="CK111" i="50"/>
  <c r="CJ111" i="50"/>
  <c r="CU110" i="50"/>
  <c r="CT110" i="50"/>
  <c r="CR110" i="50"/>
  <c r="CQ110" i="50"/>
  <c r="CP110" i="50"/>
  <c r="CO110" i="50"/>
  <c r="CN110" i="50"/>
  <c r="CM110" i="50"/>
  <c r="CL110" i="50"/>
  <c r="CK110" i="50"/>
  <c r="CJ110" i="50"/>
  <c r="CU109" i="50"/>
  <c r="CT109" i="50"/>
  <c r="CR109" i="50"/>
  <c r="CQ109" i="50"/>
  <c r="CP109" i="50"/>
  <c r="CO109" i="50"/>
  <c r="CN109" i="50"/>
  <c r="CM109" i="50"/>
  <c r="CL109" i="50"/>
  <c r="CK109" i="50"/>
  <c r="CJ109" i="50"/>
  <c r="CU108" i="50"/>
  <c r="CT108" i="50"/>
  <c r="CR108" i="50"/>
  <c r="CQ108" i="50"/>
  <c r="CP108" i="50"/>
  <c r="CO108" i="50"/>
  <c r="CN108" i="50"/>
  <c r="CM108" i="50"/>
  <c r="CL108" i="50"/>
  <c r="CK108" i="50"/>
  <c r="CJ108" i="50"/>
  <c r="CU107" i="50"/>
  <c r="CT107" i="50"/>
  <c r="CR107" i="50"/>
  <c r="CQ107" i="50"/>
  <c r="CP107" i="50"/>
  <c r="CO107" i="50"/>
  <c r="CN107" i="50"/>
  <c r="CM107" i="50"/>
  <c r="CL107" i="50"/>
  <c r="CK107" i="50"/>
  <c r="CJ107" i="50"/>
  <c r="CU106" i="50"/>
  <c r="CT106" i="50"/>
  <c r="CR106" i="50"/>
  <c r="CQ106" i="50"/>
  <c r="CP106" i="50"/>
  <c r="CO106" i="50"/>
  <c r="CN106" i="50"/>
  <c r="CM106" i="50"/>
  <c r="CL106" i="50"/>
  <c r="CK106" i="50"/>
  <c r="CJ106" i="50"/>
  <c r="CU105" i="50"/>
  <c r="CT105" i="50"/>
  <c r="CR105" i="50"/>
  <c r="CQ105" i="50"/>
  <c r="CP105" i="50"/>
  <c r="CO105" i="50"/>
  <c r="CN105" i="50"/>
  <c r="CM105" i="50"/>
  <c r="CL105" i="50"/>
  <c r="CK105" i="50"/>
  <c r="CJ105" i="50"/>
  <c r="CR104" i="50"/>
  <c r="CQ104" i="50"/>
  <c r="CP104" i="50"/>
  <c r="CO104" i="50"/>
  <c r="CN104" i="50"/>
  <c r="CM104" i="50"/>
  <c r="CL104" i="50"/>
  <c r="CK104" i="50"/>
  <c r="CJ104" i="50"/>
  <c r="CR103" i="50"/>
  <c r="CQ103" i="50"/>
  <c r="CP103" i="50"/>
  <c r="CO103" i="50"/>
  <c r="CN103" i="50"/>
  <c r="CM103" i="50"/>
  <c r="CL103" i="50"/>
  <c r="CK103" i="50"/>
  <c r="CJ103" i="50"/>
  <c r="CR102" i="50"/>
  <c r="CQ102" i="50"/>
  <c r="CP102" i="50"/>
  <c r="CO102" i="50"/>
  <c r="CN102" i="50"/>
  <c r="CM102" i="50"/>
  <c r="CL102" i="50"/>
  <c r="CK102" i="50"/>
  <c r="CJ102" i="50"/>
  <c r="DV102" i="50"/>
  <c r="CR101" i="50"/>
  <c r="CQ101" i="50"/>
  <c r="CP101" i="50"/>
  <c r="FG101" i="50" s="1"/>
  <c r="CO101" i="50"/>
  <c r="CN101" i="50"/>
  <c r="CM101" i="50"/>
  <c r="CL101" i="50"/>
  <c r="CK101" i="50"/>
  <c r="CJ101" i="50"/>
  <c r="CR100" i="50"/>
  <c r="CQ100" i="50"/>
  <c r="CP100" i="50"/>
  <c r="FG100" i="50"/>
  <c r="CO100" i="50"/>
  <c r="CN100" i="50"/>
  <c r="CM100" i="50"/>
  <c r="CL100" i="50"/>
  <c r="CK100" i="50"/>
  <c r="CJ100" i="50"/>
  <c r="CR99" i="50"/>
  <c r="CQ99" i="50"/>
  <c r="CP99" i="50"/>
  <c r="FG99" i="50" s="1"/>
  <c r="CO99" i="50"/>
  <c r="CN99" i="50"/>
  <c r="CM99" i="50"/>
  <c r="CL99" i="50"/>
  <c r="CK99" i="50"/>
  <c r="CJ99" i="50"/>
  <c r="CR98" i="50"/>
  <c r="CQ98" i="50"/>
  <c r="CP98" i="50"/>
  <c r="FG98" i="50"/>
  <c r="CO98" i="50"/>
  <c r="CN98" i="50"/>
  <c r="CM98" i="50"/>
  <c r="CL98" i="50"/>
  <c r="CK98" i="50"/>
  <c r="CJ98" i="50"/>
  <c r="CR97" i="50"/>
  <c r="FI97" i="50"/>
  <c r="CQ97" i="50"/>
  <c r="FH97" i="50" s="1"/>
  <c r="CP97" i="50"/>
  <c r="FG97" i="50"/>
  <c r="CO97" i="50"/>
  <c r="CN97" i="50"/>
  <c r="CM97" i="50"/>
  <c r="CL97" i="50"/>
  <c r="CK97" i="50"/>
  <c r="CJ97" i="50"/>
  <c r="CR96" i="50"/>
  <c r="CQ96" i="50"/>
  <c r="CP96" i="50"/>
  <c r="FG96" i="50" s="1"/>
  <c r="CO96" i="50"/>
  <c r="CN96" i="50"/>
  <c r="CM96" i="50"/>
  <c r="CL96" i="50"/>
  <c r="CK96" i="50"/>
  <c r="CJ96" i="50"/>
  <c r="CR95" i="50"/>
  <c r="CQ95" i="50"/>
  <c r="CP95" i="50"/>
  <c r="FG95" i="50"/>
  <c r="CO95" i="50"/>
  <c r="CN95" i="50"/>
  <c r="CM95" i="50"/>
  <c r="CL95" i="50"/>
  <c r="CK95" i="50"/>
  <c r="CJ95" i="50"/>
  <c r="CR94" i="50"/>
  <c r="CQ94" i="50"/>
  <c r="CP94" i="50"/>
  <c r="FG94" i="50" s="1"/>
  <c r="CO94" i="50"/>
  <c r="CN94" i="50"/>
  <c r="CM94" i="50"/>
  <c r="CL94" i="50"/>
  <c r="CK94" i="50"/>
  <c r="CJ94" i="50"/>
  <c r="CR93" i="50"/>
  <c r="CQ93" i="50"/>
  <c r="CP93" i="50"/>
  <c r="FG93" i="50"/>
  <c r="CO93" i="50"/>
  <c r="CN93" i="50"/>
  <c r="CM93" i="50"/>
  <c r="CL93" i="50"/>
  <c r="CK93" i="50"/>
  <c r="CJ93" i="50"/>
  <c r="CR92" i="50"/>
  <c r="CQ92" i="50"/>
  <c r="CP92" i="50"/>
  <c r="FG92" i="50" s="1"/>
  <c r="CO92" i="50"/>
  <c r="CN92" i="50"/>
  <c r="CM92" i="50"/>
  <c r="CL92" i="50"/>
  <c r="CK92" i="50"/>
  <c r="CJ92" i="50"/>
  <c r="CR91" i="50"/>
  <c r="CQ91" i="50"/>
  <c r="CP91" i="50"/>
  <c r="CO91" i="50"/>
  <c r="CN91" i="50"/>
  <c r="CM91" i="50"/>
  <c r="CL91" i="50"/>
  <c r="CK91" i="50"/>
  <c r="CJ91" i="50"/>
  <c r="CR90" i="50"/>
  <c r="CQ90" i="50"/>
  <c r="CP90" i="50"/>
  <c r="CO90" i="50"/>
  <c r="CN90" i="50"/>
  <c r="CM90" i="50"/>
  <c r="CL90" i="50"/>
  <c r="CK90" i="50"/>
  <c r="CJ90" i="50"/>
  <c r="CR89" i="50"/>
  <c r="CQ89" i="50"/>
  <c r="CP89" i="50"/>
  <c r="CO89" i="50"/>
  <c r="CN89" i="50"/>
  <c r="CM89" i="50"/>
  <c r="CL89" i="50"/>
  <c r="CK89" i="50"/>
  <c r="CJ89" i="50"/>
  <c r="CR88" i="50"/>
  <c r="CQ88" i="50"/>
  <c r="CP88" i="50"/>
  <c r="CO88" i="50"/>
  <c r="CN88" i="50"/>
  <c r="CM88" i="50"/>
  <c r="CL88" i="50"/>
  <c r="CK88" i="50"/>
  <c r="CJ88" i="50"/>
  <c r="CR87" i="50"/>
  <c r="CQ87" i="50"/>
  <c r="CP87" i="50"/>
  <c r="CO87" i="50"/>
  <c r="CN87" i="50"/>
  <c r="CM87" i="50"/>
  <c r="CL87" i="50"/>
  <c r="CK87" i="50"/>
  <c r="CJ87" i="50"/>
  <c r="CR86" i="50"/>
  <c r="CQ86" i="50"/>
  <c r="CP86" i="50"/>
  <c r="CO86" i="50"/>
  <c r="CN86" i="50"/>
  <c r="CM86" i="50"/>
  <c r="CL86" i="50"/>
  <c r="CK86" i="50"/>
  <c r="CJ86" i="50"/>
  <c r="CR85" i="50"/>
  <c r="CQ85" i="50"/>
  <c r="CP85" i="50"/>
  <c r="CO85" i="50"/>
  <c r="CN85" i="50"/>
  <c r="CM85" i="50"/>
  <c r="CL85" i="50"/>
  <c r="CK85" i="50"/>
  <c r="CJ85" i="50"/>
  <c r="CR84" i="50"/>
  <c r="CQ84" i="50"/>
  <c r="CP84" i="50"/>
  <c r="CO84" i="50"/>
  <c r="CN84" i="50"/>
  <c r="CM84" i="50"/>
  <c r="CL84" i="50"/>
  <c r="CK84" i="50"/>
  <c r="CJ84" i="50"/>
  <c r="CR83" i="50"/>
  <c r="CQ83" i="50"/>
  <c r="CP83" i="50"/>
  <c r="CO83" i="50"/>
  <c r="CN83" i="50"/>
  <c r="CM83" i="50"/>
  <c r="CL83" i="50"/>
  <c r="CK83" i="50"/>
  <c r="CJ83" i="50"/>
  <c r="CU76" i="50"/>
  <c r="CT76" i="50"/>
  <c r="CR76" i="50"/>
  <c r="CQ76" i="50"/>
  <c r="CP76" i="50"/>
  <c r="CO76" i="50"/>
  <c r="CN76" i="50"/>
  <c r="CM76" i="50"/>
  <c r="CL76" i="50"/>
  <c r="CK76" i="50"/>
  <c r="CJ76" i="50"/>
  <c r="CU75" i="50"/>
  <c r="CT75" i="50"/>
  <c r="CR75" i="50"/>
  <c r="CQ75" i="50"/>
  <c r="CP75" i="50"/>
  <c r="CO75" i="50"/>
  <c r="CN75" i="50"/>
  <c r="CM75" i="50"/>
  <c r="CL75" i="50"/>
  <c r="CK75" i="50"/>
  <c r="CJ75" i="50"/>
  <c r="CU74" i="50"/>
  <c r="CT74" i="50"/>
  <c r="CR74" i="50"/>
  <c r="CQ74" i="50"/>
  <c r="CP74" i="50"/>
  <c r="CO74" i="50"/>
  <c r="CN74" i="50"/>
  <c r="CM74" i="50"/>
  <c r="CL74" i="50"/>
  <c r="CK74" i="50"/>
  <c r="CJ74" i="50"/>
  <c r="CU73" i="50"/>
  <c r="CT73" i="50"/>
  <c r="CR73" i="50"/>
  <c r="CQ73" i="50"/>
  <c r="CP73" i="50"/>
  <c r="CO73" i="50"/>
  <c r="CN73" i="50"/>
  <c r="CM73" i="50"/>
  <c r="CL73" i="50"/>
  <c r="CK73" i="50"/>
  <c r="CJ73" i="50"/>
  <c r="CU72" i="50"/>
  <c r="CT72" i="50"/>
  <c r="CR72" i="50"/>
  <c r="CQ72" i="50"/>
  <c r="CP72" i="50"/>
  <c r="CO72" i="50"/>
  <c r="CN72" i="50"/>
  <c r="CM72" i="50"/>
  <c r="CL72" i="50"/>
  <c r="CK72" i="50"/>
  <c r="CJ72" i="50"/>
  <c r="CU71" i="50"/>
  <c r="CT71" i="50"/>
  <c r="CR71" i="50"/>
  <c r="CQ71" i="50"/>
  <c r="CP71" i="50"/>
  <c r="CO71" i="50"/>
  <c r="CN71" i="50"/>
  <c r="CM71" i="50"/>
  <c r="CL71" i="50"/>
  <c r="CK71" i="50"/>
  <c r="CJ71" i="50"/>
  <c r="CU70" i="50"/>
  <c r="CT70" i="50"/>
  <c r="CR70" i="50"/>
  <c r="CQ70" i="50"/>
  <c r="CP70" i="50"/>
  <c r="CO70" i="50"/>
  <c r="CN70" i="50"/>
  <c r="CM70" i="50"/>
  <c r="CL70" i="50"/>
  <c r="CK70" i="50"/>
  <c r="CJ70" i="50"/>
  <c r="CU69" i="50"/>
  <c r="CT69" i="50"/>
  <c r="CR69" i="50"/>
  <c r="CQ69" i="50"/>
  <c r="CP69" i="50"/>
  <c r="CO69" i="50"/>
  <c r="CN69" i="50"/>
  <c r="CM69" i="50"/>
  <c r="CL69" i="50"/>
  <c r="CK69" i="50"/>
  <c r="CJ69" i="50"/>
  <c r="CU68" i="50"/>
  <c r="CT68" i="50"/>
  <c r="CR68" i="50"/>
  <c r="CQ68" i="50"/>
  <c r="CP68" i="50"/>
  <c r="CO68" i="50"/>
  <c r="CN68" i="50"/>
  <c r="CM68" i="50"/>
  <c r="CL68" i="50"/>
  <c r="CK68" i="50"/>
  <c r="CJ68" i="50"/>
  <c r="CR67" i="50"/>
  <c r="CQ67" i="50"/>
  <c r="CP67" i="50"/>
  <c r="CO67" i="50"/>
  <c r="CN67" i="50"/>
  <c r="CM67" i="50"/>
  <c r="CL67" i="50"/>
  <c r="CK67" i="50"/>
  <c r="CJ67" i="50"/>
  <c r="CR66" i="50"/>
  <c r="CQ66" i="50"/>
  <c r="CP66" i="50"/>
  <c r="CO66" i="50"/>
  <c r="CN66" i="50"/>
  <c r="CM66" i="50"/>
  <c r="CL66" i="50"/>
  <c r="CK66" i="50"/>
  <c r="CJ66" i="50"/>
  <c r="CR65" i="50"/>
  <c r="ED65" i="50"/>
  <c r="CQ65" i="50"/>
  <c r="EC65" i="50"/>
  <c r="CP65" i="50"/>
  <c r="CO65" i="50"/>
  <c r="EA65" i="50"/>
  <c r="CN65" i="50"/>
  <c r="DZ65" i="50"/>
  <c r="CM65" i="50"/>
  <c r="DY65" i="50"/>
  <c r="CL65" i="50"/>
  <c r="CK65" i="50"/>
  <c r="DW65" i="50"/>
  <c r="CJ65" i="50"/>
  <c r="DV65" i="50"/>
  <c r="CR64" i="50"/>
  <c r="CQ64" i="50"/>
  <c r="CP64" i="50"/>
  <c r="FG64" i="50"/>
  <c r="CO64" i="50"/>
  <c r="CN64" i="50"/>
  <c r="CM64" i="50"/>
  <c r="CL64" i="50"/>
  <c r="CK64" i="50"/>
  <c r="CJ64" i="50"/>
  <c r="CR63" i="50"/>
  <c r="CQ63" i="50"/>
  <c r="CP63" i="50"/>
  <c r="FG63" i="50"/>
  <c r="CO63" i="50"/>
  <c r="CN63" i="50"/>
  <c r="CM63" i="50"/>
  <c r="CL63" i="50"/>
  <c r="CK63" i="50"/>
  <c r="CJ63" i="50"/>
  <c r="CR62" i="50"/>
  <c r="CQ62" i="50"/>
  <c r="CP62" i="50"/>
  <c r="FG62" i="50"/>
  <c r="CO62" i="50"/>
  <c r="CN62" i="50"/>
  <c r="CM62" i="50"/>
  <c r="CL62" i="50"/>
  <c r="CK62" i="50"/>
  <c r="CJ62" i="50"/>
  <c r="CR61" i="50"/>
  <c r="CQ61" i="50"/>
  <c r="CP61" i="50"/>
  <c r="FG61" i="50"/>
  <c r="CO61" i="50"/>
  <c r="CN61" i="50"/>
  <c r="CM61" i="50"/>
  <c r="CL61" i="50"/>
  <c r="CK61" i="50"/>
  <c r="CJ61" i="50"/>
  <c r="CR60" i="50"/>
  <c r="FI60" i="50"/>
  <c r="CQ60" i="50"/>
  <c r="FH60" i="50"/>
  <c r="CP60" i="50"/>
  <c r="FG60" i="50"/>
  <c r="CO60" i="50"/>
  <c r="CN60" i="50"/>
  <c r="CM60" i="50"/>
  <c r="CL60" i="50"/>
  <c r="CK60" i="50"/>
  <c r="CJ60" i="50"/>
  <c r="CR59" i="50"/>
  <c r="CQ59" i="50"/>
  <c r="CP59" i="50"/>
  <c r="FG59" i="50"/>
  <c r="CO59" i="50"/>
  <c r="CN59" i="50"/>
  <c r="CM59" i="50"/>
  <c r="CL59" i="50"/>
  <c r="CK59" i="50"/>
  <c r="CJ59" i="50"/>
  <c r="CR58" i="50"/>
  <c r="CQ58" i="50"/>
  <c r="CP58" i="50"/>
  <c r="FG58" i="50"/>
  <c r="CO58" i="50"/>
  <c r="CN58" i="50"/>
  <c r="CM58" i="50"/>
  <c r="CL58" i="50"/>
  <c r="CK58" i="50"/>
  <c r="CJ58" i="50"/>
  <c r="CR57" i="50"/>
  <c r="CQ57" i="50"/>
  <c r="CP57" i="50"/>
  <c r="FG57" i="50"/>
  <c r="CO57" i="50"/>
  <c r="CN57" i="50"/>
  <c r="CM57" i="50"/>
  <c r="CL57" i="50"/>
  <c r="CK57" i="50"/>
  <c r="CJ57" i="50"/>
  <c r="CR56" i="50"/>
  <c r="CQ56" i="50"/>
  <c r="CP56" i="50"/>
  <c r="FG56" i="50"/>
  <c r="CO56" i="50"/>
  <c r="CN56" i="50"/>
  <c r="CM56" i="50"/>
  <c r="CL56" i="50"/>
  <c r="CK56" i="50"/>
  <c r="CJ56" i="50"/>
  <c r="CR55" i="50"/>
  <c r="CQ55" i="50"/>
  <c r="CP55" i="50"/>
  <c r="FG55" i="50"/>
  <c r="CO55" i="50"/>
  <c r="CN55" i="50"/>
  <c r="CM55" i="50"/>
  <c r="CL55" i="50"/>
  <c r="CK55" i="50"/>
  <c r="CJ55" i="50"/>
  <c r="CR54" i="50"/>
  <c r="CQ54" i="50"/>
  <c r="CP54" i="50"/>
  <c r="CO54" i="50"/>
  <c r="CN54" i="50"/>
  <c r="CM54" i="50"/>
  <c r="CL54" i="50"/>
  <c r="CK54" i="50"/>
  <c r="CJ54" i="50"/>
  <c r="CR53" i="50"/>
  <c r="CQ53" i="50"/>
  <c r="CP53" i="50"/>
  <c r="CO53" i="50"/>
  <c r="CN53" i="50"/>
  <c r="CM53" i="50"/>
  <c r="CL53" i="50"/>
  <c r="CK53" i="50"/>
  <c r="CJ53" i="50"/>
  <c r="CR52" i="50"/>
  <c r="CQ52" i="50"/>
  <c r="CP52" i="50"/>
  <c r="CO52" i="50"/>
  <c r="CN52" i="50"/>
  <c r="CM52" i="50"/>
  <c r="CL52" i="50"/>
  <c r="CK52" i="50"/>
  <c r="CJ52" i="50"/>
  <c r="CR51" i="50"/>
  <c r="CQ51" i="50"/>
  <c r="CP51" i="50"/>
  <c r="CO51" i="50"/>
  <c r="CN51" i="50"/>
  <c r="CM51" i="50"/>
  <c r="CL51" i="50"/>
  <c r="CK51" i="50"/>
  <c r="CJ51" i="50"/>
  <c r="CR50" i="50"/>
  <c r="CQ50" i="50"/>
  <c r="CP50" i="50"/>
  <c r="CO50" i="50"/>
  <c r="CN50" i="50"/>
  <c r="CM50" i="50"/>
  <c r="CL50" i="50"/>
  <c r="CK50" i="50"/>
  <c r="CJ50" i="50"/>
  <c r="CR49" i="50"/>
  <c r="CQ49" i="50"/>
  <c r="CP49" i="50"/>
  <c r="CO49" i="50"/>
  <c r="CN49" i="50"/>
  <c r="CM49" i="50"/>
  <c r="CL49" i="50"/>
  <c r="CK49" i="50"/>
  <c r="CJ49" i="50"/>
  <c r="CR48" i="50"/>
  <c r="CQ48" i="50"/>
  <c r="CP48" i="50"/>
  <c r="CO48" i="50"/>
  <c r="CN48" i="50"/>
  <c r="CM48" i="50"/>
  <c r="CL48" i="50"/>
  <c r="CK48" i="50"/>
  <c r="CJ48" i="50"/>
  <c r="CR47" i="50"/>
  <c r="CQ47" i="50"/>
  <c r="CP47" i="50"/>
  <c r="CO47" i="50"/>
  <c r="CN47" i="50"/>
  <c r="CM47" i="50"/>
  <c r="CL47" i="50"/>
  <c r="CK47" i="50"/>
  <c r="CJ47" i="50"/>
  <c r="CR46" i="50"/>
  <c r="CQ46" i="50"/>
  <c r="CP46" i="50"/>
  <c r="CO46" i="50"/>
  <c r="CN46" i="50"/>
  <c r="CM46" i="50"/>
  <c r="CL46" i="50"/>
  <c r="CK46" i="50"/>
  <c r="CJ46" i="50"/>
  <c r="CU39" i="50"/>
  <c r="CT39" i="50"/>
  <c r="CR39" i="50"/>
  <c r="CQ39" i="50"/>
  <c r="CP39" i="50"/>
  <c r="CO39" i="50"/>
  <c r="CN39" i="50"/>
  <c r="CM39" i="50"/>
  <c r="CL39" i="50"/>
  <c r="CK39" i="50"/>
  <c r="CJ39" i="50"/>
  <c r="CU38" i="50"/>
  <c r="CT38" i="50"/>
  <c r="CR38" i="50"/>
  <c r="CQ38" i="50"/>
  <c r="CP38" i="50"/>
  <c r="CO38" i="50"/>
  <c r="CN38" i="50"/>
  <c r="CM38" i="50"/>
  <c r="CL38" i="50"/>
  <c r="CK38" i="50"/>
  <c r="CJ38" i="50"/>
  <c r="CU37" i="50"/>
  <c r="CT37" i="50"/>
  <c r="CR37" i="50"/>
  <c r="CQ37" i="50"/>
  <c r="CP37" i="50"/>
  <c r="CO37" i="50"/>
  <c r="CN37" i="50"/>
  <c r="CM37" i="50"/>
  <c r="CL37" i="50"/>
  <c r="CK37" i="50"/>
  <c r="CJ37" i="50"/>
  <c r="CU36" i="50"/>
  <c r="CT36" i="50"/>
  <c r="CR36" i="50"/>
  <c r="CQ36" i="50"/>
  <c r="CP36" i="50"/>
  <c r="CO36" i="50"/>
  <c r="CN36" i="50"/>
  <c r="CM36" i="50"/>
  <c r="CL36" i="50"/>
  <c r="CK36" i="50"/>
  <c r="CJ36" i="50"/>
  <c r="CU35" i="50"/>
  <c r="CT35" i="50"/>
  <c r="CR35" i="50"/>
  <c r="CQ35" i="50"/>
  <c r="CP35" i="50"/>
  <c r="CO35" i="50"/>
  <c r="CN35" i="50"/>
  <c r="CM35" i="50"/>
  <c r="CL35" i="50"/>
  <c r="CK35" i="50"/>
  <c r="CJ35" i="50"/>
  <c r="CU34" i="50"/>
  <c r="CT34" i="50"/>
  <c r="CR34" i="50"/>
  <c r="CQ34" i="50"/>
  <c r="CP34" i="50"/>
  <c r="CO34" i="50"/>
  <c r="CN34" i="50"/>
  <c r="CM34" i="50"/>
  <c r="CL34" i="50"/>
  <c r="CK34" i="50"/>
  <c r="CJ34" i="50"/>
  <c r="CU33" i="50"/>
  <c r="CT33" i="50"/>
  <c r="CR33" i="50"/>
  <c r="CQ33" i="50"/>
  <c r="CP33" i="50"/>
  <c r="CO33" i="50"/>
  <c r="CN33" i="50"/>
  <c r="CM33" i="50"/>
  <c r="CL33" i="50"/>
  <c r="CK33" i="50"/>
  <c r="CJ33" i="50"/>
  <c r="CU32" i="50"/>
  <c r="CT32" i="50"/>
  <c r="CR32" i="50"/>
  <c r="CQ32" i="50"/>
  <c r="CP32" i="50"/>
  <c r="CO32" i="50"/>
  <c r="CN32" i="50"/>
  <c r="CM32" i="50"/>
  <c r="CL32" i="50"/>
  <c r="CK32" i="50"/>
  <c r="CJ32" i="50"/>
  <c r="CU31" i="50"/>
  <c r="CT31" i="50"/>
  <c r="CR31" i="50"/>
  <c r="CQ31" i="50"/>
  <c r="CP31" i="50"/>
  <c r="CO31" i="50"/>
  <c r="CN31" i="50"/>
  <c r="CM31" i="50"/>
  <c r="CL31" i="50"/>
  <c r="CK31" i="50"/>
  <c r="CJ31" i="50"/>
  <c r="CR30" i="50"/>
  <c r="CQ30" i="50"/>
  <c r="CP30" i="50"/>
  <c r="CO30" i="50"/>
  <c r="EA30" i="50"/>
  <c r="CN30" i="50"/>
  <c r="DZ30" i="50"/>
  <c r="CM30" i="50"/>
  <c r="DY30" i="50"/>
  <c r="CL30" i="50"/>
  <c r="CK30" i="50"/>
  <c r="DW30" i="50"/>
  <c r="CJ30" i="50"/>
  <c r="CR29" i="50"/>
  <c r="CQ29" i="50"/>
  <c r="CP29" i="50"/>
  <c r="CO29" i="50"/>
  <c r="EA29" i="50"/>
  <c r="CN29" i="50"/>
  <c r="DZ29" i="50"/>
  <c r="CM29" i="50"/>
  <c r="DY29" i="50"/>
  <c r="CL29" i="50"/>
  <c r="CK29" i="50"/>
  <c r="DW29" i="50"/>
  <c r="CJ29" i="50"/>
  <c r="CR27" i="50"/>
  <c r="CQ27" i="50"/>
  <c r="CP27" i="50"/>
  <c r="FG27" i="50"/>
  <c r="CO27" i="50"/>
  <c r="CN27" i="50"/>
  <c r="CM27" i="50"/>
  <c r="CL27" i="50"/>
  <c r="CK27" i="50"/>
  <c r="CJ27" i="50"/>
  <c r="FA27" i="50" s="1"/>
  <c r="CR26" i="50"/>
  <c r="CQ26" i="50"/>
  <c r="CP26" i="50"/>
  <c r="FG26" i="50" s="1"/>
  <c r="CO26" i="50"/>
  <c r="CN26" i="50"/>
  <c r="CM26" i="50"/>
  <c r="CL26" i="50"/>
  <c r="CK26" i="50"/>
  <c r="CJ26" i="50"/>
  <c r="FA26" i="50"/>
  <c r="CR25" i="50"/>
  <c r="CQ25" i="50"/>
  <c r="CP25" i="50"/>
  <c r="FG25" i="50"/>
  <c r="CO25" i="50"/>
  <c r="CN25" i="50"/>
  <c r="CM25" i="50"/>
  <c r="CL25" i="50"/>
  <c r="CK25" i="50"/>
  <c r="CJ25" i="50"/>
  <c r="FA25" i="50"/>
  <c r="CR24" i="50"/>
  <c r="CQ24" i="50"/>
  <c r="CP24" i="50"/>
  <c r="FG24" i="50"/>
  <c r="CO24" i="50"/>
  <c r="CN24" i="50"/>
  <c r="CM24" i="50"/>
  <c r="CL24" i="50"/>
  <c r="CK24" i="50"/>
  <c r="CJ24" i="50"/>
  <c r="FA24" i="50"/>
  <c r="CR23" i="50"/>
  <c r="FI23" i="50"/>
  <c r="CQ23" i="50"/>
  <c r="FH23" i="50"/>
  <c r="CP23" i="50"/>
  <c r="FG23" i="50"/>
  <c r="CO23" i="50"/>
  <c r="CN23" i="50"/>
  <c r="CM23" i="50"/>
  <c r="CL23" i="50"/>
  <c r="CK23" i="50"/>
  <c r="CJ23" i="50"/>
  <c r="FA23" i="50"/>
  <c r="CR22" i="50"/>
  <c r="CQ22" i="50"/>
  <c r="CP22" i="50"/>
  <c r="FG22" i="50"/>
  <c r="CO22" i="50"/>
  <c r="CN22" i="50"/>
  <c r="CM22" i="50"/>
  <c r="CL22" i="50"/>
  <c r="CK22" i="50"/>
  <c r="CJ22" i="50"/>
  <c r="FA22" i="50"/>
  <c r="CR21" i="50"/>
  <c r="CQ21" i="50"/>
  <c r="CP21" i="50"/>
  <c r="FG21" i="50"/>
  <c r="CO21" i="50"/>
  <c r="CN21" i="50"/>
  <c r="CM21" i="50"/>
  <c r="CL21" i="50"/>
  <c r="CK21" i="50"/>
  <c r="CJ21" i="50"/>
  <c r="FA21" i="50" s="1"/>
  <c r="CR20" i="50"/>
  <c r="CQ20" i="50"/>
  <c r="CP20" i="50"/>
  <c r="FG20" i="50" s="1"/>
  <c r="CO20" i="50"/>
  <c r="CN20" i="50"/>
  <c r="CM20" i="50"/>
  <c r="CL20" i="50"/>
  <c r="CK20" i="50"/>
  <c r="CJ20" i="50"/>
  <c r="FA20" i="50"/>
  <c r="CR19" i="50"/>
  <c r="CQ19" i="50"/>
  <c r="CP19" i="50"/>
  <c r="FG19" i="50"/>
  <c r="CO19" i="50"/>
  <c r="CN19" i="50"/>
  <c r="CM19" i="50"/>
  <c r="CL19" i="50"/>
  <c r="CK19" i="50"/>
  <c r="CJ19" i="50"/>
  <c r="FA19" i="50"/>
  <c r="CR18" i="50"/>
  <c r="CQ18" i="50"/>
  <c r="CP18" i="50"/>
  <c r="FG18" i="50"/>
  <c r="CO18" i="50"/>
  <c r="CN18" i="50"/>
  <c r="CM18" i="50"/>
  <c r="CL18" i="50"/>
  <c r="CK18" i="50"/>
  <c r="CJ18" i="50"/>
  <c r="FA18" i="50"/>
  <c r="CR17" i="50"/>
  <c r="CQ17" i="50"/>
  <c r="CP17" i="50"/>
  <c r="CO17" i="50"/>
  <c r="CN17" i="50"/>
  <c r="CM17" i="50"/>
  <c r="CL17" i="50"/>
  <c r="CK17" i="50"/>
  <c r="CJ17" i="50"/>
  <c r="FA17" i="50"/>
  <c r="CR16" i="50"/>
  <c r="CQ16" i="50"/>
  <c r="CP16" i="50"/>
  <c r="CO16" i="50"/>
  <c r="CN16" i="50"/>
  <c r="CM16" i="50"/>
  <c r="CL16" i="50"/>
  <c r="CK16" i="50"/>
  <c r="CJ16" i="50"/>
  <c r="FA16" i="50"/>
  <c r="CR15" i="50"/>
  <c r="CQ15" i="50"/>
  <c r="CP15" i="50"/>
  <c r="CO15" i="50"/>
  <c r="CN15" i="50"/>
  <c r="CM15" i="50"/>
  <c r="CL15" i="50"/>
  <c r="CK15" i="50"/>
  <c r="CJ15" i="50"/>
  <c r="FA15" i="50"/>
  <c r="CR14" i="50"/>
  <c r="CQ14" i="50"/>
  <c r="CP14" i="50"/>
  <c r="CO14" i="50"/>
  <c r="CN14" i="50"/>
  <c r="CM14" i="50"/>
  <c r="CL14" i="50"/>
  <c r="CK14" i="50"/>
  <c r="CJ14" i="50"/>
  <c r="FA14" i="50"/>
  <c r="CR13" i="50"/>
  <c r="CQ13" i="50"/>
  <c r="CP13" i="50"/>
  <c r="CO13" i="50"/>
  <c r="CN13" i="50"/>
  <c r="CM13" i="50"/>
  <c r="CL13" i="50"/>
  <c r="CK13" i="50"/>
  <c r="CJ13" i="50"/>
  <c r="FA13" i="50"/>
  <c r="CR12" i="50"/>
  <c r="CQ12" i="50"/>
  <c r="CP12" i="50"/>
  <c r="CO12" i="50"/>
  <c r="CN12" i="50"/>
  <c r="CM12" i="50"/>
  <c r="CL12" i="50"/>
  <c r="CK12" i="50"/>
  <c r="CJ12" i="50"/>
  <c r="FA12" i="50"/>
  <c r="CR11" i="50"/>
  <c r="CQ11" i="50"/>
  <c r="CP11" i="50"/>
  <c r="CO11" i="50"/>
  <c r="CN11" i="50"/>
  <c r="CM11" i="50"/>
  <c r="CL11" i="50"/>
  <c r="CK11" i="50"/>
  <c r="CJ11" i="50"/>
  <c r="FA11" i="50"/>
  <c r="CR10" i="50"/>
  <c r="CQ10" i="50"/>
  <c r="CP10" i="50"/>
  <c r="CO10" i="50"/>
  <c r="CN10" i="50"/>
  <c r="CM10" i="50"/>
  <c r="CL10" i="50"/>
  <c r="CK10" i="50"/>
  <c r="CJ10" i="50"/>
  <c r="FA10" i="50"/>
  <c r="CR9" i="50"/>
  <c r="CQ9" i="50"/>
  <c r="CP9" i="50"/>
  <c r="CO9" i="50"/>
  <c r="CN9" i="50"/>
  <c r="CM9" i="50"/>
  <c r="CL9" i="50"/>
  <c r="CK9" i="50"/>
  <c r="CJ9" i="50"/>
  <c r="FA9" i="50"/>
  <c r="EW113" i="50"/>
  <c r="EV113" i="50"/>
  <c r="EW112" i="50"/>
  <c r="EV112" i="50"/>
  <c r="EW111" i="50"/>
  <c r="EV111" i="50"/>
  <c r="EW110" i="50"/>
  <c r="EV110" i="50"/>
  <c r="EW109" i="50"/>
  <c r="EV109" i="50"/>
  <c r="EW108" i="50"/>
  <c r="EV108" i="50"/>
  <c r="EW107" i="50"/>
  <c r="EV107" i="50"/>
  <c r="EW106" i="50"/>
  <c r="EV106" i="50"/>
  <c r="EW105" i="50"/>
  <c r="EV105" i="50"/>
  <c r="EW76" i="50"/>
  <c r="EV76" i="50"/>
  <c r="EW75" i="50"/>
  <c r="EV75" i="50"/>
  <c r="EW74" i="50"/>
  <c r="EV74" i="50"/>
  <c r="EW73" i="50"/>
  <c r="EV73" i="50"/>
  <c r="EW72" i="50"/>
  <c r="EV72" i="50"/>
  <c r="EW71" i="50"/>
  <c r="EV71" i="50"/>
  <c r="EW70" i="50"/>
  <c r="EV70" i="50"/>
  <c r="EW69" i="50"/>
  <c r="EV69" i="50"/>
  <c r="EW68" i="50"/>
  <c r="EV68" i="50"/>
  <c r="EW39" i="50"/>
  <c r="EM149" i="50"/>
  <c r="EV39" i="50"/>
  <c r="EQ39" i="50"/>
  <c r="EP39" i="50"/>
  <c r="EO39" i="50"/>
  <c r="EL39" i="50"/>
  <c r="EW38" i="50"/>
  <c r="EM148" i="50" s="1"/>
  <c r="EV38" i="50"/>
  <c r="EQ38" i="50"/>
  <c r="EP38" i="50"/>
  <c r="EO38" i="50"/>
  <c r="EL38" i="50"/>
  <c r="EW37" i="50"/>
  <c r="EM147" i="50"/>
  <c r="EV37" i="50"/>
  <c r="EQ37" i="50"/>
  <c r="EP37" i="50"/>
  <c r="EO37" i="50"/>
  <c r="EL37" i="50"/>
  <c r="EW36" i="50"/>
  <c r="EM146" i="50"/>
  <c r="EV36" i="50"/>
  <c r="EQ36" i="50"/>
  <c r="EP36" i="50"/>
  <c r="EO36" i="50"/>
  <c r="EL36" i="50"/>
  <c r="EW35" i="50"/>
  <c r="EM145" i="50"/>
  <c r="EV35" i="50"/>
  <c r="EQ35" i="50"/>
  <c r="EP35" i="50"/>
  <c r="EO35" i="50"/>
  <c r="EL35" i="50"/>
  <c r="EW34" i="50"/>
  <c r="EM144" i="50" s="1"/>
  <c r="EV34" i="50"/>
  <c r="EQ34" i="50"/>
  <c r="EP34" i="50"/>
  <c r="EO34" i="50"/>
  <c r="EL34" i="50"/>
  <c r="EW33" i="50"/>
  <c r="EM143" i="50"/>
  <c r="EV33" i="50"/>
  <c r="EQ33" i="50"/>
  <c r="EP33" i="50"/>
  <c r="EO33" i="50"/>
  <c r="EL33" i="50"/>
  <c r="EW32" i="50"/>
  <c r="EM142" i="50"/>
  <c r="EV32" i="50"/>
  <c r="EQ32" i="50"/>
  <c r="EP32" i="50"/>
  <c r="EO32" i="50"/>
  <c r="EL32" i="50"/>
  <c r="EW31" i="50"/>
  <c r="EM141" i="50"/>
  <c r="EV31" i="50"/>
  <c r="EQ31" i="50"/>
  <c r="EP31" i="50"/>
  <c r="EO31" i="50"/>
  <c r="EL31" i="50"/>
  <c r="EJ82" i="50"/>
  <c r="EL81" i="50"/>
  <c r="EJ45" i="50"/>
  <c r="EL44" i="50"/>
  <c r="EJ8" i="50"/>
  <c r="EL7" i="50"/>
  <c r="EG113" i="50"/>
  <c r="EF113" i="50"/>
  <c r="EG112" i="50"/>
  <c r="EF112" i="50"/>
  <c r="EG111" i="50"/>
  <c r="EF111" i="50"/>
  <c r="EG110" i="50"/>
  <c r="EF110" i="50"/>
  <c r="EG109" i="50"/>
  <c r="EF109" i="50"/>
  <c r="EG108" i="50"/>
  <c r="EF108" i="50"/>
  <c r="EG107" i="50"/>
  <c r="EF107" i="50"/>
  <c r="EG106" i="50"/>
  <c r="EF106" i="50"/>
  <c r="EG105" i="50"/>
  <c r="EF105" i="50"/>
  <c r="EG76" i="50"/>
  <c r="EF76" i="50"/>
  <c r="EG75" i="50"/>
  <c r="EF75" i="50"/>
  <c r="EG74" i="50"/>
  <c r="EF74" i="50"/>
  <c r="EG73" i="50"/>
  <c r="EF73" i="50"/>
  <c r="EG72" i="50"/>
  <c r="EF72" i="50"/>
  <c r="EG71" i="50"/>
  <c r="EF71" i="50"/>
  <c r="EG70" i="50"/>
  <c r="EF70" i="50"/>
  <c r="EG69" i="50"/>
  <c r="EF69" i="50"/>
  <c r="EG68" i="50"/>
  <c r="EF68" i="50"/>
  <c r="EG39" i="50"/>
  <c r="EL149" i="50"/>
  <c r="EF39" i="50"/>
  <c r="EA39" i="50"/>
  <c r="DZ39" i="50"/>
  <c r="DY39" i="50"/>
  <c r="DW39" i="50"/>
  <c r="DV39" i="50"/>
  <c r="EG38" i="50"/>
  <c r="EL148" i="50"/>
  <c r="EF38" i="50"/>
  <c r="EA38" i="50"/>
  <c r="DZ38" i="50"/>
  <c r="DY38" i="50"/>
  <c r="DW38" i="50"/>
  <c r="DV38" i="50"/>
  <c r="EG37" i="50"/>
  <c r="EL147" i="50"/>
  <c r="EF37" i="50"/>
  <c r="EA37" i="50"/>
  <c r="DZ37" i="50"/>
  <c r="DY37" i="50"/>
  <c r="DW37" i="50"/>
  <c r="DV37" i="50"/>
  <c r="EG36" i="50"/>
  <c r="EL146" i="50"/>
  <c r="EF36" i="50"/>
  <c r="EA36" i="50"/>
  <c r="DZ36" i="50"/>
  <c r="DY36" i="50"/>
  <c r="DW36" i="50"/>
  <c r="DV36" i="50"/>
  <c r="EG35" i="50"/>
  <c r="EL145" i="50"/>
  <c r="EF35" i="50"/>
  <c r="EA35" i="50"/>
  <c r="DZ35" i="50"/>
  <c r="DY35" i="50"/>
  <c r="DW35" i="50"/>
  <c r="DV35" i="50"/>
  <c r="EG34" i="50"/>
  <c r="EL144" i="50"/>
  <c r="EF34" i="50"/>
  <c r="EA34" i="50"/>
  <c r="DZ34" i="50"/>
  <c r="DY34" i="50"/>
  <c r="DW34" i="50"/>
  <c r="DV34" i="50"/>
  <c r="EG33" i="50"/>
  <c r="EL143" i="50"/>
  <c r="EF33" i="50"/>
  <c r="EA33" i="50"/>
  <c r="DZ33" i="50"/>
  <c r="DY33" i="50"/>
  <c r="DW33" i="50"/>
  <c r="DV33" i="50"/>
  <c r="EG32" i="50"/>
  <c r="EL142" i="50"/>
  <c r="EF32" i="50"/>
  <c r="EA32" i="50"/>
  <c r="DZ32" i="50"/>
  <c r="DY32" i="50"/>
  <c r="DW32" i="50"/>
  <c r="DV32" i="50"/>
  <c r="EG31" i="50"/>
  <c r="EL141" i="50"/>
  <c r="EF31" i="50"/>
  <c r="EA31" i="50"/>
  <c r="DZ31" i="50"/>
  <c r="DY31" i="50"/>
  <c r="DW31" i="50"/>
  <c r="DV31" i="50"/>
  <c r="DT82" i="50"/>
  <c r="DV81" i="50"/>
  <c r="DT45" i="50"/>
  <c r="DT8" i="50"/>
  <c r="DV7" i="50"/>
  <c r="DQ113" i="50"/>
  <c r="DP113" i="50"/>
  <c r="DO113" i="50"/>
  <c r="DN113" i="50"/>
  <c r="EZ113" i="50"/>
  <c r="DQ112" i="50"/>
  <c r="DP112" i="50"/>
  <c r="DO112" i="50"/>
  <c r="DN112" i="50"/>
  <c r="EZ112" i="50"/>
  <c r="DQ111" i="50"/>
  <c r="DP111" i="50"/>
  <c r="DO111" i="50"/>
  <c r="DN111" i="50"/>
  <c r="EZ111" i="50" s="1"/>
  <c r="DQ110" i="50"/>
  <c r="DP110" i="50"/>
  <c r="DO110" i="50"/>
  <c r="DN110" i="50"/>
  <c r="EZ110" i="50"/>
  <c r="DQ109" i="50"/>
  <c r="DP109" i="50"/>
  <c r="DO109" i="50"/>
  <c r="DN109" i="50"/>
  <c r="EZ109" i="50"/>
  <c r="DQ108" i="50"/>
  <c r="DP108" i="50"/>
  <c r="DO108" i="50"/>
  <c r="DN108" i="50"/>
  <c r="EZ108" i="50"/>
  <c r="DQ107" i="50"/>
  <c r="DP107" i="50"/>
  <c r="DO107" i="50"/>
  <c r="DN107" i="50"/>
  <c r="EZ107" i="50" s="1"/>
  <c r="DQ106" i="50"/>
  <c r="DP106" i="50"/>
  <c r="DO106" i="50"/>
  <c r="DN106" i="50"/>
  <c r="EZ106" i="50"/>
  <c r="DQ105" i="50"/>
  <c r="DP105" i="50"/>
  <c r="DO105" i="50"/>
  <c r="DN105" i="50"/>
  <c r="EZ105" i="50"/>
  <c r="DQ104" i="50"/>
  <c r="DP104" i="50"/>
  <c r="DO104" i="50"/>
  <c r="DN104" i="50"/>
  <c r="EZ104" i="50"/>
  <c r="DQ103" i="50"/>
  <c r="DP103" i="50"/>
  <c r="DO103" i="50"/>
  <c r="DN103" i="50"/>
  <c r="EZ103" i="50" s="1"/>
  <c r="DQ102" i="50"/>
  <c r="DP102" i="50"/>
  <c r="DO102" i="50"/>
  <c r="FA102" i="50"/>
  <c r="DN102" i="50"/>
  <c r="DQ101" i="50"/>
  <c r="DP101" i="50"/>
  <c r="DO101" i="50"/>
  <c r="DN101" i="50"/>
  <c r="DQ100" i="50"/>
  <c r="DP100" i="50"/>
  <c r="DO100" i="50"/>
  <c r="DN100" i="50"/>
  <c r="DQ99" i="50"/>
  <c r="DP99" i="50"/>
  <c r="DO99" i="50"/>
  <c r="DN99" i="50"/>
  <c r="DQ98" i="50"/>
  <c r="DP98" i="50"/>
  <c r="DO98" i="50"/>
  <c r="DN98" i="50"/>
  <c r="DQ97" i="50"/>
  <c r="DP97" i="50"/>
  <c r="DO97" i="50"/>
  <c r="DN97" i="50"/>
  <c r="DQ96" i="50"/>
  <c r="DP96" i="50"/>
  <c r="DO96" i="50"/>
  <c r="DN96" i="50"/>
  <c r="DQ95" i="50"/>
  <c r="DP95" i="50"/>
  <c r="DO95" i="50"/>
  <c r="DN95" i="50"/>
  <c r="DQ94" i="50"/>
  <c r="DP94" i="50"/>
  <c r="DO94" i="50"/>
  <c r="DN94" i="50"/>
  <c r="DQ93" i="50"/>
  <c r="DP93" i="50"/>
  <c r="DO93" i="50"/>
  <c r="DN93" i="50"/>
  <c r="DQ92" i="50"/>
  <c r="DP92" i="50"/>
  <c r="DO92" i="50"/>
  <c r="DN92" i="50"/>
  <c r="DQ91" i="50"/>
  <c r="DP91" i="50"/>
  <c r="DO91" i="50"/>
  <c r="DN91" i="50"/>
  <c r="DQ90" i="50"/>
  <c r="DP90" i="50"/>
  <c r="DO90" i="50"/>
  <c r="DN90" i="50"/>
  <c r="DQ89" i="50"/>
  <c r="DP89" i="50"/>
  <c r="DO89" i="50"/>
  <c r="DN89" i="50"/>
  <c r="DQ88" i="50"/>
  <c r="DP88" i="50"/>
  <c r="DO88" i="50"/>
  <c r="DN88" i="50"/>
  <c r="DQ87" i="50"/>
  <c r="DP87" i="50"/>
  <c r="DO87" i="50"/>
  <c r="DN87" i="50"/>
  <c r="DQ86" i="50"/>
  <c r="DP86" i="50"/>
  <c r="DO86" i="50"/>
  <c r="DN86" i="50"/>
  <c r="DQ85" i="50"/>
  <c r="DP85" i="50"/>
  <c r="DO85" i="50"/>
  <c r="DN85" i="50"/>
  <c r="DQ84" i="50"/>
  <c r="DP84" i="50"/>
  <c r="DO84" i="50"/>
  <c r="DN84" i="50"/>
  <c r="DQ83" i="50"/>
  <c r="DP83" i="50"/>
  <c r="DO83" i="50"/>
  <c r="DN83" i="50"/>
  <c r="DN81" i="50"/>
  <c r="DQ47" i="50"/>
  <c r="DP47" i="50"/>
  <c r="DO47" i="50"/>
  <c r="DN47" i="50"/>
  <c r="DQ10" i="50"/>
  <c r="DP10" i="50"/>
  <c r="DO10" i="50"/>
  <c r="DN10" i="50"/>
  <c r="FI94" i="50"/>
  <c r="ED94" i="50"/>
  <c r="ET94" i="50"/>
  <c r="FH94" i="50"/>
  <c r="EC94" i="50"/>
  <c r="ES94" i="50" s="1"/>
  <c r="EM102" i="50"/>
  <c r="DX102" i="50"/>
  <c r="EN102" i="50"/>
  <c r="DZ102" i="50"/>
  <c r="ED102" i="50"/>
  <c r="ET102" i="50"/>
  <c r="DW102" i="50"/>
  <c r="DY102" i="50"/>
  <c r="EA102" i="50"/>
  <c r="EC102" i="50"/>
  <c r="ES102" i="50"/>
  <c r="FD101" i="50"/>
  <c r="DY101" i="50"/>
  <c r="FE101" i="50"/>
  <c r="DZ101" i="50"/>
  <c r="DW83" i="50"/>
  <c r="FB83" i="50"/>
  <c r="DY83" i="50"/>
  <c r="FD83" i="50"/>
  <c r="EA83" i="50"/>
  <c r="EQ83" i="50"/>
  <c r="FF83" i="50"/>
  <c r="EC83" i="50"/>
  <c r="ES83" i="50" s="1"/>
  <c r="FH83" i="50"/>
  <c r="DV84" i="50"/>
  <c r="FA84" i="50"/>
  <c r="DX84" i="50"/>
  <c r="EN84" i="50"/>
  <c r="FC84" i="50"/>
  <c r="DZ84" i="50"/>
  <c r="EP84" i="50" s="1"/>
  <c r="FV120" i="50"/>
  <c r="FE84" i="50"/>
  <c r="EB84" i="50"/>
  <c r="ER84" i="50" s="1"/>
  <c r="FG84" i="50"/>
  <c r="ED84" i="50"/>
  <c r="ET84" i="50"/>
  <c r="FI84" i="50"/>
  <c r="DW85" i="50"/>
  <c r="FB85" i="50"/>
  <c r="DY85" i="50"/>
  <c r="FD85" i="50"/>
  <c r="EA85" i="50"/>
  <c r="EQ85" i="50"/>
  <c r="FF85" i="50"/>
  <c r="EC85" i="50"/>
  <c r="ES85" i="50"/>
  <c r="FH85" i="50"/>
  <c r="DV86" i="50"/>
  <c r="FA86" i="50"/>
  <c r="DX86" i="50"/>
  <c r="EN86" i="50"/>
  <c r="FC86" i="50"/>
  <c r="DZ86" i="50"/>
  <c r="EP86" i="50"/>
  <c r="FV122" i="50"/>
  <c r="FE86" i="50"/>
  <c r="EB86" i="50"/>
  <c r="ER86" i="50"/>
  <c r="FG86" i="50"/>
  <c r="ED86" i="50"/>
  <c r="ET86" i="50" s="1"/>
  <c r="FI86" i="50"/>
  <c r="DW87" i="50"/>
  <c r="FB87" i="50"/>
  <c r="DY87" i="50"/>
  <c r="FD87" i="50"/>
  <c r="EA87" i="50"/>
  <c r="EQ87" i="50"/>
  <c r="FF87" i="50"/>
  <c r="EC87" i="50"/>
  <c r="ES87" i="50"/>
  <c r="FH87" i="50"/>
  <c r="DV88" i="50"/>
  <c r="FA88" i="50"/>
  <c r="DX88" i="50"/>
  <c r="EN88" i="50"/>
  <c r="FC88" i="50"/>
  <c r="DZ88" i="50"/>
  <c r="EP88" i="50"/>
  <c r="FV124" i="50"/>
  <c r="FE88" i="50"/>
  <c r="EB88" i="50"/>
  <c r="ER88" i="50"/>
  <c r="FG88" i="50"/>
  <c r="ED88" i="50"/>
  <c r="ET88" i="50"/>
  <c r="FI88" i="50"/>
  <c r="DW89" i="50"/>
  <c r="FB89" i="50"/>
  <c r="DY89" i="50"/>
  <c r="EO89" i="50"/>
  <c r="FD89" i="50"/>
  <c r="EA89" i="50"/>
  <c r="EQ89" i="50"/>
  <c r="FF89" i="50"/>
  <c r="EC89" i="50"/>
  <c r="ES89" i="50" s="1"/>
  <c r="FH89" i="50"/>
  <c r="DV90" i="50"/>
  <c r="FA90" i="50"/>
  <c r="DX90" i="50"/>
  <c r="EN90" i="50"/>
  <c r="FC90" i="50"/>
  <c r="DZ90" i="50"/>
  <c r="EP90" i="50" s="1"/>
  <c r="FV126" i="50"/>
  <c r="FE90" i="50"/>
  <c r="EB90" i="50"/>
  <c r="ER90" i="50" s="1"/>
  <c r="FG90" i="50"/>
  <c r="ED90" i="50"/>
  <c r="ET90" i="50"/>
  <c r="FI90" i="50"/>
  <c r="DW91" i="50"/>
  <c r="FB91" i="50"/>
  <c r="DY91" i="50"/>
  <c r="FD91" i="50"/>
  <c r="EA91" i="50"/>
  <c r="EQ91" i="50"/>
  <c r="FF91" i="50"/>
  <c r="EC91" i="50"/>
  <c r="ES91" i="50"/>
  <c r="FH91" i="50"/>
  <c r="DV92" i="50"/>
  <c r="FA92" i="50"/>
  <c r="DX92" i="50"/>
  <c r="EN92" i="50"/>
  <c r="FC92" i="50"/>
  <c r="DZ92" i="50"/>
  <c r="EP92" i="50"/>
  <c r="FV128" i="50"/>
  <c r="FE92" i="50"/>
  <c r="ED92" i="50"/>
  <c r="ET92" i="50"/>
  <c r="FI92" i="50"/>
  <c r="DW93" i="50"/>
  <c r="FB93" i="50"/>
  <c r="DY93" i="50"/>
  <c r="FD93" i="50"/>
  <c r="EA93" i="50"/>
  <c r="EQ93" i="50" s="1"/>
  <c r="FF93" i="50"/>
  <c r="EC93" i="50"/>
  <c r="ES93" i="50"/>
  <c r="FH93" i="50"/>
  <c r="DV94" i="50"/>
  <c r="FA94" i="50"/>
  <c r="DX94" i="50"/>
  <c r="EN94" i="50" s="1"/>
  <c r="FC94" i="50"/>
  <c r="DZ94" i="50"/>
  <c r="EP94" i="50"/>
  <c r="FV130" i="50"/>
  <c r="FE94" i="50"/>
  <c r="DW95" i="50"/>
  <c r="FB95" i="50"/>
  <c r="DY95" i="50"/>
  <c r="FD95" i="50"/>
  <c r="EA95" i="50"/>
  <c r="EQ95" i="50"/>
  <c r="FF95" i="50"/>
  <c r="EC95" i="50"/>
  <c r="ES95" i="50"/>
  <c r="FH95" i="50"/>
  <c r="DV96" i="50"/>
  <c r="FA96" i="50"/>
  <c r="DX96" i="50"/>
  <c r="EN96" i="50"/>
  <c r="FC96" i="50"/>
  <c r="DZ96" i="50"/>
  <c r="EP96" i="50"/>
  <c r="FV132" i="50"/>
  <c r="FE96" i="50"/>
  <c r="ED96" i="50"/>
  <c r="ET96" i="50"/>
  <c r="FI96" i="50"/>
  <c r="DW97" i="50"/>
  <c r="FB97" i="50"/>
  <c r="DY97" i="50"/>
  <c r="FD97" i="50"/>
  <c r="EA97" i="50"/>
  <c r="EQ97" i="50"/>
  <c r="FF97" i="50"/>
  <c r="DV98" i="50"/>
  <c r="FA98" i="50"/>
  <c r="DX98" i="50"/>
  <c r="EN98" i="50"/>
  <c r="FC98" i="50"/>
  <c r="DZ98" i="50"/>
  <c r="EP98" i="50"/>
  <c r="FV134" i="50"/>
  <c r="FE98" i="50"/>
  <c r="ED98" i="50"/>
  <c r="ET98" i="50"/>
  <c r="FI98" i="50"/>
  <c r="DW99" i="50"/>
  <c r="FB99" i="50"/>
  <c r="DY99" i="50"/>
  <c r="EO99" i="50"/>
  <c r="FD99" i="50"/>
  <c r="EA99" i="50"/>
  <c r="EQ99" i="50"/>
  <c r="FF99" i="50"/>
  <c r="EC99" i="50"/>
  <c r="ES99" i="50" s="1"/>
  <c r="FH99" i="50"/>
  <c r="DV100" i="50"/>
  <c r="FA100" i="50"/>
  <c r="DX100" i="50"/>
  <c r="EN100" i="50"/>
  <c r="FC100" i="50"/>
  <c r="DZ100" i="50"/>
  <c r="EP100" i="50" s="1"/>
  <c r="FV136" i="50"/>
  <c r="FE100" i="50"/>
  <c r="ED100" i="50"/>
  <c r="ET100" i="50" s="1"/>
  <c r="FI100" i="50"/>
  <c r="DW101" i="50"/>
  <c r="FB101" i="50"/>
  <c r="EA101" i="50"/>
  <c r="FF101" i="50"/>
  <c r="EC101" i="50"/>
  <c r="ES101" i="50"/>
  <c r="FH101" i="50"/>
  <c r="EM83" i="50"/>
  <c r="FR83" i="50"/>
  <c r="EL84" i="50"/>
  <c r="FQ84" i="50"/>
  <c r="EM85" i="50"/>
  <c r="FR85" i="50"/>
  <c r="EL86" i="50"/>
  <c r="FQ86" i="50"/>
  <c r="EM87" i="50"/>
  <c r="FR87" i="50"/>
  <c r="EL88" i="50"/>
  <c r="FQ88" i="50"/>
  <c r="EM89" i="50"/>
  <c r="FR89" i="50"/>
  <c r="EL90" i="50"/>
  <c r="FQ90" i="50"/>
  <c r="EM91" i="50"/>
  <c r="FR91" i="50"/>
  <c r="EL92" i="50"/>
  <c r="FQ92" i="50"/>
  <c r="EM93" i="50"/>
  <c r="FR93" i="50"/>
  <c r="EL94" i="50"/>
  <c r="FQ94" i="50"/>
  <c r="EM95" i="50"/>
  <c r="FR95" i="50"/>
  <c r="EL96" i="50"/>
  <c r="FQ96" i="50"/>
  <c r="EM97" i="50"/>
  <c r="FR97" i="50"/>
  <c r="EL98" i="50"/>
  <c r="FQ98" i="50"/>
  <c r="EM99" i="50"/>
  <c r="FR99" i="50"/>
  <c r="EL100" i="50"/>
  <c r="FQ100" i="50"/>
  <c r="EM101" i="50"/>
  <c r="FR101" i="50"/>
  <c r="EO101" i="50"/>
  <c r="FT101" i="50"/>
  <c r="EQ101" i="50"/>
  <c r="FV101" i="50"/>
  <c r="EL102" i="50"/>
  <c r="EP102" i="50"/>
  <c r="GB102" i="50"/>
  <c r="ER102" i="50"/>
  <c r="DV83" i="50"/>
  <c r="FA83" i="50"/>
  <c r="DX83" i="50"/>
  <c r="EN83" i="50"/>
  <c r="FC83" i="50"/>
  <c r="DZ83" i="50"/>
  <c r="EP83" i="50"/>
  <c r="FV119" i="50"/>
  <c r="FE83" i="50"/>
  <c r="EB83" i="50"/>
  <c r="ER83" i="50"/>
  <c r="FG83" i="50"/>
  <c r="ED83" i="50"/>
  <c r="ET83" i="50" s="1"/>
  <c r="FI83" i="50"/>
  <c r="DW84" i="50"/>
  <c r="FB84" i="50"/>
  <c r="DY84" i="50"/>
  <c r="EO84" i="50"/>
  <c r="FD84" i="50"/>
  <c r="EA84" i="50"/>
  <c r="EQ84" i="50" s="1"/>
  <c r="FF84" i="50"/>
  <c r="EC84" i="50"/>
  <c r="ES84" i="50"/>
  <c r="FH84" i="50"/>
  <c r="DV85" i="50"/>
  <c r="FA85" i="50"/>
  <c r="DX85" i="50"/>
  <c r="EN85" i="50" s="1"/>
  <c r="FC85" i="50"/>
  <c r="DZ85" i="50"/>
  <c r="EP85" i="50"/>
  <c r="FV121" i="50"/>
  <c r="FE85" i="50"/>
  <c r="EB85" i="50"/>
  <c r="ER85" i="50"/>
  <c r="FG85" i="50"/>
  <c r="ED85" i="50"/>
  <c r="ET85" i="50"/>
  <c r="FI85" i="50"/>
  <c r="DW86" i="50"/>
  <c r="FB86" i="50"/>
  <c r="DY86" i="50"/>
  <c r="EO86" i="50"/>
  <c r="FD86" i="50"/>
  <c r="EA86" i="50"/>
  <c r="EQ86" i="50"/>
  <c r="FF86" i="50"/>
  <c r="EC86" i="50"/>
  <c r="ES86" i="50"/>
  <c r="FH86" i="50"/>
  <c r="DV87" i="50"/>
  <c r="FA87" i="50"/>
  <c r="DX87" i="50"/>
  <c r="EN87" i="50"/>
  <c r="FC87" i="50"/>
  <c r="DZ87" i="50"/>
  <c r="EP87" i="50"/>
  <c r="FV123" i="50"/>
  <c r="FE87" i="50"/>
  <c r="EB87" i="50"/>
  <c r="ER87" i="50"/>
  <c r="FG87" i="50"/>
  <c r="ED87" i="50"/>
  <c r="ET87" i="50" s="1"/>
  <c r="FI87" i="50"/>
  <c r="DW88" i="50"/>
  <c r="FB88" i="50"/>
  <c r="DY88" i="50"/>
  <c r="FD88" i="50"/>
  <c r="EA88" i="50"/>
  <c r="EQ88" i="50"/>
  <c r="FF88" i="50"/>
  <c r="EC88" i="50"/>
  <c r="ES88" i="50"/>
  <c r="FH88" i="50"/>
  <c r="DV89" i="50"/>
  <c r="FA89" i="50"/>
  <c r="DX89" i="50"/>
  <c r="EN89" i="50"/>
  <c r="FC89" i="50"/>
  <c r="DZ89" i="50"/>
  <c r="EP89" i="50"/>
  <c r="FV125" i="50"/>
  <c r="FE89" i="50"/>
  <c r="EB89" i="50"/>
  <c r="ER89" i="50"/>
  <c r="FG89" i="50"/>
  <c r="ED89" i="50"/>
  <c r="ET89" i="50"/>
  <c r="FI89" i="50"/>
  <c r="DW90" i="50"/>
  <c r="FB90" i="50"/>
  <c r="DY90" i="50"/>
  <c r="FD90" i="50"/>
  <c r="EA90" i="50"/>
  <c r="EQ90" i="50" s="1"/>
  <c r="FF90" i="50"/>
  <c r="EC90" i="50"/>
  <c r="ES90" i="50"/>
  <c r="FH90" i="50"/>
  <c r="DV91" i="50"/>
  <c r="FA91" i="50"/>
  <c r="DX91" i="50"/>
  <c r="EN91" i="50" s="1"/>
  <c r="FC91" i="50"/>
  <c r="DZ91" i="50"/>
  <c r="EP91" i="50"/>
  <c r="FV127" i="50"/>
  <c r="FE91" i="50"/>
  <c r="EB91" i="50"/>
  <c r="ER91" i="50"/>
  <c r="FG91" i="50"/>
  <c r="ED91" i="50"/>
  <c r="ET91" i="50"/>
  <c r="FI91" i="50"/>
  <c r="DW92" i="50"/>
  <c r="FB92" i="50"/>
  <c r="DY92" i="50"/>
  <c r="EO92" i="50"/>
  <c r="FD92" i="50"/>
  <c r="EA92" i="50"/>
  <c r="EQ92" i="50"/>
  <c r="FF92" i="50"/>
  <c r="EC92" i="50"/>
  <c r="ES92" i="50"/>
  <c r="FH92" i="50"/>
  <c r="DV93" i="50"/>
  <c r="FA93" i="50"/>
  <c r="DX93" i="50"/>
  <c r="EN93" i="50"/>
  <c r="FC93" i="50"/>
  <c r="DZ93" i="50"/>
  <c r="EP93" i="50"/>
  <c r="FV129" i="50"/>
  <c r="FE93" i="50"/>
  <c r="ED93" i="50"/>
  <c r="ET93" i="50"/>
  <c r="FI93" i="50"/>
  <c r="DW94" i="50"/>
  <c r="FB94" i="50"/>
  <c r="DY94" i="50"/>
  <c r="EO94" i="50"/>
  <c r="FD94" i="50"/>
  <c r="EA94" i="50"/>
  <c r="EQ94" i="50"/>
  <c r="FF94" i="50"/>
  <c r="DV95" i="50"/>
  <c r="FA95" i="50"/>
  <c r="DX95" i="50"/>
  <c r="EN95" i="50"/>
  <c r="FC95" i="50"/>
  <c r="DZ95" i="50"/>
  <c r="EP95" i="50"/>
  <c r="FV131" i="50"/>
  <c r="FE95" i="50"/>
  <c r="ED95" i="50"/>
  <c r="ET95" i="50"/>
  <c r="FI95" i="50"/>
  <c r="DW96" i="50"/>
  <c r="FB96" i="50"/>
  <c r="DY96" i="50"/>
  <c r="EO96" i="50"/>
  <c r="FD96" i="50"/>
  <c r="EA96" i="50"/>
  <c r="EQ96" i="50"/>
  <c r="FF96" i="50"/>
  <c r="EC96" i="50"/>
  <c r="ES96" i="50" s="1"/>
  <c r="FH96" i="50"/>
  <c r="DV97" i="50"/>
  <c r="FA97" i="50"/>
  <c r="DX97" i="50"/>
  <c r="EN97" i="50"/>
  <c r="FC97" i="50"/>
  <c r="DZ97" i="50"/>
  <c r="EP97" i="50" s="1"/>
  <c r="FV133" i="50"/>
  <c r="FE97" i="50"/>
  <c r="DW98" i="50"/>
  <c r="FB98" i="50"/>
  <c r="DY98" i="50"/>
  <c r="FD98" i="50"/>
  <c r="EA98" i="50"/>
  <c r="EQ98" i="50" s="1"/>
  <c r="FF98" i="50"/>
  <c r="EC98" i="50"/>
  <c r="ES98" i="50"/>
  <c r="FH98" i="50"/>
  <c r="DV99" i="50"/>
  <c r="FA99" i="50"/>
  <c r="DX99" i="50"/>
  <c r="EN99" i="50" s="1"/>
  <c r="FC99" i="50"/>
  <c r="DZ99" i="50"/>
  <c r="EP99" i="50"/>
  <c r="FV135" i="50"/>
  <c r="FE99" i="50"/>
  <c r="ED99" i="50"/>
  <c r="ET99" i="50"/>
  <c r="FI99" i="50"/>
  <c r="DW100" i="50"/>
  <c r="FB100" i="50"/>
  <c r="DY100" i="50"/>
  <c r="EO100" i="50" s="1"/>
  <c r="FD100" i="50"/>
  <c r="EA100" i="50"/>
  <c r="EQ100" i="50"/>
  <c r="FF100" i="50"/>
  <c r="EC100" i="50"/>
  <c r="ES100" i="50"/>
  <c r="FH100" i="50"/>
  <c r="DV101" i="50"/>
  <c r="FA101" i="50"/>
  <c r="DX101" i="50"/>
  <c r="EN101" i="50"/>
  <c r="FC101" i="50"/>
  <c r="ED101" i="50"/>
  <c r="ET101" i="50"/>
  <c r="FI101" i="50"/>
  <c r="EL83" i="50"/>
  <c r="FQ83" i="50"/>
  <c r="EM84" i="50"/>
  <c r="FR84" i="50"/>
  <c r="EL85" i="50"/>
  <c r="FQ85" i="50"/>
  <c r="EM86" i="50"/>
  <c r="FR86" i="50"/>
  <c r="EL87" i="50"/>
  <c r="FQ87" i="50"/>
  <c r="EM88" i="50"/>
  <c r="FR88" i="50"/>
  <c r="EL89" i="50"/>
  <c r="FQ89" i="50"/>
  <c r="EM90" i="50"/>
  <c r="FR90" i="50"/>
  <c r="EL91" i="50"/>
  <c r="FQ91" i="50"/>
  <c r="EM92" i="50"/>
  <c r="FR92" i="50"/>
  <c r="EL93" i="50"/>
  <c r="FQ93" i="50"/>
  <c r="EM94" i="50"/>
  <c r="FR94" i="50"/>
  <c r="EL95" i="50"/>
  <c r="FQ95" i="50"/>
  <c r="EM96" i="50"/>
  <c r="FR96" i="50"/>
  <c r="EL97" i="50"/>
  <c r="FQ97" i="50"/>
  <c r="EM98" i="50"/>
  <c r="FR98" i="50"/>
  <c r="EL99" i="50"/>
  <c r="FQ99" i="50"/>
  <c r="EM100" i="50"/>
  <c r="FR100" i="50"/>
  <c r="EL101" i="50"/>
  <c r="FQ101" i="50"/>
  <c r="EP101" i="50"/>
  <c r="FV137" i="50"/>
  <c r="FU101" i="50"/>
  <c r="ER101" i="50"/>
  <c r="FW101" i="50"/>
  <c r="EO102" i="50"/>
  <c r="GA102" i="50"/>
  <c r="EQ102" i="50"/>
  <c r="DV46" i="50"/>
  <c r="FA46" i="50"/>
  <c r="DX46" i="50"/>
  <c r="EN46" i="50"/>
  <c r="FC46" i="50"/>
  <c r="DZ46" i="50"/>
  <c r="EP46" i="50" s="1"/>
  <c r="FT119" i="50"/>
  <c r="FE46" i="50"/>
  <c r="EB46" i="50"/>
  <c r="ER46" i="50" s="1"/>
  <c r="FG46" i="50"/>
  <c r="ED46" i="50"/>
  <c r="ET46" i="50"/>
  <c r="FI46" i="50"/>
  <c r="DW47" i="50"/>
  <c r="FB47" i="50"/>
  <c r="DY47" i="50"/>
  <c r="EO47" i="50" s="1"/>
  <c r="FD47" i="50"/>
  <c r="EA47" i="50"/>
  <c r="EQ47" i="50"/>
  <c r="FF47" i="50"/>
  <c r="EC47" i="50"/>
  <c r="ES47" i="50"/>
  <c r="FH47" i="50"/>
  <c r="DV48" i="50"/>
  <c r="FA48" i="50"/>
  <c r="DX48" i="50"/>
  <c r="EN48" i="50"/>
  <c r="FC48" i="50"/>
  <c r="DZ48" i="50"/>
  <c r="EP48" i="50"/>
  <c r="FT121" i="50"/>
  <c r="FE48" i="50"/>
  <c r="EB48" i="50"/>
  <c r="ER48" i="50"/>
  <c r="FG48" i="50"/>
  <c r="ED48" i="50"/>
  <c r="ET48" i="50"/>
  <c r="FI48" i="50"/>
  <c r="DW49" i="50"/>
  <c r="FB49" i="50"/>
  <c r="DY49" i="50"/>
  <c r="FD49" i="50"/>
  <c r="EA49" i="50"/>
  <c r="EQ49" i="50" s="1"/>
  <c r="FF49" i="50"/>
  <c r="EC49" i="50"/>
  <c r="ES49" i="50"/>
  <c r="FH49" i="50"/>
  <c r="DV50" i="50"/>
  <c r="FA50" i="50"/>
  <c r="DX50" i="50"/>
  <c r="EN50" i="50" s="1"/>
  <c r="FC50" i="50"/>
  <c r="DZ50" i="50"/>
  <c r="EP50" i="50"/>
  <c r="FT123" i="50"/>
  <c r="FE50" i="50"/>
  <c r="EB50" i="50"/>
  <c r="ER50" i="50"/>
  <c r="FG50" i="50"/>
  <c r="ED50" i="50"/>
  <c r="ET50" i="50"/>
  <c r="FI50" i="50"/>
  <c r="DW51" i="50"/>
  <c r="FB51" i="50"/>
  <c r="DY51" i="50"/>
  <c r="FD51" i="50"/>
  <c r="EA51" i="50"/>
  <c r="EQ51" i="50"/>
  <c r="FF51" i="50"/>
  <c r="EC51" i="50"/>
  <c r="ES51" i="50" s="1"/>
  <c r="FH51" i="50"/>
  <c r="DV52" i="50"/>
  <c r="FA52" i="50"/>
  <c r="DX52" i="50"/>
  <c r="EN52" i="50"/>
  <c r="FC52" i="50"/>
  <c r="DZ52" i="50"/>
  <c r="EP52" i="50" s="1"/>
  <c r="FT125" i="50"/>
  <c r="FE52" i="50"/>
  <c r="EB52" i="50"/>
  <c r="ER52" i="50" s="1"/>
  <c r="FG52" i="50"/>
  <c r="ED52" i="50"/>
  <c r="ET52" i="50"/>
  <c r="FI52" i="50"/>
  <c r="DW53" i="50"/>
  <c r="FB53" i="50"/>
  <c r="DY53" i="50"/>
  <c r="FD53" i="50"/>
  <c r="EA53" i="50"/>
  <c r="EQ53" i="50"/>
  <c r="FF53" i="50"/>
  <c r="EC53" i="50"/>
  <c r="ES53" i="50"/>
  <c r="FH53" i="50"/>
  <c r="DV54" i="50"/>
  <c r="FA54" i="50"/>
  <c r="DX54" i="50"/>
  <c r="EN54" i="50"/>
  <c r="FC54" i="50"/>
  <c r="DZ54" i="50"/>
  <c r="EP54" i="50"/>
  <c r="FT127" i="50"/>
  <c r="FE54" i="50"/>
  <c r="EB54" i="50"/>
  <c r="ER54" i="50"/>
  <c r="FG54" i="50"/>
  <c r="ED54" i="50"/>
  <c r="ET54" i="50" s="1"/>
  <c r="FI54" i="50"/>
  <c r="DW55" i="50"/>
  <c r="FB55" i="50"/>
  <c r="DY55" i="50"/>
  <c r="FD55" i="50"/>
  <c r="EA55" i="50"/>
  <c r="EQ55" i="50"/>
  <c r="FF55" i="50"/>
  <c r="EC55" i="50"/>
  <c r="ES55" i="50"/>
  <c r="FH55" i="50"/>
  <c r="DV56" i="50"/>
  <c r="FA56" i="50"/>
  <c r="DX56" i="50"/>
  <c r="EN56" i="50"/>
  <c r="FC56" i="50"/>
  <c r="DZ56" i="50"/>
  <c r="EP56" i="50"/>
  <c r="FT129" i="50"/>
  <c r="FE56" i="50"/>
  <c r="ED56" i="50"/>
  <c r="ET56" i="50"/>
  <c r="FI56" i="50"/>
  <c r="DW57" i="50"/>
  <c r="FB57" i="50"/>
  <c r="DY57" i="50"/>
  <c r="FD57" i="50"/>
  <c r="EA57" i="50"/>
  <c r="EQ57" i="50"/>
  <c r="FF57" i="50"/>
  <c r="EC57" i="50"/>
  <c r="ES57" i="50" s="1"/>
  <c r="FH57" i="50"/>
  <c r="DV58" i="50"/>
  <c r="FA58" i="50"/>
  <c r="DX58" i="50"/>
  <c r="EN58" i="50"/>
  <c r="FC58" i="50"/>
  <c r="DZ58" i="50"/>
  <c r="EP58" i="50" s="1"/>
  <c r="FT131" i="50"/>
  <c r="FE58" i="50"/>
  <c r="ED58" i="50"/>
  <c r="ET58" i="50" s="1"/>
  <c r="FI58" i="50"/>
  <c r="DW59" i="50"/>
  <c r="FB59" i="50"/>
  <c r="DY59" i="50"/>
  <c r="FD59" i="50"/>
  <c r="EA59" i="50"/>
  <c r="EQ59" i="50"/>
  <c r="FF59" i="50"/>
  <c r="EC59" i="50"/>
  <c r="ES59" i="50"/>
  <c r="FH59" i="50"/>
  <c r="DV60" i="50"/>
  <c r="FA60" i="50"/>
  <c r="DX60" i="50"/>
  <c r="EN60" i="50"/>
  <c r="FC60" i="50"/>
  <c r="DZ60" i="50"/>
  <c r="EP60" i="50"/>
  <c r="FT133" i="50"/>
  <c r="FE60" i="50"/>
  <c r="DW61" i="50"/>
  <c r="FB61" i="50"/>
  <c r="DY61" i="50"/>
  <c r="EO61" i="50" s="1"/>
  <c r="FD61" i="50"/>
  <c r="EA61" i="50"/>
  <c r="EQ61" i="50"/>
  <c r="FF61" i="50"/>
  <c r="EC61" i="50"/>
  <c r="ES61" i="50"/>
  <c r="FH61" i="50"/>
  <c r="DV62" i="50"/>
  <c r="FA62" i="50"/>
  <c r="DX62" i="50"/>
  <c r="EN62" i="50"/>
  <c r="FC62" i="50"/>
  <c r="DZ62" i="50"/>
  <c r="EP62" i="50"/>
  <c r="FT135" i="50"/>
  <c r="FE62" i="50"/>
  <c r="ED62" i="50"/>
  <c r="ET62" i="50"/>
  <c r="FI62" i="50"/>
  <c r="DW63" i="50"/>
  <c r="FB63" i="50"/>
  <c r="DY63" i="50"/>
  <c r="EO63" i="50"/>
  <c r="FD63" i="50"/>
  <c r="EA63" i="50"/>
  <c r="EQ63" i="50"/>
  <c r="FF63" i="50"/>
  <c r="EC63" i="50"/>
  <c r="ES63" i="50"/>
  <c r="FH63" i="50"/>
  <c r="DV64" i="50"/>
  <c r="FA64" i="50"/>
  <c r="DX64" i="50"/>
  <c r="EN64" i="50"/>
  <c r="FC64" i="50"/>
  <c r="DZ64" i="50"/>
  <c r="FE64" i="50"/>
  <c r="ED64" i="50"/>
  <c r="ET64" i="50"/>
  <c r="FI64" i="50"/>
  <c r="ES65" i="50"/>
  <c r="FO65" i="50"/>
  <c r="EM46" i="50"/>
  <c r="FR46" i="50"/>
  <c r="EL47" i="50"/>
  <c r="FQ47" i="50"/>
  <c r="EM48" i="50"/>
  <c r="FR48" i="50"/>
  <c r="EL49" i="50"/>
  <c r="FQ49" i="50"/>
  <c r="EM50" i="50"/>
  <c r="FR50" i="50"/>
  <c r="EL51" i="50"/>
  <c r="FQ51" i="50"/>
  <c r="EM52" i="50"/>
  <c r="FR52" i="50"/>
  <c r="EL53" i="50"/>
  <c r="FQ53" i="50"/>
  <c r="EM54" i="50"/>
  <c r="FR54" i="50"/>
  <c r="EL55" i="50"/>
  <c r="FQ55" i="50"/>
  <c r="EM56" i="50"/>
  <c r="FR56" i="50"/>
  <c r="EL57" i="50"/>
  <c r="FQ57" i="50"/>
  <c r="EM58" i="50"/>
  <c r="FR58" i="50"/>
  <c r="EL59" i="50"/>
  <c r="FQ59" i="50"/>
  <c r="EM60" i="50"/>
  <c r="FR60" i="50"/>
  <c r="EL61" i="50"/>
  <c r="FQ61" i="50"/>
  <c r="EM62" i="50"/>
  <c r="FR62" i="50"/>
  <c r="EL63" i="50"/>
  <c r="FQ63" i="50"/>
  <c r="EM64" i="50"/>
  <c r="FR64" i="50"/>
  <c r="EO64" i="50"/>
  <c r="FT64" i="50"/>
  <c r="EQ64" i="50"/>
  <c r="FV64" i="50"/>
  <c r="DW46" i="50"/>
  <c r="FB46" i="50"/>
  <c r="DY46" i="50"/>
  <c r="EO46" i="50" s="1"/>
  <c r="FD46" i="50"/>
  <c r="EA46" i="50"/>
  <c r="EQ46" i="50" s="1"/>
  <c r="FF46" i="50"/>
  <c r="EC46" i="50"/>
  <c r="ES46" i="50"/>
  <c r="FH46" i="50"/>
  <c r="DV47" i="50"/>
  <c r="FA47" i="50"/>
  <c r="DX47" i="50"/>
  <c r="EN47" i="50" s="1"/>
  <c r="FC47" i="50"/>
  <c r="DZ47" i="50"/>
  <c r="EP47" i="50"/>
  <c r="FT120" i="50"/>
  <c r="FE47" i="50"/>
  <c r="EB47" i="50"/>
  <c r="ER47" i="50"/>
  <c r="FG47" i="50"/>
  <c r="ED47" i="50"/>
  <c r="ET47" i="50"/>
  <c r="FI47" i="50"/>
  <c r="DW48" i="50"/>
  <c r="FB48" i="50"/>
  <c r="DY48" i="50"/>
  <c r="FD48" i="50"/>
  <c r="EA48" i="50"/>
  <c r="EQ48" i="50" s="1"/>
  <c r="FF48" i="50"/>
  <c r="EC48" i="50"/>
  <c r="ES48" i="50"/>
  <c r="FH48" i="50"/>
  <c r="DV49" i="50"/>
  <c r="FA49" i="50"/>
  <c r="DX49" i="50"/>
  <c r="EN49" i="50" s="1"/>
  <c r="FC49" i="50"/>
  <c r="DZ49" i="50"/>
  <c r="EP49" i="50" s="1"/>
  <c r="FT122" i="50"/>
  <c r="FE49" i="50"/>
  <c r="EB49" i="50"/>
  <c r="ER49" i="50" s="1"/>
  <c r="FG49" i="50"/>
  <c r="ED49" i="50"/>
  <c r="ET49" i="50"/>
  <c r="FI49" i="50"/>
  <c r="DW50" i="50"/>
  <c r="FB50" i="50"/>
  <c r="DY50" i="50"/>
  <c r="FD50" i="50"/>
  <c r="EA50" i="50"/>
  <c r="EQ50" i="50"/>
  <c r="FF50" i="50"/>
  <c r="EC50" i="50"/>
  <c r="ES50" i="50" s="1"/>
  <c r="FH50" i="50"/>
  <c r="DV51" i="50"/>
  <c r="FA51" i="50"/>
  <c r="DX51" i="50"/>
  <c r="EN51" i="50"/>
  <c r="FC51" i="50"/>
  <c r="DZ51" i="50"/>
  <c r="EP51" i="50" s="1"/>
  <c r="FT124" i="50"/>
  <c r="FE51" i="50"/>
  <c r="EB51" i="50"/>
  <c r="ER51" i="50" s="1"/>
  <c r="FG51" i="50"/>
  <c r="ED51" i="50"/>
  <c r="ET51" i="50"/>
  <c r="FI51" i="50"/>
  <c r="DW52" i="50"/>
  <c r="FB52" i="50"/>
  <c r="DY52" i="50"/>
  <c r="FD52" i="50"/>
  <c r="EA52" i="50"/>
  <c r="EQ52" i="50" s="1"/>
  <c r="FF52" i="50"/>
  <c r="EC52" i="50"/>
  <c r="ES52" i="50"/>
  <c r="FH52" i="50"/>
  <c r="DV53" i="50"/>
  <c r="FA53" i="50"/>
  <c r="DX53" i="50"/>
  <c r="EN53" i="50" s="1"/>
  <c r="FC53" i="50"/>
  <c r="DZ53" i="50"/>
  <c r="EP53" i="50"/>
  <c r="FT126" i="50"/>
  <c r="FE53" i="50"/>
  <c r="EB53" i="50"/>
  <c r="ER53" i="50"/>
  <c r="FG53" i="50"/>
  <c r="ED53" i="50"/>
  <c r="ET53" i="50" s="1"/>
  <c r="FI53" i="50"/>
  <c r="DW54" i="50"/>
  <c r="FB54" i="50"/>
  <c r="DY54" i="50"/>
  <c r="FD54" i="50"/>
  <c r="EA54" i="50"/>
  <c r="EQ54" i="50" s="1"/>
  <c r="FF54" i="50"/>
  <c r="EC54" i="50"/>
  <c r="ES54" i="50"/>
  <c r="FH54" i="50"/>
  <c r="DV55" i="50"/>
  <c r="FA55" i="50"/>
  <c r="DX55" i="50"/>
  <c r="EN55" i="50" s="1"/>
  <c r="FC55" i="50"/>
  <c r="DZ55" i="50"/>
  <c r="EP55" i="50"/>
  <c r="FT128" i="50"/>
  <c r="FE55" i="50"/>
  <c r="ED55" i="50"/>
  <c r="ET55" i="50"/>
  <c r="FI55" i="50"/>
  <c r="DW56" i="50"/>
  <c r="FB56" i="50"/>
  <c r="DY56" i="50"/>
  <c r="FD56" i="50"/>
  <c r="EA56" i="50"/>
  <c r="EQ56" i="50"/>
  <c r="FF56" i="50"/>
  <c r="EC56" i="50"/>
  <c r="ES56" i="50" s="1"/>
  <c r="FH56" i="50"/>
  <c r="DV57" i="50"/>
  <c r="FA57" i="50"/>
  <c r="DX57" i="50"/>
  <c r="EN57" i="50"/>
  <c r="FC57" i="50"/>
  <c r="DZ57" i="50"/>
  <c r="EP57" i="50" s="1"/>
  <c r="FT130" i="50"/>
  <c r="FE57" i="50"/>
  <c r="ED57" i="50"/>
  <c r="ET57" i="50" s="1"/>
  <c r="FI57" i="50"/>
  <c r="DW58" i="50"/>
  <c r="FB58" i="50"/>
  <c r="DY58" i="50"/>
  <c r="FD58" i="50"/>
  <c r="EA58" i="50"/>
  <c r="EQ58" i="50"/>
  <c r="FF58" i="50"/>
  <c r="EC58" i="50"/>
  <c r="ES58" i="50" s="1"/>
  <c r="FH58" i="50"/>
  <c r="DV59" i="50"/>
  <c r="FA59" i="50"/>
  <c r="DX59" i="50"/>
  <c r="EN59" i="50"/>
  <c r="FC59" i="50"/>
  <c r="DZ59" i="50"/>
  <c r="EP59" i="50" s="1"/>
  <c r="FT132" i="50"/>
  <c r="FE59" i="50"/>
  <c r="ED59" i="50"/>
  <c r="ET59" i="50" s="1"/>
  <c r="FI59" i="50"/>
  <c r="DW60" i="50"/>
  <c r="FB60" i="50"/>
  <c r="DY60" i="50"/>
  <c r="FD60" i="50"/>
  <c r="EA60" i="50"/>
  <c r="EQ60" i="50"/>
  <c r="FF60" i="50"/>
  <c r="DV61" i="50"/>
  <c r="FA61" i="50"/>
  <c r="DX61" i="50"/>
  <c r="EN61" i="50" s="1"/>
  <c r="FC61" i="50"/>
  <c r="DZ61" i="50"/>
  <c r="EP61" i="50"/>
  <c r="FT134" i="50"/>
  <c r="FE61" i="50"/>
  <c r="ED61" i="50"/>
  <c r="ET61" i="50"/>
  <c r="FI61" i="50"/>
  <c r="DW62" i="50"/>
  <c r="FB62" i="50"/>
  <c r="DY62" i="50"/>
  <c r="FD62" i="50"/>
  <c r="EA62" i="50"/>
  <c r="EQ62" i="50" s="1"/>
  <c r="FF62" i="50"/>
  <c r="EC62" i="50"/>
  <c r="ES62" i="50" s="1"/>
  <c r="FH62" i="50"/>
  <c r="DV63" i="50"/>
  <c r="FA63" i="50"/>
  <c r="DX63" i="50"/>
  <c r="EN63" i="50" s="1"/>
  <c r="FC63" i="50"/>
  <c r="DZ63" i="50"/>
  <c r="EP63" i="50"/>
  <c r="FT136" i="50"/>
  <c r="FE63" i="50"/>
  <c r="ED63" i="50"/>
  <c r="ET63" i="50"/>
  <c r="FI63" i="50"/>
  <c r="DW64" i="50"/>
  <c r="FB64" i="50"/>
  <c r="DY64" i="50"/>
  <c r="FD64" i="50"/>
  <c r="EA64" i="50"/>
  <c r="FF64" i="50"/>
  <c r="EC64" i="50"/>
  <c r="ES64" i="50" s="1"/>
  <c r="FH64" i="50"/>
  <c r="ET65" i="50"/>
  <c r="FP65" i="50"/>
  <c r="EL46" i="50"/>
  <c r="FQ46" i="50"/>
  <c r="EM47" i="50"/>
  <c r="FR47" i="50"/>
  <c r="EL48" i="50"/>
  <c r="FQ48" i="50"/>
  <c r="EM49" i="50"/>
  <c r="FR49" i="50"/>
  <c r="EL50" i="50"/>
  <c r="FQ50" i="50"/>
  <c r="EM51" i="50"/>
  <c r="FR51" i="50"/>
  <c r="EL52" i="50"/>
  <c r="FQ52" i="50"/>
  <c r="EM53" i="50"/>
  <c r="FR53" i="50"/>
  <c r="EL54" i="50"/>
  <c r="FQ54" i="50"/>
  <c r="EM55" i="50"/>
  <c r="FR55" i="50"/>
  <c r="EL56" i="50"/>
  <c r="FQ56" i="50"/>
  <c r="EM57" i="50"/>
  <c r="FR57" i="50"/>
  <c r="EL58" i="50"/>
  <c r="FQ58" i="50"/>
  <c r="EM59" i="50"/>
  <c r="FR59" i="50"/>
  <c r="EL60" i="50"/>
  <c r="FQ60" i="50"/>
  <c r="EM61" i="50"/>
  <c r="FR61" i="50"/>
  <c r="EL62" i="50"/>
  <c r="FQ62" i="50"/>
  <c r="EM63" i="50"/>
  <c r="FR63" i="50"/>
  <c r="EL64" i="50"/>
  <c r="FQ64" i="50"/>
  <c r="EP64" i="50"/>
  <c r="FT137" i="50"/>
  <c r="FU64" i="50"/>
  <c r="DW9" i="50"/>
  <c r="FB9" i="50"/>
  <c r="EA9" i="50"/>
  <c r="EQ9" i="50" s="1"/>
  <c r="FF9" i="50"/>
  <c r="EC9" i="50"/>
  <c r="ES9" i="50"/>
  <c r="FH9" i="50"/>
  <c r="DX10" i="50"/>
  <c r="EN10" i="50" s="1"/>
  <c r="FC10" i="50"/>
  <c r="DY11" i="50"/>
  <c r="FD11" i="50"/>
  <c r="DX9" i="50"/>
  <c r="EN9" i="50"/>
  <c r="FC9" i="50"/>
  <c r="DZ9" i="50"/>
  <c r="EP9" i="50" s="1"/>
  <c r="FR119" i="50"/>
  <c r="FE9" i="50"/>
  <c r="EB9" i="50"/>
  <c r="ER9" i="50" s="1"/>
  <c r="FG9" i="50"/>
  <c r="ED9" i="50"/>
  <c r="ET9" i="50"/>
  <c r="FI9" i="50"/>
  <c r="DW10" i="50"/>
  <c r="FB10" i="50"/>
  <c r="DY10" i="50"/>
  <c r="FD10" i="50"/>
  <c r="EA10" i="50"/>
  <c r="EQ10" i="50" s="1"/>
  <c r="FF10" i="50"/>
  <c r="EC10" i="50"/>
  <c r="ES10" i="50"/>
  <c r="FH10" i="50"/>
  <c r="DX11" i="50"/>
  <c r="EN11" i="50" s="1"/>
  <c r="FC11" i="50"/>
  <c r="DZ11" i="50"/>
  <c r="EP11" i="50"/>
  <c r="FR121" i="50"/>
  <c r="FE11" i="50"/>
  <c r="EB11" i="50"/>
  <c r="ER11" i="50"/>
  <c r="FG11" i="50"/>
  <c r="ED11" i="50"/>
  <c r="ET11" i="50" s="1"/>
  <c r="FI11" i="50"/>
  <c r="DW12" i="50"/>
  <c r="FB12" i="50"/>
  <c r="DY12" i="50"/>
  <c r="FD12" i="50"/>
  <c r="EA12" i="50"/>
  <c r="EQ12" i="50"/>
  <c r="FF12" i="50"/>
  <c r="EC12" i="50"/>
  <c r="ES12" i="50" s="1"/>
  <c r="FH12" i="50"/>
  <c r="DX13" i="50"/>
  <c r="EN13" i="50"/>
  <c r="FC13" i="50"/>
  <c r="DZ13" i="50"/>
  <c r="EP13" i="50" s="1"/>
  <c r="FR123" i="50"/>
  <c r="FE13" i="50"/>
  <c r="EB13" i="50"/>
  <c r="ER13" i="50" s="1"/>
  <c r="FG13" i="50"/>
  <c r="ED13" i="50"/>
  <c r="ET13" i="50"/>
  <c r="FI13" i="50"/>
  <c r="DW14" i="50"/>
  <c r="FB14" i="50"/>
  <c r="DY14" i="50"/>
  <c r="FD14" i="50"/>
  <c r="EA14" i="50"/>
  <c r="EQ14" i="50" s="1"/>
  <c r="FF14" i="50"/>
  <c r="EC14" i="50"/>
  <c r="ES14" i="50"/>
  <c r="FH14" i="50"/>
  <c r="DX15" i="50"/>
  <c r="EN15" i="50" s="1"/>
  <c r="FC15" i="50"/>
  <c r="DZ15" i="50"/>
  <c r="EP15" i="50"/>
  <c r="FR125" i="50"/>
  <c r="FE15" i="50"/>
  <c r="EB15" i="50"/>
  <c r="ER15" i="50"/>
  <c r="FG15" i="50"/>
  <c r="ED15" i="50"/>
  <c r="ET15" i="50" s="1"/>
  <c r="FI15" i="50"/>
  <c r="DW16" i="50"/>
  <c r="FB16" i="50"/>
  <c r="DY16" i="50"/>
  <c r="FD16" i="50"/>
  <c r="EA16" i="50"/>
  <c r="EQ16" i="50"/>
  <c r="FF16" i="50"/>
  <c r="EC16" i="50"/>
  <c r="ES16" i="50" s="1"/>
  <c r="FH16" i="50"/>
  <c r="DX17" i="50"/>
  <c r="EN17" i="50"/>
  <c r="FC17" i="50"/>
  <c r="DZ17" i="50"/>
  <c r="EP17" i="50" s="1"/>
  <c r="FR127" i="50"/>
  <c r="FE17" i="50"/>
  <c r="EB17" i="50"/>
  <c r="ER17" i="50" s="1"/>
  <c r="FG17" i="50"/>
  <c r="ED17" i="50"/>
  <c r="ET17" i="50"/>
  <c r="FI17" i="50"/>
  <c r="DW18" i="50"/>
  <c r="FB18" i="50"/>
  <c r="DY18" i="50"/>
  <c r="EO18" i="50" s="1"/>
  <c r="FD18" i="50"/>
  <c r="EA18" i="50"/>
  <c r="EQ18" i="50"/>
  <c r="FF18" i="50"/>
  <c r="EC18" i="50"/>
  <c r="ES18" i="50" s="1"/>
  <c r="FH18" i="50"/>
  <c r="DX19" i="50"/>
  <c r="EN19" i="50"/>
  <c r="FC19" i="50"/>
  <c r="DZ19" i="50"/>
  <c r="EP19" i="50" s="1"/>
  <c r="FR129" i="50"/>
  <c r="FE19" i="50"/>
  <c r="ED19" i="50"/>
  <c r="ET19" i="50" s="1"/>
  <c r="FI19" i="50"/>
  <c r="DW20" i="50"/>
  <c r="FB20" i="50"/>
  <c r="DY20" i="50"/>
  <c r="FD20" i="50"/>
  <c r="EA20" i="50"/>
  <c r="EQ20" i="50"/>
  <c r="FF20" i="50"/>
  <c r="EC20" i="50"/>
  <c r="ES20" i="50" s="1"/>
  <c r="FH20" i="50"/>
  <c r="DX21" i="50"/>
  <c r="EN21" i="50"/>
  <c r="FC21" i="50"/>
  <c r="DZ21" i="50"/>
  <c r="EP21" i="50" s="1"/>
  <c r="FR131" i="50"/>
  <c r="FE21" i="50"/>
  <c r="ED21" i="50"/>
  <c r="ET21" i="50" s="1"/>
  <c r="FI21" i="50"/>
  <c r="DW22" i="50"/>
  <c r="FB22" i="50"/>
  <c r="DY22" i="50"/>
  <c r="FD22" i="50"/>
  <c r="EA22" i="50"/>
  <c r="EQ22" i="50"/>
  <c r="FF22" i="50"/>
  <c r="EC22" i="50"/>
  <c r="ES22" i="50" s="1"/>
  <c r="FH22" i="50"/>
  <c r="DX23" i="50"/>
  <c r="EN23" i="50"/>
  <c r="FC23" i="50"/>
  <c r="DZ23" i="50"/>
  <c r="EP23" i="50" s="1"/>
  <c r="FR133" i="50"/>
  <c r="FE23" i="50"/>
  <c r="DW24" i="50"/>
  <c r="FB24" i="50"/>
  <c r="DY24" i="50"/>
  <c r="FD24" i="50"/>
  <c r="EA24" i="50"/>
  <c r="EQ24" i="50" s="1"/>
  <c r="FF24" i="50"/>
  <c r="EC24" i="50"/>
  <c r="ES24" i="50"/>
  <c r="FH24" i="50"/>
  <c r="DX25" i="50"/>
  <c r="EN25" i="50" s="1"/>
  <c r="FC25" i="50"/>
  <c r="DZ25" i="50"/>
  <c r="EP25" i="50"/>
  <c r="FR135" i="50"/>
  <c r="FE25" i="50"/>
  <c r="ED25" i="50"/>
  <c r="ET25" i="50"/>
  <c r="FI25" i="50"/>
  <c r="DW26" i="50"/>
  <c r="FB26" i="50"/>
  <c r="DY26" i="50"/>
  <c r="FD26" i="50"/>
  <c r="EA26" i="50"/>
  <c r="EQ26" i="50" s="1"/>
  <c r="FF26" i="50"/>
  <c r="EC26" i="50"/>
  <c r="ES26" i="50"/>
  <c r="FH26" i="50"/>
  <c r="DX27" i="50"/>
  <c r="EN27" i="50" s="1"/>
  <c r="FC27" i="50"/>
  <c r="DZ27" i="50"/>
  <c r="FE27" i="50"/>
  <c r="ED27" i="50"/>
  <c r="ET27" i="50"/>
  <c r="FI27" i="50"/>
  <c r="EM10" i="50"/>
  <c r="FR10" i="50"/>
  <c r="EM12" i="50"/>
  <c r="FR12" i="50"/>
  <c r="EM14" i="50"/>
  <c r="FR14" i="50"/>
  <c r="EM16" i="50"/>
  <c r="FR16" i="50"/>
  <c r="EM18" i="50"/>
  <c r="FR18" i="50"/>
  <c r="EM20" i="50"/>
  <c r="FR20" i="50"/>
  <c r="EM22" i="50"/>
  <c r="FR22" i="50"/>
  <c r="EM24" i="50"/>
  <c r="FR24" i="50"/>
  <c r="EM26" i="50"/>
  <c r="FR26" i="50"/>
  <c r="EP27" i="50"/>
  <c r="FR137" i="50"/>
  <c r="FU27" i="50"/>
  <c r="DY9" i="50"/>
  <c r="FD9" i="50"/>
  <c r="DZ10" i="50"/>
  <c r="EP10" i="50"/>
  <c r="FR120" i="50"/>
  <c r="FE10" i="50"/>
  <c r="EB10" i="50"/>
  <c r="ER10" i="50"/>
  <c r="FG10" i="50"/>
  <c r="ED10" i="50"/>
  <c r="ET10" i="50" s="1"/>
  <c r="FI10" i="50"/>
  <c r="DW11" i="50"/>
  <c r="FB11" i="50"/>
  <c r="EA11" i="50"/>
  <c r="EQ11" i="50"/>
  <c r="FF11" i="50"/>
  <c r="EC11" i="50"/>
  <c r="ES11" i="50" s="1"/>
  <c r="FH11" i="50"/>
  <c r="DX12" i="50"/>
  <c r="EN12" i="50"/>
  <c r="FC12" i="50"/>
  <c r="DZ12" i="50"/>
  <c r="EP12" i="50" s="1"/>
  <c r="FR122" i="50"/>
  <c r="FE12" i="50"/>
  <c r="EB12" i="50"/>
  <c r="ER12" i="50" s="1"/>
  <c r="FG12" i="50"/>
  <c r="ED12" i="50"/>
  <c r="ET12" i="50"/>
  <c r="FI12" i="50"/>
  <c r="DW13" i="50"/>
  <c r="FB13" i="50"/>
  <c r="DY13" i="50"/>
  <c r="FD13" i="50"/>
  <c r="EA13" i="50"/>
  <c r="EQ13" i="50" s="1"/>
  <c r="FF13" i="50"/>
  <c r="EC13" i="50"/>
  <c r="ES13" i="50"/>
  <c r="FH13" i="50"/>
  <c r="DX14" i="50"/>
  <c r="EN14" i="50" s="1"/>
  <c r="FC14" i="50"/>
  <c r="DZ14" i="50"/>
  <c r="EP14" i="50"/>
  <c r="FR124" i="50"/>
  <c r="FE14" i="50"/>
  <c r="EB14" i="50"/>
  <c r="ER14" i="50"/>
  <c r="FG14" i="50"/>
  <c r="ED14" i="50"/>
  <c r="ET14" i="50" s="1"/>
  <c r="FI14" i="50"/>
  <c r="DW15" i="50"/>
  <c r="FB15" i="50"/>
  <c r="DY15" i="50"/>
  <c r="FD15" i="50"/>
  <c r="EA15" i="50"/>
  <c r="EQ15" i="50"/>
  <c r="FF15" i="50"/>
  <c r="EC15" i="50"/>
  <c r="ES15" i="50" s="1"/>
  <c r="FH15" i="50"/>
  <c r="DX16" i="50"/>
  <c r="EN16" i="50"/>
  <c r="FC16" i="50"/>
  <c r="DZ16" i="50"/>
  <c r="EP16" i="50" s="1"/>
  <c r="FR126" i="50"/>
  <c r="FE16" i="50"/>
  <c r="EB16" i="50"/>
  <c r="ER16" i="50" s="1"/>
  <c r="FG16" i="50"/>
  <c r="ED16" i="50"/>
  <c r="ET16" i="50"/>
  <c r="FI16" i="50"/>
  <c r="DW17" i="50"/>
  <c r="FB17" i="50"/>
  <c r="DY17" i="50"/>
  <c r="FD17" i="50"/>
  <c r="EA17" i="50"/>
  <c r="EQ17" i="50" s="1"/>
  <c r="FF17" i="50"/>
  <c r="EC17" i="50"/>
  <c r="ES17" i="50"/>
  <c r="FH17" i="50"/>
  <c r="DX18" i="50"/>
  <c r="EN18" i="50" s="1"/>
  <c r="FC18" i="50"/>
  <c r="DZ18" i="50"/>
  <c r="EP18" i="50"/>
  <c r="FR128" i="50"/>
  <c r="FE18" i="50"/>
  <c r="ED18" i="50"/>
  <c r="ET18" i="50"/>
  <c r="FI18" i="50"/>
  <c r="DW19" i="50"/>
  <c r="FB19" i="50"/>
  <c r="DY19" i="50"/>
  <c r="FD19" i="50"/>
  <c r="EA19" i="50"/>
  <c r="EQ19" i="50" s="1"/>
  <c r="FF19" i="50"/>
  <c r="EC19" i="50"/>
  <c r="ES19" i="50"/>
  <c r="FH19" i="50"/>
  <c r="DX20" i="50"/>
  <c r="EN20" i="50" s="1"/>
  <c r="FC20" i="50"/>
  <c r="DZ20" i="50"/>
  <c r="EP20" i="50"/>
  <c r="FR130" i="50"/>
  <c r="FE20" i="50"/>
  <c r="ED20" i="50"/>
  <c r="ET20" i="50"/>
  <c r="FI20" i="50"/>
  <c r="DW21" i="50"/>
  <c r="FB21" i="50"/>
  <c r="DY21" i="50"/>
  <c r="FD21" i="50"/>
  <c r="EA21" i="50"/>
  <c r="EQ21" i="50" s="1"/>
  <c r="FF21" i="50"/>
  <c r="EC21" i="50"/>
  <c r="ES21" i="50"/>
  <c r="FH21" i="50"/>
  <c r="DX22" i="50"/>
  <c r="EN22" i="50" s="1"/>
  <c r="FC22" i="50"/>
  <c r="DZ22" i="50"/>
  <c r="EP22" i="50"/>
  <c r="FR132" i="50"/>
  <c r="FE22" i="50"/>
  <c r="ED22" i="50"/>
  <c r="ET22" i="50"/>
  <c r="FI22" i="50"/>
  <c r="DW23" i="50"/>
  <c r="FB23" i="50"/>
  <c r="DY23" i="50"/>
  <c r="FD23" i="50"/>
  <c r="EA23" i="50"/>
  <c r="EQ23" i="50" s="1"/>
  <c r="FF23" i="50"/>
  <c r="DX24" i="50"/>
  <c r="EN24" i="50"/>
  <c r="FC24" i="50"/>
  <c r="DZ24" i="50"/>
  <c r="EP24" i="50" s="1"/>
  <c r="FR134" i="50"/>
  <c r="FE24" i="50"/>
  <c r="ED24" i="50"/>
  <c r="ET24" i="50" s="1"/>
  <c r="FI24" i="50"/>
  <c r="DW25" i="50"/>
  <c r="FB25" i="50"/>
  <c r="DY25" i="50"/>
  <c r="FD25" i="50"/>
  <c r="EA25" i="50"/>
  <c r="EQ25" i="50"/>
  <c r="FF25" i="50"/>
  <c r="EC25" i="50"/>
  <c r="ES25" i="50" s="1"/>
  <c r="FH25" i="50"/>
  <c r="DX26" i="50"/>
  <c r="EN26" i="50"/>
  <c r="FC26" i="50"/>
  <c r="DZ26" i="50"/>
  <c r="EP26" i="50" s="1"/>
  <c r="FR136" i="50"/>
  <c r="FE26" i="50"/>
  <c r="ED26" i="50"/>
  <c r="ET26" i="50" s="1"/>
  <c r="FI26" i="50"/>
  <c r="DW27" i="50"/>
  <c r="FB27" i="50"/>
  <c r="DY27" i="50"/>
  <c r="FD27" i="50"/>
  <c r="EA27" i="50"/>
  <c r="FF27" i="50"/>
  <c r="EC27" i="50"/>
  <c r="ES27" i="50"/>
  <c r="FH27" i="50"/>
  <c r="EM9" i="50"/>
  <c r="FR9" i="50"/>
  <c r="EM11" i="50"/>
  <c r="FR11" i="50"/>
  <c r="EM13" i="50"/>
  <c r="FR13" i="50"/>
  <c r="EM15" i="50"/>
  <c r="FR15" i="50"/>
  <c r="EM17" i="50"/>
  <c r="FR17" i="50"/>
  <c r="EM19" i="50"/>
  <c r="FR19" i="50"/>
  <c r="EM21" i="50"/>
  <c r="FR21" i="50"/>
  <c r="EM23" i="50"/>
  <c r="FR23" i="50"/>
  <c r="EM25" i="50"/>
  <c r="FR25" i="50"/>
  <c r="EM27" i="50"/>
  <c r="FR27" i="50"/>
  <c r="EO27" i="50"/>
  <c r="FT27" i="50"/>
  <c r="EQ27" i="50"/>
  <c r="FV27" i="50"/>
  <c r="DQ76" i="50"/>
  <c r="DP76" i="50"/>
  <c r="DO76" i="50"/>
  <c r="DN76" i="50"/>
  <c r="EZ76" i="50"/>
  <c r="DQ75" i="50"/>
  <c r="DP75" i="50"/>
  <c r="DO75" i="50"/>
  <c r="DN75" i="50"/>
  <c r="EZ75" i="50" s="1"/>
  <c r="DQ74" i="50"/>
  <c r="DP74" i="50"/>
  <c r="DO74" i="50"/>
  <c r="DN74" i="50"/>
  <c r="EZ74" i="50"/>
  <c r="DQ73" i="50"/>
  <c r="DP73" i="50"/>
  <c r="DO73" i="50"/>
  <c r="DN73" i="50"/>
  <c r="EZ73" i="50" s="1"/>
  <c r="DQ72" i="50"/>
  <c r="DP72" i="50"/>
  <c r="DO72" i="50"/>
  <c r="DN72" i="50"/>
  <c r="EZ72" i="50"/>
  <c r="DQ71" i="50"/>
  <c r="DP71" i="50"/>
  <c r="DO71" i="50"/>
  <c r="DN71" i="50"/>
  <c r="EZ71" i="50" s="1"/>
  <c r="DQ70" i="50"/>
  <c r="DP70" i="50"/>
  <c r="DO70" i="50"/>
  <c r="DN70" i="50"/>
  <c r="EZ70" i="50"/>
  <c r="DQ69" i="50"/>
  <c r="DP69" i="50"/>
  <c r="DO69" i="50"/>
  <c r="DN69" i="50"/>
  <c r="EZ69" i="50" s="1"/>
  <c r="DQ68" i="50"/>
  <c r="DP68" i="50"/>
  <c r="DO68" i="50"/>
  <c r="DN68" i="50"/>
  <c r="EZ68" i="50"/>
  <c r="DQ67" i="50"/>
  <c r="DP67" i="50"/>
  <c r="DO67" i="50"/>
  <c r="DN67" i="50"/>
  <c r="EZ67" i="50" s="1"/>
  <c r="DQ66" i="50"/>
  <c r="DP66" i="50"/>
  <c r="DO66" i="50"/>
  <c r="DN66" i="50"/>
  <c r="EZ66" i="50"/>
  <c r="DQ65" i="50"/>
  <c r="DP65" i="50"/>
  <c r="DO65" i="50"/>
  <c r="DN65" i="50"/>
  <c r="EZ65" i="50" s="1"/>
  <c r="DQ64" i="50"/>
  <c r="DP64" i="50"/>
  <c r="DO64" i="50"/>
  <c r="DN64" i="50"/>
  <c r="DQ63" i="50"/>
  <c r="DP63" i="50"/>
  <c r="DO63" i="50"/>
  <c r="DN63" i="50"/>
  <c r="DQ62" i="50"/>
  <c r="DP62" i="50"/>
  <c r="DO62" i="50"/>
  <c r="DN62" i="50"/>
  <c r="DQ61" i="50"/>
  <c r="DP61" i="50"/>
  <c r="DO61" i="50"/>
  <c r="DN61" i="50"/>
  <c r="DQ60" i="50"/>
  <c r="DP60" i="50"/>
  <c r="DO60" i="50"/>
  <c r="DN60" i="50"/>
  <c r="DQ59" i="50"/>
  <c r="DP59" i="50"/>
  <c r="DO59" i="50"/>
  <c r="DN59" i="50"/>
  <c r="DQ58" i="50"/>
  <c r="DP58" i="50"/>
  <c r="DO58" i="50"/>
  <c r="DN58" i="50"/>
  <c r="DQ57" i="50"/>
  <c r="DP57" i="50"/>
  <c r="DO57" i="50"/>
  <c r="DN57" i="50"/>
  <c r="DQ56" i="50"/>
  <c r="DP56" i="50"/>
  <c r="DO56" i="50"/>
  <c r="DN56" i="50"/>
  <c r="DQ55" i="50"/>
  <c r="DP55" i="50"/>
  <c r="DO55" i="50"/>
  <c r="DN55" i="50"/>
  <c r="DQ54" i="50"/>
  <c r="DP54" i="50"/>
  <c r="DO54" i="50"/>
  <c r="DN54" i="50"/>
  <c r="DQ53" i="50"/>
  <c r="DP53" i="50"/>
  <c r="DO53" i="50"/>
  <c r="DN53" i="50"/>
  <c r="DQ52" i="50"/>
  <c r="DP52" i="50"/>
  <c r="DO52" i="50"/>
  <c r="DN52" i="50"/>
  <c r="DQ51" i="50"/>
  <c r="DP51" i="50"/>
  <c r="DO51" i="50"/>
  <c r="DN51" i="50"/>
  <c r="DQ50" i="50"/>
  <c r="DP50" i="50"/>
  <c r="DO50" i="50"/>
  <c r="DN50" i="50"/>
  <c r="DQ49" i="50"/>
  <c r="DP49" i="50"/>
  <c r="DO49" i="50"/>
  <c r="DN49" i="50"/>
  <c r="DQ48" i="50"/>
  <c r="DP48" i="50"/>
  <c r="DO48" i="50"/>
  <c r="DN48" i="50"/>
  <c r="DQ46" i="50"/>
  <c r="DP46" i="50"/>
  <c r="DO46" i="50"/>
  <c r="DN46" i="50"/>
  <c r="DN44" i="50"/>
  <c r="BT149" i="50"/>
  <c r="BS149" i="50"/>
  <c r="BR149" i="50"/>
  <c r="BQ149" i="50"/>
  <c r="BP149" i="50"/>
  <c r="BO149" i="50"/>
  <c r="BN149" i="50"/>
  <c r="BM149" i="50"/>
  <c r="BL149" i="50"/>
  <c r="BK149" i="50"/>
  <c r="BJ149" i="50"/>
  <c r="BT148" i="50"/>
  <c r="BS148" i="50"/>
  <c r="BR148" i="50"/>
  <c r="BQ148" i="50"/>
  <c r="BP148" i="50"/>
  <c r="BO148" i="50"/>
  <c r="BN148" i="50"/>
  <c r="BM148" i="50"/>
  <c r="BL148" i="50"/>
  <c r="BK148" i="50"/>
  <c r="BJ148" i="50"/>
  <c r="BT147" i="50"/>
  <c r="BS147" i="50"/>
  <c r="BR147" i="50"/>
  <c r="BQ147" i="50"/>
  <c r="BP147" i="50"/>
  <c r="BO147" i="50"/>
  <c r="BN147" i="50"/>
  <c r="BM147" i="50"/>
  <c r="BL147" i="50"/>
  <c r="BK147" i="50"/>
  <c r="BJ147" i="50"/>
  <c r="BT146" i="50"/>
  <c r="BS146" i="50"/>
  <c r="BR146" i="50"/>
  <c r="BQ146" i="50"/>
  <c r="BP146" i="50"/>
  <c r="BO146" i="50"/>
  <c r="BN146" i="50"/>
  <c r="BM146" i="50"/>
  <c r="BL146" i="50"/>
  <c r="BK146" i="50"/>
  <c r="BJ146" i="50"/>
  <c r="BT145" i="50"/>
  <c r="BS145" i="50"/>
  <c r="BR145" i="50"/>
  <c r="BQ145" i="50"/>
  <c r="BP145" i="50"/>
  <c r="BO145" i="50"/>
  <c r="BN145" i="50"/>
  <c r="BM145" i="50"/>
  <c r="BL145" i="50"/>
  <c r="BK145" i="50"/>
  <c r="BJ145" i="50"/>
  <c r="BT144" i="50"/>
  <c r="BS144" i="50"/>
  <c r="BR144" i="50"/>
  <c r="BQ144" i="50"/>
  <c r="BP144" i="50"/>
  <c r="BO144" i="50"/>
  <c r="BN144" i="50"/>
  <c r="BM144" i="50"/>
  <c r="BL144" i="50"/>
  <c r="BK144" i="50"/>
  <c r="BJ144" i="50"/>
  <c r="BT143" i="50"/>
  <c r="BS143" i="50"/>
  <c r="BR143" i="50"/>
  <c r="BQ143" i="50"/>
  <c r="BP143" i="50"/>
  <c r="BO143" i="50"/>
  <c r="BN143" i="50"/>
  <c r="BM143" i="50"/>
  <c r="BL143" i="50"/>
  <c r="BK143" i="50"/>
  <c r="BJ143" i="50"/>
  <c r="BT142" i="50"/>
  <c r="BS142" i="50"/>
  <c r="BR142" i="50"/>
  <c r="BQ142" i="50"/>
  <c r="BP142" i="50"/>
  <c r="BO142" i="50"/>
  <c r="BN142" i="50"/>
  <c r="BM142" i="50"/>
  <c r="BL142" i="50"/>
  <c r="BK142" i="50"/>
  <c r="BJ142" i="50"/>
  <c r="BT141" i="50"/>
  <c r="BS141" i="50"/>
  <c r="BR141" i="50"/>
  <c r="BQ141" i="50"/>
  <c r="BP141" i="50"/>
  <c r="BO141" i="50"/>
  <c r="BN141" i="50"/>
  <c r="BM141" i="50"/>
  <c r="BL141" i="50"/>
  <c r="BK141" i="50"/>
  <c r="BJ141" i="50"/>
  <c r="CI113" i="50"/>
  <c r="DU113" i="50" s="1"/>
  <c r="CH113" i="50"/>
  <c r="DT113" i="50" s="1"/>
  <c r="CI112" i="50"/>
  <c r="DU112" i="50" s="1"/>
  <c r="CH112" i="50"/>
  <c r="DT112" i="50" s="1"/>
  <c r="CI111" i="50"/>
  <c r="DU111" i="50" s="1"/>
  <c r="CH111" i="50"/>
  <c r="DT111" i="50" s="1"/>
  <c r="CI110" i="50"/>
  <c r="DU110" i="50" s="1"/>
  <c r="CH110" i="50"/>
  <c r="DT110" i="50" s="1"/>
  <c r="CI109" i="50"/>
  <c r="DU109" i="50" s="1"/>
  <c r="CH109" i="50"/>
  <c r="DT109" i="50" s="1"/>
  <c r="CI108" i="50"/>
  <c r="DU108" i="50" s="1"/>
  <c r="CH108" i="50"/>
  <c r="DT108" i="50" s="1"/>
  <c r="CI107" i="50"/>
  <c r="DU107" i="50" s="1"/>
  <c r="CH107" i="50"/>
  <c r="DT107" i="50" s="1"/>
  <c r="CI106" i="50"/>
  <c r="DU106" i="50" s="1"/>
  <c r="CH106" i="50"/>
  <c r="DT106" i="50" s="1"/>
  <c r="CI105" i="50"/>
  <c r="DU105" i="50" s="1"/>
  <c r="CH105" i="50"/>
  <c r="DT105" i="50" s="1"/>
  <c r="CY113" i="50"/>
  <c r="EK113" i="50" s="1"/>
  <c r="CX113" i="50"/>
  <c r="EJ113" i="50" s="1"/>
  <c r="CY112" i="50"/>
  <c r="EK112" i="50" s="1"/>
  <c r="CX112" i="50"/>
  <c r="EJ112" i="50" s="1"/>
  <c r="CY111" i="50"/>
  <c r="EK111" i="50" s="1"/>
  <c r="CX111" i="50"/>
  <c r="EJ111" i="50" s="1"/>
  <c r="CY110" i="50"/>
  <c r="EK110" i="50" s="1"/>
  <c r="CX110" i="50"/>
  <c r="EJ110" i="50" s="1"/>
  <c r="CY109" i="50"/>
  <c r="EK109" i="50" s="1"/>
  <c r="CX109" i="50"/>
  <c r="EJ109" i="50" s="1"/>
  <c r="CY108" i="50"/>
  <c r="EK108" i="50" s="1"/>
  <c r="CX108" i="50"/>
  <c r="EJ108" i="50" s="1"/>
  <c r="CY107" i="50"/>
  <c r="EK107" i="50" s="1"/>
  <c r="CX107" i="50"/>
  <c r="EJ107" i="50" s="1"/>
  <c r="CY106" i="50"/>
  <c r="EK106" i="50" s="1"/>
  <c r="CX106" i="50"/>
  <c r="EJ106" i="50" s="1"/>
  <c r="CY105" i="50"/>
  <c r="EK105" i="50" s="1"/>
  <c r="CX105" i="50"/>
  <c r="EJ105" i="50" s="1"/>
  <c r="CY76" i="50"/>
  <c r="EK76" i="50" s="1"/>
  <c r="CX76" i="50"/>
  <c r="EJ76" i="50" s="1"/>
  <c r="CY75" i="50"/>
  <c r="EK75" i="50" s="1"/>
  <c r="CX75" i="50"/>
  <c r="EJ75" i="50" s="1"/>
  <c r="CY74" i="50"/>
  <c r="EK74" i="50" s="1"/>
  <c r="CX74" i="50"/>
  <c r="EJ74" i="50" s="1"/>
  <c r="CY73" i="50"/>
  <c r="EK73" i="50" s="1"/>
  <c r="CX73" i="50"/>
  <c r="EJ73" i="50" s="1"/>
  <c r="CY72" i="50"/>
  <c r="EK72" i="50" s="1"/>
  <c r="CX72" i="50"/>
  <c r="EJ72" i="50" s="1"/>
  <c r="CY71" i="50"/>
  <c r="EK71" i="50" s="1"/>
  <c r="CX71" i="50"/>
  <c r="EJ71" i="50" s="1"/>
  <c r="CY70" i="50"/>
  <c r="EK70" i="50" s="1"/>
  <c r="CX70" i="50"/>
  <c r="EJ70" i="50" s="1"/>
  <c r="CY69" i="50"/>
  <c r="EK69" i="50" s="1"/>
  <c r="CX69" i="50"/>
  <c r="EJ69" i="50" s="1"/>
  <c r="CY68" i="50"/>
  <c r="EK68" i="50" s="1"/>
  <c r="CX68" i="50"/>
  <c r="EJ68" i="50" s="1"/>
  <c r="CI76" i="50"/>
  <c r="DU76" i="50" s="1"/>
  <c r="CH76" i="50"/>
  <c r="DT76" i="50" s="1"/>
  <c r="CI75" i="50"/>
  <c r="DU75" i="50" s="1"/>
  <c r="CH75" i="50"/>
  <c r="DT75" i="50" s="1"/>
  <c r="CI74" i="50"/>
  <c r="DU74" i="50" s="1"/>
  <c r="CH74" i="50"/>
  <c r="DT74" i="50" s="1"/>
  <c r="CI73" i="50"/>
  <c r="DU73" i="50" s="1"/>
  <c r="CH73" i="50"/>
  <c r="DT73" i="50" s="1"/>
  <c r="CI72" i="50"/>
  <c r="DU72" i="50" s="1"/>
  <c r="CH72" i="50"/>
  <c r="DT72" i="50" s="1"/>
  <c r="CI71" i="50"/>
  <c r="DU71" i="50" s="1"/>
  <c r="CH71" i="50"/>
  <c r="DT71" i="50" s="1"/>
  <c r="CI70" i="50"/>
  <c r="DU70" i="50" s="1"/>
  <c r="CH70" i="50"/>
  <c r="DT70" i="50" s="1"/>
  <c r="CI69" i="50"/>
  <c r="DU69" i="50" s="1"/>
  <c r="CH69" i="50"/>
  <c r="DT69" i="50" s="1"/>
  <c r="CI68" i="50"/>
  <c r="DU68" i="50" s="1"/>
  <c r="CH68" i="50"/>
  <c r="DT68" i="50" s="1"/>
  <c r="CI39" i="50"/>
  <c r="DU39" i="50" s="1"/>
  <c r="CH39" i="50"/>
  <c r="DT39" i="50" s="1"/>
  <c r="CI38" i="50"/>
  <c r="DU38" i="50" s="1"/>
  <c r="CH38" i="50"/>
  <c r="DT38" i="50" s="1"/>
  <c r="CI37" i="50"/>
  <c r="DU37" i="50" s="1"/>
  <c r="CH37" i="50"/>
  <c r="DT37" i="50" s="1"/>
  <c r="CI36" i="50"/>
  <c r="DU36" i="50" s="1"/>
  <c r="CH36" i="50"/>
  <c r="DT36" i="50" s="1"/>
  <c r="CI35" i="50"/>
  <c r="DU35" i="50" s="1"/>
  <c r="CH35" i="50"/>
  <c r="DT35" i="50" s="1"/>
  <c r="CI34" i="50"/>
  <c r="DU34" i="50" s="1"/>
  <c r="CH34" i="50"/>
  <c r="DT34" i="50" s="1"/>
  <c r="CI33" i="50"/>
  <c r="DU33" i="50" s="1"/>
  <c r="CH33" i="50"/>
  <c r="DT33" i="50" s="1"/>
  <c r="CI32" i="50"/>
  <c r="DU32" i="50" s="1"/>
  <c r="CH32" i="50"/>
  <c r="DT32" i="50" s="1"/>
  <c r="CI31" i="50"/>
  <c r="DU31" i="50" s="1"/>
  <c r="CH31" i="50"/>
  <c r="DT31" i="50" s="1"/>
  <c r="CY39" i="50"/>
  <c r="EK39" i="50" s="1"/>
  <c r="EK149" i="50" s="1"/>
  <c r="CX39" i="50"/>
  <c r="CY38" i="50"/>
  <c r="EK38" i="50" s="1"/>
  <c r="EK148" i="50" s="1"/>
  <c r="CX38" i="50"/>
  <c r="CY37" i="50"/>
  <c r="EK37" i="50" s="1"/>
  <c r="EK147" i="50" s="1"/>
  <c r="CX37" i="50"/>
  <c r="CY36" i="50"/>
  <c r="EK36" i="50" s="1"/>
  <c r="EK146" i="50" s="1"/>
  <c r="CX36" i="50"/>
  <c r="CY35" i="50"/>
  <c r="EK35" i="50" s="1"/>
  <c r="EK145" i="50" s="1"/>
  <c r="CX35" i="50"/>
  <c r="CY34" i="50"/>
  <c r="EK34" i="50" s="1"/>
  <c r="EK144" i="50" s="1"/>
  <c r="CX34" i="50"/>
  <c r="CY33" i="50"/>
  <c r="EK33" i="50" s="1"/>
  <c r="EK143" i="50" s="1"/>
  <c r="CX33" i="50"/>
  <c r="CY32" i="50"/>
  <c r="EK32" i="50" s="1"/>
  <c r="EK142" i="50" s="1"/>
  <c r="CX32" i="50"/>
  <c r="CY31" i="50"/>
  <c r="EK31" i="50" s="1"/>
  <c r="EK141" i="50" s="1"/>
  <c r="CX31" i="50"/>
  <c r="DQ39" i="50"/>
  <c r="DP39" i="50"/>
  <c r="DO39" i="50"/>
  <c r="DN39" i="50"/>
  <c r="EZ39" i="50"/>
  <c r="DQ38" i="50"/>
  <c r="DP38" i="50"/>
  <c r="DO38" i="50"/>
  <c r="DN38" i="50"/>
  <c r="EZ38" i="50" s="1"/>
  <c r="DQ37" i="50"/>
  <c r="DP37" i="50"/>
  <c r="DO37" i="50"/>
  <c r="DN37" i="50"/>
  <c r="EZ37" i="50"/>
  <c r="DQ36" i="50"/>
  <c r="DP36" i="50"/>
  <c r="DO36" i="50"/>
  <c r="DN36" i="50"/>
  <c r="EZ36" i="50" s="1"/>
  <c r="DQ35" i="50"/>
  <c r="DP35" i="50"/>
  <c r="DO35" i="50"/>
  <c r="DN35" i="50"/>
  <c r="EZ35" i="50"/>
  <c r="DQ34" i="50"/>
  <c r="DP34" i="50"/>
  <c r="DO34" i="50"/>
  <c r="DN34" i="50"/>
  <c r="EZ34" i="50" s="1"/>
  <c r="DQ33" i="50"/>
  <c r="DP33" i="50"/>
  <c r="DO33" i="50"/>
  <c r="DN33" i="50"/>
  <c r="EZ33" i="50"/>
  <c r="DQ32" i="50"/>
  <c r="DP32" i="50"/>
  <c r="DO32" i="50"/>
  <c r="DN32" i="50"/>
  <c r="EZ32" i="50" s="1"/>
  <c r="DQ31" i="50"/>
  <c r="DP31" i="50"/>
  <c r="DO31" i="50"/>
  <c r="DN31" i="50"/>
  <c r="EZ31" i="50"/>
  <c r="DQ30" i="50"/>
  <c r="DP30" i="50"/>
  <c r="DO30" i="50"/>
  <c r="DN30" i="50"/>
  <c r="EZ30" i="50" s="1"/>
  <c r="DQ29" i="50"/>
  <c r="DP29" i="50"/>
  <c r="DO29" i="50"/>
  <c r="DN29" i="50"/>
  <c r="EZ29" i="50"/>
  <c r="DQ27" i="50"/>
  <c r="DP27" i="50"/>
  <c r="DO27" i="50"/>
  <c r="DN27" i="50"/>
  <c r="DQ26" i="50"/>
  <c r="DP26" i="50"/>
  <c r="DO26" i="50"/>
  <c r="DN26" i="50"/>
  <c r="DQ25" i="50"/>
  <c r="DP25" i="50"/>
  <c r="DO25" i="50"/>
  <c r="DN25" i="50"/>
  <c r="DQ24" i="50"/>
  <c r="DP24" i="50"/>
  <c r="DO24" i="50"/>
  <c r="DN24" i="50"/>
  <c r="DQ23" i="50"/>
  <c r="DP23" i="50"/>
  <c r="DO23" i="50"/>
  <c r="DN23" i="50"/>
  <c r="DQ22" i="50"/>
  <c r="DP22" i="50"/>
  <c r="DO22" i="50"/>
  <c r="DN22" i="50"/>
  <c r="DQ21" i="50"/>
  <c r="DP21" i="50"/>
  <c r="DO21" i="50"/>
  <c r="DN21" i="50"/>
  <c r="DQ20" i="50"/>
  <c r="DP20" i="50"/>
  <c r="DO20" i="50"/>
  <c r="DN20" i="50"/>
  <c r="DQ19" i="50"/>
  <c r="DP19" i="50"/>
  <c r="DO19" i="50"/>
  <c r="DN19" i="50"/>
  <c r="DQ18" i="50"/>
  <c r="DP18" i="50"/>
  <c r="DO18" i="50"/>
  <c r="DN18" i="50"/>
  <c r="DQ17" i="50"/>
  <c r="DP17" i="50"/>
  <c r="DO17" i="50"/>
  <c r="DN17" i="50"/>
  <c r="DQ16" i="50"/>
  <c r="DP16" i="50"/>
  <c r="DO16" i="50"/>
  <c r="DN16" i="50"/>
  <c r="DQ15" i="50"/>
  <c r="DP15" i="50"/>
  <c r="DO15" i="50"/>
  <c r="DN15" i="50"/>
  <c r="DQ14" i="50"/>
  <c r="DP14" i="50"/>
  <c r="DO14" i="50"/>
  <c r="DN14" i="50"/>
  <c r="DQ13" i="50"/>
  <c r="DP13" i="50"/>
  <c r="DO13" i="50"/>
  <c r="DN13" i="50"/>
  <c r="DQ12" i="50"/>
  <c r="DP12" i="50"/>
  <c r="DO12" i="50"/>
  <c r="DN12" i="50"/>
  <c r="DQ11" i="50"/>
  <c r="DP11" i="50"/>
  <c r="DO11" i="50"/>
  <c r="DN11" i="50"/>
  <c r="DQ9" i="50"/>
  <c r="DP9" i="50"/>
  <c r="DO9" i="50"/>
  <c r="DN9" i="50"/>
  <c r="DN7" i="50"/>
  <c r="CY104" i="50"/>
  <c r="EK104" i="50" s="1"/>
  <c r="CX104" i="50"/>
  <c r="EJ104" i="50" s="1"/>
  <c r="CY103" i="50"/>
  <c r="EK103" i="50" s="1"/>
  <c r="CX103" i="50"/>
  <c r="EJ103" i="50" s="1"/>
  <c r="CY102" i="50"/>
  <c r="EK102" i="50" s="1"/>
  <c r="CX102" i="50"/>
  <c r="EJ102" i="50" s="1"/>
  <c r="CY101" i="50"/>
  <c r="EK101" i="50" s="1"/>
  <c r="CX101" i="50"/>
  <c r="EJ101" i="50" s="1"/>
  <c r="CY100" i="50"/>
  <c r="EK100" i="50" s="1"/>
  <c r="CX100" i="50"/>
  <c r="EJ100" i="50" s="1"/>
  <c r="CY99" i="50"/>
  <c r="EK99" i="50" s="1"/>
  <c r="CX99" i="50"/>
  <c r="EJ99" i="50" s="1"/>
  <c r="CY98" i="50"/>
  <c r="EK98" i="50" s="1"/>
  <c r="CX98" i="50"/>
  <c r="EJ98" i="50" s="1"/>
  <c r="CY97" i="50"/>
  <c r="EK97" i="50" s="1"/>
  <c r="CX97" i="50"/>
  <c r="EJ97" i="50" s="1"/>
  <c r="CY96" i="50"/>
  <c r="EK96" i="50" s="1"/>
  <c r="CX96" i="50"/>
  <c r="EJ96" i="50" s="1"/>
  <c r="CY95" i="50"/>
  <c r="EK95" i="50" s="1"/>
  <c r="CX95" i="50"/>
  <c r="EJ95" i="50" s="1"/>
  <c r="CY94" i="50"/>
  <c r="EK94" i="50" s="1"/>
  <c r="CX94" i="50"/>
  <c r="EJ94" i="50" s="1"/>
  <c r="CY93" i="50"/>
  <c r="EK93" i="50" s="1"/>
  <c r="CX93" i="50"/>
  <c r="EJ93" i="50" s="1"/>
  <c r="CY92" i="50"/>
  <c r="EK92" i="50" s="1"/>
  <c r="CX92" i="50"/>
  <c r="EJ92" i="50" s="1"/>
  <c r="CY91" i="50"/>
  <c r="EK91" i="50" s="1"/>
  <c r="CX91" i="50"/>
  <c r="EJ91" i="50" s="1"/>
  <c r="CY90" i="50"/>
  <c r="EK90" i="50" s="1"/>
  <c r="CX90" i="50"/>
  <c r="EJ90" i="50" s="1"/>
  <c r="CY89" i="50"/>
  <c r="EK89" i="50" s="1"/>
  <c r="CX89" i="50"/>
  <c r="EJ89" i="50" s="1"/>
  <c r="CY88" i="50"/>
  <c r="EK88" i="50" s="1"/>
  <c r="CX88" i="50"/>
  <c r="EJ88" i="50" s="1"/>
  <c r="EQ123" i="50"/>
  <c r="CY87" i="50"/>
  <c r="EK87" i="50"/>
  <c r="CX87" i="50"/>
  <c r="EJ87" i="50"/>
  <c r="CY86" i="50"/>
  <c r="EK86" i="50"/>
  <c r="CX86" i="50"/>
  <c r="EJ86" i="50"/>
  <c r="CY85" i="50"/>
  <c r="EK85" i="50"/>
  <c r="CX85" i="50"/>
  <c r="EJ85" i="50"/>
  <c r="CY84" i="50"/>
  <c r="EK84" i="50"/>
  <c r="CX84" i="50"/>
  <c r="EJ84" i="50"/>
  <c r="EQ119" i="50"/>
  <c r="CY83" i="50"/>
  <c r="EK83" i="50" s="1"/>
  <c r="CX83" i="50"/>
  <c r="EJ83" i="50" s="1"/>
  <c r="CX82" i="50"/>
  <c r="CZ81" i="50"/>
  <c r="CY67" i="50"/>
  <c r="EK67" i="50" s="1"/>
  <c r="CX67" i="50"/>
  <c r="EJ67" i="50" s="1"/>
  <c r="CY66" i="50"/>
  <c r="EK66" i="50" s="1"/>
  <c r="CX66" i="50"/>
  <c r="EJ66" i="50" s="1"/>
  <c r="CY65" i="50"/>
  <c r="EK65" i="50" s="1"/>
  <c r="CX65" i="50"/>
  <c r="EJ65" i="50" s="1"/>
  <c r="CY64" i="50"/>
  <c r="EK64" i="50" s="1"/>
  <c r="CX64" i="50"/>
  <c r="EJ64" i="50" s="1"/>
  <c r="CY63" i="50"/>
  <c r="EK63" i="50" s="1"/>
  <c r="CX63" i="50"/>
  <c r="EJ63" i="50" s="1"/>
  <c r="CY62" i="50"/>
  <c r="EK62" i="50" s="1"/>
  <c r="CX62" i="50"/>
  <c r="EJ62" i="50" s="1"/>
  <c r="CY61" i="50"/>
  <c r="EK61" i="50" s="1"/>
  <c r="CX61" i="50"/>
  <c r="EJ61" i="50" s="1"/>
  <c r="EO133" i="50"/>
  <c r="CY60" i="50"/>
  <c r="EK60" i="50"/>
  <c r="CX60" i="50"/>
  <c r="EJ60" i="50"/>
  <c r="CY59" i="50"/>
  <c r="EK59" i="50"/>
  <c r="CX59" i="50"/>
  <c r="EJ59" i="50"/>
  <c r="CY58" i="50"/>
  <c r="EK58" i="50"/>
  <c r="CX58" i="50"/>
  <c r="EJ58" i="50"/>
  <c r="CY57" i="50"/>
  <c r="EK57" i="50"/>
  <c r="CX57" i="50"/>
  <c r="EJ57" i="50"/>
  <c r="EO129" i="50"/>
  <c r="CY56" i="50"/>
  <c r="EK56" i="50" s="1"/>
  <c r="CX56" i="50"/>
  <c r="EJ56" i="50" s="1"/>
  <c r="CY55" i="50"/>
  <c r="EK55" i="50" s="1"/>
  <c r="CX55" i="50"/>
  <c r="EJ55" i="50" s="1"/>
  <c r="CY54" i="50"/>
  <c r="EK54" i="50" s="1"/>
  <c r="CX54" i="50"/>
  <c r="EJ54" i="50" s="1"/>
  <c r="CY53" i="50"/>
  <c r="EK53" i="50" s="1"/>
  <c r="CX53" i="50"/>
  <c r="EJ53" i="50" s="1"/>
  <c r="EO125" i="50"/>
  <c r="CY52" i="50"/>
  <c r="EK52" i="50"/>
  <c r="CX52" i="50"/>
  <c r="EJ52" i="50"/>
  <c r="CY51" i="50"/>
  <c r="EK51" i="50"/>
  <c r="CX51" i="50"/>
  <c r="EJ51" i="50"/>
  <c r="CY50" i="50"/>
  <c r="EK50" i="50"/>
  <c r="CX50" i="50"/>
  <c r="EJ50" i="50"/>
  <c r="CY49" i="50"/>
  <c r="EK49" i="50"/>
  <c r="CX49" i="50"/>
  <c r="EJ49" i="50"/>
  <c r="EO121" i="50"/>
  <c r="CY48" i="50"/>
  <c r="EK48" i="50" s="1"/>
  <c r="CX48" i="50"/>
  <c r="EJ48" i="50" s="1"/>
  <c r="CY47" i="50"/>
  <c r="EK47" i="50" s="1"/>
  <c r="CX47" i="50"/>
  <c r="EJ47" i="50" s="1"/>
  <c r="CY46" i="50"/>
  <c r="EK46" i="50" s="1"/>
  <c r="CX46" i="50"/>
  <c r="EJ46" i="50" s="1"/>
  <c r="CX45" i="50"/>
  <c r="CZ44" i="50"/>
  <c r="EL30" i="50"/>
  <c r="CY30" i="50"/>
  <c r="CX30" i="50"/>
  <c r="EM139" i="50"/>
  <c r="EL29" i="50"/>
  <c r="CY29" i="50"/>
  <c r="CX29" i="50"/>
  <c r="EL27" i="50"/>
  <c r="CY27" i="50"/>
  <c r="CX27" i="50"/>
  <c r="EL26" i="50"/>
  <c r="CY26" i="50"/>
  <c r="EK26" i="50"/>
  <c r="EK136" i="50" s="1"/>
  <c r="CX26" i="50"/>
  <c r="EM135" i="50"/>
  <c r="EL25" i="50"/>
  <c r="CY25" i="50"/>
  <c r="CX25" i="50"/>
  <c r="EL24" i="50"/>
  <c r="CY24" i="50"/>
  <c r="EK24" i="50" s="1"/>
  <c r="EK134" i="50" s="1"/>
  <c r="CX24" i="50"/>
  <c r="EL23" i="50"/>
  <c r="CY23" i="50"/>
  <c r="CX23" i="50"/>
  <c r="EL22" i="50"/>
  <c r="CY22" i="50"/>
  <c r="CX22" i="50"/>
  <c r="EM131" i="50"/>
  <c r="EL21" i="50"/>
  <c r="CY21" i="50"/>
  <c r="CX21" i="50"/>
  <c r="EL20" i="50"/>
  <c r="CY20" i="50"/>
  <c r="CX20" i="50"/>
  <c r="EL19" i="50"/>
  <c r="CY19" i="50"/>
  <c r="CX19" i="50"/>
  <c r="EL18" i="50"/>
  <c r="CY18" i="50"/>
  <c r="EK18" i="50"/>
  <c r="EK128" i="50" s="1"/>
  <c r="CX18" i="50"/>
  <c r="EM127" i="50"/>
  <c r="EL17" i="50"/>
  <c r="CY17" i="50"/>
  <c r="CX17" i="50"/>
  <c r="EL16" i="50"/>
  <c r="CY16" i="50"/>
  <c r="EK16" i="50" s="1"/>
  <c r="EK126" i="50" s="1"/>
  <c r="CX16" i="50"/>
  <c r="EL15" i="50"/>
  <c r="CY15" i="50"/>
  <c r="CX15" i="50"/>
  <c r="EL14" i="50"/>
  <c r="CY14" i="50"/>
  <c r="CX14" i="50"/>
  <c r="EM123" i="50"/>
  <c r="EL13" i="50"/>
  <c r="CY13" i="50"/>
  <c r="CX13" i="50"/>
  <c r="EL12" i="50"/>
  <c r="CY12" i="50"/>
  <c r="CX12" i="50"/>
  <c r="EL11" i="50"/>
  <c r="CY11" i="50"/>
  <c r="CX11" i="50"/>
  <c r="EL10" i="50"/>
  <c r="CY10" i="50"/>
  <c r="EK10" i="50"/>
  <c r="EK120" i="50" s="1"/>
  <c r="CX10" i="50"/>
  <c r="EL9" i="50"/>
  <c r="CY9" i="50"/>
  <c r="CX9" i="50"/>
  <c r="CX8" i="50"/>
  <c r="CZ7" i="50"/>
  <c r="CI104" i="50"/>
  <c r="DU104" i="50" s="1"/>
  <c r="CH104" i="50"/>
  <c r="DT104" i="50" s="1"/>
  <c r="CI103" i="50"/>
  <c r="DU103" i="50" s="1"/>
  <c r="CH103" i="50"/>
  <c r="DT103" i="50" s="1"/>
  <c r="CI102" i="50"/>
  <c r="DU102" i="50" s="1"/>
  <c r="EZ102" i="50" s="1"/>
  <c r="FP102" i="50" s="1"/>
  <c r="CH102" i="50"/>
  <c r="DT102" i="50" s="1"/>
  <c r="EY102" i="50" s="1"/>
  <c r="FO102" i="50" s="1"/>
  <c r="CI101" i="50"/>
  <c r="DU101" i="50" s="1"/>
  <c r="EZ101" i="50" s="1"/>
  <c r="FP101" i="50" s="1"/>
  <c r="CH101" i="50"/>
  <c r="DT101" i="50" s="1"/>
  <c r="EY101" i="50" s="1"/>
  <c r="FO101" i="50" s="1"/>
  <c r="CI100" i="50"/>
  <c r="DU100" i="50" s="1"/>
  <c r="EZ100" i="50" s="1"/>
  <c r="FP100" i="50" s="1"/>
  <c r="CH100" i="50"/>
  <c r="DT100" i="50" s="1"/>
  <c r="EY100" i="50" s="1"/>
  <c r="FO100" i="50" s="1"/>
  <c r="CI99" i="50"/>
  <c r="DU99" i="50" s="1"/>
  <c r="EZ99" i="50" s="1"/>
  <c r="FP99" i="50" s="1"/>
  <c r="CH99" i="50"/>
  <c r="DT99" i="50" s="1"/>
  <c r="EY99" i="50" s="1"/>
  <c r="FO99" i="50" s="1"/>
  <c r="CI98" i="50"/>
  <c r="DU98" i="50" s="1"/>
  <c r="EZ98" i="50" s="1"/>
  <c r="FP98" i="50" s="1"/>
  <c r="CH98" i="50"/>
  <c r="DT98" i="50" s="1"/>
  <c r="EY98" i="50" s="1"/>
  <c r="FO98" i="50" s="1"/>
  <c r="CI97" i="50"/>
  <c r="DU97" i="50" s="1"/>
  <c r="EZ97" i="50" s="1"/>
  <c r="FP97" i="50" s="1"/>
  <c r="CH97" i="50"/>
  <c r="DT97" i="50" s="1"/>
  <c r="EY97" i="50" s="1"/>
  <c r="FO97" i="50" s="1"/>
  <c r="CI96" i="50"/>
  <c r="DU96" i="50" s="1"/>
  <c r="EZ96" i="50" s="1"/>
  <c r="FP96" i="50" s="1"/>
  <c r="CH96" i="50"/>
  <c r="DT96" i="50" s="1"/>
  <c r="EY96" i="50" s="1"/>
  <c r="FO96" i="50" s="1"/>
  <c r="CI95" i="50"/>
  <c r="DU95" i="50" s="1"/>
  <c r="EZ95" i="50" s="1"/>
  <c r="FP95" i="50" s="1"/>
  <c r="CH95" i="50"/>
  <c r="DT95" i="50" s="1"/>
  <c r="EY95" i="50" s="1"/>
  <c r="FO95" i="50" s="1"/>
  <c r="CI94" i="50"/>
  <c r="DU94" i="50" s="1"/>
  <c r="EZ94" i="50" s="1"/>
  <c r="FP94" i="50" s="1"/>
  <c r="CH94" i="50"/>
  <c r="DT94" i="50" s="1"/>
  <c r="EY94" i="50" s="1"/>
  <c r="FO94" i="50" s="1"/>
  <c r="CI93" i="50"/>
  <c r="DU93" i="50" s="1"/>
  <c r="EZ93" i="50" s="1"/>
  <c r="FP93" i="50" s="1"/>
  <c r="CH93" i="50"/>
  <c r="DT93" i="50" s="1"/>
  <c r="EY93" i="50" s="1"/>
  <c r="FO93" i="50" s="1"/>
  <c r="CI92" i="50"/>
  <c r="DU92" i="50" s="1"/>
  <c r="EZ92" i="50" s="1"/>
  <c r="FP92" i="50" s="1"/>
  <c r="CH92" i="50"/>
  <c r="DT92" i="50" s="1"/>
  <c r="EY92" i="50" s="1"/>
  <c r="FO92" i="50" s="1"/>
  <c r="CI91" i="50"/>
  <c r="DU91" i="50" s="1"/>
  <c r="EZ91" i="50" s="1"/>
  <c r="FP91" i="50" s="1"/>
  <c r="CH91" i="50"/>
  <c r="DT91" i="50" s="1"/>
  <c r="EY91" i="50" s="1"/>
  <c r="FO91" i="50" s="1"/>
  <c r="CI90" i="50"/>
  <c r="DU90" i="50" s="1"/>
  <c r="EZ90" i="50" s="1"/>
  <c r="FP90" i="50" s="1"/>
  <c r="CH90" i="50"/>
  <c r="DT90" i="50" s="1"/>
  <c r="EY90" i="50" s="1"/>
  <c r="FO90" i="50" s="1"/>
  <c r="CI89" i="50"/>
  <c r="DU89" i="50" s="1"/>
  <c r="EZ89" i="50" s="1"/>
  <c r="FP89" i="50" s="1"/>
  <c r="CH89" i="50"/>
  <c r="DT89" i="50" s="1"/>
  <c r="EY89" i="50" s="1"/>
  <c r="FO89" i="50" s="1"/>
  <c r="CI88" i="50"/>
  <c r="DU88" i="50" s="1"/>
  <c r="EZ88" i="50" s="1"/>
  <c r="FP88" i="50" s="1"/>
  <c r="CH88" i="50"/>
  <c r="DT88" i="50" s="1"/>
  <c r="EY88" i="50" s="1"/>
  <c r="FO88" i="50" s="1"/>
  <c r="EP123" i="50"/>
  <c r="CI87" i="50"/>
  <c r="DU87" i="50"/>
  <c r="EZ87" i="50" s="1"/>
  <c r="FP87" i="50" s="1"/>
  <c r="CH87" i="50"/>
  <c r="DT87" i="50"/>
  <c r="EY87" i="50" s="1"/>
  <c r="FO87" i="50" s="1"/>
  <c r="EP122" i="50"/>
  <c r="CI86" i="50"/>
  <c r="DU86" i="50" s="1"/>
  <c r="EZ86" i="50" s="1"/>
  <c r="FP86" i="50" s="1"/>
  <c r="CH86" i="50"/>
  <c r="DT86" i="50" s="1"/>
  <c r="EY86" i="50" s="1"/>
  <c r="FO86" i="50" s="1"/>
  <c r="EP121" i="50"/>
  <c r="CI85" i="50"/>
  <c r="DU85" i="50"/>
  <c r="EZ85" i="50" s="1"/>
  <c r="FP85" i="50" s="1"/>
  <c r="CH85" i="50"/>
  <c r="DT85" i="50"/>
  <c r="EY85" i="50" s="1"/>
  <c r="FO85" i="50" s="1"/>
  <c r="EP120" i="50"/>
  <c r="CI84" i="50"/>
  <c r="DU84" i="50" s="1"/>
  <c r="EZ84" i="50" s="1"/>
  <c r="FP84" i="50" s="1"/>
  <c r="CH84" i="50"/>
  <c r="DT84" i="50" s="1"/>
  <c r="EY84" i="50" s="1"/>
  <c r="FO84" i="50" s="1"/>
  <c r="EP119" i="50"/>
  <c r="CI83" i="50"/>
  <c r="DU83" i="50"/>
  <c r="EZ83" i="50" s="1"/>
  <c r="FP83" i="50" s="1"/>
  <c r="CH83" i="50"/>
  <c r="DT83" i="50"/>
  <c r="EY83" i="50" s="1"/>
  <c r="FO83" i="50" s="1"/>
  <c r="CH82" i="50"/>
  <c r="CJ81" i="50"/>
  <c r="CI67" i="50"/>
  <c r="DU67" i="50"/>
  <c r="CH67" i="50"/>
  <c r="DT67" i="50"/>
  <c r="CI66" i="50"/>
  <c r="DU66" i="50"/>
  <c r="CH66" i="50"/>
  <c r="DT66" i="50"/>
  <c r="CI65" i="50"/>
  <c r="DU65" i="50"/>
  <c r="CH65" i="50"/>
  <c r="DT65" i="50"/>
  <c r="CI64" i="50"/>
  <c r="DU64" i="50"/>
  <c r="EZ64" i="50" s="1"/>
  <c r="FP64" i="50" s="1"/>
  <c r="CH64" i="50"/>
  <c r="DT64" i="50"/>
  <c r="EY64" i="50" s="1"/>
  <c r="FO64" i="50" s="1"/>
  <c r="CI63" i="50"/>
  <c r="DU63" i="50"/>
  <c r="EZ63" i="50" s="1"/>
  <c r="FP63" i="50" s="1"/>
  <c r="CH63" i="50"/>
  <c r="DT63" i="50"/>
  <c r="EY63" i="50" s="1"/>
  <c r="FO63" i="50" s="1"/>
  <c r="EN135" i="50"/>
  <c r="CI62" i="50"/>
  <c r="DU62" i="50" s="1"/>
  <c r="EZ62" i="50" s="1"/>
  <c r="FP62" i="50" s="1"/>
  <c r="CH62" i="50"/>
  <c r="DT62" i="50" s="1"/>
  <c r="EY62" i="50" s="1"/>
  <c r="FO62" i="50" s="1"/>
  <c r="EN134" i="50"/>
  <c r="CI61" i="50"/>
  <c r="DU61" i="50"/>
  <c r="EZ61" i="50" s="1"/>
  <c r="FP61" i="50" s="1"/>
  <c r="CH61" i="50"/>
  <c r="DT61" i="50"/>
  <c r="EY61" i="50" s="1"/>
  <c r="FO61" i="50" s="1"/>
  <c r="EN133" i="50"/>
  <c r="CI60" i="50"/>
  <c r="DU60" i="50" s="1"/>
  <c r="EZ60" i="50" s="1"/>
  <c r="FP60" i="50" s="1"/>
  <c r="CH60" i="50"/>
  <c r="DT60" i="50" s="1"/>
  <c r="EY60" i="50" s="1"/>
  <c r="FO60" i="50" s="1"/>
  <c r="EN132" i="50"/>
  <c r="CI59" i="50"/>
  <c r="DU59" i="50"/>
  <c r="EZ59" i="50" s="1"/>
  <c r="FP59" i="50" s="1"/>
  <c r="CH59" i="50"/>
  <c r="DT59" i="50"/>
  <c r="EY59" i="50" s="1"/>
  <c r="FO59" i="50" s="1"/>
  <c r="EN131" i="50"/>
  <c r="CI58" i="50"/>
  <c r="DU58" i="50" s="1"/>
  <c r="EZ58" i="50" s="1"/>
  <c r="FP58" i="50" s="1"/>
  <c r="CH58" i="50"/>
  <c r="DT58" i="50" s="1"/>
  <c r="EY58" i="50" s="1"/>
  <c r="FO58" i="50" s="1"/>
  <c r="EN130" i="50"/>
  <c r="CI57" i="50"/>
  <c r="DU57" i="50"/>
  <c r="EZ57" i="50" s="1"/>
  <c r="FP57" i="50" s="1"/>
  <c r="CH57" i="50"/>
  <c r="DT57" i="50"/>
  <c r="EY57" i="50" s="1"/>
  <c r="FO57" i="50" s="1"/>
  <c r="EN129" i="50"/>
  <c r="CI56" i="50"/>
  <c r="DU56" i="50" s="1"/>
  <c r="EZ56" i="50" s="1"/>
  <c r="FP56" i="50" s="1"/>
  <c r="CH56" i="50"/>
  <c r="DT56" i="50" s="1"/>
  <c r="EY56" i="50" s="1"/>
  <c r="FO56" i="50" s="1"/>
  <c r="EN128" i="50"/>
  <c r="CI55" i="50"/>
  <c r="DU55" i="50"/>
  <c r="EZ55" i="50" s="1"/>
  <c r="FP55" i="50" s="1"/>
  <c r="CH55" i="50"/>
  <c r="DT55" i="50"/>
  <c r="EY55" i="50" s="1"/>
  <c r="FO55" i="50" s="1"/>
  <c r="EN127" i="50"/>
  <c r="CI54" i="50"/>
  <c r="DU54" i="50" s="1"/>
  <c r="EZ54" i="50" s="1"/>
  <c r="FP54" i="50" s="1"/>
  <c r="CH54" i="50"/>
  <c r="DT54" i="50" s="1"/>
  <c r="EY54" i="50" s="1"/>
  <c r="FO54" i="50" s="1"/>
  <c r="EN126" i="50"/>
  <c r="CI53" i="50"/>
  <c r="DU53" i="50"/>
  <c r="EZ53" i="50" s="1"/>
  <c r="FP53" i="50" s="1"/>
  <c r="CH53" i="50"/>
  <c r="DT53" i="50"/>
  <c r="EY53" i="50" s="1"/>
  <c r="FO53" i="50" s="1"/>
  <c r="EN125" i="50"/>
  <c r="CI52" i="50"/>
  <c r="DU52" i="50" s="1"/>
  <c r="EZ52" i="50" s="1"/>
  <c r="FP52" i="50" s="1"/>
  <c r="CH52" i="50"/>
  <c r="DT52" i="50" s="1"/>
  <c r="EY52" i="50" s="1"/>
  <c r="FO52" i="50" s="1"/>
  <c r="EN124" i="50"/>
  <c r="CI51" i="50"/>
  <c r="DU51" i="50"/>
  <c r="EZ51" i="50" s="1"/>
  <c r="FP51" i="50" s="1"/>
  <c r="CH51" i="50"/>
  <c r="DT51" i="50"/>
  <c r="EY51" i="50" s="1"/>
  <c r="FO51" i="50" s="1"/>
  <c r="EN123" i="50"/>
  <c r="CI50" i="50"/>
  <c r="DU50" i="50" s="1"/>
  <c r="EZ50" i="50" s="1"/>
  <c r="FP50" i="50" s="1"/>
  <c r="CH50" i="50"/>
  <c r="DT50" i="50" s="1"/>
  <c r="EY50" i="50" s="1"/>
  <c r="FO50" i="50" s="1"/>
  <c r="EN122" i="50"/>
  <c r="CI49" i="50"/>
  <c r="DU49" i="50"/>
  <c r="EZ49" i="50" s="1"/>
  <c r="FP49" i="50" s="1"/>
  <c r="CH49" i="50"/>
  <c r="DT49" i="50"/>
  <c r="EY49" i="50" s="1"/>
  <c r="FO49" i="50" s="1"/>
  <c r="EN121" i="50"/>
  <c r="CI48" i="50"/>
  <c r="DU48" i="50" s="1"/>
  <c r="EZ48" i="50" s="1"/>
  <c r="FP48" i="50" s="1"/>
  <c r="CH48" i="50"/>
  <c r="DT48" i="50" s="1"/>
  <c r="EY48" i="50" s="1"/>
  <c r="FO48" i="50" s="1"/>
  <c r="EN120" i="50"/>
  <c r="CI47" i="50"/>
  <c r="DU47" i="50"/>
  <c r="EZ47" i="50" s="1"/>
  <c r="FP47" i="50" s="1"/>
  <c r="CH47" i="50"/>
  <c r="DT47" i="50"/>
  <c r="EY47" i="50" s="1"/>
  <c r="FO47" i="50" s="1"/>
  <c r="EN119" i="50"/>
  <c r="CI46" i="50"/>
  <c r="DU46" i="50" s="1"/>
  <c r="EZ46" i="50" s="1"/>
  <c r="FP46" i="50" s="1"/>
  <c r="CH46" i="50"/>
  <c r="DT46" i="50" s="1"/>
  <c r="EY46" i="50" s="1"/>
  <c r="FO46" i="50" s="1"/>
  <c r="CH45" i="50"/>
  <c r="CJ44" i="50"/>
  <c r="EL140" i="50"/>
  <c r="DV30" i="50"/>
  <c r="CI30" i="50"/>
  <c r="DU30" i="50" s="1"/>
  <c r="CH30" i="50"/>
  <c r="DT30" i="50" s="1"/>
  <c r="EL139" i="50"/>
  <c r="DV29" i="50"/>
  <c r="CI29" i="50"/>
  <c r="DU29" i="50" s="1"/>
  <c r="CH29" i="50"/>
  <c r="DT29" i="50" s="1"/>
  <c r="EL137" i="50"/>
  <c r="DV27" i="50"/>
  <c r="CI27" i="50"/>
  <c r="DU27" i="50" s="1"/>
  <c r="EZ27" i="50" s="1"/>
  <c r="FP27" i="50" s="1"/>
  <c r="FP137" i="50" s="1"/>
  <c r="CH27" i="50"/>
  <c r="DT27" i="50"/>
  <c r="EY27" i="50" s="1"/>
  <c r="FO27" i="50" s="1"/>
  <c r="FO137" i="50" s="1"/>
  <c r="EL136" i="50"/>
  <c r="DV26" i="50"/>
  <c r="CI26" i="50"/>
  <c r="DU26" i="50" s="1"/>
  <c r="EZ26" i="50" s="1"/>
  <c r="FP26" i="50" s="1"/>
  <c r="FP136" i="50" s="1"/>
  <c r="CH26" i="50"/>
  <c r="DT26" i="50"/>
  <c r="EY26" i="50" s="1"/>
  <c r="FO26" i="50" s="1"/>
  <c r="FO136" i="50" s="1"/>
  <c r="EL135" i="50"/>
  <c r="DV25" i="50"/>
  <c r="CI25" i="50"/>
  <c r="DU25" i="50" s="1"/>
  <c r="EZ25" i="50" s="1"/>
  <c r="FP25" i="50" s="1"/>
  <c r="FP135" i="50" s="1"/>
  <c r="CH25" i="50"/>
  <c r="DT25" i="50"/>
  <c r="EY25" i="50" s="1"/>
  <c r="FO25" i="50" s="1"/>
  <c r="FO135" i="50" s="1"/>
  <c r="EL134" i="50"/>
  <c r="DV24" i="50"/>
  <c r="CI24" i="50"/>
  <c r="DU24" i="50" s="1"/>
  <c r="EZ24" i="50" s="1"/>
  <c r="FP24" i="50" s="1"/>
  <c r="FP134" i="50" s="1"/>
  <c r="CH24" i="50"/>
  <c r="DT24" i="50"/>
  <c r="EY24" i="50" s="1"/>
  <c r="FO24" i="50" s="1"/>
  <c r="FO134" i="50" s="1"/>
  <c r="EL133" i="50"/>
  <c r="DV23" i="50"/>
  <c r="CI23" i="50"/>
  <c r="DU23" i="50" s="1"/>
  <c r="EZ23" i="50" s="1"/>
  <c r="FP23" i="50" s="1"/>
  <c r="FP133" i="50" s="1"/>
  <c r="CH23" i="50"/>
  <c r="DT23" i="50"/>
  <c r="EY23" i="50" s="1"/>
  <c r="FO23" i="50" s="1"/>
  <c r="FO133" i="50" s="1"/>
  <c r="EL132" i="50"/>
  <c r="DV22" i="50"/>
  <c r="CI22" i="50"/>
  <c r="DU22" i="50" s="1"/>
  <c r="EZ22" i="50" s="1"/>
  <c r="FP22" i="50" s="1"/>
  <c r="FP132" i="50" s="1"/>
  <c r="CH22" i="50"/>
  <c r="DT22" i="50"/>
  <c r="EY22" i="50" s="1"/>
  <c r="FO22" i="50" s="1"/>
  <c r="FO132" i="50" s="1"/>
  <c r="EL131" i="50"/>
  <c r="DV21" i="50"/>
  <c r="CI21" i="50"/>
  <c r="DU21" i="50" s="1"/>
  <c r="EZ21" i="50" s="1"/>
  <c r="FP21" i="50" s="1"/>
  <c r="FP131" i="50" s="1"/>
  <c r="CH21" i="50"/>
  <c r="DT21" i="50"/>
  <c r="EY21" i="50" s="1"/>
  <c r="FO21" i="50" s="1"/>
  <c r="FO131" i="50" s="1"/>
  <c r="EL130" i="50"/>
  <c r="DV20" i="50"/>
  <c r="CI20" i="50"/>
  <c r="DU20" i="50" s="1"/>
  <c r="EZ20" i="50" s="1"/>
  <c r="FP20" i="50" s="1"/>
  <c r="FP130" i="50" s="1"/>
  <c r="CH20" i="50"/>
  <c r="DT20" i="50"/>
  <c r="EY20" i="50" s="1"/>
  <c r="FO20" i="50" s="1"/>
  <c r="FO130" i="50" s="1"/>
  <c r="EL129" i="50"/>
  <c r="DV19" i="50"/>
  <c r="CI19" i="50"/>
  <c r="DU19" i="50" s="1"/>
  <c r="EZ19" i="50" s="1"/>
  <c r="FP19" i="50" s="1"/>
  <c r="FP129" i="50" s="1"/>
  <c r="CH19" i="50"/>
  <c r="DT19" i="50"/>
  <c r="EY19" i="50" s="1"/>
  <c r="FO19" i="50" s="1"/>
  <c r="FO129" i="50" s="1"/>
  <c r="EL128" i="50"/>
  <c r="DV18" i="50"/>
  <c r="CI18" i="50"/>
  <c r="DU18" i="50" s="1"/>
  <c r="EZ18" i="50" s="1"/>
  <c r="FP18" i="50" s="1"/>
  <c r="FP128" i="50" s="1"/>
  <c r="CH18" i="50"/>
  <c r="DT18" i="50"/>
  <c r="EY18" i="50" s="1"/>
  <c r="FO18" i="50" s="1"/>
  <c r="FO128" i="50" s="1"/>
  <c r="EL127" i="50"/>
  <c r="DV17" i="50"/>
  <c r="CI17" i="50"/>
  <c r="DU17" i="50" s="1"/>
  <c r="EZ17" i="50" s="1"/>
  <c r="FP17" i="50" s="1"/>
  <c r="FP127" i="50" s="1"/>
  <c r="CH17" i="50"/>
  <c r="DT17" i="50"/>
  <c r="EY17" i="50" s="1"/>
  <c r="FO17" i="50" s="1"/>
  <c r="FO127" i="50" s="1"/>
  <c r="EL126" i="50"/>
  <c r="DV16" i="50"/>
  <c r="CI16" i="50"/>
  <c r="DU16" i="50" s="1"/>
  <c r="EZ16" i="50" s="1"/>
  <c r="FP16" i="50" s="1"/>
  <c r="FP126" i="50" s="1"/>
  <c r="CH16" i="50"/>
  <c r="DT16" i="50"/>
  <c r="EY16" i="50" s="1"/>
  <c r="FO16" i="50" s="1"/>
  <c r="FO126" i="50" s="1"/>
  <c r="EL125" i="50"/>
  <c r="DV15" i="50"/>
  <c r="CI15" i="50"/>
  <c r="DU15" i="50" s="1"/>
  <c r="EZ15" i="50" s="1"/>
  <c r="FP15" i="50" s="1"/>
  <c r="FP125" i="50" s="1"/>
  <c r="CH15" i="50"/>
  <c r="DT15" i="50"/>
  <c r="EY15" i="50" s="1"/>
  <c r="FO15" i="50" s="1"/>
  <c r="FO125" i="50" s="1"/>
  <c r="EL124" i="50"/>
  <c r="DV14" i="50"/>
  <c r="CI14" i="50"/>
  <c r="DU14" i="50" s="1"/>
  <c r="EZ14" i="50" s="1"/>
  <c r="FP14" i="50" s="1"/>
  <c r="FP124" i="50" s="1"/>
  <c r="CH14" i="50"/>
  <c r="DT14" i="50"/>
  <c r="EY14" i="50" s="1"/>
  <c r="FO14" i="50" s="1"/>
  <c r="FO124" i="50" s="1"/>
  <c r="EL123" i="50"/>
  <c r="DV13" i="50"/>
  <c r="CI13" i="50"/>
  <c r="DU13" i="50" s="1"/>
  <c r="EZ13" i="50" s="1"/>
  <c r="FP13" i="50" s="1"/>
  <c r="FP123" i="50" s="1"/>
  <c r="CH13" i="50"/>
  <c r="DT13" i="50"/>
  <c r="EY13" i="50" s="1"/>
  <c r="FO13" i="50" s="1"/>
  <c r="FO123" i="50" s="1"/>
  <c r="EL122" i="50"/>
  <c r="DV12" i="50"/>
  <c r="CI12" i="50"/>
  <c r="DU12" i="50" s="1"/>
  <c r="EZ12" i="50" s="1"/>
  <c r="FP12" i="50" s="1"/>
  <c r="FP122" i="50" s="1"/>
  <c r="CH12" i="50"/>
  <c r="DT12" i="50"/>
  <c r="EY12" i="50" s="1"/>
  <c r="FO12" i="50" s="1"/>
  <c r="FO122" i="50" s="1"/>
  <c r="EL121" i="50"/>
  <c r="DV11" i="50"/>
  <c r="CI11" i="50"/>
  <c r="DU11" i="50" s="1"/>
  <c r="EZ11" i="50" s="1"/>
  <c r="FP11" i="50" s="1"/>
  <c r="FP121" i="50" s="1"/>
  <c r="CH11" i="50"/>
  <c r="DT11" i="50"/>
  <c r="EY11" i="50" s="1"/>
  <c r="FO11" i="50" s="1"/>
  <c r="FO121" i="50" s="1"/>
  <c r="EL120" i="50"/>
  <c r="DV10" i="50"/>
  <c r="CI10" i="50"/>
  <c r="DU10" i="50" s="1"/>
  <c r="EZ10" i="50" s="1"/>
  <c r="FP10" i="50" s="1"/>
  <c r="FP120" i="50" s="1"/>
  <c r="CH10" i="50"/>
  <c r="DT10" i="50"/>
  <c r="EY10" i="50" s="1"/>
  <c r="FO10" i="50" s="1"/>
  <c r="FO120" i="50" s="1"/>
  <c r="EL119" i="50"/>
  <c r="DV9" i="50"/>
  <c r="CI9" i="50"/>
  <c r="DU9" i="50" s="1"/>
  <c r="EZ9" i="50" s="1"/>
  <c r="FP9" i="50" s="1"/>
  <c r="FP119" i="50" s="1"/>
  <c r="CH9" i="50"/>
  <c r="DT9" i="50"/>
  <c r="EY9" i="50" s="1"/>
  <c r="FO9" i="50" s="1"/>
  <c r="FO119" i="50" s="1"/>
  <c r="CH8" i="50"/>
  <c r="CJ7" i="50"/>
  <c r="BJ185" i="50"/>
  <c r="BX171" i="50"/>
  <c r="BW171" i="50"/>
  <c r="BX170" i="50"/>
  <c r="BW170" i="50"/>
  <c r="BX169" i="50"/>
  <c r="BW169" i="50"/>
  <c r="BX168" i="50"/>
  <c r="BW168" i="50"/>
  <c r="BX167" i="50"/>
  <c r="BW167" i="50"/>
  <c r="BX166" i="50"/>
  <c r="BW166" i="50"/>
  <c r="BX165" i="50"/>
  <c r="BW165" i="50"/>
  <c r="BX164" i="50"/>
  <c r="BW164" i="50"/>
  <c r="BX163" i="50"/>
  <c r="BW163" i="50"/>
  <c r="BX162" i="50"/>
  <c r="BW162" i="50"/>
  <c r="BX161" i="50"/>
  <c r="BW161" i="50"/>
  <c r="BX160" i="50"/>
  <c r="BW160" i="50"/>
  <c r="BX159" i="50"/>
  <c r="BW159" i="50"/>
  <c r="BX158" i="50"/>
  <c r="BW158" i="50"/>
  <c r="BX157" i="50"/>
  <c r="BW157" i="50"/>
  <c r="BX156" i="50"/>
  <c r="BW156" i="50"/>
  <c r="BX155" i="50"/>
  <c r="BW155" i="50"/>
  <c r="BO155" i="50"/>
  <c r="BN155" i="50"/>
  <c r="BM155" i="50"/>
  <c r="BL155" i="50"/>
  <c r="BJ152" i="50"/>
  <c r="BQ135" i="50"/>
  <c r="BP135" i="50"/>
  <c r="BO135" i="50"/>
  <c r="BN135" i="50"/>
  <c r="BL135" i="50"/>
  <c r="BK135" i="50"/>
  <c r="BJ135" i="50"/>
  <c r="BQ134" i="50"/>
  <c r="BP134" i="50"/>
  <c r="BO134" i="50"/>
  <c r="BN134" i="50"/>
  <c r="BL134" i="50"/>
  <c r="BK134" i="50"/>
  <c r="BJ134" i="50"/>
  <c r="BQ133" i="50"/>
  <c r="BP133" i="50"/>
  <c r="BO133" i="50"/>
  <c r="BN133" i="50"/>
  <c r="BL133" i="50"/>
  <c r="BK133" i="50"/>
  <c r="BJ133" i="50"/>
  <c r="BQ132" i="50"/>
  <c r="BP132" i="50"/>
  <c r="BO132" i="50"/>
  <c r="BN132" i="50"/>
  <c r="BL132" i="50"/>
  <c r="BK132" i="50"/>
  <c r="BJ132" i="50"/>
  <c r="BQ131" i="50"/>
  <c r="BP131" i="50"/>
  <c r="BO131" i="50"/>
  <c r="BN131" i="50"/>
  <c r="BL131" i="50"/>
  <c r="BK131" i="50"/>
  <c r="BJ131" i="50"/>
  <c r="BQ130" i="50"/>
  <c r="BP130" i="50"/>
  <c r="BO130" i="50"/>
  <c r="BN130" i="50"/>
  <c r="BL130" i="50"/>
  <c r="BK130" i="50"/>
  <c r="BQ129" i="50"/>
  <c r="BP129" i="50"/>
  <c r="BO129" i="50"/>
  <c r="BN129" i="50"/>
  <c r="BL129" i="50"/>
  <c r="BK129" i="50"/>
  <c r="BJ129" i="50"/>
  <c r="BQ128" i="50"/>
  <c r="BP128" i="50"/>
  <c r="BO128" i="50"/>
  <c r="BN128" i="50"/>
  <c r="BL128" i="50"/>
  <c r="BK128" i="50"/>
  <c r="BJ128" i="50"/>
  <c r="BQ127" i="50"/>
  <c r="BP127" i="50"/>
  <c r="BO127" i="50"/>
  <c r="BN127" i="50"/>
  <c r="BL127" i="50"/>
  <c r="BK127" i="50"/>
  <c r="BJ127" i="50"/>
  <c r="BQ126" i="50"/>
  <c r="BP126" i="50"/>
  <c r="BO126" i="50"/>
  <c r="BN126" i="50"/>
  <c r="BL126" i="50"/>
  <c r="BK126" i="50"/>
  <c r="BJ126" i="50"/>
  <c r="BQ125" i="50"/>
  <c r="BP125" i="50"/>
  <c r="BO125" i="50"/>
  <c r="BN125" i="50"/>
  <c r="BL125" i="50"/>
  <c r="BK125" i="50"/>
  <c r="BJ125" i="50"/>
  <c r="BQ124" i="50"/>
  <c r="BP124" i="50"/>
  <c r="BO124" i="50"/>
  <c r="BN124" i="50"/>
  <c r="BL124" i="50"/>
  <c r="BK124" i="50"/>
  <c r="BJ124" i="50"/>
  <c r="BT123" i="50"/>
  <c r="BS123" i="50"/>
  <c r="BR123" i="50"/>
  <c r="BQ123" i="50"/>
  <c r="BP123" i="50"/>
  <c r="BO123" i="50"/>
  <c r="BN123" i="50"/>
  <c r="BL123" i="50"/>
  <c r="BK123" i="50"/>
  <c r="BJ123" i="50"/>
  <c r="BJ159" i="50" s="1"/>
  <c r="BJ192" i="50" s="1"/>
  <c r="BT122" i="50"/>
  <c r="BS122" i="50"/>
  <c r="BR122" i="50"/>
  <c r="BQ122" i="50"/>
  <c r="BP122" i="50"/>
  <c r="BO122" i="50"/>
  <c r="BN122" i="50"/>
  <c r="BL122" i="50"/>
  <c r="BK122" i="50"/>
  <c r="BJ122" i="50"/>
  <c r="BJ158" i="50" s="1"/>
  <c r="BJ191" i="50" s="1"/>
  <c r="BT121" i="50"/>
  <c r="BS121" i="50"/>
  <c r="BR121" i="50"/>
  <c r="BQ121" i="50"/>
  <c r="BP121" i="50"/>
  <c r="BO121" i="50"/>
  <c r="BN121" i="50"/>
  <c r="BL121" i="50"/>
  <c r="BK121" i="50"/>
  <c r="BJ121" i="50"/>
  <c r="BJ229" i="50" s="1"/>
  <c r="BT120" i="50"/>
  <c r="BS120" i="50"/>
  <c r="BR120" i="50"/>
  <c r="BQ120" i="50"/>
  <c r="BP120" i="50"/>
  <c r="BO120" i="50"/>
  <c r="BN120" i="50"/>
  <c r="BL120" i="50"/>
  <c r="BK120" i="50"/>
  <c r="BJ120" i="50"/>
  <c r="BJ228" i="50" s="1"/>
  <c r="BT119" i="50"/>
  <c r="BS119" i="50"/>
  <c r="BR119" i="50"/>
  <c r="BQ119" i="50"/>
  <c r="BP119" i="50"/>
  <c r="BO119" i="50"/>
  <c r="BN119" i="50"/>
  <c r="BM119" i="50"/>
  <c r="BL119" i="50"/>
  <c r="BK119" i="50"/>
  <c r="BJ119" i="50"/>
  <c r="BJ115" i="50"/>
  <c r="V115" i="50"/>
  <c r="V185" i="50"/>
  <c r="AJ170" i="50"/>
  <c r="AI170" i="50"/>
  <c r="Z170" i="50"/>
  <c r="Y170" i="50"/>
  <c r="X170" i="50"/>
  <c r="AJ169" i="50"/>
  <c r="AI169" i="50"/>
  <c r="Z169" i="50"/>
  <c r="Y169" i="50"/>
  <c r="X169" i="50"/>
  <c r="AJ168" i="50"/>
  <c r="AI168" i="50"/>
  <c r="Z168" i="50"/>
  <c r="Y168" i="50"/>
  <c r="X168" i="50"/>
  <c r="AJ167" i="50"/>
  <c r="AI167" i="50"/>
  <c r="Z167" i="50"/>
  <c r="Y167" i="50"/>
  <c r="X167" i="50"/>
  <c r="AJ166" i="50"/>
  <c r="AI166" i="50"/>
  <c r="Z166" i="50"/>
  <c r="Y166" i="50"/>
  <c r="X166" i="50"/>
  <c r="AJ165" i="50"/>
  <c r="AI165" i="50"/>
  <c r="Z165" i="50"/>
  <c r="Y165" i="50"/>
  <c r="X165" i="50"/>
  <c r="AJ164" i="50"/>
  <c r="AI164" i="50"/>
  <c r="Z164" i="50"/>
  <c r="Y164" i="50"/>
  <c r="X164" i="50"/>
  <c r="AJ163" i="50"/>
  <c r="AI163" i="50"/>
  <c r="Z163" i="50"/>
  <c r="Y163" i="50"/>
  <c r="X163" i="50"/>
  <c r="AJ162" i="50"/>
  <c r="AI162" i="50"/>
  <c r="Z162" i="50"/>
  <c r="Y162" i="50"/>
  <c r="X162" i="50"/>
  <c r="AJ161" i="50"/>
  <c r="AI161" i="50"/>
  <c r="Z161" i="50"/>
  <c r="Y161" i="50"/>
  <c r="X161" i="50"/>
  <c r="AJ160" i="50"/>
  <c r="AI160" i="50"/>
  <c r="Z160" i="50"/>
  <c r="Y160" i="50"/>
  <c r="X160" i="50"/>
  <c r="AJ159" i="50"/>
  <c r="AI159" i="50"/>
  <c r="AA159" i="50"/>
  <c r="Z159" i="50"/>
  <c r="Y159" i="50"/>
  <c r="X159" i="50"/>
  <c r="AJ158" i="50"/>
  <c r="AI158" i="50"/>
  <c r="AA158" i="50"/>
  <c r="Z158" i="50"/>
  <c r="Y158" i="50"/>
  <c r="X158" i="50"/>
  <c r="AJ157" i="50"/>
  <c r="AI157" i="50"/>
  <c r="AA157" i="50"/>
  <c r="Z157" i="50"/>
  <c r="Y157" i="50"/>
  <c r="X157" i="50"/>
  <c r="AJ156" i="50"/>
  <c r="AI156" i="50"/>
  <c r="AA156" i="50"/>
  <c r="Z156" i="50"/>
  <c r="Y156" i="50"/>
  <c r="X156" i="50"/>
  <c r="AJ155" i="50"/>
  <c r="AI155" i="50"/>
  <c r="AA155" i="50"/>
  <c r="Z155" i="50"/>
  <c r="Y155" i="50"/>
  <c r="X155" i="50"/>
  <c r="V152" i="50"/>
  <c r="AE149" i="50"/>
  <c r="AD149" i="50"/>
  <c r="AB149" i="50"/>
  <c r="AA149" i="50"/>
  <c r="Y149" i="50"/>
  <c r="X149" i="50"/>
  <c r="W149" i="50"/>
  <c r="V149" i="50"/>
  <c r="AE148" i="50"/>
  <c r="AD148" i="50"/>
  <c r="AB148" i="50"/>
  <c r="AA148" i="50"/>
  <c r="Y148" i="50"/>
  <c r="X148" i="50"/>
  <c r="W148" i="50"/>
  <c r="V148" i="50"/>
  <c r="AE147" i="50"/>
  <c r="AD147" i="50"/>
  <c r="AB147" i="50"/>
  <c r="AA147" i="50"/>
  <c r="Y147" i="50"/>
  <c r="X147" i="50"/>
  <c r="W147" i="50"/>
  <c r="V147" i="50"/>
  <c r="AE146" i="50"/>
  <c r="AD146" i="50"/>
  <c r="AB146" i="50"/>
  <c r="AA146" i="50"/>
  <c r="Y146" i="50"/>
  <c r="X146" i="50"/>
  <c r="W146" i="50"/>
  <c r="V146" i="50"/>
  <c r="AE145" i="50"/>
  <c r="AD145" i="50"/>
  <c r="AB145" i="50"/>
  <c r="AA145" i="50"/>
  <c r="Y145" i="50"/>
  <c r="X145" i="50"/>
  <c r="W145" i="50"/>
  <c r="V145" i="50"/>
  <c r="AE144" i="50"/>
  <c r="AD144" i="50"/>
  <c r="AB144" i="50"/>
  <c r="AA144" i="50"/>
  <c r="Y144" i="50"/>
  <c r="X144" i="50"/>
  <c r="W144" i="50"/>
  <c r="V144" i="50"/>
  <c r="AE143" i="50"/>
  <c r="AD143" i="50"/>
  <c r="AB143" i="50"/>
  <c r="AA143" i="50"/>
  <c r="Y143" i="50"/>
  <c r="X143" i="50"/>
  <c r="W143" i="50"/>
  <c r="V143" i="50"/>
  <c r="AE142" i="50"/>
  <c r="AD142" i="50"/>
  <c r="AB142" i="50"/>
  <c r="AA142" i="50"/>
  <c r="Y142" i="50"/>
  <c r="X142" i="50"/>
  <c r="W142" i="50"/>
  <c r="V142" i="50"/>
  <c r="AE141" i="50"/>
  <c r="AD141" i="50"/>
  <c r="AB141" i="50"/>
  <c r="AA141" i="50"/>
  <c r="Y141" i="50"/>
  <c r="X141" i="50"/>
  <c r="W141" i="50"/>
  <c r="V141" i="50"/>
  <c r="AE140" i="50"/>
  <c r="AB140" i="50"/>
  <c r="Y140" i="50"/>
  <c r="W140" i="50"/>
  <c r="V140" i="50"/>
  <c r="AE139" i="50"/>
  <c r="AB139" i="50"/>
  <c r="Y139" i="50"/>
  <c r="W139" i="50"/>
  <c r="V139" i="50"/>
  <c r="V248" i="50" s="1"/>
  <c r="W138" i="50"/>
  <c r="V138" i="50"/>
  <c r="V247" i="50" s="1"/>
  <c r="AB137" i="50"/>
  <c r="AC137" i="50"/>
  <c r="Y137" i="50"/>
  <c r="Z137" i="50"/>
  <c r="W137" i="50"/>
  <c r="V137" i="50"/>
  <c r="V173" i="50" s="1"/>
  <c r="AB136" i="50"/>
  <c r="AC136" i="50"/>
  <c r="Y136" i="50"/>
  <c r="Z136" i="50"/>
  <c r="W136" i="50"/>
  <c r="W172" i="50"/>
  <c r="V136" i="50"/>
  <c r="AB135" i="50"/>
  <c r="AC135" i="50" s="1"/>
  <c r="Y135" i="50"/>
  <c r="Z135" i="50" s="1"/>
  <c r="W135" i="50"/>
  <c r="W171" i="50" s="1"/>
  <c r="V135" i="50"/>
  <c r="V243" i="50" s="1"/>
  <c r="AB134" i="50"/>
  <c r="AC134" i="50"/>
  <c r="Y134" i="50"/>
  <c r="Z134" i="50"/>
  <c r="W134" i="50"/>
  <c r="W170" i="50"/>
  <c r="V134" i="50"/>
  <c r="AB133" i="50"/>
  <c r="AC133" i="50" s="1"/>
  <c r="Y133" i="50"/>
  <c r="Z133" i="50" s="1"/>
  <c r="W133" i="50"/>
  <c r="W169" i="50" s="1"/>
  <c r="V133" i="50"/>
  <c r="V169" i="50" s="1"/>
  <c r="AB132" i="50"/>
  <c r="AC132" i="50"/>
  <c r="Y132" i="50"/>
  <c r="Z132" i="50"/>
  <c r="W132" i="50"/>
  <c r="W168" i="50"/>
  <c r="V132" i="50"/>
  <c r="AB131" i="50"/>
  <c r="AC131" i="50" s="1"/>
  <c r="Y131" i="50"/>
  <c r="Z131" i="50" s="1"/>
  <c r="W131" i="50"/>
  <c r="W167" i="50" s="1"/>
  <c r="V131" i="50"/>
  <c r="V239" i="50" s="1"/>
  <c r="AB130" i="50"/>
  <c r="AC130" i="50"/>
  <c r="Y130" i="50"/>
  <c r="Z130" i="50"/>
  <c r="W130" i="50"/>
  <c r="W166" i="50"/>
  <c r="V130" i="50"/>
  <c r="AB129" i="50"/>
  <c r="AC129" i="50" s="1"/>
  <c r="Y129" i="50"/>
  <c r="Z129" i="50" s="1"/>
  <c r="W129" i="50"/>
  <c r="W165" i="50" s="1"/>
  <c r="V129" i="50"/>
  <c r="V165" i="50" s="1"/>
  <c r="AB128" i="50"/>
  <c r="AC128" i="50"/>
  <c r="Y128" i="50"/>
  <c r="Z128" i="50"/>
  <c r="W128" i="50"/>
  <c r="W164" i="50"/>
  <c r="V128" i="50"/>
  <c r="AB127" i="50"/>
  <c r="AC127" i="50" s="1"/>
  <c r="Y127" i="50"/>
  <c r="Z127" i="50" s="1"/>
  <c r="W127" i="50"/>
  <c r="W163" i="50" s="1"/>
  <c r="V127" i="50"/>
  <c r="V235" i="50" s="1"/>
  <c r="AB126" i="50"/>
  <c r="AC126" i="50"/>
  <c r="Y126" i="50"/>
  <c r="Z126" i="50"/>
  <c r="W126" i="50"/>
  <c r="W162" i="50"/>
  <c r="V126" i="50"/>
  <c r="AB125" i="50"/>
  <c r="AC125" i="50" s="1"/>
  <c r="Y125" i="50"/>
  <c r="Z125" i="50" s="1"/>
  <c r="W125" i="50"/>
  <c r="W161" i="50" s="1"/>
  <c r="V125" i="50"/>
  <c r="V161" i="50" s="1"/>
  <c r="AB124" i="50"/>
  <c r="AC124" i="50"/>
  <c r="Y124" i="50"/>
  <c r="Z124" i="50"/>
  <c r="W124" i="50"/>
  <c r="W160" i="50"/>
  <c r="V124" i="50"/>
  <c r="AE123" i="50"/>
  <c r="AF123" i="50" s="1"/>
  <c r="AB123" i="50"/>
  <c r="AC123" i="50" s="1"/>
  <c r="Y123" i="50"/>
  <c r="Z123" i="50" s="1"/>
  <c r="W123" i="50"/>
  <c r="W159" i="50" s="1"/>
  <c r="V123" i="50"/>
  <c r="V231" i="50" s="1"/>
  <c r="AE122" i="50"/>
  <c r="AF122" i="50"/>
  <c r="AB122" i="50"/>
  <c r="AC122" i="50"/>
  <c r="Y122" i="50"/>
  <c r="Z122" i="50"/>
  <c r="W122" i="50"/>
  <c r="W158" i="50"/>
  <c r="V122" i="50"/>
  <c r="AE121" i="50"/>
  <c r="AF121" i="50" s="1"/>
  <c r="AB121" i="50"/>
  <c r="AC121" i="50" s="1"/>
  <c r="Y121" i="50"/>
  <c r="Z121" i="50" s="1"/>
  <c r="W121" i="50"/>
  <c r="W157" i="50" s="1"/>
  <c r="V121" i="50"/>
  <c r="V157" i="50" s="1"/>
  <c r="AE120" i="50"/>
  <c r="AF120" i="50"/>
  <c r="AB120" i="50"/>
  <c r="AC120" i="50"/>
  <c r="Y120" i="50"/>
  <c r="Z120" i="50"/>
  <c r="W120" i="50"/>
  <c r="W156" i="50"/>
  <c r="V120" i="50"/>
  <c r="Y119" i="50"/>
  <c r="Z119" i="50" s="1"/>
  <c r="W119" i="50"/>
  <c r="W155" i="50" s="1"/>
  <c r="V119" i="50"/>
  <c r="V227" i="50" s="1"/>
  <c r="EO10" i="50"/>
  <c r="EO97" i="50"/>
  <c r="EO85" i="50"/>
  <c r="EO87" i="50"/>
  <c r="EO91" i="50"/>
  <c r="EO54" i="50"/>
  <c r="EO49" i="50"/>
  <c r="EO55" i="50"/>
  <c r="EO58" i="50"/>
  <c r="EO60" i="50"/>
  <c r="EO88" i="50"/>
  <c r="EO57" i="50"/>
  <c r="EO48" i="50"/>
  <c r="EO26" i="50"/>
  <c r="EO22" i="50"/>
  <c r="EO90" i="50"/>
  <c r="EO83" i="50"/>
  <c r="EO56" i="50"/>
  <c r="EO50" i="50"/>
  <c r="EO52" i="50"/>
  <c r="EO16" i="50"/>
  <c r="EO24" i="50"/>
  <c r="EO62" i="50"/>
  <c r="EO15" i="50"/>
  <c r="EO13" i="50"/>
  <c r="EO93" i="50"/>
  <c r="EO14" i="50"/>
  <c r="EO20" i="50"/>
  <c r="EO12" i="50"/>
  <c r="EO19" i="50"/>
  <c r="EO11" i="50"/>
  <c r="EO9" i="50"/>
  <c r="EO17" i="50"/>
  <c r="EO98" i="50"/>
  <c r="EO95" i="50"/>
  <c r="EO59" i="50"/>
  <c r="EO53" i="50"/>
  <c r="EO51" i="50"/>
  <c r="EO25" i="50"/>
  <c r="EO23" i="50"/>
  <c r="EO21" i="50"/>
  <c r="EJ10" i="50"/>
  <c r="EJ120" i="50" s="1"/>
  <c r="DB120" i="50"/>
  <c r="DE120" i="50"/>
  <c r="DA120" i="50"/>
  <c r="CZ120" i="50"/>
  <c r="DD120" i="50"/>
  <c r="DC120" i="50"/>
  <c r="DE125" i="50"/>
  <c r="DB125" i="50"/>
  <c r="DD125" i="50"/>
  <c r="DA125" i="50"/>
  <c r="DC125" i="50"/>
  <c r="CZ125" i="50"/>
  <c r="DA130" i="50"/>
  <c r="DC130" i="50"/>
  <c r="DE130" i="50"/>
  <c r="DD130" i="50"/>
  <c r="DB130" i="50"/>
  <c r="CZ130" i="50"/>
  <c r="DE135" i="50"/>
  <c r="DC135" i="50"/>
  <c r="DD135" i="50"/>
  <c r="DB135" i="50"/>
  <c r="CZ135" i="50"/>
  <c r="DA135" i="50"/>
  <c r="EJ26" i="50"/>
  <c r="EJ136" i="50" s="1"/>
  <c r="DB136" i="50"/>
  <c r="DE136" i="50"/>
  <c r="DA136" i="50"/>
  <c r="CZ136" i="50"/>
  <c r="DD136" i="50"/>
  <c r="DC136" i="50"/>
  <c r="EJ11" i="50"/>
  <c r="EJ121" i="50" s="1"/>
  <c r="DE121" i="50"/>
  <c r="DB121" i="50"/>
  <c r="CZ121" i="50"/>
  <c r="DD121" i="50"/>
  <c r="DA121" i="50"/>
  <c r="DC121" i="50"/>
  <c r="DA126" i="50"/>
  <c r="DC126" i="50"/>
  <c r="DE126" i="50"/>
  <c r="DD126" i="50"/>
  <c r="DB126" i="50"/>
  <c r="CZ126" i="50"/>
  <c r="DE131" i="50"/>
  <c r="DC131" i="50"/>
  <c r="DD131" i="50"/>
  <c r="DB131" i="50"/>
  <c r="CZ131" i="50"/>
  <c r="DA131" i="50"/>
  <c r="DB132" i="50"/>
  <c r="DE132" i="50"/>
  <c r="DA132" i="50"/>
  <c r="DD132" i="50"/>
  <c r="DC132" i="50"/>
  <c r="CZ132" i="50"/>
  <c r="EJ27" i="50"/>
  <c r="EJ137" i="50" s="1"/>
  <c r="DE137" i="50"/>
  <c r="DB137" i="50"/>
  <c r="DD137" i="50"/>
  <c r="DA137" i="50"/>
  <c r="DC137" i="50"/>
  <c r="CZ137" i="50"/>
  <c r="EJ31" i="50"/>
  <c r="EJ141" i="50" s="1"/>
  <c r="EJ33" i="50"/>
  <c r="EJ143" i="50" s="1"/>
  <c r="EJ35" i="50"/>
  <c r="EJ145" i="50" s="1"/>
  <c r="EJ37" i="50"/>
  <c r="EJ147" i="50" s="1"/>
  <c r="EJ39" i="50"/>
  <c r="EJ149" i="50" s="1"/>
  <c r="DA122" i="50"/>
  <c r="DC122" i="50"/>
  <c r="DE122" i="50"/>
  <c r="DD122" i="50"/>
  <c r="DB122" i="50"/>
  <c r="CZ122" i="50"/>
  <c r="DE127" i="50"/>
  <c r="DC127" i="50"/>
  <c r="DD127" i="50"/>
  <c r="DB127" i="50"/>
  <c r="CZ127" i="50"/>
  <c r="DA127" i="50"/>
  <c r="EJ18" i="50"/>
  <c r="EJ128" i="50" s="1"/>
  <c r="DB128" i="50"/>
  <c r="DE128" i="50"/>
  <c r="DA128" i="50"/>
  <c r="CZ128" i="50"/>
  <c r="DD128" i="50"/>
  <c r="DC128" i="50"/>
  <c r="DE133" i="50"/>
  <c r="DB133" i="50"/>
  <c r="DD133" i="50"/>
  <c r="DA133" i="50"/>
  <c r="DC133" i="50"/>
  <c r="CZ133" i="50"/>
  <c r="DD119" i="50"/>
  <c r="DE119" i="50"/>
  <c r="DC119" i="50"/>
  <c r="DB119" i="50"/>
  <c r="DE123" i="50"/>
  <c r="DC123" i="50"/>
  <c r="DD123" i="50"/>
  <c r="DB123" i="50"/>
  <c r="CZ123" i="50"/>
  <c r="DA123" i="50"/>
  <c r="DB124" i="50"/>
  <c r="CZ124" i="50"/>
  <c r="DE124" i="50"/>
  <c r="DA124" i="50"/>
  <c r="DD124" i="50"/>
  <c r="DC124" i="50"/>
  <c r="EJ19" i="50"/>
  <c r="EJ129" i="50" s="1"/>
  <c r="DE129" i="50"/>
  <c r="DB129" i="50"/>
  <c r="DD129" i="50"/>
  <c r="DA129" i="50"/>
  <c r="DC129" i="50"/>
  <c r="CZ129" i="50"/>
  <c r="DC134" i="50"/>
  <c r="DE134" i="50"/>
  <c r="DD134" i="50"/>
  <c r="DB134" i="50"/>
  <c r="CZ134" i="50"/>
  <c r="DA134" i="50"/>
  <c r="EJ32" i="50"/>
  <c r="EJ142" i="50" s="1"/>
  <c r="EJ34" i="50"/>
  <c r="EJ144" i="50" s="1"/>
  <c r="EJ36" i="50"/>
  <c r="EJ146" i="50" s="1"/>
  <c r="EJ38" i="50"/>
  <c r="EJ148" i="50" s="1"/>
  <c r="BJ227" i="50"/>
  <c r="BJ155" i="50"/>
  <c r="BJ188" i="50"/>
  <c r="BJ157" i="50"/>
  <c r="BJ190" i="50" s="1"/>
  <c r="BJ231" i="50"/>
  <c r="BJ233" i="50"/>
  <c r="BJ161" i="50"/>
  <c r="BJ194" i="50" s="1"/>
  <c r="BJ235" i="50"/>
  <c r="BJ163" i="50"/>
  <c r="BJ196" i="50"/>
  <c r="BJ237" i="50"/>
  <c r="BJ165" i="50"/>
  <c r="BJ198" i="50" s="1"/>
  <c r="BJ239" i="50"/>
  <c r="BJ167" i="50"/>
  <c r="BJ200" i="50"/>
  <c r="BJ241" i="50"/>
  <c r="BJ169" i="50"/>
  <c r="BJ202" i="50" s="1"/>
  <c r="BJ243" i="50"/>
  <c r="BJ171" i="50"/>
  <c r="BJ204" i="50"/>
  <c r="BJ245" i="50"/>
  <c r="BJ206" i="50"/>
  <c r="BJ249" i="50"/>
  <c r="BJ209" i="50"/>
  <c r="BJ156" i="50"/>
  <c r="BJ189" i="50" s="1"/>
  <c r="BJ230" i="50"/>
  <c r="BJ232" i="50"/>
  <c r="BJ160" i="50"/>
  <c r="BJ193" i="50" s="1"/>
  <c r="BJ234" i="50"/>
  <c r="BJ162" i="50"/>
  <c r="BJ195" i="50"/>
  <c r="BJ236" i="50"/>
  <c r="BJ164" i="50"/>
  <c r="BJ197" i="50" s="1"/>
  <c r="BJ238" i="50"/>
  <c r="BJ166" i="50"/>
  <c r="BJ199" i="50"/>
  <c r="BJ240" i="50"/>
  <c r="BJ168" i="50"/>
  <c r="BJ201" i="50" s="1"/>
  <c r="BJ242" i="50"/>
  <c r="BJ170" i="50"/>
  <c r="BJ203" i="50"/>
  <c r="BJ244" i="50"/>
  <c r="BJ205" i="50"/>
  <c r="BJ248" i="50"/>
  <c r="BJ208" i="50"/>
  <c r="BJ250" i="50"/>
  <c r="BK210" i="50"/>
  <c r="V155" i="50"/>
  <c r="V188" i="50" s="1"/>
  <c r="V229" i="50"/>
  <c r="V190" i="50"/>
  <c r="V159" i="50"/>
  <c r="V192" i="50" s="1"/>
  <c r="V233" i="50"/>
  <c r="V194" i="50"/>
  <c r="V163" i="50"/>
  <c r="V196" i="50" s="1"/>
  <c r="V237" i="50"/>
  <c r="V198" i="50"/>
  <c r="V167" i="50"/>
  <c r="V200" i="50" s="1"/>
  <c r="V241" i="50"/>
  <c r="V202" i="50"/>
  <c r="V171" i="50"/>
  <c r="V204" i="50" s="1"/>
  <c r="V245" i="50"/>
  <c r="V206" i="50"/>
  <c r="V176" i="50"/>
  <c r="V209" i="50" s="1"/>
  <c r="V228" i="50"/>
  <c r="V156" i="50"/>
  <c r="V189" i="50"/>
  <c r="V230" i="50"/>
  <c r="V158" i="50"/>
  <c r="V191" i="50" s="1"/>
  <c r="V232" i="50"/>
  <c r="V160" i="50"/>
  <c r="V193" i="50"/>
  <c r="V234" i="50"/>
  <c r="V162" i="50"/>
  <c r="V195" i="50" s="1"/>
  <c r="V236" i="50"/>
  <c r="V164" i="50"/>
  <c r="V197" i="50"/>
  <c r="V238" i="50"/>
  <c r="V166" i="50"/>
  <c r="V199" i="50" s="1"/>
  <c r="V240" i="50"/>
  <c r="V168" i="50"/>
  <c r="V201" i="50"/>
  <c r="V242" i="50"/>
  <c r="V170" i="50"/>
  <c r="V203" i="50" s="1"/>
  <c r="V244" i="50"/>
  <c r="V172" i="50"/>
  <c r="V205" i="50"/>
  <c r="V175" i="50"/>
  <c r="V208" i="50" s="1"/>
  <c r="V249" i="50"/>
  <c r="V177" i="50"/>
  <c r="V210" i="50"/>
  <c r="CX137" i="50"/>
  <c r="CY128" i="50"/>
  <c r="CY126" i="50"/>
  <c r="CX121" i="50"/>
  <c r="DH121" i="50" s="1"/>
  <c r="EQ122" i="50"/>
  <c r="EQ120" i="50"/>
  <c r="EQ121" i="50"/>
  <c r="EO123" i="50"/>
  <c r="EO126" i="50"/>
  <c r="EO128" i="50"/>
  <c r="EO131" i="50"/>
  <c r="EO134" i="50"/>
  <c r="EO122" i="50"/>
  <c r="EO124" i="50"/>
  <c r="EO127" i="50"/>
  <c r="EO130" i="50"/>
  <c r="EO120" i="50"/>
  <c r="EO119" i="50"/>
  <c r="EO132" i="50"/>
  <c r="EO135" i="50"/>
  <c r="EM119" i="50"/>
  <c r="CY121" i="50"/>
  <c r="EK11" i="50"/>
  <c r="EK121" i="50" s="1"/>
  <c r="EM122" i="50"/>
  <c r="CY124" i="50"/>
  <c r="EK14" i="50"/>
  <c r="EK124" i="50" s="1"/>
  <c r="EM125" i="50"/>
  <c r="EM128" i="50"/>
  <c r="CX123" i="50"/>
  <c r="DG123" i="50" s="1"/>
  <c r="EJ13" i="50"/>
  <c r="EJ123" i="50"/>
  <c r="CX126" i="50"/>
  <c r="EJ16" i="50"/>
  <c r="EJ126" i="50" s="1"/>
  <c r="CX132" i="50"/>
  <c r="DF132" i="50" s="1"/>
  <c r="EJ22" i="50"/>
  <c r="EJ132" i="50"/>
  <c r="CY135" i="50"/>
  <c r="EK25" i="50"/>
  <c r="EK135" i="50" s="1"/>
  <c r="CY123" i="50"/>
  <c r="EK13" i="50"/>
  <c r="EK123" i="50"/>
  <c r="CY129" i="50"/>
  <c r="EK19" i="50"/>
  <c r="EK129" i="50" s="1"/>
  <c r="EM130" i="50"/>
  <c r="CY132" i="50"/>
  <c r="EK22" i="50"/>
  <c r="EK132" i="50" s="1"/>
  <c r="EM133" i="50"/>
  <c r="EM136" i="50"/>
  <c r="CX128" i="50"/>
  <c r="EM121" i="50"/>
  <c r="CX131" i="50"/>
  <c r="DG131" i="50" s="1"/>
  <c r="EJ21" i="50"/>
  <c r="EJ131" i="50"/>
  <c r="CX134" i="50"/>
  <c r="EJ24" i="50"/>
  <c r="EJ134" i="50" s="1"/>
  <c r="CX122" i="50"/>
  <c r="DG122" i="50" s="1"/>
  <c r="EJ12" i="50"/>
  <c r="EJ122" i="50" s="1"/>
  <c r="CY131" i="50"/>
  <c r="EK21" i="50"/>
  <c r="EK131" i="50"/>
  <c r="CY119" i="50"/>
  <c r="EK9" i="50"/>
  <c r="EK119" i="50" s="1"/>
  <c r="CY122" i="50"/>
  <c r="EK12" i="50"/>
  <c r="EK122" i="50"/>
  <c r="CY125" i="50"/>
  <c r="EK15" i="50"/>
  <c r="EK125" i="50" s="1"/>
  <c r="EM126" i="50"/>
  <c r="EM129" i="50"/>
  <c r="EM132" i="50"/>
  <c r="EJ29" i="50"/>
  <c r="EJ139" i="50"/>
  <c r="CY134" i="50"/>
  <c r="EM124" i="50"/>
  <c r="CX125" i="50"/>
  <c r="EJ15" i="50"/>
  <c r="EJ125" i="50" s="1"/>
  <c r="CY137" i="50"/>
  <c r="EK27" i="50"/>
  <c r="EK137" i="50"/>
  <c r="CX129" i="50"/>
  <c r="EM120" i="50"/>
  <c r="CX127" i="50"/>
  <c r="EJ17" i="50"/>
  <c r="EJ127" i="50" s="1"/>
  <c r="CX130" i="50"/>
  <c r="DF130" i="50" s="1"/>
  <c r="EJ20" i="50"/>
  <c r="EJ130" i="50"/>
  <c r="CX133" i="50"/>
  <c r="EJ23" i="50"/>
  <c r="EJ133" i="50" s="1"/>
  <c r="EK29" i="50"/>
  <c r="EK139" i="50" s="1"/>
  <c r="CX120" i="50"/>
  <c r="CX136" i="50"/>
  <c r="DF136" i="50" s="1"/>
  <c r="CX135" i="50"/>
  <c r="EJ25" i="50"/>
  <c r="EJ135" i="50" s="1"/>
  <c r="EJ30" i="50"/>
  <c r="EJ140" i="50" s="1"/>
  <c r="CX119" i="50"/>
  <c r="EJ9" i="50"/>
  <c r="EJ119" i="50" s="1"/>
  <c r="EK30" i="50"/>
  <c r="EK140" i="50" s="1"/>
  <c r="CX124" i="50"/>
  <c r="DF124" i="50" s="1"/>
  <c r="EJ14" i="50"/>
  <c r="EJ124" i="50"/>
  <c r="CY127" i="50"/>
  <c r="EK17" i="50"/>
  <c r="EK127" i="50" s="1"/>
  <c r="CY130" i="50"/>
  <c r="EK20" i="50"/>
  <c r="EK130" i="50"/>
  <c r="CY133" i="50"/>
  <c r="EK23" i="50"/>
  <c r="EK133" i="50" s="1"/>
  <c r="EM134" i="50"/>
  <c r="EM137" i="50"/>
  <c r="EM140" i="50"/>
  <c r="CY120" i="50"/>
  <c r="CY136" i="50"/>
  <c r="DF127" i="50"/>
  <c r="DG127" i="50"/>
  <c r="DH127" i="50"/>
  <c r="DG129" i="50"/>
  <c r="DF129" i="50"/>
  <c r="DH129" i="50"/>
  <c r="DG125" i="50"/>
  <c r="DF125" i="50"/>
  <c r="DH125" i="50"/>
  <c r="DG134" i="50"/>
  <c r="DF134" i="50"/>
  <c r="DH134" i="50"/>
  <c r="DF131" i="50"/>
  <c r="DH131" i="50"/>
  <c r="DF128" i="50"/>
  <c r="DG136" i="50"/>
  <c r="DH136" i="50"/>
  <c r="DG133" i="50"/>
  <c r="DF133" i="50"/>
  <c r="DH133" i="50"/>
  <c r="DG124" i="50"/>
  <c r="DF135" i="50"/>
  <c r="DG135" i="50"/>
  <c r="DH135" i="50"/>
  <c r="DG132" i="50"/>
  <c r="DH132" i="50"/>
  <c r="DG126" i="50"/>
  <c r="DF126" i="50"/>
  <c r="DH126" i="50"/>
  <c r="DF123" i="50"/>
  <c r="DH123" i="50"/>
  <c r="DG137" i="50"/>
  <c r="DF137" i="50"/>
  <c r="DH137" i="50"/>
  <c r="DH119" i="50"/>
  <c r="DA119" i="50"/>
  <c r="DH120" i="50"/>
  <c r="AU4" i="50"/>
  <c r="AT4" i="50"/>
  <c r="AJ113" i="50"/>
  <c r="AF149" i="50" s="1"/>
  <c r="AJ112" i="50"/>
  <c r="AF148" i="50" s="1"/>
  <c r="AJ111" i="50"/>
  <c r="AF147" i="50" s="1"/>
  <c r="AJ110" i="50"/>
  <c r="AF146" i="50" s="1"/>
  <c r="AJ109" i="50"/>
  <c r="AF145" i="50" s="1"/>
  <c r="AJ108" i="50"/>
  <c r="AF144" i="50" s="1"/>
  <c r="AJ107" i="50"/>
  <c r="AF143" i="50" s="1"/>
  <c r="AJ106" i="50"/>
  <c r="AF142" i="50" s="1"/>
  <c r="AF141" i="50"/>
  <c r="AF140" i="50"/>
  <c r="AF139" i="50"/>
  <c r="BJ82" i="50"/>
  <c r="V82" i="50"/>
  <c r="V117" i="50" s="1"/>
  <c r="F82" i="50"/>
  <c r="BZ81" i="50"/>
  <c r="BL81" i="50"/>
  <c r="AL81" i="50"/>
  <c r="X81" i="50"/>
  <c r="AJ76" i="50"/>
  <c r="AC149" i="50" s="1"/>
  <c r="AJ75" i="50"/>
  <c r="AC148" i="50" s="1"/>
  <c r="AJ74" i="50"/>
  <c r="AC147" i="50" s="1"/>
  <c r="AJ73" i="50"/>
  <c r="AC146" i="50" s="1"/>
  <c r="AJ72" i="50"/>
  <c r="AC145" i="50" s="1"/>
  <c r="AJ71" i="50"/>
  <c r="AC144" i="50" s="1"/>
  <c r="AJ70" i="50"/>
  <c r="AC143" i="50" s="1"/>
  <c r="AJ69" i="50"/>
  <c r="AC142" i="50" s="1"/>
  <c r="AC141" i="50"/>
  <c r="AC140" i="50"/>
  <c r="AC139" i="50"/>
  <c r="BJ45" i="50"/>
  <c r="AT45" i="50"/>
  <c r="V45" i="50"/>
  <c r="F45" i="50"/>
  <c r="BZ44" i="50"/>
  <c r="BL44" i="50"/>
  <c r="AV44" i="50"/>
  <c r="AL44" i="50"/>
  <c r="X44" i="50"/>
  <c r="AJ39" i="50"/>
  <c r="Z149" i="50" s="1"/>
  <c r="AJ38" i="50"/>
  <c r="Z148" i="50" s="1"/>
  <c r="AJ37" i="50"/>
  <c r="Z147" i="50" s="1"/>
  <c r="AJ36" i="50"/>
  <c r="Z146" i="50" s="1"/>
  <c r="AJ35" i="50"/>
  <c r="Z145" i="50" s="1"/>
  <c r="AJ34" i="50"/>
  <c r="Z144" i="50" s="1"/>
  <c r="AJ33" i="50"/>
  <c r="Z143" i="50" s="1"/>
  <c r="AJ32" i="50"/>
  <c r="Z142" i="50" s="1"/>
  <c r="AJ31" i="50"/>
  <c r="Z141" i="50" s="1"/>
  <c r="BJ8" i="50"/>
  <c r="AT8" i="50"/>
  <c r="V8" i="50"/>
  <c r="F8" i="50"/>
  <c r="BZ7" i="50"/>
  <c r="BL7" i="50"/>
  <c r="AV7" i="50"/>
  <c r="AL7" i="50"/>
  <c r="X7" i="50"/>
  <c r="H7" i="50"/>
  <c r="H54" i="52"/>
  <c r="K48" i="52"/>
  <c r="K38" i="52"/>
  <c r="H38" i="52"/>
  <c r="K33" i="52"/>
  <c r="C26" i="51"/>
  <c r="U69" i="20" s="1"/>
  <c r="A12" i="51"/>
  <c r="A11" i="51"/>
  <c r="B3" i="51"/>
  <c r="F4" i="50"/>
  <c r="G4" i="50"/>
  <c r="D56" i="22"/>
  <c r="E56" i="22"/>
  <c r="F56" i="22"/>
  <c r="G56" i="22"/>
  <c r="H56" i="22"/>
  <c r="D63" i="22"/>
  <c r="E63" i="22"/>
  <c r="F63" i="22"/>
  <c r="G63" i="22"/>
  <c r="H63" i="22"/>
  <c r="E70" i="22"/>
  <c r="F100" i="15" a="1"/>
  <c r="J101" i="15" s="1"/>
  <c r="K175" i="15" s="1"/>
  <c r="K180" i="15" s="1"/>
  <c r="U101" i="15"/>
  <c r="V175" i="15" s="1"/>
  <c r="V180" i="15" s="1"/>
  <c r="AO102" i="15"/>
  <c r="AP176" i="15" s="1"/>
  <c r="AP181" i="15"/>
  <c r="AQ100" i="15"/>
  <c r="AR174" i="15" s="1"/>
  <c r="AR179" i="15" s="1"/>
  <c r="AE102" i="15"/>
  <c r="AF176" i="15" s="1"/>
  <c r="AF181" i="15"/>
  <c r="BF102" i="15"/>
  <c r="BG176" i="15" s="1"/>
  <c r="BG181" i="15" s="1"/>
  <c r="AP101" i="15"/>
  <c r="AQ175" i="15" s="1"/>
  <c r="AQ180" i="15"/>
  <c r="AO100" i="15"/>
  <c r="AP174" i="15" s="1"/>
  <c r="AP179" i="15" s="1"/>
  <c r="V100" i="15"/>
  <c r="W174" i="15" s="1"/>
  <c r="W179" i="15" s="1"/>
  <c r="J102" i="15"/>
  <c r="K176" i="15" s="1"/>
  <c r="K181" i="15" s="1"/>
  <c r="P100" i="15"/>
  <c r="Q174" i="15"/>
  <c r="Q179" i="15" s="1"/>
  <c r="BU100" i="15"/>
  <c r="BL100" i="15"/>
  <c r="BM174" i="15" s="1"/>
  <c r="BM179" i="15" s="1"/>
  <c r="K100" i="15"/>
  <c r="L174" i="15" s="1"/>
  <c r="L179" i="15"/>
  <c r="BK102" i="15"/>
  <c r="BL176" i="15" s="1"/>
  <c r="BL181" i="15" s="1"/>
  <c r="Q102" i="15"/>
  <c r="R176" i="15" s="1"/>
  <c r="R181" i="15" s="1"/>
  <c r="N101" i="15"/>
  <c r="O175" i="15" s="1"/>
  <c r="O180" i="15"/>
  <c r="H102" i="15"/>
  <c r="I176" i="15"/>
  <c r="I181" i="15" s="1"/>
  <c r="BT102" i="15"/>
  <c r="AE100" i="15"/>
  <c r="AF174" i="15" s="1"/>
  <c r="AF179" i="15"/>
  <c r="Y101" i="15"/>
  <c r="Z175" i="15"/>
  <c r="Z180" i="15" s="1"/>
  <c r="S102" i="15"/>
  <c r="T176" i="15" s="1"/>
  <c r="T181" i="15" s="1"/>
  <c r="M100" i="15"/>
  <c r="N174" i="15" s="1"/>
  <c r="N179" i="15" s="1"/>
  <c r="AU101" i="15"/>
  <c r="AV175" i="15" s="1"/>
  <c r="AV180" i="15" s="1"/>
  <c r="BA102" i="15"/>
  <c r="BB176" i="15"/>
  <c r="BB181" i="15" s="1"/>
  <c r="BV100" i="15"/>
  <c r="AZ101" i="15"/>
  <c r="BA175" i="15" s="1"/>
  <c r="BA180" i="15" s="1"/>
  <c r="BP101" i="15"/>
  <c r="BQ175" i="15"/>
  <c r="BQ180" i="15" s="1"/>
  <c r="BJ102" i="15"/>
  <c r="BK176" i="15" s="1"/>
  <c r="BK181" i="15" s="1"/>
  <c r="W101" i="15"/>
  <c r="X175" i="15"/>
  <c r="X180" i="15" s="1"/>
  <c r="R101" i="15"/>
  <c r="S175" i="15" s="1"/>
  <c r="S180" i="15" s="1"/>
  <c r="BN101" i="15"/>
  <c r="BO175" i="15"/>
  <c r="BO180" i="15" s="1"/>
  <c r="BU102" i="15"/>
  <c r="AY100" i="15"/>
  <c r="AZ174" i="15" s="1"/>
  <c r="AZ179" i="15" s="1"/>
  <c r="BO100" i="15"/>
  <c r="BP174" i="15"/>
  <c r="BP179" i="15" s="1"/>
  <c r="AS101" i="15"/>
  <c r="AT175" i="15" s="1"/>
  <c r="AT180" i="15" s="1"/>
  <c r="BI101" i="15"/>
  <c r="BJ175" i="15"/>
  <c r="BJ180" i="15" s="1"/>
  <c r="AM102" i="15"/>
  <c r="AN176" i="15" s="1"/>
  <c r="AN181" i="15" s="1"/>
  <c r="BC102" i="15"/>
  <c r="BD176" i="15"/>
  <c r="BD181" i="15" s="1"/>
  <c r="Q100" i="15"/>
  <c r="R174" i="15"/>
  <c r="R179" i="15" s="1"/>
  <c r="BM100" i="15"/>
  <c r="BN174" i="15" s="1"/>
  <c r="BN179" i="15" s="1"/>
  <c r="K101" i="15"/>
  <c r="L175" i="15"/>
  <c r="L180" i="15" s="1"/>
  <c r="U102" i="15"/>
  <c r="V176" i="15" s="1"/>
  <c r="V181" i="15" s="1"/>
  <c r="BE102" i="15"/>
  <c r="BF176" i="15"/>
  <c r="BF181" i="15" s="1"/>
  <c r="AT100" i="15"/>
  <c r="AU174" i="15" s="1"/>
  <c r="AU179" i="15" s="1"/>
  <c r="BJ100" i="15"/>
  <c r="BK174" i="15"/>
  <c r="BK179" i="15" s="1"/>
  <c r="AN101" i="15"/>
  <c r="AO175" i="15" s="1"/>
  <c r="AO180" i="15" s="1"/>
  <c r="BD101" i="15"/>
  <c r="BE175" i="15"/>
  <c r="BE180" i="15" s="1"/>
  <c r="R102" i="15"/>
  <c r="S176" i="15"/>
  <c r="S181" i="15" s="1"/>
  <c r="BN102" i="15"/>
  <c r="BO176" i="15" s="1"/>
  <c r="BO181" i="15" s="1"/>
  <c r="BK101" i="15"/>
  <c r="BL175" i="15"/>
  <c r="BL180" i="15" s="1"/>
  <c r="AJ100" i="15"/>
  <c r="AK174" i="15" s="1"/>
  <c r="AK179" i="15" s="1"/>
  <c r="BP100" i="15"/>
  <c r="BQ174" i="15" s="1"/>
  <c r="BQ179" i="15" s="1"/>
  <c r="AD101" i="15"/>
  <c r="AE175" i="15"/>
  <c r="AE180" i="15" s="1"/>
  <c r="BD102" i="15"/>
  <c r="BE176" i="15" s="1"/>
  <c r="BE181" i="15" s="1"/>
  <c r="I102" i="15"/>
  <c r="J176" i="15"/>
  <c r="J181" i="15" s="1"/>
  <c r="O100" i="15"/>
  <c r="P174" i="15"/>
  <c r="P179" i="15"/>
  <c r="AU100" i="15"/>
  <c r="AV174" i="15" s="1"/>
  <c r="AV179" i="15" s="1"/>
  <c r="I101" i="15"/>
  <c r="J175" i="15" s="1"/>
  <c r="J180" i="15" s="1"/>
  <c r="AO101" i="15"/>
  <c r="AP175" i="15"/>
  <c r="AP180" i="15" s="1"/>
  <c r="AI102" i="15"/>
  <c r="AJ176" i="15"/>
  <c r="AJ181" i="15" s="1"/>
  <c r="AC100" i="15"/>
  <c r="AD174" i="15" s="1"/>
  <c r="AD179" i="15" s="1"/>
  <c r="BI100" i="15"/>
  <c r="BJ174" i="15" s="1"/>
  <c r="BJ179" i="15" s="1"/>
  <c r="AA101" i="15"/>
  <c r="AB175" i="15"/>
  <c r="AB180" i="15" s="1"/>
  <c r="J100" i="15"/>
  <c r="K174" i="15" s="1"/>
  <c r="K179" i="15" s="1"/>
  <c r="AP100" i="15"/>
  <c r="AQ174" i="15" s="1"/>
  <c r="AQ179" i="15" s="1"/>
  <c r="T101" i="15"/>
  <c r="U175" i="15"/>
  <c r="U180" i="15" s="1"/>
  <c r="X100" i="15"/>
  <c r="Y174" i="15" s="1"/>
  <c r="Y179" i="15" s="1"/>
  <c r="BD100" i="15"/>
  <c r="BE174" i="15" s="1"/>
  <c r="BE179" i="15" s="1"/>
  <c r="BT100" i="15"/>
  <c r="AH101" i="15"/>
  <c r="AI175" i="15" s="1"/>
  <c r="AI180" i="15" s="1"/>
  <c r="AX101" i="15"/>
  <c r="AY175" i="15"/>
  <c r="AY180" i="15" s="1"/>
  <c r="BH102" i="15"/>
  <c r="BI176" i="15" s="1"/>
  <c r="BI181" i="15" s="1"/>
  <c r="AE101" i="15"/>
  <c r="AF175" i="15"/>
  <c r="AF180" i="15" s="1"/>
  <c r="S100" i="15"/>
  <c r="T174" i="15"/>
  <c r="T179" i="15"/>
  <c r="L100" i="15"/>
  <c r="M174" i="15" s="1"/>
  <c r="M179" i="15" s="1"/>
  <c r="AB100" i="15"/>
  <c r="AC174" i="15" s="1"/>
  <c r="AC179" i="15" s="1"/>
  <c r="AR100" i="15"/>
  <c r="AS174" i="15"/>
  <c r="AS179" i="15" s="1"/>
  <c r="BH100" i="15"/>
  <c r="BI174" i="15"/>
  <c r="BI179" i="15"/>
  <c r="F101" i="15"/>
  <c r="G175" i="15"/>
  <c r="G180" i="15"/>
  <c r="V101" i="15"/>
  <c r="W175" i="15" s="1"/>
  <c r="W180" i="15" s="1"/>
  <c r="AL101" i="15"/>
  <c r="AM175" i="15"/>
  <c r="AM180" i="15" s="1"/>
  <c r="BB101" i="15"/>
  <c r="BC175" i="15"/>
  <c r="BC180" i="15"/>
  <c r="BR101" i="15"/>
  <c r="BS175" i="15"/>
  <c r="BS180" i="15"/>
  <c r="P102" i="15"/>
  <c r="Q176" i="15" s="1"/>
  <c r="Q181" i="15" s="1"/>
  <c r="AF102" i="15"/>
  <c r="AG176" i="15"/>
  <c r="AG181" i="15" s="1"/>
  <c r="AV102" i="15"/>
  <c r="AW176" i="15"/>
  <c r="AW181" i="15"/>
  <c r="BL102" i="15"/>
  <c r="BM176" i="15"/>
  <c r="BM181" i="15"/>
  <c r="BC101" i="15"/>
  <c r="BD175" i="15" s="1"/>
  <c r="BD180" i="15" s="1"/>
  <c r="AK102" i="15"/>
  <c r="AL176" i="15"/>
  <c r="AL181" i="15" s="1"/>
  <c r="G100" i="15"/>
  <c r="H174" i="15"/>
  <c r="H179" i="15"/>
  <c r="W100" i="15"/>
  <c r="X174" i="15"/>
  <c r="X179" i="15"/>
  <c r="AM100" i="15"/>
  <c r="AN174" i="15" s="1"/>
  <c r="AN179" i="15" s="1"/>
  <c r="BC100" i="15"/>
  <c r="BD174" i="15"/>
  <c r="BD179" i="15" s="1"/>
  <c r="BS100" i="15"/>
  <c r="Q101" i="15"/>
  <c r="R175" i="15"/>
  <c r="R180" i="15" s="1"/>
  <c r="AG101" i="15"/>
  <c r="AH175" i="15"/>
  <c r="AH180" i="15"/>
  <c r="AW101" i="15"/>
  <c r="AX175" i="15"/>
  <c r="AX180" i="15"/>
  <c r="BM101" i="15"/>
  <c r="BN175" i="15" s="1"/>
  <c r="BN180" i="15" s="1"/>
  <c r="K102" i="15"/>
  <c r="L176" i="15"/>
  <c r="L181" i="15" s="1"/>
  <c r="AA102" i="15"/>
  <c r="AB176" i="15"/>
  <c r="AB181" i="15"/>
  <c r="AQ102" i="15"/>
  <c r="AR176" i="15"/>
  <c r="AR181" i="15"/>
  <c r="BG102" i="15"/>
  <c r="BH176" i="15" s="1"/>
  <c r="BH181" i="15" s="1"/>
  <c r="BW102" i="15"/>
  <c r="U100" i="15"/>
  <c r="V174" i="15" s="1"/>
  <c r="V179" i="15" s="1"/>
  <c r="AK100" i="15"/>
  <c r="AL174" i="15"/>
  <c r="AL179" i="15" s="1"/>
  <c r="BA100" i="15"/>
  <c r="BB174" i="15"/>
  <c r="BB179" i="15"/>
  <c r="BQ100" i="15"/>
  <c r="BR174" i="15"/>
  <c r="BR179" i="15"/>
  <c r="O101" i="15"/>
  <c r="P175" i="15" s="1"/>
  <c r="P180" i="15" s="1"/>
  <c r="AM101" i="15"/>
  <c r="AN175" i="15"/>
  <c r="AN180" i="15" s="1"/>
  <c r="BG101" i="15"/>
  <c r="BH175" i="15"/>
  <c r="BH180" i="15"/>
  <c r="AG102" i="15"/>
  <c r="AH176" i="15"/>
  <c r="AH181" i="15"/>
  <c r="BM102" i="15"/>
  <c r="BN176" i="15" s="1"/>
  <c r="BN181" i="15" s="1"/>
  <c r="R100" i="15"/>
  <c r="S174" i="15"/>
  <c r="S179" i="15" s="1"/>
  <c r="AH100" i="15"/>
  <c r="AI174" i="15"/>
  <c r="AI179" i="15"/>
  <c r="AX100" i="15"/>
  <c r="AY174" i="15"/>
  <c r="AY179" i="15"/>
  <c r="BN100" i="15"/>
  <c r="BO174" i="15" s="1"/>
  <c r="BO179" i="15" s="1"/>
  <c r="L101" i="15"/>
  <c r="M175" i="15"/>
  <c r="M180" i="15" s="1"/>
  <c r="AB101" i="15"/>
  <c r="AC175" i="15"/>
  <c r="AC180" i="15"/>
  <c r="AR101" i="15"/>
  <c r="AS175" i="15"/>
  <c r="AS180" i="15"/>
  <c r="BH101" i="15"/>
  <c r="BI175" i="15" s="1"/>
  <c r="BI180" i="15" s="1"/>
  <c r="F102" i="15"/>
  <c r="G176" i="15"/>
  <c r="G181" i="15" s="1"/>
  <c r="V102" i="15"/>
  <c r="W176" i="15"/>
  <c r="W181" i="15"/>
  <c r="AL102" i="15"/>
  <c r="AM176" i="15"/>
  <c r="AM181" i="15"/>
  <c r="BB102" i="15"/>
  <c r="BC176" i="15" s="1"/>
  <c r="BC181" i="15" s="1"/>
  <c r="BR102" i="15"/>
  <c r="BS176" i="15"/>
  <c r="BS181" i="15" s="1"/>
  <c r="BW101" i="15"/>
  <c r="BQ102" i="15"/>
  <c r="BR176" i="15"/>
  <c r="BR181" i="15" s="1"/>
  <c r="R9" i="15"/>
  <c r="R10" i="15"/>
  <c r="R11" i="15"/>
  <c r="R12" i="15"/>
  <c r="R13" i="15"/>
  <c r="R14" i="15"/>
  <c r="R15" i="15"/>
  <c r="R16" i="15"/>
  <c r="R17" i="15"/>
  <c r="R18" i="15"/>
  <c r="R19" i="15"/>
  <c r="R20" i="15"/>
  <c r="R21" i="15"/>
  <c r="R22" i="15"/>
  <c r="R23" i="15"/>
  <c r="R24" i="15"/>
  <c r="R25" i="15"/>
  <c r="R26" i="15"/>
  <c r="R27" i="15"/>
  <c r="R28" i="15"/>
  <c r="R29" i="15"/>
  <c r="R30" i="15"/>
  <c r="R31" i="15"/>
  <c r="R32" i="15"/>
  <c r="L37" i="25"/>
  <c r="L36" i="25"/>
  <c r="L35" i="25"/>
  <c r="L34" i="25"/>
  <c r="L33" i="25"/>
  <c r="L32" i="25"/>
  <c r="L31" i="25"/>
  <c r="L30" i="25"/>
  <c r="L29" i="25"/>
  <c r="L28" i="25"/>
  <c r="L27" i="25"/>
  <c r="L26" i="25"/>
  <c r="L25" i="25"/>
  <c r="L24" i="25"/>
  <c r="L23" i="25"/>
  <c r="L22" i="25"/>
  <c r="L21" i="25"/>
  <c r="L20" i="25"/>
  <c r="L19" i="25"/>
  <c r="L18" i="25"/>
  <c r="L17" i="25"/>
  <c r="L16" i="25"/>
  <c r="L15" i="25"/>
  <c r="L14" i="25"/>
  <c r="L13" i="25"/>
  <c r="V27" i="20"/>
  <c r="D207" i="40"/>
  <c r="D208" i="40"/>
  <c r="D209" i="40"/>
  <c r="D210" i="40"/>
  <c r="D211" i="40"/>
  <c r="D212" i="40"/>
  <c r="D213" i="40"/>
  <c r="D214" i="40"/>
  <c r="D215" i="40"/>
  <c r="D216" i="40"/>
  <c r="D217" i="40"/>
  <c r="D218" i="40"/>
  <c r="D219" i="40"/>
  <c r="D220" i="40"/>
  <c r="D221" i="40"/>
  <c r="D222" i="40"/>
  <c r="D223" i="40"/>
  <c r="D224" i="40"/>
  <c r="D225" i="40"/>
  <c r="D226" i="40"/>
  <c r="D227" i="40"/>
  <c r="D228" i="40"/>
  <c r="D229" i="40"/>
  <c r="D230" i="40"/>
  <c r="D231" i="40"/>
  <c r="D232" i="40"/>
  <c r="D233" i="40"/>
  <c r="D234" i="40"/>
  <c r="D235" i="40"/>
  <c r="D236" i="40"/>
  <c r="D237" i="40"/>
  <c r="D238" i="40"/>
  <c r="D239" i="40"/>
  <c r="D240" i="40"/>
  <c r="D241" i="40"/>
  <c r="D242" i="40"/>
  <c r="D243" i="40"/>
  <c r="D244" i="40"/>
  <c r="D245" i="40"/>
  <c r="D246" i="40"/>
  <c r="D247" i="40"/>
  <c r="D248" i="40"/>
  <c r="D249" i="40"/>
  <c r="D250" i="40"/>
  <c r="D251" i="40"/>
  <c r="D252" i="40"/>
  <c r="D253" i="40"/>
  <c r="D254" i="40"/>
  <c r="D255" i="40"/>
  <c r="D256" i="40"/>
  <c r="D257" i="40"/>
  <c r="D258" i="40"/>
  <c r="D259" i="40"/>
  <c r="D260" i="40"/>
  <c r="D261" i="40"/>
  <c r="D262" i="40"/>
  <c r="D263" i="40"/>
  <c r="D264" i="40"/>
  <c r="D265" i="40"/>
  <c r="D266" i="40"/>
  <c r="D267" i="40"/>
  <c r="D268" i="40"/>
  <c r="D269" i="40"/>
  <c r="D270" i="40"/>
  <c r="D271" i="40"/>
  <c r="D272" i="40"/>
  <c r="D273" i="40"/>
  <c r="D274" i="40"/>
  <c r="D275" i="40"/>
  <c r="D276" i="40"/>
  <c r="D277" i="40"/>
  <c r="D278" i="40"/>
  <c r="D279" i="40"/>
  <c r="D280" i="40"/>
  <c r="D281" i="40"/>
  <c r="D282" i="40"/>
  <c r="D283" i="40"/>
  <c r="D284" i="40"/>
  <c r="D285" i="40"/>
  <c r="D286" i="40"/>
  <c r="D287" i="40"/>
  <c r="D288" i="40"/>
  <c r="D289" i="40"/>
  <c r="D290" i="40"/>
  <c r="D291" i="40"/>
  <c r="D292" i="40"/>
  <c r="D293" i="40"/>
  <c r="D294" i="40"/>
  <c r="D295" i="40"/>
  <c r="D296" i="40"/>
  <c r="D297" i="40"/>
  <c r="D298" i="40"/>
  <c r="D299" i="40"/>
  <c r="D300" i="40"/>
  <c r="D301" i="40"/>
  <c r="D302" i="40"/>
  <c r="D303" i="40"/>
  <c r="D206" i="40"/>
  <c r="F4" i="40"/>
  <c r="F2" i="40" s="1"/>
  <c r="G139" i="40" s="1"/>
  <c r="G93" i="40" s="1"/>
  <c r="D19" i="21"/>
  <c r="B38" i="25"/>
  <c r="B39" i="25" s="1"/>
  <c r="B40" i="25" s="1"/>
  <c r="B41" i="25" s="1"/>
  <c r="B42" i="25" s="1"/>
  <c r="B43" i="25" s="1"/>
  <c r="B44" i="25" s="1"/>
  <c r="B45" i="25" s="1"/>
  <c r="B46" i="25" s="1"/>
  <c r="B47" i="25" s="1"/>
  <c r="B48" i="25" s="1"/>
  <c r="B49" i="25" s="1"/>
  <c r="B50" i="25" s="1"/>
  <c r="B51" i="25" s="1"/>
  <c r="B52" i="25" s="1"/>
  <c r="B53" i="25" s="1"/>
  <c r="G49" i="15" s="1"/>
  <c r="G50" i="15" s="1"/>
  <c r="G51" i="15" s="1"/>
  <c r="G52" i="15" s="1"/>
  <c r="G53" i="15" s="1"/>
  <c r="G54" i="15" s="1"/>
  <c r="G55" i="15" s="1"/>
  <c r="G56" i="15" s="1"/>
  <c r="G57" i="15" s="1"/>
  <c r="G58" i="15" s="1"/>
  <c r="G59" i="15" s="1"/>
  <c r="G60" i="15" s="1"/>
  <c r="G61" i="15" s="1"/>
  <c r="G62" i="15" s="1"/>
  <c r="G63" i="15" s="1"/>
  <c r="G64" i="15" s="1"/>
  <c r="G65" i="15" s="1"/>
  <c r="G66" i="15" s="1"/>
  <c r="G67" i="15" s="1"/>
  <c r="G68" i="15" s="1"/>
  <c r="G69" i="15" s="1"/>
  <c r="G70" i="15" s="1"/>
  <c r="G71" i="15" s="1"/>
  <c r="G72" i="15" s="1"/>
  <c r="G73" i="15" s="1"/>
  <c r="G74" i="15" s="1"/>
  <c r="G75" i="15" s="1"/>
  <c r="G76" i="15" s="1"/>
  <c r="G77" i="15" s="1"/>
  <c r="G78" i="15" s="1"/>
  <c r="AT120" i="1"/>
  <c r="AT116" i="40"/>
  <c r="B12" i="46"/>
  <c r="H219" i="22"/>
  <c r="G219" i="22"/>
  <c r="F219" i="22"/>
  <c r="E219" i="22"/>
  <c r="D219" i="22"/>
  <c r="H235" i="22"/>
  <c r="G235" i="22"/>
  <c r="F235" i="22"/>
  <c r="E235" i="22"/>
  <c r="D235" i="22"/>
  <c r="H220" i="22"/>
  <c r="G220" i="22"/>
  <c r="F220" i="22"/>
  <c r="E220" i="22"/>
  <c r="D220" i="22"/>
  <c r="R226" i="22"/>
  <c r="M226" i="22"/>
  <c r="L226" i="22"/>
  <c r="H226" i="22"/>
  <c r="G226" i="22"/>
  <c r="F226" i="22"/>
  <c r="E226" i="22"/>
  <c r="D226" i="22"/>
  <c r="F22" i="46"/>
  <c r="J21" i="46"/>
  <c r="N12" i="46"/>
  <c r="M12" i="46"/>
  <c r="L12" i="46"/>
  <c r="K12" i="46"/>
  <c r="G12" i="46"/>
  <c r="D7" i="22"/>
  <c r="D2" i="22" s="1"/>
  <c r="B106" i="20" s="1"/>
  <c r="E7" i="22"/>
  <c r="E2" i="22" s="1"/>
  <c r="B107" i="20" s="1"/>
  <c r="F7" i="22"/>
  <c r="F2" i="22" s="1"/>
  <c r="B108" i="20" s="1"/>
  <c r="G7" i="22"/>
  <c r="D8" i="22"/>
  <c r="E8" i="22"/>
  <c r="F8" i="22"/>
  <c r="G8" i="22"/>
  <c r="H8" i="22"/>
  <c r="G9" i="22"/>
  <c r="H9" i="22"/>
  <c r="D14" i="22"/>
  <c r="E14" i="22"/>
  <c r="F14" i="22"/>
  <c r="G14" i="22"/>
  <c r="H14" i="22"/>
  <c r="D15" i="22"/>
  <c r="E15" i="22"/>
  <c r="F15" i="22"/>
  <c r="G15" i="22"/>
  <c r="H15" i="22"/>
  <c r="D16" i="22"/>
  <c r="E16" i="22"/>
  <c r="F16" i="22"/>
  <c r="G16" i="22"/>
  <c r="H16" i="22"/>
  <c r="D19" i="22"/>
  <c r="E19" i="22"/>
  <c r="D21" i="22"/>
  <c r="E21" i="22"/>
  <c r="F21" i="22"/>
  <c r="G21" i="22"/>
  <c r="H21" i="22"/>
  <c r="G22" i="22"/>
  <c r="H22" i="22"/>
  <c r="D25" i="22"/>
  <c r="F25" i="22"/>
  <c r="G25" i="22"/>
  <c r="H25" i="22"/>
  <c r="D26" i="22"/>
  <c r="E26" i="22"/>
  <c r="F26" i="22"/>
  <c r="G26" i="22"/>
  <c r="H26" i="22"/>
  <c r="D27" i="22"/>
  <c r="E27" i="22"/>
  <c r="F27" i="22"/>
  <c r="G27" i="22"/>
  <c r="H27" i="22"/>
  <c r="D28" i="22"/>
  <c r="E28" i="22"/>
  <c r="F28" i="22"/>
  <c r="G28" i="22"/>
  <c r="H28" i="22"/>
  <c r="D29" i="22"/>
  <c r="E29" i="22"/>
  <c r="F29" i="22"/>
  <c r="G29" i="22"/>
  <c r="H29" i="22"/>
  <c r="D30" i="22"/>
  <c r="E30" i="22"/>
  <c r="F30" i="22"/>
  <c r="G30" i="22"/>
  <c r="H30" i="22"/>
  <c r="D32" i="22"/>
  <c r="E32" i="22"/>
  <c r="F32" i="22"/>
  <c r="G32" i="22"/>
  <c r="H32" i="22"/>
  <c r="D33" i="22"/>
  <c r="E33" i="22"/>
  <c r="F33" i="22"/>
  <c r="G33" i="22"/>
  <c r="H33" i="22"/>
  <c r="D34" i="22"/>
  <c r="E34" i="22"/>
  <c r="F34" i="22"/>
  <c r="G34" i="22"/>
  <c r="H34" i="22"/>
  <c r="D35" i="22"/>
  <c r="E35" i="22"/>
  <c r="F35" i="22"/>
  <c r="G35" i="22"/>
  <c r="H35" i="22"/>
  <c r="D36" i="22"/>
  <c r="E36" i="22"/>
  <c r="F36" i="22"/>
  <c r="G36" i="22"/>
  <c r="H36" i="22"/>
  <c r="D37" i="22"/>
  <c r="E37" i="22"/>
  <c r="F37" i="22"/>
  <c r="G37" i="22"/>
  <c r="H37" i="22"/>
  <c r="G40" i="22"/>
  <c r="H40" i="22"/>
  <c r="D41" i="22"/>
  <c r="E41" i="22"/>
  <c r="F41" i="22"/>
  <c r="G41" i="22"/>
  <c r="H41" i="22"/>
  <c r="D43" i="22"/>
  <c r="E43" i="22"/>
  <c r="F43" i="22"/>
  <c r="G43" i="22"/>
  <c r="H43" i="22"/>
  <c r="D44" i="22"/>
  <c r="E44" i="22"/>
  <c r="F44" i="22"/>
  <c r="G44" i="22"/>
  <c r="H44" i="22"/>
  <c r="D45" i="22"/>
  <c r="E45" i="22"/>
  <c r="F45" i="22"/>
  <c r="G45" i="22"/>
  <c r="H45" i="22"/>
  <c r="D46" i="22"/>
  <c r="E46" i="22"/>
  <c r="F46" i="22"/>
  <c r="G46" i="22"/>
  <c r="H46" i="22"/>
  <c r="D49" i="22"/>
  <c r="E49" i="22"/>
  <c r="G49" i="22"/>
  <c r="H49" i="22"/>
  <c r="D51" i="22"/>
  <c r="E51" i="22"/>
  <c r="F51" i="22"/>
  <c r="D52" i="22"/>
  <c r="E52" i="22"/>
  <c r="F52" i="22"/>
  <c r="D53" i="22"/>
  <c r="E53" i="22"/>
  <c r="F53" i="22"/>
  <c r="D54" i="22"/>
  <c r="E54" i="22"/>
  <c r="F54" i="22"/>
  <c r="D55" i="22"/>
  <c r="E55" i="22"/>
  <c r="F55" i="22"/>
  <c r="D58" i="22"/>
  <c r="E58" i="22"/>
  <c r="F58" i="22"/>
  <c r="G58" i="22"/>
  <c r="H58" i="22"/>
  <c r="D59" i="22"/>
  <c r="E59" i="22"/>
  <c r="F59" i="22"/>
  <c r="G59" i="22"/>
  <c r="H59" i="22"/>
  <c r="D60" i="22"/>
  <c r="E60" i="22"/>
  <c r="F60" i="22"/>
  <c r="G60" i="22"/>
  <c r="H60" i="22"/>
  <c r="D61" i="22"/>
  <c r="E61" i="22"/>
  <c r="F61" i="22"/>
  <c r="G61" i="22"/>
  <c r="H61" i="22"/>
  <c r="D62" i="22"/>
  <c r="E62" i="22"/>
  <c r="F62" i="22"/>
  <c r="G62" i="22"/>
  <c r="H62" i="22"/>
  <c r="D72" i="22"/>
  <c r="E72" i="22"/>
  <c r="F72" i="22"/>
  <c r="G72" i="22"/>
  <c r="H72" i="22"/>
  <c r="D74" i="22"/>
  <c r="E74" i="22"/>
  <c r="G74" i="22"/>
  <c r="H74" i="22"/>
  <c r="D76" i="22"/>
  <c r="E76" i="22"/>
  <c r="F76" i="22"/>
  <c r="G76" i="22"/>
  <c r="H76" i="22"/>
  <c r="A14" i="8"/>
  <c r="A12" i="8"/>
  <c r="A10" i="8"/>
  <c r="AD6" i="8"/>
  <c r="AC6" i="8"/>
  <c r="AB6" i="8"/>
  <c r="AA6" i="8"/>
  <c r="Z6" i="8"/>
  <c r="Y6" i="8"/>
  <c r="X6" i="8"/>
  <c r="W6" i="8"/>
  <c r="V6" i="8"/>
  <c r="U6" i="8"/>
  <c r="T6" i="8"/>
  <c r="B5" i="8"/>
  <c r="B3" i="8"/>
  <c r="R2" i="27"/>
  <c r="I18" i="29"/>
  <c r="H18" i="29"/>
  <c r="G18" i="29"/>
  <c r="F18" i="29"/>
  <c r="E18" i="29"/>
  <c r="D18" i="29"/>
  <c r="C18" i="29"/>
  <c r="I17" i="29"/>
  <c r="H17" i="29"/>
  <c r="G17" i="29"/>
  <c r="F17" i="29"/>
  <c r="E17" i="29"/>
  <c r="D17" i="29"/>
  <c r="C17" i="29"/>
  <c r="I15" i="29"/>
  <c r="H15" i="29"/>
  <c r="G15" i="29"/>
  <c r="B15" i="29"/>
  <c r="F15" i="29"/>
  <c r="E15" i="29"/>
  <c r="D15" i="29"/>
  <c r="C15" i="29"/>
  <c r="I14" i="29"/>
  <c r="H14" i="29"/>
  <c r="G14" i="29"/>
  <c r="F14" i="29"/>
  <c r="E14" i="29"/>
  <c r="D14" i="29"/>
  <c r="C14" i="29"/>
  <c r="B14" i="29"/>
  <c r="I12" i="29"/>
  <c r="H12" i="29"/>
  <c r="G12" i="29"/>
  <c r="F12" i="29"/>
  <c r="E12" i="29"/>
  <c r="D12" i="29"/>
  <c r="C12" i="29"/>
  <c r="B12" i="29"/>
  <c r="F17" i="26"/>
  <c r="F16" i="26"/>
  <c r="D13" i="26"/>
  <c r="F8" i="26"/>
  <c r="D3" i="26"/>
  <c r="H2" i="43"/>
  <c r="O17" i="12"/>
  <c r="R231" i="22"/>
  <c r="J231" i="22"/>
  <c r="I231" i="22"/>
  <c r="H2" i="45"/>
  <c r="J17" i="12" s="1"/>
  <c r="L90" i="22"/>
  <c r="G55" i="22"/>
  <c r="G53" i="22"/>
  <c r="G51" i="22"/>
  <c r="G42" i="22"/>
  <c r="F42" i="22"/>
  <c r="R39" i="22"/>
  <c r="R31" i="22"/>
  <c r="F17" i="22"/>
  <c r="E17" i="22"/>
  <c r="H2" i="44"/>
  <c r="E17" i="12" s="1"/>
  <c r="E4" i="12" s="1"/>
  <c r="V243" i="22"/>
  <c r="U243" i="22"/>
  <c r="R243" i="22"/>
  <c r="M243" i="22"/>
  <c r="L243" i="22"/>
  <c r="K243" i="22"/>
  <c r="J243" i="22"/>
  <c r="I243" i="22"/>
  <c r="H243" i="22"/>
  <c r="G243" i="22"/>
  <c r="F243" i="22"/>
  <c r="E243" i="22"/>
  <c r="D243" i="22"/>
  <c r="V242" i="22"/>
  <c r="U242" i="22"/>
  <c r="R242" i="22"/>
  <c r="M242" i="22"/>
  <c r="L242" i="22"/>
  <c r="K242" i="22"/>
  <c r="J242" i="22"/>
  <c r="I242" i="22"/>
  <c r="H242" i="22"/>
  <c r="G242" i="22"/>
  <c r="F242" i="22"/>
  <c r="E242" i="22"/>
  <c r="D242" i="22"/>
  <c r="V241" i="22"/>
  <c r="U241" i="22"/>
  <c r="R241" i="22"/>
  <c r="M241" i="22"/>
  <c r="L241" i="22"/>
  <c r="K241" i="22"/>
  <c r="J241" i="22"/>
  <c r="I241" i="22"/>
  <c r="H241" i="22"/>
  <c r="G241" i="22"/>
  <c r="F241" i="22"/>
  <c r="E241" i="22"/>
  <c r="D241" i="22"/>
  <c r="V236" i="22"/>
  <c r="U236" i="22"/>
  <c r="K236" i="22"/>
  <c r="J236" i="22"/>
  <c r="I236" i="22"/>
  <c r="H236" i="22"/>
  <c r="G236" i="22"/>
  <c r="F236" i="22"/>
  <c r="E236" i="22"/>
  <c r="D236" i="22"/>
  <c r="V234" i="22"/>
  <c r="U234" i="22"/>
  <c r="R234" i="22"/>
  <c r="M234" i="22"/>
  <c r="L234" i="22"/>
  <c r="K234" i="22"/>
  <c r="J234" i="22"/>
  <c r="I234" i="22"/>
  <c r="H234" i="22"/>
  <c r="G234" i="22"/>
  <c r="F234" i="22"/>
  <c r="E234" i="22"/>
  <c r="D234" i="22"/>
  <c r="V233" i="22"/>
  <c r="U233" i="22"/>
  <c r="R233" i="22"/>
  <c r="M233" i="22"/>
  <c r="L233" i="22"/>
  <c r="K233" i="22"/>
  <c r="J233" i="22"/>
  <c r="I233" i="22"/>
  <c r="H233" i="22"/>
  <c r="G233" i="22"/>
  <c r="F233" i="22"/>
  <c r="E233" i="22"/>
  <c r="D233" i="22"/>
  <c r="H232" i="22"/>
  <c r="G232" i="22"/>
  <c r="F232" i="22"/>
  <c r="E232" i="22"/>
  <c r="D232" i="22"/>
  <c r="K231" i="22"/>
  <c r="H231" i="22"/>
  <c r="G231" i="22"/>
  <c r="F231" i="22"/>
  <c r="E231" i="22"/>
  <c r="D231" i="22"/>
  <c r="V230" i="22"/>
  <c r="U230" i="22"/>
  <c r="R230" i="22"/>
  <c r="M230" i="22"/>
  <c r="L230" i="22"/>
  <c r="K230" i="22"/>
  <c r="J230" i="22"/>
  <c r="I230" i="22"/>
  <c r="H230" i="22"/>
  <c r="G230" i="22"/>
  <c r="F230" i="22"/>
  <c r="E230" i="22"/>
  <c r="D230" i="22"/>
  <c r="V229" i="22"/>
  <c r="U229" i="22"/>
  <c r="R229" i="22"/>
  <c r="M229" i="22"/>
  <c r="L229" i="22"/>
  <c r="K229" i="22"/>
  <c r="J229" i="22"/>
  <c r="I229" i="22"/>
  <c r="H229" i="22"/>
  <c r="G229" i="22"/>
  <c r="F229" i="22"/>
  <c r="E229" i="22"/>
  <c r="D229" i="22"/>
  <c r="V228" i="22"/>
  <c r="U228" i="22"/>
  <c r="R228" i="22"/>
  <c r="M228" i="22"/>
  <c r="L228" i="22"/>
  <c r="K228" i="22"/>
  <c r="J228" i="22"/>
  <c r="I228" i="22"/>
  <c r="H228" i="22"/>
  <c r="G228" i="22"/>
  <c r="F228" i="22"/>
  <c r="E228" i="22"/>
  <c r="D228" i="22"/>
  <c r="V227" i="22"/>
  <c r="U227" i="22"/>
  <c r="R227" i="22"/>
  <c r="M227" i="22"/>
  <c r="L227" i="22"/>
  <c r="K227" i="22"/>
  <c r="J227" i="22"/>
  <c r="I227" i="22"/>
  <c r="H227" i="22"/>
  <c r="G227" i="22"/>
  <c r="F227" i="22"/>
  <c r="E227" i="22"/>
  <c r="D227" i="22"/>
  <c r="V225" i="22"/>
  <c r="U225" i="22"/>
  <c r="R225" i="22"/>
  <c r="M225" i="22"/>
  <c r="L225" i="22"/>
  <c r="K225" i="22"/>
  <c r="J225" i="22"/>
  <c r="I225" i="22"/>
  <c r="H225" i="22"/>
  <c r="G225" i="22"/>
  <c r="F225" i="22"/>
  <c r="E225" i="22"/>
  <c r="D225" i="22"/>
  <c r="V224" i="22"/>
  <c r="U224" i="22"/>
  <c r="R224" i="22"/>
  <c r="M224" i="22"/>
  <c r="L224" i="22"/>
  <c r="K224" i="22"/>
  <c r="J224" i="22"/>
  <c r="I224" i="22"/>
  <c r="H224" i="22"/>
  <c r="G224" i="22"/>
  <c r="F224" i="22"/>
  <c r="E224" i="22"/>
  <c r="D224" i="22"/>
  <c r="R223" i="22"/>
  <c r="M223" i="22"/>
  <c r="L223" i="22"/>
  <c r="H223" i="22"/>
  <c r="G223" i="22"/>
  <c r="F223" i="22"/>
  <c r="E223" i="22"/>
  <c r="D223" i="22"/>
  <c r="R222" i="22"/>
  <c r="M222" i="22"/>
  <c r="L222" i="22"/>
  <c r="H222" i="22"/>
  <c r="G222" i="22"/>
  <c r="F222" i="22"/>
  <c r="E222" i="22"/>
  <c r="D222" i="22"/>
  <c r="H218" i="22"/>
  <c r="G218" i="22"/>
  <c r="F218" i="22"/>
  <c r="E218" i="22"/>
  <c r="D218" i="22"/>
  <c r="H217" i="22"/>
  <c r="G217" i="22"/>
  <c r="F217" i="22"/>
  <c r="E217" i="22"/>
  <c r="D217" i="22"/>
  <c r="V215" i="22"/>
  <c r="U215" i="22"/>
  <c r="R215" i="22"/>
  <c r="M215" i="22"/>
  <c r="L215" i="22"/>
  <c r="K215" i="22"/>
  <c r="J215" i="22"/>
  <c r="I215" i="22"/>
  <c r="H215" i="22"/>
  <c r="G215" i="22"/>
  <c r="F215" i="22"/>
  <c r="E215" i="22"/>
  <c r="D215" i="22"/>
  <c r="V214" i="22"/>
  <c r="U214" i="22"/>
  <c r="R214" i="22"/>
  <c r="M214" i="22"/>
  <c r="L214" i="22"/>
  <c r="K214" i="22"/>
  <c r="J214" i="22"/>
  <c r="I214" i="22"/>
  <c r="H214" i="22"/>
  <c r="G214" i="22"/>
  <c r="F214" i="22"/>
  <c r="E214" i="22"/>
  <c r="D214" i="22"/>
  <c r="V213" i="22"/>
  <c r="U213" i="22"/>
  <c r="R213" i="22"/>
  <c r="M213" i="22"/>
  <c r="L213" i="22"/>
  <c r="K213" i="22"/>
  <c r="J213" i="22"/>
  <c r="I213" i="22"/>
  <c r="H213" i="22"/>
  <c r="G213" i="22"/>
  <c r="F213" i="22"/>
  <c r="E213" i="22"/>
  <c r="D213" i="22"/>
  <c r="V211" i="22"/>
  <c r="U211" i="22"/>
  <c r="R211" i="22"/>
  <c r="M211" i="22"/>
  <c r="L211" i="22"/>
  <c r="K211" i="22"/>
  <c r="J211" i="22"/>
  <c r="I211" i="22"/>
  <c r="H211" i="22"/>
  <c r="G211" i="22"/>
  <c r="V210" i="22"/>
  <c r="U210" i="22"/>
  <c r="R210" i="22"/>
  <c r="M210" i="22"/>
  <c r="L210" i="22"/>
  <c r="K210" i="22"/>
  <c r="J210" i="22"/>
  <c r="I210" i="22"/>
  <c r="H210" i="22"/>
  <c r="G210" i="22"/>
  <c r="V209" i="22"/>
  <c r="U209" i="22"/>
  <c r="R209" i="22"/>
  <c r="M209" i="22"/>
  <c r="L209" i="22"/>
  <c r="K209" i="22"/>
  <c r="J209" i="22"/>
  <c r="I209" i="22"/>
  <c r="H209" i="22"/>
  <c r="G209" i="22"/>
  <c r="F209" i="22"/>
  <c r="E209" i="22"/>
  <c r="D209" i="22"/>
  <c r="V208" i="22"/>
  <c r="U208" i="22"/>
  <c r="R208" i="22"/>
  <c r="M208" i="22"/>
  <c r="L208" i="22"/>
  <c r="K208" i="22"/>
  <c r="J208" i="22"/>
  <c r="I208" i="22"/>
  <c r="H208" i="22"/>
  <c r="G208" i="22"/>
  <c r="F208" i="22"/>
  <c r="E208" i="22"/>
  <c r="D208" i="22"/>
  <c r="V207" i="22"/>
  <c r="U207" i="22"/>
  <c r="R207" i="22"/>
  <c r="M207" i="22"/>
  <c r="L207" i="22"/>
  <c r="K207" i="22"/>
  <c r="J207" i="22"/>
  <c r="I207" i="22"/>
  <c r="H207" i="22"/>
  <c r="G207" i="22"/>
  <c r="F207" i="22"/>
  <c r="E207" i="22"/>
  <c r="D207" i="22"/>
  <c r="V206" i="22"/>
  <c r="U206" i="22"/>
  <c r="R206" i="22"/>
  <c r="M206" i="22"/>
  <c r="L206" i="22"/>
  <c r="K206" i="22"/>
  <c r="J206" i="22"/>
  <c r="I206" i="22"/>
  <c r="E206" i="22"/>
  <c r="D206" i="22"/>
  <c r="V205" i="22"/>
  <c r="U205" i="22"/>
  <c r="R205" i="22"/>
  <c r="M205" i="22"/>
  <c r="L205" i="22"/>
  <c r="K205" i="22"/>
  <c r="J205" i="22"/>
  <c r="I205" i="22"/>
  <c r="H205" i="22"/>
  <c r="G205" i="22"/>
  <c r="V204" i="22"/>
  <c r="U204" i="22"/>
  <c r="R204" i="22"/>
  <c r="M204" i="22"/>
  <c r="L204" i="22"/>
  <c r="K204" i="22"/>
  <c r="J204" i="22"/>
  <c r="I204" i="22"/>
  <c r="H204" i="22"/>
  <c r="G204" i="22"/>
  <c r="V203" i="22"/>
  <c r="U203" i="22"/>
  <c r="R203" i="22"/>
  <c r="M203" i="22"/>
  <c r="L203" i="22"/>
  <c r="K203" i="22"/>
  <c r="J203" i="22"/>
  <c r="I203" i="22"/>
  <c r="H203" i="22"/>
  <c r="G203" i="22"/>
  <c r="V156" i="22"/>
  <c r="U156" i="22"/>
  <c r="R156" i="22"/>
  <c r="M156" i="22"/>
  <c r="L156" i="22"/>
  <c r="K156" i="22"/>
  <c r="J156" i="22"/>
  <c r="I156" i="22"/>
  <c r="H156" i="22"/>
  <c r="G156" i="22"/>
  <c r="F156" i="22"/>
  <c r="E156" i="22"/>
  <c r="D156" i="22"/>
  <c r="V155" i="22"/>
  <c r="U155" i="22"/>
  <c r="R155" i="22"/>
  <c r="M155" i="22"/>
  <c r="L155" i="22"/>
  <c r="K155" i="22"/>
  <c r="J155" i="22"/>
  <c r="I155" i="22"/>
  <c r="H155" i="22"/>
  <c r="G155" i="22"/>
  <c r="F155" i="22"/>
  <c r="E155" i="22"/>
  <c r="D155" i="22"/>
  <c r="V154" i="22"/>
  <c r="U154" i="22"/>
  <c r="R154" i="22"/>
  <c r="M154" i="22"/>
  <c r="L154" i="22"/>
  <c r="K154" i="22"/>
  <c r="J154" i="22"/>
  <c r="I154" i="22"/>
  <c r="H154" i="22"/>
  <c r="G154" i="22"/>
  <c r="F154" i="22"/>
  <c r="E154" i="22"/>
  <c r="D154" i="22"/>
  <c r="V153" i="22"/>
  <c r="U153" i="22"/>
  <c r="R153" i="22"/>
  <c r="M153" i="22"/>
  <c r="L153" i="22"/>
  <c r="K153" i="22"/>
  <c r="J153" i="22"/>
  <c r="I153" i="22"/>
  <c r="H153" i="22"/>
  <c r="G153" i="22"/>
  <c r="F153" i="22"/>
  <c r="E153" i="22"/>
  <c r="D153" i="22"/>
  <c r="V152" i="22"/>
  <c r="U152" i="22"/>
  <c r="R152" i="22"/>
  <c r="M152" i="22"/>
  <c r="L152" i="22"/>
  <c r="K152" i="22"/>
  <c r="J152" i="22"/>
  <c r="I152" i="22"/>
  <c r="H152" i="22"/>
  <c r="G152" i="22"/>
  <c r="F152" i="22"/>
  <c r="E152" i="22"/>
  <c r="D152" i="22"/>
  <c r="V151" i="22"/>
  <c r="U151" i="22"/>
  <c r="R151" i="22"/>
  <c r="M151" i="22"/>
  <c r="L151" i="22"/>
  <c r="K151" i="22"/>
  <c r="J151" i="22"/>
  <c r="I151" i="22"/>
  <c r="H151" i="22"/>
  <c r="G151" i="22"/>
  <c r="F151" i="22"/>
  <c r="E151" i="22"/>
  <c r="D151" i="22"/>
  <c r="V149" i="22"/>
  <c r="U149" i="22"/>
  <c r="R149" i="22"/>
  <c r="M149" i="22"/>
  <c r="L149" i="22"/>
  <c r="K149" i="22"/>
  <c r="J149" i="22"/>
  <c r="I149" i="22"/>
  <c r="H149" i="22"/>
  <c r="G149" i="22"/>
  <c r="F149" i="22"/>
  <c r="E149" i="22"/>
  <c r="D149" i="22"/>
  <c r="V148" i="22"/>
  <c r="U148" i="22"/>
  <c r="R148" i="22"/>
  <c r="M148" i="22"/>
  <c r="L148" i="22"/>
  <c r="K148" i="22"/>
  <c r="J148" i="22"/>
  <c r="I148" i="22"/>
  <c r="H148" i="22"/>
  <c r="G148" i="22"/>
  <c r="F148" i="22"/>
  <c r="E148" i="22"/>
  <c r="D148" i="22"/>
  <c r="V147" i="22"/>
  <c r="U147" i="22"/>
  <c r="R147" i="22"/>
  <c r="M147" i="22"/>
  <c r="L147" i="22"/>
  <c r="K147" i="22"/>
  <c r="J147" i="22"/>
  <c r="I147" i="22"/>
  <c r="H147" i="22"/>
  <c r="G147" i="22"/>
  <c r="F147" i="22"/>
  <c r="E147" i="22"/>
  <c r="D147" i="22"/>
  <c r="V146" i="22"/>
  <c r="U146" i="22"/>
  <c r="R146" i="22"/>
  <c r="M146" i="22"/>
  <c r="L146" i="22"/>
  <c r="K146" i="22"/>
  <c r="J146" i="22"/>
  <c r="I146" i="22"/>
  <c r="H146" i="22"/>
  <c r="G146" i="22"/>
  <c r="F146" i="22"/>
  <c r="E146" i="22"/>
  <c r="D146" i="22"/>
  <c r="V145" i="22"/>
  <c r="U145" i="22"/>
  <c r="R145" i="22"/>
  <c r="M145" i="22"/>
  <c r="L145" i="22"/>
  <c r="K145" i="22"/>
  <c r="J145" i="22"/>
  <c r="I145" i="22"/>
  <c r="H145" i="22"/>
  <c r="G145" i="22"/>
  <c r="F145" i="22"/>
  <c r="E145" i="22"/>
  <c r="D145" i="22"/>
  <c r="V144" i="22"/>
  <c r="U144" i="22"/>
  <c r="R144" i="22"/>
  <c r="M144" i="22"/>
  <c r="L144" i="22"/>
  <c r="K144" i="22"/>
  <c r="J144" i="22"/>
  <c r="I144" i="22"/>
  <c r="H144" i="22"/>
  <c r="G144" i="22"/>
  <c r="F144" i="22"/>
  <c r="E144" i="22"/>
  <c r="D144" i="22"/>
  <c r="V143" i="22"/>
  <c r="U143" i="22"/>
  <c r="R143" i="22"/>
  <c r="M143" i="22"/>
  <c r="L143" i="22"/>
  <c r="K143" i="22"/>
  <c r="J143" i="22"/>
  <c r="I143" i="22"/>
  <c r="H143" i="22"/>
  <c r="G143" i="22"/>
  <c r="F143" i="22"/>
  <c r="E143" i="22"/>
  <c r="D143" i="22"/>
  <c r="V142" i="22"/>
  <c r="U142" i="22"/>
  <c r="R142" i="22"/>
  <c r="M142" i="22"/>
  <c r="L142" i="22"/>
  <c r="K142" i="22"/>
  <c r="J142" i="22"/>
  <c r="I142" i="22"/>
  <c r="H142" i="22"/>
  <c r="G142" i="22"/>
  <c r="F142" i="22"/>
  <c r="E142" i="22"/>
  <c r="D142" i="22"/>
  <c r="V141" i="22"/>
  <c r="U141" i="22"/>
  <c r="R141" i="22"/>
  <c r="M141" i="22"/>
  <c r="L141" i="22"/>
  <c r="K141" i="22"/>
  <c r="J141" i="22"/>
  <c r="I141" i="22"/>
  <c r="H141" i="22"/>
  <c r="G141" i="22"/>
  <c r="F141" i="22"/>
  <c r="E141" i="22"/>
  <c r="D141" i="22"/>
  <c r="V140" i="22"/>
  <c r="U140" i="22"/>
  <c r="R140" i="22"/>
  <c r="M140" i="22"/>
  <c r="L140" i="22"/>
  <c r="K140" i="22"/>
  <c r="J140" i="22"/>
  <c r="I140" i="22"/>
  <c r="H140" i="22"/>
  <c r="G140" i="22"/>
  <c r="F140" i="22"/>
  <c r="E140" i="22"/>
  <c r="D140" i="22"/>
  <c r="V139" i="22"/>
  <c r="U139" i="22"/>
  <c r="R139" i="22"/>
  <c r="M139" i="22"/>
  <c r="L139" i="22"/>
  <c r="K139" i="22"/>
  <c r="J139" i="22"/>
  <c r="I139" i="22"/>
  <c r="H139" i="22"/>
  <c r="G139" i="22"/>
  <c r="F139" i="22"/>
  <c r="E139" i="22"/>
  <c r="D139" i="22"/>
  <c r="V138" i="22"/>
  <c r="U138" i="22"/>
  <c r="R138" i="22"/>
  <c r="M138" i="22"/>
  <c r="L138" i="22"/>
  <c r="K138" i="22"/>
  <c r="J138" i="22"/>
  <c r="I138" i="22"/>
  <c r="H138" i="22"/>
  <c r="G138" i="22"/>
  <c r="F138" i="22"/>
  <c r="E138" i="22"/>
  <c r="D138" i="22"/>
  <c r="V137" i="22"/>
  <c r="U137" i="22"/>
  <c r="R137" i="22"/>
  <c r="M137" i="22"/>
  <c r="L137" i="22"/>
  <c r="K137" i="22"/>
  <c r="J137" i="22"/>
  <c r="I137" i="22"/>
  <c r="H137" i="22"/>
  <c r="G137" i="22"/>
  <c r="F137" i="22"/>
  <c r="E137" i="22"/>
  <c r="D137" i="22"/>
  <c r="V136" i="22"/>
  <c r="U136" i="22"/>
  <c r="R136" i="22"/>
  <c r="M136" i="22"/>
  <c r="L136" i="22"/>
  <c r="K136" i="22"/>
  <c r="J136" i="22"/>
  <c r="I136" i="22"/>
  <c r="H136" i="22"/>
  <c r="G136" i="22"/>
  <c r="F136" i="22"/>
  <c r="E136" i="22"/>
  <c r="D136" i="22"/>
  <c r="V135" i="22"/>
  <c r="U135" i="22"/>
  <c r="R135" i="22"/>
  <c r="M135" i="22"/>
  <c r="L135" i="22"/>
  <c r="K135" i="22"/>
  <c r="J135" i="22"/>
  <c r="I135" i="22"/>
  <c r="V124" i="22"/>
  <c r="U124" i="22"/>
  <c r="R124" i="22"/>
  <c r="M124" i="22"/>
  <c r="L124" i="22"/>
  <c r="K124" i="22"/>
  <c r="J124" i="22"/>
  <c r="I124" i="22"/>
  <c r="H124" i="22"/>
  <c r="G124" i="22"/>
  <c r="F124" i="22"/>
  <c r="E124" i="22"/>
  <c r="D124" i="22"/>
  <c r="V123" i="22"/>
  <c r="U123" i="22"/>
  <c r="R123" i="22"/>
  <c r="M123" i="22"/>
  <c r="L123" i="22"/>
  <c r="K123" i="22"/>
  <c r="J123" i="22"/>
  <c r="I123" i="22"/>
  <c r="H123" i="22"/>
  <c r="G123" i="22"/>
  <c r="F123" i="22"/>
  <c r="E123" i="22"/>
  <c r="D123" i="22"/>
  <c r="V122" i="22"/>
  <c r="U122" i="22"/>
  <c r="R122" i="22"/>
  <c r="M122" i="22"/>
  <c r="K122" i="22"/>
  <c r="J122" i="22"/>
  <c r="I122" i="22"/>
  <c r="V120" i="22"/>
  <c r="U120" i="22"/>
  <c r="R120" i="22"/>
  <c r="M120" i="22"/>
  <c r="L120" i="22"/>
  <c r="K120" i="22"/>
  <c r="J120" i="22"/>
  <c r="I120" i="22"/>
  <c r="V119" i="22"/>
  <c r="U119" i="22"/>
  <c r="R119" i="22"/>
  <c r="M119" i="22"/>
  <c r="L119" i="22"/>
  <c r="K119" i="22"/>
  <c r="J119" i="22"/>
  <c r="I119" i="22"/>
  <c r="H119" i="22"/>
  <c r="G119" i="22"/>
  <c r="F119" i="22"/>
  <c r="E119" i="22"/>
  <c r="D119" i="22"/>
  <c r="V117" i="22"/>
  <c r="U117" i="22"/>
  <c r="R117" i="22"/>
  <c r="M117" i="22"/>
  <c r="L117" i="22"/>
  <c r="K117" i="22"/>
  <c r="J117" i="22"/>
  <c r="I117" i="22"/>
  <c r="H117" i="22"/>
  <c r="G117" i="22"/>
  <c r="F117" i="22"/>
  <c r="E117" i="22"/>
  <c r="D117" i="22"/>
  <c r="V116" i="22"/>
  <c r="U116" i="22"/>
  <c r="R116" i="22"/>
  <c r="M116" i="22"/>
  <c r="L116" i="22"/>
  <c r="H116" i="22"/>
  <c r="G116" i="22"/>
  <c r="F116" i="22"/>
  <c r="E116" i="22"/>
  <c r="D116" i="22"/>
  <c r="V115" i="22"/>
  <c r="U115" i="22"/>
  <c r="R115" i="22"/>
  <c r="M115" i="22"/>
  <c r="L115" i="22"/>
  <c r="K115" i="22"/>
  <c r="J115" i="22"/>
  <c r="I115" i="22"/>
  <c r="H115" i="22"/>
  <c r="G115" i="22"/>
  <c r="F115" i="22"/>
  <c r="E115" i="22"/>
  <c r="D115" i="22"/>
  <c r="V114" i="22"/>
  <c r="U114" i="22"/>
  <c r="R114" i="22"/>
  <c r="M114" i="22"/>
  <c r="L114" i="22"/>
  <c r="K114" i="22"/>
  <c r="J114" i="22"/>
  <c r="I114" i="22"/>
  <c r="H114" i="22"/>
  <c r="G114" i="22"/>
  <c r="F114" i="22"/>
  <c r="E114" i="22"/>
  <c r="D114" i="22"/>
  <c r="V113" i="22"/>
  <c r="U113" i="22"/>
  <c r="R113" i="22"/>
  <c r="M113" i="22"/>
  <c r="L113" i="22"/>
  <c r="K113" i="22"/>
  <c r="J113" i="22"/>
  <c r="I113" i="22"/>
  <c r="H113" i="22"/>
  <c r="G113" i="22"/>
  <c r="F113" i="22"/>
  <c r="E113" i="22"/>
  <c r="D113" i="22"/>
  <c r="V110" i="22"/>
  <c r="U110" i="22"/>
  <c r="R110" i="22"/>
  <c r="M110" i="22"/>
  <c r="L110" i="22"/>
  <c r="K110" i="22"/>
  <c r="J110" i="22"/>
  <c r="I110" i="22"/>
  <c r="H110" i="22"/>
  <c r="G110" i="22"/>
  <c r="F110" i="22"/>
  <c r="E110" i="22"/>
  <c r="D110" i="22"/>
  <c r="V109" i="22"/>
  <c r="U109" i="22"/>
  <c r="R109" i="22"/>
  <c r="M109" i="22"/>
  <c r="L109" i="22"/>
  <c r="K109" i="22"/>
  <c r="J109" i="22"/>
  <c r="I109" i="22"/>
  <c r="H109" i="22"/>
  <c r="G109" i="22"/>
  <c r="F109" i="22"/>
  <c r="E109" i="22"/>
  <c r="D109" i="22"/>
  <c r="V108" i="22"/>
  <c r="U108" i="22"/>
  <c r="R108" i="22"/>
  <c r="M108" i="22"/>
  <c r="L108" i="22"/>
  <c r="K108" i="22"/>
  <c r="J108" i="22"/>
  <c r="I108" i="22"/>
  <c r="H108" i="22"/>
  <c r="G108" i="22"/>
  <c r="F108" i="22"/>
  <c r="E108" i="22"/>
  <c r="D108" i="22"/>
  <c r="V107" i="22"/>
  <c r="U107" i="22"/>
  <c r="R107" i="22"/>
  <c r="M107" i="22"/>
  <c r="L107" i="22"/>
  <c r="K107" i="22"/>
  <c r="J107" i="22"/>
  <c r="I107" i="22"/>
  <c r="H107" i="22"/>
  <c r="G107" i="22"/>
  <c r="F107" i="22"/>
  <c r="E107" i="22"/>
  <c r="D107" i="22"/>
  <c r="V106" i="22"/>
  <c r="U106" i="22"/>
  <c r="R106" i="22"/>
  <c r="M106" i="22"/>
  <c r="L106" i="22"/>
  <c r="K106" i="22"/>
  <c r="J106" i="22"/>
  <c r="I106" i="22"/>
  <c r="H106" i="22"/>
  <c r="G106" i="22"/>
  <c r="F106" i="22"/>
  <c r="E106" i="22"/>
  <c r="D106" i="22"/>
  <c r="V105" i="22"/>
  <c r="U105" i="22"/>
  <c r="R105" i="22"/>
  <c r="M105" i="22"/>
  <c r="L105" i="22"/>
  <c r="K105" i="22"/>
  <c r="J105" i="22"/>
  <c r="I105" i="22"/>
  <c r="H105" i="22"/>
  <c r="G105" i="22"/>
  <c r="F105" i="22"/>
  <c r="E105" i="22"/>
  <c r="D105" i="22"/>
  <c r="V103" i="22"/>
  <c r="U103" i="22"/>
  <c r="R103" i="22"/>
  <c r="M103" i="22"/>
  <c r="L103" i="22"/>
  <c r="K103" i="22"/>
  <c r="J103" i="22"/>
  <c r="I103" i="22"/>
  <c r="H103" i="22"/>
  <c r="G103" i="22"/>
  <c r="F103" i="22"/>
  <c r="E103" i="22"/>
  <c r="D103" i="22"/>
  <c r="V102" i="22"/>
  <c r="U102" i="22"/>
  <c r="R102" i="22"/>
  <c r="M102" i="22"/>
  <c r="L102" i="22"/>
  <c r="K102" i="22"/>
  <c r="J102" i="22"/>
  <c r="I102" i="22"/>
  <c r="V101" i="22"/>
  <c r="U101" i="22"/>
  <c r="R101" i="22"/>
  <c r="M101" i="22"/>
  <c r="L101" i="22"/>
  <c r="K101" i="22"/>
  <c r="J101" i="22"/>
  <c r="I101" i="22"/>
  <c r="H101" i="22"/>
  <c r="G101" i="22"/>
  <c r="F101" i="22"/>
  <c r="E101" i="22"/>
  <c r="D101" i="22"/>
  <c r="V100" i="22"/>
  <c r="U100" i="22"/>
  <c r="R100" i="22"/>
  <c r="M100" i="22"/>
  <c r="L100" i="22"/>
  <c r="K100" i="22"/>
  <c r="J100" i="22"/>
  <c r="I100" i="22"/>
  <c r="H100" i="22"/>
  <c r="G100" i="22"/>
  <c r="F100" i="22"/>
  <c r="E100" i="22"/>
  <c r="D100" i="22"/>
  <c r="V99" i="22"/>
  <c r="U99" i="22"/>
  <c r="R99" i="22"/>
  <c r="M99" i="22"/>
  <c r="L99" i="22"/>
  <c r="K99" i="22"/>
  <c r="J99" i="22"/>
  <c r="I99" i="22"/>
  <c r="H99" i="22"/>
  <c r="G99" i="22"/>
  <c r="F99" i="22"/>
  <c r="E99" i="22"/>
  <c r="D99" i="22"/>
  <c r="V98" i="22"/>
  <c r="U98" i="22"/>
  <c r="R98" i="22"/>
  <c r="M98" i="22"/>
  <c r="L98" i="22"/>
  <c r="K98" i="22"/>
  <c r="J98" i="22"/>
  <c r="I98" i="22"/>
  <c r="H98" i="22"/>
  <c r="G98" i="22"/>
  <c r="F98" i="22"/>
  <c r="E98" i="22"/>
  <c r="D98" i="22"/>
  <c r="V97" i="22"/>
  <c r="U97" i="22"/>
  <c r="R97" i="22"/>
  <c r="M97" i="22"/>
  <c r="L97" i="22"/>
  <c r="K97" i="22"/>
  <c r="J97" i="22"/>
  <c r="I97" i="22"/>
  <c r="H97" i="22"/>
  <c r="G97" i="22"/>
  <c r="F97" i="22"/>
  <c r="E97" i="22"/>
  <c r="D97" i="22"/>
  <c r="V96" i="22"/>
  <c r="U96" i="22"/>
  <c r="R96" i="22"/>
  <c r="M96" i="22"/>
  <c r="L96" i="22"/>
  <c r="K96" i="22"/>
  <c r="J96" i="22"/>
  <c r="I96" i="22"/>
  <c r="H96" i="22"/>
  <c r="G96" i="22"/>
  <c r="F96" i="22"/>
  <c r="E96" i="22"/>
  <c r="D96" i="22"/>
  <c r="V95" i="22"/>
  <c r="U95" i="22"/>
  <c r="R95" i="22"/>
  <c r="M95" i="22"/>
  <c r="L95" i="22"/>
  <c r="K95" i="22"/>
  <c r="J95" i="22"/>
  <c r="I95" i="22"/>
  <c r="H95" i="22"/>
  <c r="G95" i="22"/>
  <c r="F95" i="22"/>
  <c r="E95" i="22"/>
  <c r="D95" i="22"/>
  <c r="V94" i="22"/>
  <c r="U94" i="22"/>
  <c r="R94" i="22"/>
  <c r="M94" i="22"/>
  <c r="L94" i="22"/>
  <c r="K94" i="22"/>
  <c r="J94" i="22"/>
  <c r="I94" i="22"/>
  <c r="H94" i="22"/>
  <c r="G94" i="22"/>
  <c r="F94" i="22"/>
  <c r="E94" i="22"/>
  <c r="D94" i="22"/>
  <c r="V93" i="22"/>
  <c r="U93" i="22"/>
  <c r="R93" i="22"/>
  <c r="M93" i="22"/>
  <c r="L93" i="22"/>
  <c r="K93" i="22"/>
  <c r="J93" i="22"/>
  <c r="I93" i="22"/>
  <c r="F93" i="22"/>
  <c r="E93" i="22"/>
  <c r="D93" i="22"/>
  <c r="V92" i="22"/>
  <c r="U92" i="22"/>
  <c r="R92" i="22"/>
  <c r="M92" i="22"/>
  <c r="K92" i="22"/>
  <c r="J92" i="22"/>
  <c r="I92" i="22"/>
  <c r="H92" i="22"/>
  <c r="G92" i="22"/>
  <c r="F92" i="22"/>
  <c r="E92" i="22"/>
  <c r="D92" i="22"/>
  <c r="V91" i="22"/>
  <c r="U91" i="22"/>
  <c r="R91" i="22"/>
  <c r="M91" i="22"/>
  <c r="K91" i="22"/>
  <c r="J91" i="22"/>
  <c r="I91" i="22"/>
  <c r="H91" i="22"/>
  <c r="G91" i="22"/>
  <c r="F91" i="22"/>
  <c r="E91" i="22"/>
  <c r="D91" i="22"/>
  <c r="V90" i="22"/>
  <c r="U90" i="22"/>
  <c r="R90" i="22"/>
  <c r="M90" i="22"/>
  <c r="K90" i="22"/>
  <c r="J90" i="22"/>
  <c r="I90" i="22"/>
  <c r="H90" i="22"/>
  <c r="G90" i="22"/>
  <c r="F90" i="22"/>
  <c r="E90" i="22"/>
  <c r="D90" i="22"/>
  <c r="V89" i="22"/>
  <c r="U89" i="22"/>
  <c r="K89" i="22"/>
  <c r="J89" i="22"/>
  <c r="I89" i="22"/>
  <c r="H89" i="22"/>
  <c r="G89" i="22"/>
  <c r="F89" i="22"/>
  <c r="E89" i="22"/>
  <c r="D89" i="22"/>
  <c r="V88" i="22"/>
  <c r="U88" i="22"/>
  <c r="K88" i="22"/>
  <c r="J88" i="22"/>
  <c r="I88" i="22"/>
  <c r="H88" i="22"/>
  <c r="G88" i="22"/>
  <c r="F88" i="22"/>
  <c r="E88" i="22"/>
  <c r="D88" i="22"/>
  <c r="V87" i="22"/>
  <c r="U87" i="22"/>
  <c r="K87" i="22"/>
  <c r="J87" i="22"/>
  <c r="I87" i="22"/>
  <c r="H87" i="22"/>
  <c r="G87" i="22"/>
  <c r="F87" i="22"/>
  <c r="E87" i="22"/>
  <c r="D87" i="22"/>
  <c r="V78" i="22"/>
  <c r="U78" i="22"/>
  <c r="R78" i="22"/>
  <c r="M78" i="22"/>
  <c r="L78" i="22"/>
  <c r="K78" i="22"/>
  <c r="J78" i="22"/>
  <c r="I78" i="22"/>
  <c r="H78" i="22"/>
  <c r="G78" i="22"/>
  <c r="F78" i="22"/>
  <c r="E78" i="22"/>
  <c r="D78" i="22"/>
  <c r="V77" i="22"/>
  <c r="U77" i="22"/>
  <c r="R77" i="22"/>
  <c r="M77" i="22"/>
  <c r="L77" i="22"/>
  <c r="K77" i="22"/>
  <c r="J77" i="22"/>
  <c r="I77" i="22"/>
  <c r="H77" i="22"/>
  <c r="G77" i="22"/>
  <c r="F77" i="22"/>
  <c r="E77" i="22"/>
  <c r="D77" i="22"/>
  <c r="V76" i="22"/>
  <c r="U76" i="22"/>
  <c r="R76" i="22"/>
  <c r="M76" i="22"/>
  <c r="L76" i="22"/>
  <c r="K76" i="22"/>
  <c r="J76" i="22"/>
  <c r="I76" i="22"/>
  <c r="V74" i="22"/>
  <c r="U74" i="22"/>
  <c r="R74" i="22"/>
  <c r="M74" i="22"/>
  <c r="L74" i="22"/>
  <c r="K74" i="22"/>
  <c r="J74" i="22"/>
  <c r="I74" i="22"/>
  <c r="V73" i="22"/>
  <c r="U73" i="22"/>
  <c r="R73" i="22"/>
  <c r="M73" i="22"/>
  <c r="L73" i="22"/>
  <c r="K73" i="22"/>
  <c r="J73" i="22"/>
  <c r="I73" i="22"/>
  <c r="V72" i="22"/>
  <c r="U72" i="22"/>
  <c r="R72" i="22"/>
  <c r="M72" i="22"/>
  <c r="L72" i="22"/>
  <c r="K72" i="22"/>
  <c r="J72" i="22"/>
  <c r="I72" i="22"/>
  <c r="V69" i="22"/>
  <c r="U69" i="22"/>
  <c r="R69" i="22"/>
  <c r="M69" i="22"/>
  <c r="L69" i="22"/>
  <c r="K69" i="22"/>
  <c r="J69" i="22"/>
  <c r="I69" i="22"/>
  <c r="V68" i="22"/>
  <c r="U68" i="22"/>
  <c r="R68" i="22"/>
  <c r="M68" i="22"/>
  <c r="L68" i="22"/>
  <c r="K68" i="22"/>
  <c r="J68" i="22"/>
  <c r="I68" i="22"/>
  <c r="V67" i="22"/>
  <c r="U67" i="22"/>
  <c r="R67" i="22"/>
  <c r="M67" i="22"/>
  <c r="L67" i="22"/>
  <c r="K67" i="22"/>
  <c r="J67" i="22"/>
  <c r="I67" i="22"/>
  <c r="V66" i="22"/>
  <c r="U66" i="22"/>
  <c r="R66" i="22"/>
  <c r="M66" i="22"/>
  <c r="L66" i="22"/>
  <c r="K66" i="22"/>
  <c r="J66" i="22"/>
  <c r="I66" i="22"/>
  <c r="V65" i="22"/>
  <c r="U65" i="22"/>
  <c r="R65" i="22"/>
  <c r="M65" i="22"/>
  <c r="L65" i="22"/>
  <c r="K65" i="22"/>
  <c r="J65" i="22"/>
  <c r="I65" i="22"/>
  <c r="V62" i="22"/>
  <c r="U62" i="22"/>
  <c r="R62" i="22"/>
  <c r="M62" i="22"/>
  <c r="L62" i="22"/>
  <c r="K62" i="22"/>
  <c r="J62" i="22"/>
  <c r="I62" i="22"/>
  <c r="V61" i="22"/>
  <c r="U61" i="22"/>
  <c r="R61" i="22"/>
  <c r="M61" i="22"/>
  <c r="L61" i="22"/>
  <c r="K61" i="22"/>
  <c r="J61" i="22"/>
  <c r="I61" i="22"/>
  <c r="V60" i="22"/>
  <c r="U60" i="22"/>
  <c r="R60" i="22"/>
  <c r="M60" i="22"/>
  <c r="L60" i="22"/>
  <c r="K60" i="22"/>
  <c r="J60" i="22"/>
  <c r="I60" i="22"/>
  <c r="V59" i="22"/>
  <c r="U59" i="22"/>
  <c r="R59" i="22"/>
  <c r="M59" i="22"/>
  <c r="L59" i="22"/>
  <c r="K59" i="22"/>
  <c r="J59" i="22"/>
  <c r="I59" i="22"/>
  <c r="V58" i="22"/>
  <c r="U58" i="22"/>
  <c r="R58" i="22"/>
  <c r="M58" i="22"/>
  <c r="L58" i="22"/>
  <c r="K58" i="22"/>
  <c r="J58" i="22"/>
  <c r="I58" i="22"/>
  <c r="V55" i="22"/>
  <c r="U55" i="22"/>
  <c r="R55" i="22"/>
  <c r="M55" i="22"/>
  <c r="L55" i="22"/>
  <c r="K55" i="22"/>
  <c r="J55" i="22"/>
  <c r="I55" i="22"/>
  <c r="V54" i="22"/>
  <c r="U54" i="22"/>
  <c r="R54" i="22"/>
  <c r="M54" i="22"/>
  <c r="L54" i="22"/>
  <c r="K54" i="22"/>
  <c r="J54" i="22"/>
  <c r="I54" i="22"/>
  <c r="V53" i="22"/>
  <c r="U53" i="22"/>
  <c r="R53" i="22"/>
  <c r="M53" i="22"/>
  <c r="L53" i="22"/>
  <c r="K53" i="22"/>
  <c r="J53" i="22"/>
  <c r="I53" i="22"/>
  <c r="V52" i="22"/>
  <c r="U52" i="22"/>
  <c r="R52" i="22"/>
  <c r="M52" i="22"/>
  <c r="L52" i="22"/>
  <c r="K52" i="22"/>
  <c r="J52" i="22"/>
  <c r="I52" i="22"/>
  <c r="V51" i="22"/>
  <c r="U51" i="22"/>
  <c r="R51" i="22"/>
  <c r="M51" i="22"/>
  <c r="L51" i="22"/>
  <c r="K51" i="22"/>
  <c r="J51" i="22"/>
  <c r="I51" i="22"/>
  <c r="V49" i="22"/>
  <c r="U49" i="22"/>
  <c r="R49" i="22"/>
  <c r="M49" i="22"/>
  <c r="L49" i="22"/>
  <c r="K49" i="22"/>
  <c r="J49" i="22"/>
  <c r="I49" i="22"/>
  <c r="V48" i="22"/>
  <c r="U48" i="22"/>
  <c r="R48" i="22"/>
  <c r="K48" i="22"/>
  <c r="J48" i="22"/>
  <c r="I48" i="22"/>
  <c r="V46" i="22"/>
  <c r="U46" i="22"/>
  <c r="R46" i="22"/>
  <c r="M46" i="22"/>
  <c r="L46" i="22"/>
  <c r="K46" i="22"/>
  <c r="J46" i="22"/>
  <c r="I46" i="22"/>
  <c r="V45" i="22"/>
  <c r="U45" i="22"/>
  <c r="K45" i="22"/>
  <c r="J45" i="22"/>
  <c r="I45" i="22"/>
  <c r="V44" i="22"/>
  <c r="U44" i="22"/>
  <c r="R44" i="22"/>
  <c r="M44" i="22"/>
  <c r="L44" i="22"/>
  <c r="K44" i="22"/>
  <c r="J44" i="22"/>
  <c r="I44" i="22"/>
  <c r="V43" i="22"/>
  <c r="U43" i="22"/>
  <c r="R43" i="22"/>
  <c r="M43" i="22"/>
  <c r="L43" i="22"/>
  <c r="K43" i="22"/>
  <c r="J43" i="22"/>
  <c r="I43" i="22"/>
  <c r="V42" i="22"/>
  <c r="U42" i="22"/>
  <c r="R42" i="22"/>
  <c r="M42" i="22"/>
  <c r="L42" i="22"/>
  <c r="K42" i="22"/>
  <c r="J42" i="22"/>
  <c r="I42" i="22"/>
  <c r="R41" i="22"/>
  <c r="M41" i="22"/>
  <c r="L41" i="22"/>
  <c r="K41" i="22"/>
  <c r="J41" i="22"/>
  <c r="I41" i="22"/>
  <c r="V40" i="22"/>
  <c r="U40" i="22"/>
  <c r="R40" i="22"/>
  <c r="M40" i="22"/>
  <c r="K40" i="22"/>
  <c r="I40" i="22"/>
  <c r="V37" i="22"/>
  <c r="U37" i="22"/>
  <c r="R37" i="22"/>
  <c r="M37" i="22"/>
  <c r="L37" i="22"/>
  <c r="K37" i="22"/>
  <c r="J37" i="22"/>
  <c r="I37" i="22"/>
  <c r="V36" i="22"/>
  <c r="U36" i="22"/>
  <c r="R36" i="22"/>
  <c r="M36" i="22"/>
  <c r="L36" i="22"/>
  <c r="K36" i="22"/>
  <c r="J36" i="22"/>
  <c r="I36" i="22"/>
  <c r="V35" i="22"/>
  <c r="U35" i="22"/>
  <c r="R35" i="22"/>
  <c r="M35" i="22"/>
  <c r="L35" i="22"/>
  <c r="K35" i="22"/>
  <c r="J35" i="22"/>
  <c r="I35" i="22"/>
  <c r="V34" i="22"/>
  <c r="U34" i="22"/>
  <c r="R34" i="22"/>
  <c r="M34" i="22"/>
  <c r="L34" i="22"/>
  <c r="K34" i="22"/>
  <c r="J34" i="22"/>
  <c r="I34" i="22"/>
  <c r="V33" i="22"/>
  <c r="U33" i="22"/>
  <c r="R33" i="22"/>
  <c r="M33" i="22"/>
  <c r="L33" i="22"/>
  <c r="K33" i="22"/>
  <c r="J33" i="22"/>
  <c r="I33" i="22"/>
  <c r="V32" i="22"/>
  <c r="V38" i="22" s="1"/>
  <c r="U32" i="22"/>
  <c r="U38" i="22" s="1"/>
  <c r="R32" i="22"/>
  <c r="R38" i="22" s="1"/>
  <c r="M32" i="22"/>
  <c r="L32" i="22"/>
  <c r="L38" i="22" s="1"/>
  <c r="K32" i="22"/>
  <c r="K38" i="22" s="1"/>
  <c r="J32" i="22"/>
  <c r="J38" i="22" s="1"/>
  <c r="I32" i="22"/>
  <c r="I38" i="22" s="1"/>
  <c r="V30" i="22"/>
  <c r="U30" i="22"/>
  <c r="R30" i="22"/>
  <c r="M30" i="22"/>
  <c r="L30" i="22"/>
  <c r="K30" i="22"/>
  <c r="J30" i="22"/>
  <c r="I30" i="22"/>
  <c r="V29" i="22"/>
  <c r="U29" i="22"/>
  <c r="R29" i="22"/>
  <c r="M29" i="22"/>
  <c r="L29" i="22"/>
  <c r="K29" i="22"/>
  <c r="J29" i="22"/>
  <c r="I29" i="22"/>
  <c r="V28" i="22"/>
  <c r="U28" i="22"/>
  <c r="R28" i="22"/>
  <c r="M28" i="22"/>
  <c r="L28" i="22"/>
  <c r="K28" i="22"/>
  <c r="J28" i="22"/>
  <c r="I28" i="22"/>
  <c r="V27" i="22"/>
  <c r="U27" i="22"/>
  <c r="R27" i="22"/>
  <c r="M27" i="22"/>
  <c r="L27" i="22"/>
  <c r="K27" i="22"/>
  <c r="J27" i="22"/>
  <c r="I27" i="22"/>
  <c r="V26" i="22"/>
  <c r="U26" i="22"/>
  <c r="R26" i="22"/>
  <c r="M26" i="22"/>
  <c r="L26" i="22"/>
  <c r="K26" i="22"/>
  <c r="J26" i="22"/>
  <c r="I26" i="22"/>
  <c r="V25" i="22"/>
  <c r="U25" i="22"/>
  <c r="R25" i="22"/>
  <c r="M25" i="22"/>
  <c r="L25" i="22"/>
  <c r="K25" i="22"/>
  <c r="J25" i="22"/>
  <c r="I25" i="22"/>
  <c r="V22" i="22"/>
  <c r="U22" i="22"/>
  <c r="R22" i="22"/>
  <c r="M22" i="22"/>
  <c r="L22" i="22"/>
  <c r="K22" i="22"/>
  <c r="J22" i="22"/>
  <c r="I22" i="22"/>
  <c r="V21" i="22"/>
  <c r="U21" i="22"/>
  <c r="R21" i="22"/>
  <c r="M21" i="22"/>
  <c r="L21" i="22"/>
  <c r="K21" i="22"/>
  <c r="J21" i="22"/>
  <c r="I21" i="22"/>
  <c r="V20" i="22"/>
  <c r="U20" i="22"/>
  <c r="R20" i="22"/>
  <c r="M20" i="22"/>
  <c r="L20" i="22"/>
  <c r="K20" i="22"/>
  <c r="J20" i="22"/>
  <c r="I20" i="22"/>
  <c r="V19" i="22"/>
  <c r="U19" i="22"/>
  <c r="R19" i="22"/>
  <c r="M19" i="22"/>
  <c r="L19" i="22"/>
  <c r="K19" i="22"/>
  <c r="J19" i="22"/>
  <c r="V17" i="22"/>
  <c r="U17" i="22"/>
  <c r="R17" i="22"/>
  <c r="M17" i="22"/>
  <c r="L17" i="22"/>
  <c r="K17" i="22"/>
  <c r="J17" i="22"/>
  <c r="I17" i="22"/>
  <c r="V16" i="22"/>
  <c r="U16" i="22"/>
  <c r="R16" i="22"/>
  <c r="M16" i="22"/>
  <c r="L16" i="22"/>
  <c r="K16" i="22"/>
  <c r="J16" i="22"/>
  <c r="I16" i="22"/>
  <c r="V15" i="22"/>
  <c r="U15" i="22"/>
  <c r="R15" i="22"/>
  <c r="M15" i="22"/>
  <c r="L15" i="22"/>
  <c r="K15" i="22"/>
  <c r="J15" i="22"/>
  <c r="I15" i="22"/>
  <c r="V14" i="22"/>
  <c r="U14" i="22"/>
  <c r="R14" i="22"/>
  <c r="M14" i="22"/>
  <c r="L14" i="22"/>
  <c r="K14" i="22"/>
  <c r="J14" i="22"/>
  <c r="I14" i="22"/>
  <c r="V9" i="22"/>
  <c r="R9" i="22"/>
  <c r="M9" i="22"/>
  <c r="L9" i="22"/>
  <c r="K9" i="22"/>
  <c r="J9" i="22"/>
  <c r="I9" i="22"/>
  <c r="V8" i="22"/>
  <c r="R8" i="22"/>
  <c r="M8" i="22"/>
  <c r="L8" i="22"/>
  <c r="K8" i="22"/>
  <c r="J8" i="22"/>
  <c r="I8" i="22"/>
  <c r="V7" i="22"/>
  <c r="V2" i="22" s="1"/>
  <c r="B124" i="20" s="1"/>
  <c r="R7" i="22"/>
  <c r="R2" i="22" s="1"/>
  <c r="B120" i="20" s="1"/>
  <c r="M7" i="22"/>
  <c r="M2" i="22" s="1"/>
  <c r="B115" i="20" s="1"/>
  <c r="L7" i="22"/>
  <c r="L2" i="22" s="1"/>
  <c r="B114" i="20" s="1"/>
  <c r="K7" i="22"/>
  <c r="K2" i="22" s="1"/>
  <c r="B113" i="20" s="1"/>
  <c r="J7" i="22"/>
  <c r="J2" i="22" s="1"/>
  <c r="B112" i="20" s="1"/>
  <c r="L91" i="22"/>
  <c r="L92" i="22"/>
  <c r="CH150" i="40"/>
  <c r="CG150" i="40"/>
  <c r="CF150" i="40"/>
  <c r="CE150" i="40"/>
  <c r="CD150" i="40"/>
  <c r="CC150" i="40"/>
  <c r="CB150" i="40"/>
  <c r="CA150" i="40"/>
  <c r="BZ150" i="40"/>
  <c r="BY150" i="40"/>
  <c r="BX150" i="40"/>
  <c r="BW150" i="40"/>
  <c r="BV150" i="40"/>
  <c r="BU150" i="40"/>
  <c r="BT150" i="40"/>
  <c r="BS150" i="40"/>
  <c r="BR150" i="40"/>
  <c r="BQ150" i="40"/>
  <c r="BP150" i="40"/>
  <c r="BO150" i="40"/>
  <c r="BN150" i="40"/>
  <c r="BM150" i="40"/>
  <c r="BL150" i="40"/>
  <c r="BK150" i="40"/>
  <c r="BJ150" i="40"/>
  <c r="BI150" i="40"/>
  <c r="BH150" i="40"/>
  <c r="BG150" i="40"/>
  <c r="BF150" i="40"/>
  <c r="BE150" i="40"/>
  <c r="BD150" i="40"/>
  <c r="BC150" i="40"/>
  <c r="BB150" i="40"/>
  <c r="BA150" i="40"/>
  <c r="AZ150" i="40"/>
  <c r="AY150" i="40"/>
  <c r="AX150" i="40"/>
  <c r="AW150" i="40"/>
  <c r="AV150" i="40"/>
  <c r="AU150" i="40"/>
  <c r="AT150" i="40"/>
  <c r="F140" i="40"/>
  <c r="F139" i="40"/>
  <c r="F93" i="40" s="1"/>
  <c r="K137" i="40"/>
  <c r="L137" i="40" s="1"/>
  <c r="M137" i="40" s="1"/>
  <c r="N137" i="40" s="1"/>
  <c r="O137" i="40" s="1"/>
  <c r="P137" i="40" s="1"/>
  <c r="Q137" i="40" s="1"/>
  <c r="R137" i="40" s="1"/>
  <c r="S137" i="40" s="1"/>
  <c r="T137" i="40" s="1"/>
  <c r="U137" i="40" s="1"/>
  <c r="V137" i="40" s="1"/>
  <c r="W137" i="40" s="1"/>
  <c r="X137" i="40" s="1"/>
  <c r="Y137" i="40" s="1"/>
  <c r="Z137" i="40" s="1"/>
  <c r="AA137" i="40" s="1"/>
  <c r="AB137" i="40" s="1"/>
  <c r="AC137" i="40" s="1"/>
  <c r="AD137" i="40" s="1"/>
  <c r="AE137" i="40" s="1"/>
  <c r="AF137" i="40" s="1"/>
  <c r="AG137" i="40" s="1"/>
  <c r="AH137" i="40" s="1"/>
  <c r="AI137" i="40" s="1"/>
  <c r="AJ137" i="40" s="1"/>
  <c r="AK137" i="40" s="1"/>
  <c r="AL137" i="40" s="1"/>
  <c r="AM137" i="40" s="1"/>
  <c r="AN137" i="40" s="1"/>
  <c r="AO137" i="40" s="1"/>
  <c r="AP137" i="40" s="1"/>
  <c r="AQ137" i="40" s="1"/>
  <c r="AR137" i="40" s="1"/>
  <c r="AS137" i="40" s="1"/>
  <c r="AT137" i="40" s="1"/>
  <c r="AU137" i="40" s="1"/>
  <c r="AV137" i="40" s="1"/>
  <c r="AW137" i="40" s="1"/>
  <c r="AX137" i="40" s="1"/>
  <c r="AY137" i="40" s="1"/>
  <c r="AZ137" i="40" s="1"/>
  <c r="BA137" i="40" s="1"/>
  <c r="BB137" i="40" s="1"/>
  <c r="BC137" i="40" s="1"/>
  <c r="BD137" i="40" s="1"/>
  <c r="BE137" i="40" s="1"/>
  <c r="BF137" i="40" s="1"/>
  <c r="BG137" i="40" s="1"/>
  <c r="BH137" i="40" s="1"/>
  <c r="BI137" i="40" s="1"/>
  <c r="BJ137" i="40" s="1"/>
  <c r="BK137" i="40" s="1"/>
  <c r="BL137" i="40" s="1"/>
  <c r="BM137" i="40" s="1"/>
  <c r="BN137" i="40" s="1"/>
  <c r="BO137" i="40" s="1"/>
  <c r="BP137" i="40" s="1"/>
  <c r="BQ137" i="40" s="1"/>
  <c r="BR137" i="40" s="1"/>
  <c r="BS137" i="40" s="1"/>
  <c r="BT137" i="40" s="1"/>
  <c r="BU137" i="40" s="1"/>
  <c r="BV137" i="40" s="1"/>
  <c r="BW137" i="40" s="1"/>
  <c r="BX137" i="40" s="1"/>
  <c r="BY137" i="40" s="1"/>
  <c r="BZ137" i="40" s="1"/>
  <c r="CA137" i="40" s="1"/>
  <c r="CB137" i="40" s="1"/>
  <c r="CC137" i="40" s="1"/>
  <c r="CD137" i="40" s="1"/>
  <c r="CE137" i="40" s="1"/>
  <c r="CF137" i="40" s="1"/>
  <c r="CG137" i="40" s="1"/>
  <c r="CH137" i="40" s="1"/>
  <c r="Y134" i="40"/>
  <c r="T133" i="40"/>
  <c r="O132" i="40"/>
  <c r="L131" i="40"/>
  <c r="J130" i="40"/>
  <c r="H129" i="40"/>
  <c r="F129" i="40"/>
  <c r="AT115" i="40"/>
  <c r="E4" i="40"/>
  <c r="D198" i="1"/>
  <c r="B171" i="1"/>
  <c r="CH166" i="1"/>
  <c r="CG166" i="1"/>
  <c r="CF166" i="1"/>
  <c r="CE166" i="1"/>
  <c r="CD166" i="1"/>
  <c r="CC166" i="1"/>
  <c r="CB166" i="1"/>
  <c r="CA166" i="1"/>
  <c r="BZ166" i="1"/>
  <c r="BY166" i="1"/>
  <c r="BX166" i="1"/>
  <c r="BW166" i="1"/>
  <c r="BV166" i="1"/>
  <c r="BU166" i="1"/>
  <c r="BT166" i="1"/>
  <c r="BS166" i="1"/>
  <c r="BR166" i="1"/>
  <c r="BQ166" i="1"/>
  <c r="BP166" i="1"/>
  <c r="BO166" i="1"/>
  <c r="BN166" i="1"/>
  <c r="BM166" i="1"/>
  <c r="BL166" i="1"/>
  <c r="BK166" i="1"/>
  <c r="BJ166" i="1"/>
  <c r="BI166" i="1"/>
  <c r="BH166" i="1"/>
  <c r="BG166" i="1"/>
  <c r="BF166" i="1"/>
  <c r="BE166" i="1"/>
  <c r="BD166" i="1"/>
  <c r="BC166" i="1"/>
  <c r="BB166" i="1"/>
  <c r="BA166" i="1"/>
  <c r="AZ166" i="1"/>
  <c r="AY166" i="1"/>
  <c r="AX166" i="1"/>
  <c r="AW166" i="1"/>
  <c r="AV166" i="1"/>
  <c r="AU166" i="1"/>
  <c r="AT166" i="1"/>
  <c r="CH165" i="1"/>
  <c r="CG165" i="1"/>
  <c r="CF165" i="1"/>
  <c r="CE165" i="1"/>
  <c r="CD165" i="1"/>
  <c r="CC165" i="1"/>
  <c r="CB165" i="1"/>
  <c r="CA165" i="1"/>
  <c r="BZ165" i="1"/>
  <c r="BY165" i="1"/>
  <c r="BX165" i="1"/>
  <c r="BW165" i="1"/>
  <c r="BV165" i="1"/>
  <c r="BU165" i="1"/>
  <c r="BT165" i="1"/>
  <c r="BS165" i="1"/>
  <c r="BR165" i="1"/>
  <c r="BQ165" i="1"/>
  <c r="BP165" i="1"/>
  <c r="BO165" i="1"/>
  <c r="BN165" i="1"/>
  <c r="BM165" i="1"/>
  <c r="BL165" i="1"/>
  <c r="BK165" i="1"/>
  <c r="BJ165" i="1"/>
  <c r="BI165" i="1"/>
  <c r="BH165" i="1"/>
  <c r="BG165" i="1"/>
  <c r="BF165" i="1"/>
  <c r="BE165" i="1"/>
  <c r="BD165" i="1"/>
  <c r="BC165" i="1"/>
  <c r="BB165" i="1"/>
  <c r="BA165" i="1"/>
  <c r="AZ165" i="1"/>
  <c r="AY165" i="1"/>
  <c r="AX165" i="1"/>
  <c r="AW165" i="1"/>
  <c r="AV165" i="1"/>
  <c r="AU165" i="1"/>
  <c r="AT165" i="1"/>
  <c r="F154" i="1"/>
  <c r="K151" i="1"/>
  <c r="L151" i="1" s="1"/>
  <c r="M151" i="1" s="1"/>
  <c r="Y148" i="1"/>
  <c r="T147" i="1"/>
  <c r="O146" i="1"/>
  <c r="L145" i="1"/>
  <c r="J144" i="1"/>
  <c r="H143" i="1"/>
  <c r="F143" i="1"/>
  <c r="C143" i="1" s="1"/>
  <c r="AS130" i="1"/>
  <c r="AR130" i="1"/>
  <c r="AQ130" i="1"/>
  <c r="AP130" i="1"/>
  <c r="AO130" i="1"/>
  <c r="AN130" i="1"/>
  <c r="AM130" i="1"/>
  <c r="AL130" i="1"/>
  <c r="AK130" i="1"/>
  <c r="AJ130" i="1"/>
  <c r="AI130" i="1"/>
  <c r="AH130" i="1"/>
  <c r="AG130" i="1"/>
  <c r="AF130" i="1"/>
  <c r="AE130" i="1"/>
  <c r="AD130" i="1"/>
  <c r="AC130" i="1"/>
  <c r="AB130" i="1"/>
  <c r="AA130" i="1"/>
  <c r="Y130" i="1"/>
  <c r="X130" i="1"/>
  <c r="W130" i="1"/>
  <c r="V130" i="1"/>
  <c r="U130" i="1"/>
  <c r="T130" i="1"/>
  <c r="S130" i="1"/>
  <c r="R130" i="1"/>
  <c r="Q130" i="1"/>
  <c r="P130" i="1"/>
  <c r="O130" i="1"/>
  <c r="N130" i="1"/>
  <c r="M130" i="1"/>
  <c r="L130" i="1"/>
  <c r="K130" i="1"/>
  <c r="J130" i="1"/>
  <c r="I130" i="1"/>
  <c r="H130" i="1"/>
  <c r="G130" i="1"/>
  <c r="F130" i="1"/>
  <c r="AT125" i="1"/>
  <c r="AT119" i="1"/>
  <c r="AT50" i="1"/>
  <c r="E4" i="1"/>
  <c r="AS48" i="15"/>
  <c r="AS47" i="15"/>
  <c r="AS46" i="15"/>
  <c r="AS45" i="15"/>
  <c r="AS44" i="15"/>
  <c r="AS43" i="15"/>
  <c r="AS42" i="15"/>
  <c r="AS41" i="15"/>
  <c r="AS40" i="15"/>
  <c r="AS39" i="15"/>
  <c r="AS38" i="15"/>
  <c r="AS37" i="15"/>
  <c r="AS36" i="15"/>
  <c r="AS35" i="15"/>
  <c r="AS34" i="15"/>
  <c r="AS33" i="15"/>
  <c r="AJ33" i="15"/>
  <c r="AJ34" i="15" s="1"/>
  <c r="AJ35" i="15" s="1"/>
  <c r="AJ36" i="15" s="1"/>
  <c r="AJ37" i="15" s="1"/>
  <c r="AJ38" i="15" s="1"/>
  <c r="AJ39" i="15" s="1"/>
  <c r="AJ40" i="15" s="1"/>
  <c r="AJ41" i="15" s="1"/>
  <c r="AJ42" i="15" s="1"/>
  <c r="AJ43" i="15" s="1"/>
  <c r="AJ44" i="15" s="1"/>
  <c r="AJ45" i="15" s="1"/>
  <c r="AJ46" i="15" s="1"/>
  <c r="AJ47" i="15" s="1"/>
  <c r="AJ48" i="15" s="1"/>
  <c r="AJ49" i="15" s="1"/>
  <c r="AJ50" i="15" s="1"/>
  <c r="AJ51" i="15" s="1"/>
  <c r="AJ52" i="15" s="1"/>
  <c r="AJ53" i="15" s="1"/>
  <c r="AJ54" i="15" s="1"/>
  <c r="AJ55" i="15" s="1"/>
  <c r="AJ56" i="15" s="1"/>
  <c r="AJ57" i="15" s="1"/>
  <c r="AJ58" i="15" s="1"/>
  <c r="AJ59" i="15" s="1"/>
  <c r="AJ60" i="15" s="1"/>
  <c r="AJ61" i="15" s="1"/>
  <c r="AJ62" i="15" s="1"/>
  <c r="AJ63" i="15" s="1"/>
  <c r="AJ64" i="15" s="1"/>
  <c r="AJ65" i="15" s="1"/>
  <c r="AJ66" i="15" s="1"/>
  <c r="AJ67" i="15" s="1"/>
  <c r="AJ68" i="15" s="1"/>
  <c r="AJ69" i="15" s="1"/>
  <c r="AJ70" i="15" s="1"/>
  <c r="AJ71" i="15" s="1"/>
  <c r="AJ72" i="15" s="1"/>
  <c r="AJ73" i="15" s="1"/>
  <c r="AJ74" i="15" s="1"/>
  <c r="AJ75" i="15" s="1"/>
  <c r="AJ76" i="15" s="1"/>
  <c r="AJ77" i="15" s="1"/>
  <c r="AJ78" i="15" s="1"/>
  <c r="AI33" i="15"/>
  <c r="AI34" i="15" s="1"/>
  <c r="AI35" i="15" s="1"/>
  <c r="AI36" i="15" s="1"/>
  <c r="AI37" i="15" s="1"/>
  <c r="AI38" i="15" s="1"/>
  <c r="AI39" i="15" s="1"/>
  <c r="AI40" i="15" s="1"/>
  <c r="AI41" i="15" s="1"/>
  <c r="AI42" i="15" s="1"/>
  <c r="AI43" i="15" s="1"/>
  <c r="AI44" i="15" s="1"/>
  <c r="AI45" i="15" s="1"/>
  <c r="AI46" i="15" s="1"/>
  <c r="AI47" i="15" s="1"/>
  <c r="AI48" i="15" s="1"/>
  <c r="AI49" i="15" s="1"/>
  <c r="AI50" i="15" s="1"/>
  <c r="AI51" i="15" s="1"/>
  <c r="AI52" i="15" s="1"/>
  <c r="AI53" i="15" s="1"/>
  <c r="AI54" i="15" s="1"/>
  <c r="AI55" i="15" s="1"/>
  <c r="AI56" i="15" s="1"/>
  <c r="AI57" i="15" s="1"/>
  <c r="AI58" i="15" s="1"/>
  <c r="AI59" i="15" s="1"/>
  <c r="AI60" i="15" s="1"/>
  <c r="AI61" i="15" s="1"/>
  <c r="AI62" i="15" s="1"/>
  <c r="AI63" i="15" s="1"/>
  <c r="AI64" i="15" s="1"/>
  <c r="AI65" i="15" s="1"/>
  <c r="AI66" i="15" s="1"/>
  <c r="AI67" i="15" s="1"/>
  <c r="AI68" i="15" s="1"/>
  <c r="AI69" i="15" s="1"/>
  <c r="AI70" i="15" s="1"/>
  <c r="AI71" i="15" s="1"/>
  <c r="AI72" i="15" s="1"/>
  <c r="AI73" i="15" s="1"/>
  <c r="AI74" i="15" s="1"/>
  <c r="AI75" i="15" s="1"/>
  <c r="AI76" i="15" s="1"/>
  <c r="AI77" i="15" s="1"/>
  <c r="AI78" i="15" s="1"/>
  <c r="AH33" i="15"/>
  <c r="AH34" i="15" s="1"/>
  <c r="AH35" i="15" s="1"/>
  <c r="AH36" i="15" s="1"/>
  <c r="Y33" i="15"/>
  <c r="Y34" i="15"/>
  <c r="Y35" i="15" s="1"/>
  <c r="Y36" i="15"/>
  <c r="Y37" i="15" s="1"/>
  <c r="Y38" i="15" s="1"/>
  <c r="Y39" i="15" s="1"/>
  <c r="Y40" i="15" s="1"/>
  <c r="Y41" i="15" s="1"/>
  <c r="Y42" i="15" s="1"/>
  <c r="Y43" i="15" s="1"/>
  <c r="Y44" i="15" s="1"/>
  <c r="Y45" i="15" s="1"/>
  <c r="Y46" i="15" s="1"/>
  <c r="Y47" i="15" s="1"/>
  <c r="Y48" i="15" s="1"/>
  <c r="Y49" i="15" s="1"/>
  <c r="Y50" i="15" s="1"/>
  <c r="Y51" i="15" s="1"/>
  <c r="Y52" i="15" s="1"/>
  <c r="Y53" i="15" s="1"/>
  <c r="Y54" i="15" s="1"/>
  <c r="Y55" i="15" s="1"/>
  <c r="Y56" i="15" s="1"/>
  <c r="Y57" i="15" s="1"/>
  <c r="Y58" i="15" s="1"/>
  <c r="Y59" i="15" s="1"/>
  <c r="Y60" i="15" s="1"/>
  <c r="Y61" i="15" s="1"/>
  <c r="Y62" i="15" s="1"/>
  <c r="Y63" i="15" s="1"/>
  <c r="Y64" i="15" s="1"/>
  <c r="Y65" i="15" s="1"/>
  <c r="Y66" i="15" s="1"/>
  <c r="Y67" i="15" s="1"/>
  <c r="Y68" i="15" s="1"/>
  <c r="Y69" i="15" s="1"/>
  <c r="Y70" i="15" s="1"/>
  <c r="Y71" i="15" s="1"/>
  <c r="Y72" i="15" s="1"/>
  <c r="Y73" i="15" s="1"/>
  <c r="Y74" i="15" s="1"/>
  <c r="Y75" i="15" s="1"/>
  <c r="Y76" i="15" s="1"/>
  <c r="Y77" i="15" s="1"/>
  <c r="Y78" i="15" s="1"/>
  <c r="X33" i="15"/>
  <c r="X34" i="15"/>
  <c r="X35" i="15" s="1"/>
  <c r="X36" i="15" s="1"/>
  <c r="X37" i="15" s="1"/>
  <c r="X38" i="15" s="1"/>
  <c r="X39" i="15" s="1"/>
  <c r="X40" i="15" s="1"/>
  <c r="X41" i="15" s="1"/>
  <c r="X42" i="15" s="1"/>
  <c r="X43" i="15" s="1"/>
  <c r="X44" i="15" s="1"/>
  <c r="X45" i="15" s="1"/>
  <c r="X46" i="15" s="1"/>
  <c r="X47" i="15" s="1"/>
  <c r="X48" i="15" s="1"/>
  <c r="X49" i="15" s="1"/>
  <c r="X50" i="15"/>
  <c r="X51" i="15" s="1"/>
  <c r="X52" i="15" s="1"/>
  <c r="X53" i="15" s="1"/>
  <c r="X54" i="15" s="1"/>
  <c r="X55" i="15" s="1"/>
  <c r="X56" i="15" s="1"/>
  <c r="X57" i="15" s="1"/>
  <c r="X58" i="15" s="1"/>
  <c r="X59" i="15" s="1"/>
  <c r="X60" i="15" s="1"/>
  <c r="X61" i="15" s="1"/>
  <c r="X62" i="15" s="1"/>
  <c r="X63" i="15" s="1"/>
  <c r="X64" i="15" s="1"/>
  <c r="X65" i="15" s="1"/>
  <c r="X66" i="15" s="1"/>
  <c r="X67" i="15" s="1"/>
  <c r="X68" i="15" s="1"/>
  <c r="X69" i="15" s="1"/>
  <c r="X70" i="15" s="1"/>
  <c r="X71" i="15" s="1"/>
  <c r="X72" i="15" s="1"/>
  <c r="X73" i="15" s="1"/>
  <c r="X74" i="15" s="1"/>
  <c r="X75" i="15" s="1"/>
  <c r="X76" i="15" s="1"/>
  <c r="X77" i="15" s="1"/>
  <c r="X78" i="15" s="1"/>
  <c r="W33" i="15"/>
  <c r="W34" i="15"/>
  <c r="W35" i="15" s="1"/>
  <c r="U33" i="15"/>
  <c r="U34" i="15" s="1"/>
  <c r="U35" i="15" s="1"/>
  <c r="U36" i="15" s="1"/>
  <c r="U37" i="15" s="1"/>
  <c r="U38" i="15" s="1"/>
  <c r="U39" i="15" s="1"/>
  <c r="U40" i="15" s="1"/>
  <c r="U41" i="15" s="1"/>
  <c r="U42" i="15" s="1"/>
  <c r="U43" i="15" s="1"/>
  <c r="U44" i="15" s="1"/>
  <c r="U45" i="15" s="1"/>
  <c r="U46" i="15" s="1"/>
  <c r="U47" i="15" s="1"/>
  <c r="U48" i="15" s="1"/>
  <c r="U49" i="15" s="1"/>
  <c r="U50" i="15" s="1"/>
  <c r="U51" i="15" s="1"/>
  <c r="U52" i="15" s="1"/>
  <c r="U53" i="15" s="1"/>
  <c r="U54" i="15" s="1"/>
  <c r="U55" i="15" s="1"/>
  <c r="U56" i="15" s="1"/>
  <c r="U57" i="15" s="1"/>
  <c r="U58" i="15" s="1"/>
  <c r="U59" i="15" s="1"/>
  <c r="U60" i="15" s="1"/>
  <c r="U61" i="15" s="1"/>
  <c r="U62" i="15" s="1"/>
  <c r="U63" i="15" s="1"/>
  <c r="U64" i="15" s="1"/>
  <c r="U65" i="15" s="1"/>
  <c r="U66" i="15" s="1"/>
  <c r="U67" i="15" s="1"/>
  <c r="U68" i="15" s="1"/>
  <c r="U69" i="15" s="1"/>
  <c r="U70" i="15" s="1"/>
  <c r="U71" i="15" s="1"/>
  <c r="U72" i="15" s="1"/>
  <c r="U73" i="15" s="1"/>
  <c r="U74" i="15" s="1"/>
  <c r="U75" i="15" s="1"/>
  <c r="U76" i="15" s="1"/>
  <c r="U77" i="15" s="1"/>
  <c r="U78" i="15" s="1"/>
  <c r="T33" i="15"/>
  <c r="T34" i="15" s="1"/>
  <c r="T35" i="15" s="1"/>
  <c r="T36" i="15" s="1"/>
  <c r="T37" i="15" s="1"/>
  <c r="T38" i="15" s="1"/>
  <c r="T39" i="15" s="1"/>
  <c r="T40" i="15" s="1"/>
  <c r="T41" i="15" s="1"/>
  <c r="T42" i="15" s="1"/>
  <c r="T43" i="15" s="1"/>
  <c r="T44" i="15" s="1"/>
  <c r="T45" i="15" s="1"/>
  <c r="T46" i="15" s="1"/>
  <c r="T47" i="15" s="1"/>
  <c r="T48" i="15" s="1"/>
  <c r="T49" i="15" s="1"/>
  <c r="T50" i="15" s="1"/>
  <c r="T51" i="15" s="1"/>
  <c r="T52" i="15" s="1"/>
  <c r="T53" i="15" s="1"/>
  <c r="T54" i="15" s="1"/>
  <c r="T55" i="15" s="1"/>
  <c r="T56" i="15" s="1"/>
  <c r="T57" i="15" s="1"/>
  <c r="T58" i="15" s="1"/>
  <c r="T59" i="15" s="1"/>
  <c r="T60" i="15" s="1"/>
  <c r="T61" i="15" s="1"/>
  <c r="T62" i="15" s="1"/>
  <c r="T63" i="15" s="1"/>
  <c r="T64" i="15" s="1"/>
  <c r="T65" i="15" s="1"/>
  <c r="T66" i="15" s="1"/>
  <c r="T67" i="15" s="1"/>
  <c r="T68" i="15" s="1"/>
  <c r="T69" i="15" s="1"/>
  <c r="T70" i="15" s="1"/>
  <c r="T71" i="15" s="1"/>
  <c r="T72" i="15" s="1"/>
  <c r="T73" i="15" s="1"/>
  <c r="T74" i="15" s="1"/>
  <c r="T75" i="15" s="1"/>
  <c r="T76" i="15" s="1"/>
  <c r="T77" i="15" s="1"/>
  <c r="T78" i="15" s="1"/>
  <c r="S33" i="15"/>
  <c r="S34" i="15" s="1"/>
  <c r="G33" i="15"/>
  <c r="AS32" i="15"/>
  <c r="AG32" i="15"/>
  <c r="V32" i="15"/>
  <c r="G32" i="15"/>
  <c r="AS31" i="15"/>
  <c r="AG31" i="15"/>
  <c r="V31" i="15"/>
  <c r="G31" i="15"/>
  <c r="AS30" i="15"/>
  <c r="AG30" i="15"/>
  <c r="V30" i="15"/>
  <c r="G30" i="15"/>
  <c r="AS29" i="15"/>
  <c r="AG29" i="15"/>
  <c r="V29" i="15"/>
  <c r="G29" i="15"/>
  <c r="AS28" i="15"/>
  <c r="AG28" i="15"/>
  <c r="V28" i="15"/>
  <c r="G28" i="15"/>
  <c r="AS27" i="15"/>
  <c r="AG27" i="15"/>
  <c r="V27" i="15"/>
  <c r="G27" i="15"/>
  <c r="AS26" i="15"/>
  <c r="AG26" i="15"/>
  <c r="V26" i="15"/>
  <c r="G26" i="15"/>
  <c r="AS25" i="15"/>
  <c r="AG25" i="15"/>
  <c r="V25" i="15"/>
  <c r="G25" i="15"/>
  <c r="AS24" i="15"/>
  <c r="AG24" i="15"/>
  <c r="V24" i="15"/>
  <c r="G24" i="15"/>
  <c r="AS23" i="15"/>
  <c r="AG23" i="15"/>
  <c r="V23" i="15"/>
  <c r="G23" i="15"/>
  <c r="AS22" i="15"/>
  <c r="AG22" i="15"/>
  <c r="V22" i="15"/>
  <c r="G22" i="15"/>
  <c r="AS21" i="15"/>
  <c r="AG21" i="15"/>
  <c r="V21" i="15"/>
  <c r="G21" i="15"/>
  <c r="AS20" i="15"/>
  <c r="AG20" i="15"/>
  <c r="V20" i="15"/>
  <c r="G20" i="15"/>
  <c r="AS19" i="15"/>
  <c r="AG19" i="15"/>
  <c r="V19" i="15"/>
  <c r="G19" i="15"/>
  <c r="AS18" i="15"/>
  <c r="AG18" i="15"/>
  <c r="V18" i="15"/>
  <c r="G18" i="15"/>
  <c r="AS17" i="15"/>
  <c r="AG17" i="15"/>
  <c r="V17" i="15"/>
  <c r="G17" i="15"/>
  <c r="AO17" i="15" s="1"/>
  <c r="AO18" i="15" s="1"/>
  <c r="AO19" i="15" s="1"/>
  <c r="AO20" i="15" s="1"/>
  <c r="AO21" i="15" s="1"/>
  <c r="AO22" i="15" s="1"/>
  <c r="AO23" i="15" s="1"/>
  <c r="AO24" i="15" s="1"/>
  <c r="AO25" i="15" s="1"/>
  <c r="AO26" i="15" s="1"/>
  <c r="AO27" i="15" s="1"/>
  <c r="AO28" i="15" s="1"/>
  <c r="AO29" i="15" s="1"/>
  <c r="AO30" i="15" s="1"/>
  <c r="AO31" i="15" s="1"/>
  <c r="AO32" i="15" s="1"/>
  <c r="AO33" i="15" s="1"/>
  <c r="AS16" i="15"/>
  <c r="AG16" i="15"/>
  <c r="V16" i="15"/>
  <c r="G16" i="15"/>
  <c r="AS15" i="15"/>
  <c r="AG15" i="15"/>
  <c r="V15" i="15"/>
  <c r="G15" i="15"/>
  <c r="AS14" i="15"/>
  <c r="AG14" i="15"/>
  <c r="V14" i="15"/>
  <c r="G14" i="15"/>
  <c r="AS13" i="15"/>
  <c r="AG13" i="15"/>
  <c r="V13" i="15"/>
  <c r="G13" i="15"/>
  <c r="AS12" i="15"/>
  <c r="AG12" i="15"/>
  <c r="V12" i="15"/>
  <c r="G12" i="15"/>
  <c r="AS11" i="15"/>
  <c r="V11" i="15"/>
  <c r="G11" i="15"/>
  <c r="AS10" i="15"/>
  <c r="V10" i="15"/>
  <c r="G10" i="15"/>
  <c r="AS9" i="15"/>
  <c r="V9" i="15"/>
  <c r="G9" i="15"/>
  <c r="BA8" i="15"/>
  <c r="AS8" i="15"/>
  <c r="G8" i="15"/>
  <c r="BA7" i="15"/>
  <c r="AZ7" i="15"/>
  <c r="AY7" i="15"/>
  <c r="AX7" i="15"/>
  <c r="AW7" i="15"/>
  <c r="AV7" i="15"/>
  <c r="AU7" i="15"/>
  <c r="AS7" i="15"/>
  <c r="G7" i="15"/>
  <c r="BA6" i="15"/>
  <c r="AZ6" i="15"/>
  <c r="AY6" i="15"/>
  <c r="AX6" i="15"/>
  <c r="AW6" i="15"/>
  <c r="AV6" i="15"/>
  <c r="AU6" i="15"/>
  <c r="AS6" i="15"/>
  <c r="G6" i="15"/>
  <c r="BA5" i="15"/>
  <c r="AZ5" i="15"/>
  <c r="AY5" i="15"/>
  <c r="AX5" i="15"/>
  <c r="AW5" i="15"/>
  <c r="AV5" i="15"/>
  <c r="AU5" i="15"/>
  <c r="AS5" i="15"/>
  <c r="G5" i="15"/>
  <c r="A16" i="15"/>
  <c r="A17" i="15" s="1"/>
  <c r="AZ3" i="15"/>
  <c r="A28" i="25"/>
  <c r="A29" i="25"/>
  <c r="A30" i="25" s="1"/>
  <c r="A31" i="25" s="1"/>
  <c r="E7" i="25"/>
  <c r="C7" i="25"/>
  <c r="C80" i="2"/>
  <c r="C79" i="2"/>
  <c r="I71" i="2"/>
  <c r="I70" i="2"/>
  <c r="I69" i="2"/>
  <c r="I68" i="2"/>
  <c r="I67" i="2"/>
  <c r="I66" i="2"/>
  <c r="I65" i="2"/>
  <c r="I64" i="2"/>
  <c r="I63" i="2"/>
  <c r="B48" i="2"/>
  <c r="G37" i="2"/>
  <c r="F35" i="2"/>
  <c r="E24" i="2"/>
  <c r="E23" i="2"/>
  <c r="E22" i="2"/>
  <c r="E21" i="2"/>
  <c r="F17" i="2"/>
  <c r="E16" i="2"/>
  <c r="E15" i="2"/>
  <c r="E14" i="2"/>
  <c r="E13" i="2"/>
  <c r="E12" i="2"/>
  <c r="E11" i="2"/>
  <c r="E45" i="21"/>
  <c r="S245" i="22"/>
  <c r="D130" i="20"/>
  <c r="C130" i="20"/>
  <c r="D129" i="20"/>
  <c r="D128" i="20"/>
  <c r="D127" i="20"/>
  <c r="D126" i="20"/>
  <c r="D125" i="20"/>
  <c r="D124" i="20"/>
  <c r="I123" i="20"/>
  <c r="D123" i="20"/>
  <c r="I122" i="20"/>
  <c r="D122" i="20"/>
  <c r="I121" i="20"/>
  <c r="D121" i="20"/>
  <c r="D120" i="20"/>
  <c r="B117" i="20"/>
  <c r="D119" i="20"/>
  <c r="H118" i="20"/>
  <c r="D118" i="20"/>
  <c r="H117" i="20"/>
  <c r="D117" i="20"/>
  <c r="H116" i="20"/>
  <c r="D116" i="20"/>
  <c r="H115" i="20"/>
  <c r="D115" i="20"/>
  <c r="H114" i="20"/>
  <c r="D114" i="20"/>
  <c r="C114" i="20"/>
  <c r="H113" i="20"/>
  <c r="D113" i="20"/>
  <c r="C113" i="20"/>
  <c r="H112" i="20"/>
  <c r="D112" i="20"/>
  <c r="C112" i="20"/>
  <c r="D111" i="20"/>
  <c r="C111" i="20"/>
  <c r="H110" i="20"/>
  <c r="D110" i="20"/>
  <c r="C110" i="20"/>
  <c r="H109" i="20"/>
  <c r="D109" i="20"/>
  <c r="D108" i="20"/>
  <c r="H107" i="20"/>
  <c r="D107" i="20"/>
  <c r="C107" i="20"/>
  <c r="H106" i="20"/>
  <c r="D106" i="20"/>
  <c r="C106" i="20"/>
  <c r="T83" i="20"/>
  <c r="T82" i="20"/>
  <c r="T72" i="20"/>
  <c r="T71" i="20"/>
  <c r="T70" i="20"/>
  <c r="T69" i="20"/>
  <c r="T68" i="20"/>
  <c r="U64" i="20"/>
  <c r="S57" i="20"/>
  <c r="T55" i="20"/>
  <c r="T54" i="20"/>
  <c r="T49" i="20"/>
  <c r="U42" i="20"/>
  <c r="T42" i="20"/>
  <c r="S41" i="20"/>
  <c r="S33" i="20"/>
  <c r="S29" i="20"/>
  <c r="S28" i="20"/>
  <c r="U27" i="20"/>
  <c r="T27" i="20"/>
  <c r="F122" i="22"/>
  <c r="E122" i="22"/>
  <c r="D122" i="22"/>
  <c r="B38" i="20"/>
  <c r="S7" i="20"/>
  <c r="S6" i="20"/>
  <c r="G122" i="22"/>
  <c r="G21" i="46"/>
  <c r="P245" i="43"/>
  <c r="P245" i="45"/>
  <c r="P245" i="44"/>
  <c r="C19" i="29"/>
  <c r="AN17" i="15"/>
  <c r="AM17" i="15" s="1"/>
  <c r="L245" i="43"/>
  <c r="E245" i="43"/>
  <c r="O245" i="45"/>
  <c r="K245" i="45"/>
  <c r="H245" i="45"/>
  <c r="D245" i="45"/>
  <c r="N245" i="44"/>
  <c r="J245" i="44"/>
  <c r="J245" i="22" s="1"/>
  <c r="G245" i="44"/>
  <c r="G245" i="22" s="1"/>
  <c r="M245" i="43"/>
  <c r="I245" i="43"/>
  <c r="F245" i="43"/>
  <c r="L245" i="45"/>
  <c r="E245" i="45"/>
  <c r="O245" i="44"/>
  <c r="O245" i="22" s="1"/>
  <c r="K245" i="44"/>
  <c r="K245" i="22" s="1"/>
  <c r="H245" i="44"/>
  <c r="D245" i="44"/>
  <c r="N245" i="43"/>
  <c r="J245" i="43"/>
  <c r="G245" i="43"/>
  <c r="M245" i="45"/>
  <c r="I245" i="45"/>
  <c r="F245" i="45"/>
  <c r="L245" i="44"/>
  <c r="E245" i="44"/>
  <c r="O245" i="43"/>
  <c r="K245" i="43"/>
  <c r="H245" i="43"/>
  <c r="D245" i="43"/>
  <c r="N245" i="45"/>
  <c r="J245" i="45"/>
  <c r="G245" i="45"/>
  <c r="M245" i="44"/>
  <c r="I245" i="44"/>
  <c r="I245" i="22" s="1"/>
  <c r="F245" i="44"/>
  <c r="F245" i="22" s="1"/>
  <c r="G39" i="22"/>
  <c r="J39" i="22"/>
  <c r="V31" i="22"/>
  <c r="D17" i="22"/>
  <c r="K31" i="22"/>
  <c r="G120" i="22"/>
  <c r="L39" i="22"/>
  <c r="F49" i="22"/>
  <c r="G17" i="22"/>
  <c r="D20" i="22"/>
  <c r="L31" i="22"/>
  <c r="E120" i="22"/>
  <c r="H17" i="22"/>
  <c r="F20" i="22"/>
  <c r="E31" i="22"/>
  <c r="I39" i="22"/>
  <c r="D120" i="22"/>
  <c r="V39" i="22"/>
  <c r="R33" i="15"/>
  <c r="I31" i="22"/>
  <c r="D42" i="22"/>
  <c r="H42" i="22"/>
  <c r="G52" i="22"/>
  <c r="G54" i="22"/>
  <c r="F74" i="22"/>
  <c r="G31" i="22"/>
  <c r="E42" i="22"/>
  <c r="M39" i="22"/>
  <c r="V33" i="15"/>
  <c r="H36" i="12"/>
  <c r="AG34" i="15"/>
  <c r="Q245" i="22"/>
  <c r="E19" i="29"/>
  <c r="V34" i="15"/>
  <c r="D19" i="29"/>
  <c r="K223" i="22"/>
  <c r="F19" i="22"/>
  <c r="F206" i="22"/>
  <c r="G19" i="22"/>
  <c r="G206" i="22"/>
  <c r="H19" i="22"/>
  <c r="H206" i="22"/>
  <c r="F15" i="26"/>
  <c r="F120" i="22"/>
  <c r="G135" i="22"/>
  <c r="V223" i="22"/>
  <c r="K39" i="22"/>
  <c r="J223" i="22"/>
  <c r="I223" i="22"/>
  <c r="V235" i="22"/>
  <c r="E21" i="46"/>
  <c r="I21" i="46"/>
  <c r="D22" i="46"/>
  <c r="M235" i="22"/>
  <c r="E20" i="22"/>
  <c r="G20" i="22"/>
  <c r="D31" i="22"/>
  <c r="F31" i="22"/>
  <c r="H31" i="22"/>
  <c r="J31" i="22"/>
  <c r="M31" i="22"/>
  <c r="U31" i="22"/>
  <c r="H39" i="22"/>
  <c r="L220" i="22"/>
  <c r="U226" i="22"/>
  <c r="R220" i="22"/>
  <c r="U223" i="22"/>
  <c r="K226" i="22"/>
  <c r="V226" i="22"/>
  <c r="I220" i="22"/>
  <c r="K235" i="22"/>
  <c r="G35" i="15"/>
  <c r="V41" i="22"/>
  <c r="G41" i="15"/>
  <c r="I19" i="29"/>
  <c r="M220" i="22"/>
  <c r="U220" i="22"/>
  <c r="K220" i="22"/>
  <c r="R235" i="22"/>
  <c r="J235" i="22"/>
  <c r="L235" i="22"/>
  <c r="J226" i="22"/>
  <c r="G93" i="22"/>
  <c r="H93" i="22"/>
  <c r="V232" i="22"/>
  <c r="R232" i="22"/>
  <c r="U232" i="22"/>
  <c r="I19" i="22"/>
  <c r="J220" i="22"/>
  <c r="U235" i="22"/>
  <c r="K17" i="29"/>
  <c r="N4" i="29" s="1"/>
  <c r="K18" i="29"/>
  <c r="H19" i="29"/>
  <c r="V220" i="22"/>
  <c r="V219" i="22"/>
  <c r="I235" i="22"/>
  <c r="O17" i="29"/>
  <c r="P4" i="29"/>
  <c r="I226" i="22"/>
  <c r="C21" i="46"/>
  <c r="G19" i="29"/>
  <c r="O18" i="29"/>
  <c r="P5" i="29"/>
  <c r="P14" i="29" s="1"/>
  <c r="G42" i="15"/>
  <c r="G39" i="15"/>
  <c r="G34" i="15"/>
  <c r="H7" i="22"/>
  <c r="H2" i="22" s="1"/>
  <c r="B110" i="20" s="1"/>
  <c r="F19" i="29"/>
  <c r="U39" i="22"/>
  <c r="U41" i="22"/>
  <c r="R218" i="22"/>
  <c r="R219" i="22"/>
  <c r="P245" i="22"/>
  <c r="E135" i="22"/>
  <c r="D135" i="22"/>
  <c r="F135" i="22"/>
  <c r="H54" i="22"/>
  <c r="E245" i="22"/>
  <c r="H79" i="22"/>
  <c r="H52" i="22"/>
  <c r="M4" i="29"/>
  <c r="L245" i="22"/>
  <c r="R245" i="22"/>
  <c r="U245" i="22"/>
  <c r="N245" i="22"/>
  <c r="M245" i="22"/>
  <c r="V245" i="22"/>
  <c r="D245" i="22"/>
  <c r="H245" i="22"/>
  <c r="U219" i="22"/>
  <c r="H55" i="22"/>
  <c r="H51" i="22"/>
  <c r="L5" i="29"/>
  <c r="L14" i="29" s="1"/>
  <c r="U218" i="22"/>
  <c r="V218" i="22"/>
  <c r="P15" i="29"/>
  <c r="E66" i="22"/>
  <c r="E69" i="22"/>
  <c r="E68" i="22"/>
  <c r="E67" i="22"/>
  <c r="AN111" i="40"/>
  <c r="AR114" i="1"/>
  <c r="AS114" i="1"/>
  <c r="AR111" i="40"/>
  <c r="AK114" i="1"/>
  <c r="AL111" i="40"/>
  <c r="AM111" i="40"/>
  <c r="AJ114" i="1"/>
  <c r="AP111" i="40"/>
  <c r="AP114" i="1"/>
  <c r="AS111" i="40"/>
  <c r="AM114" i="1"/>
  <c r="AQ111" i="40"/>
  <c r="AO111" i="40"/>
  <c r="AL114" i="1"/>
  <c r="AN114" i="1"/>
  <c r="AO114" i="1"/>
  <c r="AJ111" i="40"/>
  <c r="AK111" i="40"/>
  <c r="AQ114" i="1"/>
  <c r="H40" i="52"/>
  <c r="H46" i="52" s="1"/>
  <c r="C109" i="20"/>
  <c r="C108" i="20"/>
  <c r="AY8" i="15"/>
  <c r="AZ8" i="15"/>
  <c r="AX8" i="15"/>
  <c r="AW8" i="15"/>
  <c r="AU8" i="15"/>
  <c r="AV8" i="15"/>
  <c r="D69" i="22"/>
  <c r="F70" i="22"/>
  <c r="H66" i="22"/>
  <c r="D70" i="22"/>
  <c r="F69" i="22"/>
  <c r="G70" i="22"/>
  <c r="H68" i="22"/>
  <c r="G65" i="22"/>
  <c r="H70" i="22"/>
  <c r="G68" i="22"/>
  <c r="H67" i="22"/>
  <c r="F66" i="22"/>
  <c r="E65" i="22"/>
  <c r="G67" i="22"/>
  <c r="F65" i="22"/>
  <c r="D65" i="22"/>
  <c r="G69" i="22"/>
  <c r="D66" i="22"/>
  <c r="H65" i="22"/>
  <c r="G66" i="22"/>
  <c r="F67" i="22"/>
  <c r="D67" i="22"/>
  <c r="H69" i="22"/>
  <c r="F68" i="22"/>
  <c r="D68" i="22"/>
  <c r="C23" i="52"/>
  <c r="C25" i="52" s="1"/>
  <c r="T63" i="20"/>
  <c r="D114" i="1"/>
  <c r="F114" i="1"/>
  <c r="D111" i="40"/>
  <c r="F111" i="40"/>
  <c r="T18" i="20"/>
  <c r="AE111" i="40"/>
  <c r="AB111" i="40"/>
  <c r="AC111" i="40"/>
  <c r="Q114" i="1"/>
  <c r="O114" i="1"/>
  <c r="G111" i="40"/>
  <c r="AI111" i="40"/>
  <c r="AF111" i="40"/>
  <c r="R111" i="40"/>
  <c r="S111" i="40"/>
  <c r="P111" i="40"/>
  <c r="AG111" i="40"/>
  <c r="L114" i="1"/>
  <c r="N114" i="1"/>
  <c r="J114" i="1"/>
  <c r="Z114" i="1"/>
  <c r="T114" i="1"/>
  <c r="U114" i="1"/>
  <c r="S114" i="1"/>
  <c r="M114" i="1"/>
  <c r="AD114" i="1"/>
  <c r="X114" i="1"/>
  <c r="G114" i="1"/>
  <c r="AH114" i="1"/>
  <c r="R114" i="1"/>
  <c r="M111" i="40"/>
  <c r="AD111" i="40"/>
  <c r="AA111" i="40"/>
  <c r="V111" i="40"/>
  <c r="H114" i="1"/>
  <c r="I114" i="1"/>
  <c r="V114" i="1"/>
  <c r="P114" i="1"/>
  <c r="AI114" i="1"/>
  <c r="AF114" i="1"/>
  <c r="Q111" i="40"/>
  <c r="AB114" i="1"/>
  <c r="Y114" i="1"/>
  <c r="W114" i="1"/>
  <c r="J111" i="40"/>
  <c r="K111" i="40"/>
  <c r="H111" i="40"/>
  <c r="X111" i="40"/>
  <c r="Y111" i="40"/>
  <c r="AG114" i="1"/>
  <c r="T111" i="40"/>
  <c r="AH111" i="40"/>
  <c r="K114" i="1"/>
  <c r="AC114" i="1"/>
  <c r="AE114" i="1"/>
  <c r="AA114" i="1"/>
  <c r="N111" i="40"/>
  <c r="O111" i="40"/>
  <c r="L111" i="40"/>
  <c r="I111" i="40"/>
  <c r="Z111" i="40"/>
  <c r="W111" i="40"/>
  <c r="U111" i="40"/>
  <c r="D18" i="25"/>
  <c r="C66" i="51"/>
  <c r="F20" i="25"/>
  <c r="M38" i="22" l="1"/>
  <c r="D40" i="45"/>
  <c r="D210" i="45" s="1"/>
  <c r="D40" i="43"/>
  <c r="F9" i="44"/>
  <c r="F9" i="22" s="1"/>
  <c r="E22" i="45"/>
  <c r="E22" i="43"/>
  <c r="D9" i="43"/>
  <c r="D40" i="44"/>
  <c r="E40" i="43"/>
  <c r="F40" i="43" s="1"/>
  <c r="F210" i="43" s="1"/>
  <c r="E9" i="44"/>
  <c r="E9" i="22" s="1"/>
  <c r="D22" i="44"/>
  <c r="D22" i="22" s="1"/>
  <c r="F22" i="43"/>
  <c r="E9" i="43"/>
  <c r="E9" i="45"/>
  <c r="D122" i="1"/>
  <c r="E40" i="44"/>
  <c r="E22" i="44"/>
  <c r="E22" i="22" s="1"/>
  <c r="D9" i="45"/>
  <c r="D22" i="45"/>
  <c r="T86" i="22"/>
  <c r="E211" i="44"/>
  <c r="E211" i="22" s="1"/>
  <c r="D204" i="44"/>
  <c r="D204" i="22" s="1"/>
  <c r="E210" i="43"/>
  <c r="E39" i="44"/>
  <c r="E39" i="22" s="1"/>
  <c r="E203" i="43"/>
  <c r="E39" i="43"/>
  <c r="E19" i="25"/>
  <c r="E18" i="25" s="1"/>
  <c r="R217" i="22"/>
  <c r="I116" i="22"/>
  <c r="R236" i="22"/>
  <c r="N237" i="22"/>
  <c r="N219" i="22"/>
  <c r="L217" i="22"/>
  <c r="AT16" i="15"/>
  <c r="AU16" i="15" s="1"/>
  <c r="F102" i="22"/>
  <c r="T236" i="22"/>
  <c r="N218" i="22"/>
  <c r="R86" i="22"/>
  <c r="AT17" i="15"/>
  <c r="AX17" i="15" s="1"/>
  <c r="J218" i="22"/>
  <c r="D102" i="22"/>
  <c r="M85" i="22"/>
  <c r="N217" i="22"/>
  <c r="P217" i="22"/>
  <c r="N48" i="22"/>
  <c r="R85" i="22"/>
  <c r="V85" i="22"/>
  <c r="K116" i="22"/>
  <c r="S236" i="22"/>
  <c r="P48" i="22"/>
  <c r="T217" i="22"/>
  <c r="M86" i="45"/>
  <c r="M86" i="22" s="1"/>
  <c r="U86" i="22"/>
  <c r="N236" i="22"/>
  <c r="O86" i="22"/>
  <c r="G4" i="1"/>
  <c r="G2" i="1" s="1"/>
  <c r="G93" i="1" s="1"/>
  <c r="D22" i="49"/>
  <c r="M217" i="22"/>
  <c r="M48" i="22"/>
  <c r="S86" i="22"/>
  <c r="C16" i="15"/>
  <c r="T85" i="22"/>
  <c r="P236" i="22"/>
  <c r="L236" i="22"/>
  <c r="G102" i="22"/>
  <c r="H102" i="22"/>
  <c r="T51" i="20"/>
  <c r="D28" i="49"/>
  <c r="U222" i="22"/>
  <c r="K218" i="22"/>
  <c r="C40" i="21"/>
  <c r="T48" i="20"/>
  <c r="F14" i="40"/>
  <c r="O85" i="22"/>
  <c r="U85" i="22"/>
  <c r="F95" i="1"/>
  <c r="F10" i="1"/>
  <c r="C17" i="25"/>
  <c r="C16" i="25" s="1"/>
  <c r="C15" i="25" s="1"/>
  <c r="V217" i="22"/>
  <c r="Q236" i="22"/>
  <c r="I217" i="22"/>
  <c r="E33" i="27"/>
  <c r="K49" i="52"/>
  <c r="D33" i="27"/>
  <c r="G133" i="22"/>
  <c r="C17" i="15"/>
  <c r="A18" i="15"/>
  <c r="C18" i="15" s="1"/>
  <c r="B17" i="15"/>
  <c r="S85" i="22"/>
  <c r="D16" i="15"/>
  <c r="B16" i="15"/>
  <c r="C23" i="21"/>
  <c r="T44" i="20" s="1"/>
  <c r="S38" i="22"/>
  <c r="T38" i="22"/>
  <c r="O19" i="29"/>
  <c r="K19" i="29"/>
  <c r="F21" i="25"/>
  <c r="A32" i="25"/>
  <c r="A33" i="25" s="1"/>
  <c r="A34" i="25" s="1"/>
  <c r="A35" i="25" s="1"/>
  <c r="A36" i="25" s="1"/>
  <c r="A37" i="25" s="1"/>
  <c r="A38" i="25" s="1"/>
  <c r="A39" i="25" s="1"/>
  <c r="A40" i="25" s="1"/>
  <c r="A41" i="25" s="1"/>
  <c r="A42" i="25" s="1"/>
  <c r="A43" i="25" s="1"/>
  <c r="A44" i="25" s="1"/>
  <c r="A45" i="25" s="1"/>
  <c r="A46" i="25" s="1"/>
  <c r="A47" i="25" s="1"/>
  <c r="A48" i="25" s="1"/>
  <c r="A49" i="25" s="1"/>
  <c r="A50" i="25" s="1"/>
  <c r="A51" i="25" s="1"/>
  <c r="A52" i="25" s="1"/>
  <c r="A53" i="25" s="1"/>
  <c r="D19" i="25"/>
  <c r="R34" i="15"/>
  <c r="S35" i="15"/>
  <c r="AH37" i="15"/>
  <c r="AG36" i="15"/>
  <c r="M5" i="29"/>
  <c r="M14" i="29" s="1"/>
  <c r="N5" i="29"/>
  <c r="N14" i="29" s="1"/>
  <c r="V35" i="15"/>
  <c r="W36" i="15"/>
  <c r="F64" i="1"/>
  <c r="N151" i="1"/>
  <c r="O151" i="1" s="1"/>
  <c r="P151" i="1" s="1"/>
  <c r="Q151" i="1" s="1"/>
  <c r="R151" i="1" s="1"/>
  <c r="S151" i="1" s="1"/>
  <c r="T151" i="1" s="1"/>
  <c r="U151" i="1" s="1"/>
  <c r="V151" i="1" s="1"/>
  <c r="W151" i="1" s="1"/>
  <c r="X151" i="1" s="1"/>
  <c r="Y151" i="1" s="1"/>
  <c r="Z151" i="1" s="1"/>
  <c r="AA151" i="1" s="1"/>
  <c r="AB151" i="1" s="1"/>
  <c r="AC151" i="1" s="1"/>
  <c r="AD151" i="1" s="1"/>
  <c r="AE151" i="1" s="1"/>
  <c r="AF151" i="1" s="1"/>
  <c r="AG151" i="1" s="1"/>
  <c r="AH151" i="1" s="1"/>
  <c r="AI151" i="1" s="1"/>
  <c r="AJ151" i="1" s="1"/>
  <c r="AK151" i="1" s="1"/>
  <c r="AL151" i="1" s="1"/>
  <c r="AM151" i="1" s="1"/>
  <c r="AN151" i="1" s="1"/>
  <c r="AO151" i="1" s="1"/>
  <c r="AP151" i="1" s="1"/>
  <c r="AQ151" i="1" s="1"/>
  <c r="AR151" i="1" s="1"/>
  <c r="AS151" i="1" s="1"/>
  <c r="AT151" i="1" s="1"/>
  <c r="AU151" i="1" s="1"/>
  <c r="AV151" i="1" s="1"/>
  <c r="AW151" i="1" s="1"/>
  <c r="AX151" i="1" s="1"/>
  <c r="AY151" i="1" s="1"/>
  <c r="AZ151" i="1" s="1"/>
  <c r="BA151" i="1" s="1"/>
  <c r="BB151" i="1" s="1"/>
  <c r="BC151" i="1" s="1"/>
  <c r="BD151" i="1" s="1"/>
  <c r="BE151" i="1" s="1"/>
  <c r="BF151" i="1" s="1"/>
  <c r="BG151" i="1" s="1"/>
  <c r="BH151" i="1" s="1"/>
  <c r="BI151" i="1" s="1"/>
  <c r="BJ151" i="1" s="1"/>
  <c r="BK151" i="1" s="1"/>
  <c r="BL151" i="1" s="1"/>
  <c r="BM151" i="1" s="1"/>
  <c r="BN151" i="1" s="1"/>
  <c r="BO151" i="1" s="1"/>
  <c r="BP151" i="1" s="1"/>
  <c r="BQ151" i="1" s="1"/>
  <c r="BR151" i="1" s="1"/>
  <c r="BS151" i="1" s="1"/>
  <c r="BT151" i="1" s="1"/>
  <c r="BU151" i="1" s="1"/>
  <c r="BV151" i="1" s="1"/>
  <c r="BW151" i="1" s="1"/>
  <c r="BX151" i="1" s="1"/>
  <c r="BY151" i="1" s="1"/>
  <c r="BZ151" i="1" s="1"/>
  <c r="CA151" i="1" s="1"/>
  <c r="CB151" i="1" s="1"/>
  <c r="CC151" i="1" s="1"/>
  <c r="CD151" i="1" s="1"/>
  <c r="CE151" i="1" s="1"/>
  <c r="CF151" i="1" s="1"/>
  <c r="CG151" i="1" s="1"/>
  <c r="CH151" i="1" s="1"/>
  <c r="W188" i="50" a="1"/>
  <c r="W203" i="50" s="1"/>
  <c r="G40" i="15"/>
  <c r="G43" i="15"/>
  <c r="G46" i="15"/>
  <c r="L4" i="29"/>
  <c r="L15" i="29" s="1"/>
  <c r="L16" i="29" s="1"/>
  <c r="L18" i="29" s="1"/>
  <c r="G36" i="15"/>
  <c r="G48" i="15"/>
  <c r="G45" i="15"/>
  <c r="G44" i="15"/>
  <c r="G47" i="15"/>
  <c r="AG35" i="15"/>
  <c r="G38" i="15"/>
  <c r="G37" i="15"/>
  <c r="AG33" i="15"/>
  <c r="L102" i="15"/>
  <c r="M176" i="15" s="1"/>
  <c r="M181" i="15" s="1"/>
  <c r="AT102" i="15"/>
  <c r="AU176" i="15" s="1"/>
  <c r="AU181" i="15" s="1"/>
  <c r="M102" i="15"/>
  <c r="N176" i="15" s="1"/>
  <c r="N181" i="15" s="1"/>
  <c r="BO102" i="15"/>
  <c r="BP176" i="15" s="1"/>
  <c r="BP181" i="15" s="1"/>
  <c r="BU101" i="15"/>
  <c r="BJ101" i="15"/>
  <c r="BK175" i="15" s="1"/>
  <c r="BK180" i="15" s="1"/>
  <c r="AS102" i="15"/>
  <c r="AT176" i="15" s="1"/>
  <c r="AT181" i="15" s="1"/>
  <c r="AH102" i="15"/>
  <c r="AI176" i="15" s="1"/>
  <c r="AI181" i="15" s="1"/>
  <c r="BT101" i="15"/>
  <c r="H101" i="15"/>
  <c r="I175" i="15" s="1"/>
  <c r="I180" i="15" s="1"/>
  <c r="N100" i="15"/>
  <c r="O174" i="15" s="1"/>
  <c r="O179" i="15" s="1"/>
  <c r="AI101" i="15"/>
  <c r="AJ175" i="15" s="1"/>
  <c r="AJ180" i="15" s="1"/>
  <c r="AG100" i="15"/>
  <c r="AH174" i="15" s="1"/>
  <c r="AH179" i="15" s="1"/>
  <c r="BS102" i="15"/>
  <c r="G102" i="15"/>
  <c r="H176" i="15" s="1"/>
  <c r="H181" i="15" s="1"/>
  <c r="M101" i="15"/>
  <c r="N175" i="15" s="1"/>
  <c r="N180" i="15" s="1"/>
  <c r="AR102" i="15"/>
  <c r="AS176" i="15" s="1"/>
  <c r="AS181" i="15" s="1"/>
  <c r="AC102" i="15"/>
  <c r="AD176" i="15" s="1"/>
  <c r="AD181" i="15" s="1"/>
  <c r="N102" i="15"/>
  <c r="O176" i="15" s="1"/>
  <c r="O181" i="15" s="1"/>
  <c r="Z100" i="15"/>
  <c r="AA174" i="15" s="1"/>
  <c r="AA179" i="15" s="1"/>
  <c r="AY102" i="15"/>
  <c r="AZ176" i="15" s="1"/>
  <c r="AZ181" i="15" s="1"/>
  <c r="T100" i="15"/>
  <c r="U174" i="15" s="1"/>
  <c r="U179" i="15" s="1"/>
  <c r="Z102" i="15"/>
  <c r="AA176" i="15" s="1"/>
  <c r="AA181" i="15" s="1"/>
  <c r="BE100" i="15"/>
  <c r="BF174" i="15" s="1"/>
  <c r="BF179" i="15" s="1"/>
  <c r="BQ101" i="15"/>
  <c r="BR175" i="15" s="1"/>
  <c r="BR180" i="15" s="1"/>
  <c r="BF101" i="15"/>
  <c r="BG175" i="15" s="1"/>
  <c r="BG180" i="15" s="1"/>
  <c r="AV101" i="15"/>
  <c r="AW175" i="15" s="1"/>
  <c r="AW180" i="15" s="1"/>
  <c r="AA100" i="15"/>
  <c r="AB174" i="15" s="1"/>
  <c r="AB179" i="15" s="1"/>
  <c r="P101" i="15"/>
  <c r="Q175" i="15" s="1"/>
  <c r="Q180" i="15" s="1"/>
  <c r="AW102" i="15"/>
  <c r="AX176" i="15" s="1"/>
  <c r="AX181" i="15" s="1"/>
  <c r="S101" i="15"/>
  <c r="T175" i="15" s="1"/>
  <c r="T180" i="15" s="1"/>
  <c r="AF100" i="15"/>
  <c r="AG174" i="15" s="1"/>
  <c r="AG179" i="15" s="1"/>
  <c r="DF120" i="50"/>
  <c r="DG120" i="50"/>
  <c r="AB102" i="15"/>
  <c r="AC176" i="15" s="1"/>
  <c r="AC181" i="15" s="1"/>
  <c r="X102" i="15"/>
  <c r="Y176" i="15" s="1"/>
  <c r="Y181" i="15" s="1"/>
  <c r="AX102" i="15"/>
  <c r="AY176" i="15" s="1"/>
  <c r="AY181" i="15" s="1"/>
  <c r="X101" i="15"/>
  <c r="Y175" i="15" s="1"/>
  <c r="Y180" i="15" s="1"/>
  <c r="AD100" i="15"/>
  <c r="AE174" i="15" s="1"/>
  <c r="AE179" i="15" s="1"/>
  <c r="AY101" i="15"/>
  <c r="AZ175" i="15" s="1"/>
  <c r="AZ180" i="15" s="1"/>
  <c r="AW100" i="15"/>
  <c r="AX174" i="15" s="1"/>
  <c r="AX179" i="15" s="1"/>
  <c r="W102" i="15"/>
  <c r="X176" i="15" s="1"/>
  <c r="X181" i="15" s="1"/>
  <c r="AC101" i="15"/>
  <c r="AD175" i="15" s="1"/>
  <c r="AD180" i="15" s="1"/>
  <c r="AI100" i="15"/>
  <c r="AJ174" i="15" s="1"/>
  <c r="AJ179" i="15" s="1"/>
  <c r="Y102" i="15"/>
  <c r="Z176" i="15" s="1"/>
  <c r="Z181" i="15" s="1"/>
  <c r="AN100" i="15"/>
  <c r="AO174" i="15" s="1"/>
  <c r="AO179" i="15" s="1"/>
  <c r="AD102" i="15"/>
  <c r="AE176" i="15" s="1"/>
  <c r="AE181" i="15" s="1"/>
  <c r="AJ101" i="15"/>
  <c r="AK175" i="15" s="1"/>
  <c r="AK180" i="15" s="1"/>
  <c r="BF100" i="15"/>
  <c r="BG174" i="15" s="1"/>
  <c r="BG179" i="15" s="1"/>
  <c r="G101" i="15"/>
  <c r="H175" i="15" s="1"/>
  <c r="H180" i="15" s="1"/>
  <c r="BK100" i="15"/>
  <c r="BL174" i="15" s="1"/>
  <c r="BL179" i="15" s="1"/>
  <c r="AT101" i="15"/>
  <c r="AU175" i="15" s="1"/>
  <c r="AU180" i="15" s="1"/>
  <c r="AL100" i="15"/>
  <c r="AM174" i="15" s="1"/>
  <c r="AM179" i="15" s="1"/>
  <c r="BW100" i="15"/>
  <c r="BA101" i="15"/>
  <c r="BB175" i="15" s="1"/>
  <c r="BB180" i="15" s="1"/>
  <c r="BR100" i="15"/>
  <c r="BS174" i="15" s="1"/>
  <c r="BS179" i="15" s="1"/>
  <c r="T102" i="15"/>
  <c r="U176" i="15" s="1"/>
  <c r="U181" i="15" s="1"/>
  <c r="DG128" i="50"/>
  <c r="DH128" i="50"/>
  <c r="DH130" i="50"/>
  <c r="DG130" i="50"/>
  <c r="DH122" i="50"/>
  <c r="DF122" i="50"/>
  <c r="DG121" i="50"/>
  <c r="DF121" i="50"/>
  <c r="H100" i="15"/>
  <c r="I174" i="15" s="1"/>
  <c r="I179" i="15" s="1"/>
  <c r="I100" i="15"/>
  <c r="J174" i="15" s="1"/>
  <c r="J179" i="15" s="1"/>
  <c r="Z101" i="15"/>
  <c r="AA175" i="15" s="1"/>
  <c r="AA180" i="15" s="1"/>
  <c r="AK101" i="15"/>
  <c r="AL175" i="15" s="1"/>
  <c r="AL180" i="15" s="1"/>
  <c r="F100" i="15"/>
  <c r="G174" i="15" s="1"/>
  <c r="G179" i="15" s="1"/>
  <c r="AV100" i="15"/>
  <c r="AW174" i="15" s="1"/>
  <c r="AW179" i="15" s="1"/>
  <c r="BG100" i="15"/>
  <c r="BH174" i="15" s="1"/>
  <c r="BH179" i="15" s="1"/>
  <c r="AQ101" i="15"/>
  <c r="AR175" i="15" s="1"/>
  <c r="AR180" i="15" s="1"/>
  <c r="BV102" i="15"/>
  <c r="BV101" i="15"/>
  <c r="O102" i="15"/>
  <c r="P176" i="15" s="1"/>
  <c r="P181" i="15" s="1"/>
  <c r="BB100" i="15"/>
  <c r="BC174" i="15" s="1"/>
  <c r="BC179" i="15" s="1"/>
  <c r="AZ102" i="15"/>
  <c r="BA176" i="15" s="1"/>
  <c r="BA181" i="15" s="1"/>
  <c r="BS101" i="15"/>
  <c r="AF101" i="15"/>
  <c r="AG175" i="15" s="1"/>
  <c r="AG180" i="15" s="1"/>
  <c r="AZ100" i="15"/>
  <c r="BA174" i="15" s="1"/>
  <c r="BA179" i="15" s="1"/>
  <c r="AN102" i="15"/>
  <c r="AO176" i="15" s="1"/>
  <c r="AO181" i="15" s="1"/>
  <c r="BI102" i="15"/>
  <c r="BJ176" i="15" s="1"/>
  <c r="BJ181" i="15" s="1"/>
  <c r="BE101" i="15"/>
  <c r="BF175" i="15" s="1"/>
  <c r="BF180" i="15" s="1"/>
  <c r="AS100" i="15"/>
  <c r="AT174" i="15" s="1"/>
  <c r="AT179" i="15" s="1"/>
  <c r="BP102" i="15"/>
  <c r="BQ176" i="15" s="1"/>
  <c r="BQ181" i="15" s="1"/>
  <c r="AP102" i="15"/>
  <c r="AQ176" i="15" s="1"/>
  <c r="AQ181" i="15" s="1"/>
  <c r="BO101" i="15"/>
  <c r="BP175" i="15" s="1"/>
  <c r="BP180" i="15" s="1"/>
  <c r="Y100" i="15"/>
  <c r="Z174" i="15" s="1"/>
  <c r="Z179" i="15" s="1"/>
  <c r="BL101" i="15"/>
  <c r="BM175" i="15" s="1"/>
  <c r="BM180" i="15" s="1"/>
  <c r="AJ102" i="15"/>
  <c r="AK176" i="15" s="1"/>
  <c r="AK181" i="15" s="1"/>
  <c r="AU102" i="15"/>
  <c r="AV176" i="15" s="1"/>
  <c r="AV181" i="15" s="1"/>
  <c r="DH124" i="50"/>
  <c r="DF119" i="50"/>
  <c r="DG119" i="50"/>
  <c r="CZ119" i="50"/>
  <c r="S41" i="54"/>
  <c r="J79" i="43" s="1"/>
  <c r="AB40" i="54"/>
  <c r="S79" i="44" s="1"/>
  <c r="S79" i="22" s="1"/>
  <c r="AC39" i="54"/>
  <c r="T79" i="45" s="1"/>
  <c r="U40" i="54"/>
  <c r="L79" i="44" s="1"/>
  <c r="L79" i="22" s="1"/>
  <c r="O41" i="54"/>
  <c r="F79" i="43" s="1"/>
  <c r="H6" i="57"/>
  <c r="R6" i="57"/>
  <c r="F19" i="12"/>
  <c r="F6" i="12" s="1"/>
  <c r="H31" i="12"/>
  <c r="F31" i="12" s="1"/>
  <c r="F18" i="12"/>
  <c r="F5" i="12" s="1"/>
  <c r="J66" i="12"/>
  <c r="P19" i="12"/>
  <c r="Q19" i="12" s="1"/>
  <c r="K19" i="12"/>
  <c r="L19" i="12" s="1"/>
  <c r="J62" i="12"/>
  <c r="J70" i="12"/>
  <c r="J78" i="12"/>
  <c r="S39" i="54"/>
  <c r="J79" i="45" s="1"/>
  <c r="AC41" i="54"/>
  <c r="T79" i="43" s="1"/>
  <c r="V41" i="54"/>
  <c r="M79" i="43" s="1"/>
  <c r="G31" i="12"/>
  <c r="Z6" i="57"/>
  <c r="F6" i="57"/>
  <c r="AE6" i="57"/>
  <c r="R19" i="12"/>
  <c r="J71" i="12"/>
  <c r="J65" i="12"/>
  <c r="J68" i="12"/>
  <c r="J76" i="12"/>
  <c r="AG236" i="50"/>
  <c r="AG229" i="50"/>
  <c r="AG231" i="50"/>
  <c r="AG230" i="50"/>
  <c r="P11" i="57"/>
  <c r="P12" i="57" s="1"/>
  <c r="Q9" i="57"/>
  <c r="G11" i="57"/>
  <c r="G12" i="57" s="1"/>
  <c r="H11" i="57"/>
  <c r="H12" i="57" s="1"/>
  <c r="AF11" i="57"/>
  <c r="AF12" i="57" s="1"/>
  <c r="AD11" i="57"/>
  <c r="AD12" i="57" s="1"/>
  <c r="E11" i="57"/>
  <c r="AC11" i="57"/>
  <c r="F11" i="57"/>
  <c r="F12" i="57" s="1"/>
  <c r="L11" i="57"/>
  <c r="L12" i="57" s="1"/>
  <c r="N11" i="57"/>
  <c r="N12" i="57" s="1"/>
  <c r="I11" i="57"/>
  <c r="I12" i="57" s="1"/>
  <c r="AE11" i="57"/>
  <c r="AE12" i="57" s="1"/>
  <c r="AG11" i="57"/>
  <c r="AG12" i="57" s="1"/>
  <c r="J11" i="57"/>
  <c r="J12" i="57" s="1"/>
  <c r="AB11" i="57"/>
  <c r="AB12" i="57" s="1"/>
  <c r="D11" i="57"/>
  <c r="D12" i="57" s="1"/>
  <c r="K11" i="57"/>
  <c r="K12" i="57" s="1"/>
  <c r="M11" i="57"/>
  <c r="O11" i="57"/>
  <c r="O12" i="57" s="1"/>
  <c r="M19" i="12"/>
  <c r="AC6" i="57"/>
  <c r="B6" i="57" s="1"/>
  <c r="C4" i="57" s="1"/>
  <c r="C5" i="57" s="1"/>
  <c r="J69" i="12"/>
  <c r="G47" i="12" s="1"/>
  <c r="J74" i="12"/>
  <c r="J63" i="12"/>
  <c r="J77" i="12"/>
  <c r="AF245" i="50"/>
  <c r="AF229" i="50"/>
  <c r="M120" i="45"/>
  <c r="O120" i="44"/>
  <c r="O120" i="22" s="1"/>
  <c r="K217" i="43"/>
  <c r="K217" i="22" s="1"/>
  <c r="BA163" i="15"/>
  <c r="H20" i="45"/>
  <c r="H54" i="45"/>
  <c r="H51" i="45"/>
  <c r="H53" i="44"/>
  <c r="H53" i="22" s="1"/>
  <c r="H135" i="44"/>
  <c r="H135" i="22" s="1"/>
  <c r="H112" i="45"/>
  <c r="H112" i="44"/>
  <c r="AH246" i="50"/>
  <c r="AH247" i="50"/>
  <c r="O217" i="43"/>
  <c r="O217" i="22" s="1"/>
  <c r="I218" i="43"/>
  <c r="I219" i="43" s="1"/>
  <c r="AY165" i="15"/>
  <c r="AW167" i="15"/>
  <c r="AW166" i="15"/>
  <c r="M10" i="57"/>
  <c r="M12" i="57" s="1"/>
  <c r="E10" i="57"/>
  <c r="E12" i="57" s="1"/>
  <c r="AC10" i="57"/>
  <c r="AC12" i="57" s="1"/>
  <c r="H20" i="44"/>
  <c r="H20" i="22" s="1"/>
  <c r="H120" i="45"/>
  <c r="H120" i="44"/>
  <c r="H120" i="22" s="1"/>
  <c r="AH234" i="50"/>
  <c r="AH243" i="50"/>
  <c r="D18" i="55"/>
  <c r="H11" i="55"/>
  <c r="AJ11" i="55"/>
  <c r="S11" i="55"/>
  <c r="AN11" i="55"/>
  <c r="X11" i="55"/>
  <c r="AE11" i="55"/>
  <c r="Y11" i="55"/>
  <c r="P11" i="55"/>
  <c r="AK11" i="55"/>
  <c r="AL11" i="55"/>
  <c r="V11" i="55"/>
  <c r="F11" i="55"/>
  <c r="E5" i="27"/>
  <c r="F5" i="27"/>
  <c r="G5" i="27"/>
  <c r="H5" i="27"/>
  <c r="K13" i="27"/>
  <c r="E13" i="27"/>
  <c r="F12" i="27"/>
  <c r="G12" i="27"/>
  <c r="H12" i="27"/>
  <c r="L50" i="15"/>
  <c r="M45" i="15"/>
  <c r="M46" i="15"/>
  <c r="F6" i="27"/>
  <c r="G6" i="27"/>
  <c r="H6" i="27"/>
  <c r="I5" i="27"/>
  <c r="M5" i="27"/>
  <c r="O5" i="27"/>
  <c r="D5" i="27"/>
  <c r="L5" i="27"/>
  <c r="O12" i="27"/>
  <c r="D12" i="27"/>
  <c r="L12" i="27"/>
  <c r="I12" i="27"/>
  <c r="M12" i="27"/>
  <c r="W243" i="50"/>
  <c r="P218" i="43"/>
  <c r="P218" i="22" s="1"/>
  <c r="P114" i="22"/>
  <c r="D204" i="45"/>
  <c r="D203" i="43"/>
  <c r="I6" i="27"/>
  <c r="M6" i="27"/>
  <c r="O6" i="27"/>
  <c r="D6" i="27"/>
  <c r="L6" i="27"/>
  <c r="G13" i="27"/>
  <c r="H13" i="27"/>
  <c r="F13" i="27"/>
  <c r="J13" i="27"/>
  <c r="K12" i="27"/>
  <c r="E12" i="27"/>
  <c r="F7" i="27"/>
  <c r="G7" i="27"/>
  <c r="H7" i="27"/>
  <c r="E7" i="27"/>
  <c r="X247" i="50"/>
  <c r="W233" i="50"/>
  <c r="D203" i="45"/>
  <c r="D205" i="45"/>
  <c r="E6" i="27"/>
  <c r="K6" i="27"/>
  <c r="D13" i="27"/>
  <c r="L13" i="27"/>
  <c r="I13" i="27"/>
  <c r="M13" i="27"/>
  <c r="O13" i="27"/>
  <c r="O7" i="27"/>
  <c r="D7" i="27"/>
  <c r="L7" i="27"/>
  <c r="I7" i="27"/>
  <c r="M7" i="27"/>
  <c r="W247" i="50"/>
  <c r="P120" i="44"/>
  <c r="P120" i="22" s="1"/>
  <c r="E122" i="45"/>
  <c r="N44" i="54"/>
  <c r="E85" i="45" s="1"/>
  <c r="E86" i="45" s="1"/>
  <c r="I112" i="44"/>
  <c r="T112" i="44"/>
  <c r="J112" i="45"/>
  <c r="K112" i="44"/>
  <c r="AB45" i="54"/>
  <c r="M44" i="54"/>
  <c r="D85" i="45" s="1"/>
  <c r="D86" i="45" s="1"/>
  <c r="F122" i="45"/>
  <c r="AD44" i="54"/>
  <c r="AC244" i="50"/>
  <c r="K112" i="45"/>
  <c r="AF240" i="50"/>
  <c r="AE227" i="50"/>
  <c r="BL243" i="50"/>
  <c r="BL228" i="50"/>
  <c r="AF241" i="50"/>
  <c r="AH237" i="50"/>
  <c r="AH230" i="50"/>
  <c r="AH232" i="50"/>
  <c r="AH235" i="50"/>
  <c r="AH233" i="50"/>
  <c r="AH231" i="50"/>
  <c r="AH228" i="50"/>
  <c r="AH244" i="50"/>
  <c r="AH242" i="50"/>
  <c r="AG241" i="50"/>
  <c r="AG248" i="50"/>
  <c r="AG228" i="50"/>
  <c r="L218" i="43"/>
  <c r="X229" i="50"/>
  <c r="W227" i="50"/>
  <c r="W240" i="50"/>
  <c r="W248" i="50"/>
  <c r="W244" i="50"/>
  <c r="E203" i="45"/>
  <c r="E204" i="45"/>
  <c r="E205" i="45"/>
  <c r="E211" i="45"/>
  <c r="D211" i="43"/>
  <c r="E39" i="45"/>
  <c r="AE234" i="50"/>
  <c r="AE246" i="50"/>
  <c r="X242" i="50"/>
  <c r="AF247" i="50"/>
  <c r="AF243" i="50"/>
  <c r="AC247" i="50"/>
  <c r="AE233" i="50"/>
  <c r="AE236" i="50"/>
  <c r="AE243" i="50"/>
  <c r="AB248" i="50"/>
  <c r="C129" i="40"/>
  <c r="V86" i="22"/>
  <c r="L237" i="22"/>
  <c r="M236" i="22"/>
  <c r="D19" i="12"/>
  <c r="I19" i="12" s="1"/>
  <c r="Y201" i="50"/>
  <c r="Y188" i="50"/>
  <c r="BM197" i="50"/>
  <c r="I232" i="22"/>
  <c r="J222" i="22"/>
  <c r="J217" i="22"/>
  <c r="O232" i="22"/>
  <c r="M232" i="22"/>
  <c r="L232" i="22"/>
  <c r="J232" i="22"/>
  <c r="K222" i="22"/>
  <c r="M219" i="22"/>
  <c r="U217" i="22"/>
  <c r="Q217" i="22"/>
  <c r="H6" i="12"/>
  <c r="AF231" i="50"/>
  <c r="AF242" i="50"/>
  <c r="AF227" i="50"/>
  <c r="AF238" i="50"/>
  <c r="K39" i="52"/>
  <c r="Y194" i="50"/>
  <c r="BM190" i="50"/>
  <c r="BM201" i="50"/>
  <c r="Y207" i="50"/>
  <c r="X232" i="50"/>
  <c r="X245" i="50"/>
  <c r="X231" i="50"/>
  <c r="AC241" i="50"/>
  <c r="AC228" i="50"/>
  <c r="AC243" i="50"/>
  <c r="AE237" i="50"/>
  <c r="AE242" i="50"/>
  <c r="AE240" i="50"/>
  <c r="AE231" i="50"/>
  <c r="AE247" i="50"/>
  <c r="AB241" i="50"/>
  <c r="AB247" i="50"/>
  <c r="O22" i="12"/>
  <c r="E8" i="12"/>
  <c r="J22" i="12"/>
  <c r="F38" i="22"/>
  <c r="Y198" i="50"/>
  <c r="BM196" i="50"/>
  <c r="Y191" i="50"/>
  <c r="Y205" i="50"/>
  <c r="BM231" i="50"/>
  <c r="BM239" i="50"/>
  <c r="BM247" i="50"/>
  <c r="BM232" i="50"/>
  <c r="BM246" i="50"/>
  <c r="BM242" i="50"/>
  <c r="E5" i="12"/>
  <c r="H86" i="44"/>
  <c r="H86" i="22" s="1"/>
  <c r="AF236" i="50"/>
  <c r="AF237" i="50"/>
  <c r="AH239" i="50"/>
  <c r="AH240" i="50"/>
  <c r="AH238" i="50"/>
  <c r="AG233" i="50"/>
  <c r="AG243" i="50"/>
  <c r="AG240" i="50"/>
  <c r="AG245" i="50"/>
  <c r="AG238" i="50"/>
  <c r="AG234" i="50"/>
  <c r="I218" i="45"/>
  <c r="I219" i="45" s="1"/>
  <c r="X248" i="50"/>
  <c r="X241" i="50"/>
  <c r="X227" i="50"/>
  <c r="X228" i="50"/>
  <c r="W237" i="50"/>
  <c r="W232" i="50"/>
  <c r="W241" i="50"/>
  <c r="W228" i="50"/>
  <c r="Y204" i="50"/>
  <c r="BM200" i="50"/>
  <c r="Y197" i="50"/>
  <c r="BM191" i="50"/>
  <c r="BM229" i="50"/>
  <c r="BM237" i="50"/>
  <c r="BM245" i="50"/>
  <c r="BM244" i="50"/>
  <c r="BM238" i="50"/>
  <c r="BM234" i="50"/>
  <c r="AG235" i="50"/>
  <c r="AG232" i="50"/>
  <c r="AG237" i="50"/>
  <c r="AG247" i="50"/>
  <c r="AG244" i="50"/>
  <c r="N232" i="22"/>
  <c r="AC230" i="50"/>
  <c r="AC248" i="50"/>
  <c r="AD241" i="50"/>
  <c r="AD232" i="50"/>
  <c r="AD238" i="50"/>
  <c r="AD239" i="50"/>
  <c r="AB236" i="50"/>
  <c r="AB235" i="50"/>
  <c r="AD229" i="50"/>
  <c r="C46" i="2"/>
  <c r="BM235" i="50"/>
  <c r="BM243" i="50"/>
  <c r="BM236" i="50"/>
  <c r="BM248" i="50"/>
  <c r="BM230" i="50"/>
  <c r="AG227" i="50"/>
  <c r="AG246" i="50"/>
  <c r="AG242" i="50"/>
  <c r="AG239" i="50"/>
  <c r="X244" i="50"/>
  <c r="X238" i="50"/>
  <c r="X235" i="50"/>
  <c r="W238" i="50"/>
  <c r="W235" i="50"/>
  <c r="W234" i="50"/>
  <c r="W239" i="50"/>
  <c r="W230" i="50"/>
  <c r="S49" i="54"/>
  <c r="K85" i="22"/>
  <c r="AD237" i="50"/>
  <c r="AD228" i="50"/>
  <c r="AD248" i="50"/>
  <c r="AD235" i="50"/>
  <c r="AB232" i="50"/>
  <c r="AB231" i="50"/>
  <c r="AA229" i="50"/>
  <c r="AO34" i="15"/>
  <c r="AO35" i="15" s="1"/>
  <c r="AO36" i="15" s="1"/>
  <c r="AO37" i="15" s="1"/>
  <c r="AO38" i="15" s="1"/>
  <c r="AO39" i="15" s="1"/>
  <c r="AO40" i="15" s="1"/>
  <c r="AO41" i="15" s="1"/>
  <c r="AO42" i="15" s="1"/>
  <c r="AO43" i="15" s="1"/>
  <c r="AO44" i="15" s="1"/>
  <c r="AO45" i="15" s="1"/>
  <c r="AO46" i="15" s="1"/>
  <c r="AO47" i="15" s="1"/>
  <c r="AO48" i="15" s="1"/>
  <c r="AO49" i="15" s="1"/>
  <c r="AO50" i="15" s="1"/>
  <c r="AO51" i="15" s="1"/>
  <c r="AO52" i="15" s="1"/>
  <c r="AO53" i="15" s="1"/>
  <c r="AO54" i="15" s="1"/>
  <c r="AO55" i="15" s="1"/>
  <c r="AO56" i="15" s="1"/>
  <c r="AO57" i="15" s="1"/>
  <c r="AO58" i="15" s="1"/>
  <c r="AO59" i="15" s="1"/>
  <c r="AO60" i="15" s="1"/>
  <c r="AO61" i="15" s="1"/>
  <c r="AO62" i="15" s="1"/>
  <c r="AO63" i="15" s="1"/>
  <c r="AO64" i="15" s="1"/>
  <c r="AO65" i="15" s="1"/>
  <c r="AO66" i="15" s="1"/>
  <c r="AO67" i="15" s="1"/>
  <c r="AO68" i="15" s="1"/>
  <c r="AO69" i="15" s="1"/>
  <c r="AO70" i="15" s="1"/>
  <c r="AO71" i="15" s="1"/>
  <c r="AO72" i="15" s="1"/>
  <c r="AO73" i="15" s="1"/>
  <c r="AO74" i="15" s="1"/>
  <c r="AO75" i="15" s="1"/>
  <c r="AO76" i="15" s="1"/>
  <c r="AO77" i="15" s="1"/>
  <c r="AO78" i="15" s="1"/>
  <c r="AC245" i="50"/>
  <c r="AC232" i="50"/>
  <c r="AC234" i="50"/>
  <c r="AD242" i="50"/>
  <c r="AD244" i="50"/>
  <c r="AD227" i="50"/>
  <c r="AB245" i="50"/>
  <c r="AB230" i="50"/>
  <c r="AB234" i="50"/>
  <c r="F57" i="40"/>
  <c r="F91" i="40"/>
  <c r="G4" i="40"/>
  <c r="F211" i="43"/>
  <c r="F205" i="43"/>
  <c r="F203" i="43"/>
  <c r="F204" i="43"/>
  <c r="F204" i="45"/>
  <c r="F39" i="45"/>
  <c r="F211" i="45"/>
  <c r="F210" i="45"/>
  <c r="F205" i="45"/>
  <c r="F203" i="45"/>
  <c r="BL246" i="50"/>
  <c r="BL242" i="50"/>
  <c r="AL17" i="15"/>
  <c r="D17" i="15" s="1"/>
  <c r="Y202" i="50"/>
  <c r="Y190" i="50"/>
  <c r="BM198" i="50"/>
  <c r="BM188" i="50"/>
  <c r="Y193" i="50"/>
  <c r="BM199" i="50"/>
  <c r="BM189" i="50"/>
  <c r="BM207" i="50"/>
  <c r="BL229" i="50"/>
  <c r="BL237" i="50"/>
  <c r="BL245" i="50"/>
  <c r="BL236" i="50"/>
  <c r="BL232" i="50"/>
  <c r="N85" i="22"/>
  <c r="AF248" i="50"/>
  <c r="AF234" i="50"/>
  <c r="AF228" i="50"/>
  <c r="AF235" i="50"/>
  <c r="AF246" i="50"/>
  <c r="Y245" i="50"/>
  <c r="Y242" i="50"/>
  <c r="Y235" i="50"/>
  <c r="Y228" i="50"/>
  <c r="Y244" i="50"/>
  <c r="P232" i="22"/>
  <c r="P85" i="22"/>
  <c r="AC233" i="50"/>
  <c r="AC231" i="50"/>
  <c r="AC238" i="50"/>
  <c r="AC236" i="50"/>
  <c r="AC227" i="50"/>
  <c r="AC242" i="50"/>
  <c r="AE241" i="50"/>
  <c r="AE228" i="50"/>
  <c r="AE244" i="50"/>
  <c r="AE235" i="50"/>
  <c r="AE230" i="50"/>
  <c r="AB233" i="50"/>
  <c r="AB238" i="50"/>
  <c r="AB240" i="50"/>
  <c r="AB242" i="50"/>
  <c r="AB239" i="50"/>
  <c r="AB246" i="50"/>
  <c r="Y247" i="50"/>
  <c r="AN18" i="15"/>
  <c r="T43" i="20"/>
  <c r="D40" i="22"/>
  <c r="Y196" i="50"/>
  <c r="BM204" i="50"/>
  <c r="BM192" i="50"/>
  <c r="Y199" i="50"/>
  <c r="Y189" i="50"/>
  <c r="BM193" i="50"/>
  <c r="Y206" i="50"/>
  <c r="BL233" i="50"/>
  <c r="BL241" i="50"/>
  <c r="BL248" i="50"/>
  <c r="BL238" i="50"/>
  <c r="BL227" i="50"/>
  <c r="AF232" i="50"/>
  <c r="AF239" i="50"/>
  <c r="AF233" i="50"/>
  <c r="AF244" i="50"/>
  <c r="AF230" i="50"/>
  <c r="X240" i="50"/>
  <c r="X237" i="50"/>
  <c r="X234" i="50"/>
  <c r="X243" i="50"/>
  <c r="Y237" i="50"/>
  <c r="Y234" i="50"/>
  <c r="Y227" i="50"/>
  <c r="Y243" i="50"/>
  <c r="Y236" i="50"/>
  <c r="Y229" i="50"/>
  <c r="D85" i="22"/>
  <c r="I85" i="22"/>
  <c r="Y241" i="50"/>
  <c r="Y238" i="50"/>
  <c r="Y231" i="50"/>
  <c r="Y240" i="50"/>
  <c r="M218" i="22"/>
  <c r="D203" i="44"/>
  <c r="D203" i="22" s="1"/>
  <c r="D205" i="44"/>
  <c r="D205" i="22" s="1"/>
  <c r="D210" i="44"/>
  <c r="D210" i="22" s="1"/>
  <c r="BL231" i="50"/>
  <c r="BL239" i="50"/>
  <c r="BL247" i="50"/>
  <c r="BL244" i="50"/>
  <c r="BL240" i="50"/>
  <c r="BL230" i="50"/>
  <c r="X236" i="50"/>
  <c r="X233" i="50"/>
  <c r="X230" i="50"/>
  <c r="X246" i="50"/>
  <c r="W245" i="50"/>
  <c r="W229" i="50"/>
  <c r="W242" i="50"/>
  <c r="W231" i="50"/>
  <c r="Y233" i="50"/>
  <c r="Y230" i="50"/>
  <c r="Y246" i="50"/>
  <c r="Y239" i="50"/>
  <c r="Y232" i="50"/>
  <c r="AC237" i="50"/>
  <c r="AC239" i="50"/>
  <c r="AC246" i="50"/>
  <c r="AC240" i="50"/>
  <c r="AC235" i="50"/>
  <c r="AD233" i="50"/>
  <c r="AD230" i="50"/>
  <c r="AD236" i="50"/>
  <c r="AD234" i="50"/>
  <c r="AD231" i="50"/>
  <c r="AE245" i="50"/>
  <c r="AE232" i="50"/>
  <c r="AE248" i="50"/>
  <c r="AE239" i="50"/>
  <c r="AE238" i="50"/>
  <c r="AA236" i="50"/>
  <c r="AA235" i="50"/>
  <c r="AA230" i="50"/>
  <c r="AA246" i="50"/>
  <c r="AB237" i="50"/>
  <c r="AB228" i="50"/>
  <c r="AB244" i="50"/>
  <c r="AB227" i="50"/>
  <c r="AB243" i="50"/>
  <c r="AT15" i="15"/>
  <c r="AZ15" i="15" s="1"/>
  <c r="L48" i="22"/>
  <c r="N86" i="22"/>
  <c r="L86" i="22"/>
  <c r="E38" i="22"/>
  <c r="P38" i="22"/>
  <c r="E23" i="25"/>
  <c r="F22" i="25"/>
  <c r="AT18" i="15"/>
  <c r="K232" i="22"/>
  <c r="P86" i="22"/>
  <c r="BA17" i="15"/>
  <c r="Q85" i="22"/>
  <c r="E102" i="22"/>
  <c r="I222" i="22"/>
  <c r="T34" i="20"/>
  <c r="J116" i="22"/>
  <c r="L85" i="22"/>
  <c r="J219" i="22"/>
  <c r="K219" i="22"/>
  <c r="Q86" i="22"/>
  <c r="S217" i="22"/>
  <c r="V222" i="22"/>
  <c r="O236" i="22"/>
  <c r="AV17" i="15"/>
  <c r="D36" i="21"/>
  <c r="D37" i="21" s="1"/>
  <c r="D38" i="21" s="1"/>
  <c r="C46" i="21" s="1"/>
  <c r="C28" i="2"/>
  <c r="C29" i="2" s="1"/>
  <c r="BO227" i="50" a="1"/>
  <c r="BO232" i="50" s="1"/>
  <c r="G38" i="22"/>
  <c r="Q38" i="22"/>
  <c r="O38" i="22"/>
  <c r="F18" i="25"/>
  <c r="E17" i="25"/>
  <c r="AT14" i="15"/>
  <c r="F19" i="25"/>
  <c r="O219" i="43"/>
  <c r="O219" i="22" s="1"/>
  <c r="O218" i="22"/>
  <c r="F89" i="40"/>
  <c r="F1" i="40"/>
  <c r="G153" i="1"/>
  <c r="G97" i="1" s="1"/>
  <c r="F1" i="1"/>
  <c r="T35" i="20"/>
  <c r="F33" i="27"/>
  <c r="S5" i="27" s="1"/>
  <c r="D20" i="25"/>
  <c r="C21" i="25"/>
  <c r="E19" i="12"/>
  <c r="Y200" i="50"/>
  <c r="Y192" i="50"/>
  <c r="BM202" i="50"/>
  <c r="BM194" i="50"/>
  <c r="Y203" i="50"/>
  <c r="Y195" i="50"/>
  <c r="BM203" i="50"/>
  <c r="BM195" i="50"/>
  <c r="BM205" i="50"/>
  <c r="C25" i="21"/>
  <c r="BP227" i="50" a="1"/>
  <c r="AA188" i="50" a="1"/>
  <c r="BL188" i="50" a="1"/>
  <c r="X188" i="50" a="1"/>
  <c r="BO188" i="50" a="1"/>
  <c r="H38" i="22"/>
  <c r="D38" i="22"/>
  <c r="AK155" i="50" a="1"/>
  <c r="G2" i="22"/>
  <c r="B109" i="20" s="1"/>
  <c r="B132" i="20" s="1"/>
  <c r="BK188" i="50" a="1"/>
  <c r="N38" i="22"/>
  <c r="H133" i="22"/>
  <c r="Z188" i="50" a="1"/>
  <c r="BN188" i="50" a="1"/>
  <c r="AC155" i="50" a="1"/>
  <c r="BQ155" i="50" a="1"/>
  <c r="AC188" i="50" a="1"/>
  <c r="BQ188" i="50" a="1"/>
  <c r="Z227" i="50" a="1"/>
  <c r="AL155" i="50" a="1"/>
  <c r="BN227" i="50" a="1"/>
  <c r="B34" i="51"/>
  <c r="F6" i="2"/>
  <c r="G51" i="2" s="1"/>
  <c r="AE188" i="50" l="1" a="1"/>
  <c r="AE202" i="50" s="1"/>
  <c r="BR188" i="50" a="1"/>
  <c r="BR188" i="50" s="1"/>
  <c r="AD188" i="50" a="1"/>
  <c r="AD203" i="50" s="1"/>
  <c r="BS188" i="50" a="1"/>
  <c r="BS204" i="50" s="1"/>
  <c r="D39" i="43"/>
  <c r="D210" i="43"/>
  <c r="D204" i="43"/>
  <c r="F39" i="43"/>
  <c r="D211" i="45"/>
  <c r="D39" i="45"/>
  <c r="E211" i="43"/>
  <c r="E205" i="43"/>
  <c r="E204" i="43"/>
  <c r="E204" i="44"/>
  <c r="E204" i="22" s="1"/>
  <c r="F40" i="44"/>
  <c r="E205" i="44"/>
  <c r="E205" i="22" s="1"/>
  <c r="E210" i="44"/>
  <c r="E210" i="22" s="1"/>
  <c r="E40" i="22"/>
  <c r="E203" i="44"/>
  <c r="E203" i="22" s="1"/>
  <c r="D39" i="44"/>
  <c r="D39" i="22" s="1"/>
  <c r="D211" i="44"/>
  <c r="D211" i="22" s="1"/>
  <c r="D205" i="43"/>
  <c r="F21" i="40"/>
  <c r="AY16" i="15"/>
  <c r="F17" i="1"/>
  <c r="T56" i="20" s="1"/>
  <c r="BA16" i="15"/>
  <c r="AW16" i="15"/>
  <c r="AZ16" i="15"/>
  <c r="AV16" i="15"/>
  <c r="AX16" i="15"/>
  <c r="AY17" i="15"/>
  <c r="AE195" i="50"/>
  <c r="P219" i="43"/>
  <c r="P219" i="22" s="1"/>
  <c r="AZ17" i="15"/>
  <c r="AU17" i="15"/>
  <c r="AW17" i="15"/>
  <c r="H4" i="1"/>
  <c r="H10" i="1" s="1"/>
  <c r="G64" i="1"/>
  <c r="W198" i="50"/>
  <c r="W188" i="50"/>
  <c r="AE193" i="50"/>
  <c r="W207" i="50"/>
  <c r="W175" i="50" s="1"/>
  <c r="G154" i="1"/>
  <c r="G1" i="1"/>
  <c r="G17" i="1" s="1"/>
  <c r="AE196" i="50"/>
  <c r="AE207" i="50"/>
  <c r="AE203" i="50"/>
  <c r="G95" i="1"/>
  <c r="BA15" i="15"/>
  <c r="AE198" i="50"/>
  <c r="AE197" i="50"/>
  <c r="G10" i="1"/>
  <c r="E28" i="49"/>
  <c r="E22" i="49"/>
  <c r="W204" i="50"/>
  <c r="AE192" i="50"/>
  <c r="AE188" i="50"/>
  <c r="AE208" i="50"/>
  <c r="AE190" i="50"/>
  <c r="AE189" i="50"/>
  <c r="AE199" i="50"/>
  <c r="AE191" i="50"/>
  <c r="D23" i="21"/>
  <c r="U44" i="20" s="1"/>
  <c r="AE194" i="50"/>
  <c r="P7" i="27"/>
  <c r="F65" i="2" s="1"/>
  <c r="I219" i="22"/>
  <c r="AV15" i="15"/>
  <c r="C14" i="25"/>
  <c r="D14" i="25" s="1"/>
  <c r="D15" i="25"/>
  <c r="D17" i="25"/>
  <c r="AW15" i="15"/>
  <c r="BT188" i="50" a="1"/>
  <c r="BT196" i="50" s="1"/>
  <c r="I218" i="22"/>
  <c r="AF188" i="50" a="1"/>
  <c r="AF190" i="50" s="1"/>
  <c r="W196" i="50"/>
  <c r="AE209" i="50"/>
  <c r="AE206" i="50"/>
  <c r="AE205" i="50"/>
  <c r="AE204" i="50"/>
  <c r="B18" i="15"/>
  <c r="A19" i="15"/>
  <c r="B19" i="15" s="1"/>
  <c r="L219" i="43"/>
  <c r="L219" i="22" s="1"/>
  <c r="L218" i="22"/>
  <c r="N19" i="12"/>
  <c r="D6" i="12" s="1"/>
  <c r="W201" i="50"/>
  <c r="W200" i="50"/>
  <c r="W199" i="50"/>
  <c r="W209" i="50"/>
  <c r="W177" i="50" s="1"/>
  <c r="W197" i="50"/>
  <c r="W205" i="50"/>
  <c r="BO228" i="50"/>
  <c r="W190" i="50"/>
  <c r="W193" i="50"/>
  <c r="W194" i="50"/>
  <c r="W191" i="50"/>
  <c r="W202" i="50"/>
  <c r="W189" i="50"/>
  <c r="W208" i="50"/>
  <c r="W176" i="50" s="1"/>
  <c r="W192" i="50"/>
  <c r="BA167" i="15"/>
  <c r="BB163" i="15"/>
  <c r="BA165" i="15"/>
  <c r="BA166" i="15"/>
  <c r="Q10" i="57"/>
  <c r="Q11" i="57"/>
  <c r="R9" i="57"/>
  <c r="W195" i="50"/>
  <c r="W206" i="50"/>
  <c r="W173" i="50" s="1"/>
  <c r="S36" i="15"/>
  <c r="R35" i="15"/>
  <c r="H73" i="45"/>
  <c r="H48" i="45" s="1"/>
  <c r="E73" i="45"/>
  <c r="E48" i="45" s="1"/>
  <c r="E73" i="43"/>
  <c r="E48" i="43" s="1"/>
  <c r="E73" i="44"/>
  <c r="H73" i="44"/>
  <c r="F73" i="43"/>
  <c r="F48" i="43" s="1"/>
  <c r="G73" i="45"/>
  <c r="G48" i="45" s="1"/>
  <c r="D73" i="44"/>
  <c r="G73" i="44"/>
  <c r="H73" i="43"/>
  <c r="H48" i="43" s="1"/>
  <c r="F73" i="45"/>
  <c r="F48" i="45" s="1"/>
  <c r="D73" i="43"/>
  <c r="D48" i="43" s="1"/>
  <c r="D73" i="45"/>
  <c r="D48" i="45" s="1"/>
  <c r="F73" i="44"/>
  <c r="G73" i="43"/>
  <c r="G48" i="43" s="1"/>
  <c r="N15" i="29"/>
  <c r="N16" i="29" s="1"/>
  <c r="N18" i="29" s="1"/>
  <c r="O20" i="29"/>
  <c r="M15" i="29"/>
  <c r="M16" i="29" s="1"/>
  <c r="M18" i="29" s="1"/>
  <c r="M50" i="15"/>
  <c r="L51" i="15"/>
  <c r="V36" i="15"/>
  <c r="W37" i="15"/>
  <c r="AG37" i="15"/>
  <c r="AH38" i="15"/>
  <c r="P16" i="29"/>
  <c r="P18" i="29" s="1"/>
  <c r="BO247" i="50"/>
  <c r="AE201" i="50"/>
  <c r="BO240" i="50"/>
  <c r="BO239" i="50"/>
  <c r="BO241" i="50"/>
  <c r="BO242" i="50"/>
  <c r="BO233" i="50"/>
  <c r="BO237" i="50"/>
  <c r="E46" i="21"/>
  <c r="C49" i="21"/>
  <c r="BO238" i="50"/>
  <c r="BO244" i="50"/>
  <c r="BO248" i="50"/>
  <c r="BO229" i="50"/>
  <c r="BO245" i="50"/>
  <c r="BO235" i="50"/>
  <c r="BO227" i="50"/>
  <c r="BO230" i="50"/>
  <c r="AE200" i="50"/>
  <c r="D16" i="25"/>
  <c r="AX15" i="15"/>
  <c r="AY15" i="15"/>
  <c r="AU15" i="15"/>
  <c r="G14" i="40"/>
  <c r="G2" i="40"/>
  <c r="G57" i="40"/>
  <c r="H4" i="40"/>
  <c r="G91" i="40"/>
  <c r="AM18" i="15"/>
  <c r="AN19" i="15"/>
  <c r="AL18" i="15"/>
  <c r="D18" i="15" s="1"/>
  <c r="BO234" i="50"/>
  <c r="BO246" i="50"/>
  <c r="BO231" i="50"/>
  <c r="BO243" i="50"/>
  <c r="BO236" i="50"/>
  <c r="E24" i="25"/>
  <c r="AT19" i="15"/>
  <c r="F23" i="25"/>
  <c r="BA18" i="15"/>
  <c r="AY18" i="15"/>
  <c r="AX18" i="15"/>
  <c r="AW18" i="15"/>
  <c r="AU18" i="15"/>
  <c r="AV18" i="15"/>
  <c r="AZ18" i="15"/>
  <c r="F67" i="1"/>
  <c r="F20" i="1"/>
  <c r="F58" i="1"/>
  <c r="F59" i="1"/>
  <c r="F72" i="1"/>
  <c r="F24" i="40"/>
  <c r="F52" i="40"/>
  <c r="F51" i="40"/>
  <c r="F60" i="40"/>
  <c r="F65" i="40"/>
  <c r="F32" i="40"/>
  <c r="F55" i="40"/>
  <c r="E16" i="25"/>
  <c r="AT13" i="15"/>
  <c r="F17" i="25"/>
  <c r="AV14" i="15"/>
  <c r="BA14" i="15"/>
  <c r="AU14" i="15"/>
  <c r="AY14" i="15"/>
  <c r="AZ14" i="15"/>
  <c r="AX14" i="15"/>
  <c r="AW14" i="15"/>
  <c r="F7" i="1"/>
  <c r="U50" i="20"/>
  <c r="B22" i="8"/>
  <c r="D22" i="8" s="1"/>
  <c r="E22" i="8" s="1"/>
  <c r="F22" i="8" s="1"/>
  <c r="G22" i="8" s="1"/>
  <c r="H22" i="8" s="1"/>
  <c r="I22" i="8" s="1"/>
  <c r="J22" i="8" s="1"/>
  <c r="K22" i="8" s="1"/>
  <c r="L22" i="8" s="1"/>
  <c r="M22" i="8" s="1"/>
  <c r="N22" i="8" s="1"/>
  <c r="O22" i="8" s="1"/>
  <c r="P22" i="8" s="1"/>
  <c r="Q22" i="8" s="1"/>
  <c r="R22" i="8" s="1"/>
  <c r="S22" i="8" s="1"/>
  <c r="T22" i="8" s="1"/>
  <c r="U22" i="8" s="1"/>
  <c r="V22" i="8" s="1"/>
  <c r="W22" i="8" s="1"/>
  <c r="X22" i="8" s="1"/>
  <c r="Y22" i="8" s="1"/>
  <c r="Z22" i="8" s="1"/>
  <c r="AA22" i="8" s="1"/>
  <c r="AB22" i="8" s="1"/>
  <c r="AC22" i="8" s="1"/>
  <c r="AD22" i="8" s="1"/>
  <c r="H28" i="52"/>
  <c r="H47" i="52" s="1"/>
  <c r="N5" i="52"/>
  <c r="B4" i="8"/>
  <c r="D3" i="8" s="1"/>
  <c r="E3" i="8" s="1"/>
  <c r="F3" i="8" s="1"/>
  <c r="G3" i="8" s="1"/>
  <c r="H3" i="8" s="1"/>
  <c r="I3" i="8" s="1"/>
  <c r="J3" i="8" s="1"/>
  <c r="K3" i="8" s="1"/>
  <c r="L3" i="8" s="1"/>
  <c r="M3" i="8" s="1"/>
  <c r="N3" i="8" s="1"/>
  <c r="F7" i="40"/>
  <c r="B14" i="8"/>
  <c r="B10" i="8"/>
  <c r="D10" i="8" s="1"/>
  <c r="E10" i="8" s="1"/>
  <c r="F10" i="8" s="1"/>
  <c r="G10" i="8" s="1"/>
  <c r="H10" i="8" s="1"/>
  <c r="I10" i="8" s="1"/>
  <c r="J10" i="8" s="1"/>
  <c r="K10" i="8" s="1"/>
  <c r="L10" i="8" s="1"/>
  <c r="M10" i="8" s="1"/>
  <c r="N10" i="8" s="1"/>
  <c r="O10" i="8" s="1"/>
  <c r="P10" i="8" s="1"/>
  <c r="Q10" i="8" s="1"/>
  <c r="R10" i="8" s="1"/>
  <c r="S10" i="8" s="1"/>
  <c r="T10" i="8" s="1"/>
  <c r="U10" i="8" s="1"/>
  <c r="V10" i="8" s="1"/>
  <c r="W10" i="8" s="1"/>
  <c r="X10" i="8" s="1"/>
  <c r="Y10" i="8" s="1"/>
  <c r="Z10" i="8" s="1"/>
  <c r="AA10" i="8" s="1"/>
  <c r="AB10" i="8" s="1"/>
  <c r="AC10" i="8" s="1"/>
  <c r="AD10" i="8" s="1"/>
  <c r="D39" i="21"/>
  <c r="B12" i="8"/>
  <c r="D12" i="8" s="1"/>
  <c r="E12" i="8" s="1"/>
  <c r="F12" i="8" s="1"/>
  <c r="G12" i="8" s="1"/>
  <c r="H12" i="8" s="1"/>
  <c r="I12" i="8" s="1"/>
  <c r="J12" i="8" s="1"/>
  <c r="K12" i="8" s="1"/>
  <c r="L12" i="8" s="1"/>
  <c r="M12" i="8" s="1"/>
  <c r="N12" i="8" s="1"/>
  <c r="O12" i="8" s="1"/>
  <c r="P12" i="8" s="1"/>
  <c r="Q12" i="8" s="1"/>
  <c r="R12" i="8" s="1"/>
  <c r="S12" i="8" s="1"/>
  <c r="T12" i="8" s="1"/>
  <c r="U12" i="8" s="1"/>
  <c r="V12" i="8" s="1"/>
  <c r="W12" i="8" s="1"/>
  <c r="X12" i="8" s="1"/>
  <c r="Y12" i="8" s="1"/>
  <c r="Z12" i="8" s="1"/>
  <c r="AA12" i="8" s="1"/>
  <c r="AB12" i="8" s="1"/>
  <c r="AC12" i="8" s="1"/>
  <c r="AD12" i="8" s="1"/>
  <c r="B19" i="8"/>
  <c r="D19" i="8" s="1"/>
  <c r="E19" i="8" s="1"/>
  <c r="F19" i="8" s="1"/>
  <c r="G19" i="8" s="1"/>
  <c r="H19" i="8" s="1"/>
  <c r="I19" i="8" s="1"/>
  <c r="J19" i="8" s="1"/>
  <c r="K19" i="8" s="1"/>
  <c r="L19" i="8" s="1"/>
  <c r="M19" i="8" s="1"/>
  <c r="N19" i="8" s="1"/>
  <c r="O19" i="8" s="1"/>
  <c r="P19" i="8" s="1"/>
  <c r="Q19" i="8" s="1"/>
  <c r="R19" i="8" s="1"/>
  <c r="S19" i="8" s="1"/>
  <c r="T19" i="8" s="1"/>
  <c r="U19" i="8" s="1"/>
  <c r="V19" i="8" s="1"/>
  <c r="W19" i="8" s="1"/>
  <c r="X19" i="8" s="1"/>
  <c r="Y19" i="8" s="1"/>
  <c r="Z19" i="8" s="1"/>
  <c r="AA19" i="8" s="1"/>
  <c r="AB19" i="8" s="1"/>
  <c r="AC19" i="8" s="1"/>
  <c r="AD19" i="8" s="1"/>
  <c r="D25" i="21"/>
  <c r="T45" i="20"/>
  <c r="C27" i="21"/>
  <c r="B1" i="25"/>
  <c r="C60" i="51" s="1"/>
  <c r="O19" i="12"/>
  <c r="J19" i="12"/>
  <c r="C22" i="25"/>
  <c r="D21" i="25"/>
  <c r="G33" i="27"/>
  <c r="H67" i="52"/>
  <c r="H68" i="52" s="1"/>
  <c r="H70" i="52" s="1"/>
  <c r="U49" i="20"/>
  <c r="BN227" i="50"/>
  <c r="BN240" i="50"/>
  <c r="BN246" i="50"/>
  <c r="BN243" i="50"/>
  <c r="BN229" i="50"/>
  <c r="BN241" i="50"/>
  <c r="BN234" i="50"/>
  <c r="BN248" i="50"/>
  <c r="BN228" i="50"/>
  <c r="BN235" i="50"/>
  <c r="BN247" i="50"/>
  <c r="BN233" i="50"/>
  <c r="BN238" i="50"/>
  <c r="BN237" i="50"/>
  <c r="BN230" i="50"/>
  <c r="BN245" i="50"/>
  <c r="BN244" i="50"/>
  <c r="BN236" i="50"/>
  <c r="BN242" i="50"/>
  <c r="BN239" i="50"/>
  <c r="BN232" i="50"/>
  <c r="BN231" i="50"/>
  <c r="AC189" i="50"/>
  <c r="AC206" i="50"/>
  <c r="AC194" i="50"/>
  <c r="AC188" i="50"/>
  <c r="AC205" i="50"/>
  <c r="AC193" i="50"/>
  <c r="AC192" i="50"/>
  <c r="AC196" i="50"/>
  <c r="AC203" i="50"/>
  <c r="AC208" i="50"/>
  <c r="AC190" i="50"/>
  <c r="AC199" i="50"/>
  <c r="AC201" i="50"/>
  <c r="AC191" i="50"/>
  <c r="AC195" i="50"/>
  <c r="AC197" i="50"/>
  <c r="AC202" i="50"/>
  <c r="AC204" i="50"/>
  <c r="AC200" i="50"/>
  <c r="AC198" i="50"/>
  <c r="AC207" i="50"/>
  <c r="AC209" i="50"/>
  <c r="Z201" i="50"/>
  <c r="Z190" i="50"/>
  <c r="Z200" i="50"/>
  <c r="Z189" i="50"/>
  <c r="Z199" i="50"/>
  <c r="Z193" i="50"/>
  <c r="Z203" i="50"/>
  <c r="Z192" i="50"/>
  <c r="Z202" i="50"/>
  <c r="Z191" i="50"/>
  <c r="Z198" i="50"/>
  <c r="Z197" i="50"/>
  <c r="Z196" i="50"/>
  <c r="Z206" i="50"/>
  <c r="Z205" i="50"/>
  <c r="Z204" i="50"/>
  <c r="Z208" i="50"/>
  <c r="Z195" i="50"/>
  <c r="Z188" i="50"/>
  <c r="Z209" i="50"/>
  <c r="Z207" i="50"/>
  <c r="Z194" i="50"/>
  <c r="BP155" i="50" a="1"/>
  <c r="AB155" i="50" a="1"/>
  <c r="X190" i="50"/>
  <c r="X206" i="50"/>
  <c r="X201" i="50"/>
  <c r="X199" i="50"/>
  <c r="X196" i="50"/>
  <c r="X195" i="50"/>
  <c r="X194" i="50"/>
  <c r="X189" i="50"/>
  <c r="X205" i="50"/>
  <c r="X207" i="50"/>
  <c r="X200" i="50"/>
  <c r="X203" i="50"/>
  <c r="X202" i="50"/>
  <c r="X191" i="50"/>
  <c r="X208" i="50"/>
  <c r="X198" i="50"/>
  <c r="X209" i="50"/>
  <c r="X204" i="50"/>
  <c r="X192" i="50"/>
  <c r="X188" i="50"/>
  <c r="X193" i="50"/>
  <c r="X197" i="50"/>
  <c r="AD204" i="50"/>
  <c r="AD202" i="50"/>
  <c r="AD195" i="50"/>
  <c r="AD190" i="50"/>
  <c r="AD197" i="50"/>
  <c r="AD201" i="50"/>
  <c r="BQ201" i="50"/>
  <c r="BQ207" i="50"/>
  <c r="BQ195" i="50"/>
  <c r="BQ192" i="50"/>
  <c r="BQ196" i="50"/>
  <c r="BQ209" i="50"/>
  <c r="BQ189" i="50"/>
  <c r="BQ203" i="50"/>
  <c r="BQ202" i="50"/>
  <c r="BQ206" i="50"/>
  <c r="BQ199" i="50"/>
  <c r="BQ200" i="50"/>
  <c r="BQ190" i="50"/>
  <c r="BQ191" i="50"/>
  <c r="BQ208" i="50"/>
  <c r="BQ198" i="50"/>
  <c r="BQ188" i="50"/>
  <c r="BQ194" i="50"/>
  <c r="BQ205" i="50"/>
  <c r="BQ193" i="50"/>
  <c r="BQ197" i="50"/>
  <c r="BQ204" i="50"/>
  <c r="BN188" i="50"/>
  <c r="BN191" i="50"/>
  <c r="BN197" i="50"/>
  <c r="BN204" i="50"/>
  <c r="BN190" i="50"/>
  <c r="BN202" i="50"/>
  <c r="BN193" i="50"/>
  <c r="BN199" i="50"/>
  <c r="BN205" i="50"/>
  <c r="BN196" i="50"/>
  <c r="BN208" i="50"/>
  <c r="BN194" i="50"/>
  <c r="BN189" i="50"/>
  <c r="BN198" i="50"/>
  <c r="BN207" i="50"/>
  <c r="BN206" i="50"/>
  <c r="BN203" i="50"/>
  <c r="BN195" i="50"/>
  <c r="BN201" i="50"/>
  <c r="BN200" i="50"/>
  <c r="BN209" i="50"/>
  <c r="BN192" i="50"/>
  <c r="BK201" i="50"/>
  <c r="BK167" i="50" s="1"/>
  <c r="BK191" i="50"/>
  <c r="BK158" i="50" s="1"/>
  <c r="BK207" i="50"/>
  <c r="BK173" i="50" s="1"/>
  <c r="BK198" i="50"/>
  <c r="BK164" i="50" s="1"/>
  <c r="BK208" i="50"/>
  <c r="BK175" i="50" s="1"/>
  <c r="BK192" i="50"/>
  <c r="BK159" i="50" s="1"/>
  <c r="BK194" i="50"/>
  <c r="BK160" i="50" s="1"/>
  <c r="BK196" i="50"/>
  <c r="BK162" i="50" s="1"/>
  <c r="BK189" i="50"/>
  <c r="BK156" i="50" s="1"/>
  <c r="BK205" i="50"/>
  <c r="BK171" i="50" s="1"/>
  <c r="BK203" i="50"/>
  <c r="BK169" i="50" s="1"/>
  <c r="BK188" i="50"/>
  <c r="BK155" i="50" s="1"/>
  <c r="BK195" i="50"/>
  <c r="BK161" i="50" s="1"/>
  <c r="BK209" i="50"/>
  <c r="BK176" i="50" s="1"/>
  <c r="BK206" i="50"/>
  <c r="BK172" i="50" s="1"/>
  <c r="BK200" i="50"/>
  <c r="BK166" i="50" s="1"/>
  <c r="BK204" i="50"/>
  <c r="BK170" i="50" s="1"/>
  <c r="BK190" i="50"/>
  <c r="BK157" i="50" s="1"/>
  <c r="BK197" i="50"/>
  <c r="BK163" i="50" s="1"/>
  <c r="BK193" i="50"/>
  <c r="BK199" i="50"/>
  <c r="BK165" i="50" s="1"/>
  <c r="BK202" i="50"/>
  <c r="BK168" i="50" s="1"/>
  <c r="AK171" i="50"/>
  <c r="AK170" i="50"/>
  <c r="AK173" i="50"/>
  <c r="AK160" i="50"/>
  <c r="AK167" i="50"/>
  <c r="AK155" i="50"/>
  <c r="AK175" i="50"/>
  <c r="AK174" i="50"/>
  <c r="AK168" i="50"/>
  <c r="AK164" i="50"/>
  <c r="AK176" i="50"/>
  <c r="AK158" i="50"/>
  <c r="AK172" i="50"/>
  <c r="AK166" i="50"/>
  <c r="AK156" i="50"/>
  <c r="AK162" i="50"/>
  <c r="AK169" i="50"/>
  <c r="AK165" i="50"/>
  <c r="AK157" i="50"/>
  <c r="AK161" i="50"/>
  <c r="AK159" i="50"/>
  <c r="AK163" i="50"/>
  <c r="BR197" i="50"/>
  <c r="BR204" i="50"/>
  <c r="BR199" i="50"/>
  <c r="BR194" i="50"/>
  <c r="BR192" i="50"/>
  <c r="BR208" i="50"/>
  <c r="BR203" i="50"/>
  <c r="BR209" i="50"/>
  <c r="BR195" i="50"/>
  <c r="BR206" i="50"/>
  <c r="BR191" i="50"/>
  <c r="BR202" i="50"/>
  <c r="BR193" i="50"/>
  <c r="BR189" i="50"/>
  <c r="BR196" i="50"/>
  <c r="BR207" i="50"/>
  <c r="AA199" i="50"/>
  <c r="AA209" i="50"/>
  <c r="AA198" i="50"/>
  <c r="AA208" i="50"/>
  <c r="AA197" i="50"/>
  <c r="AA191" i="50"/>
  <c r="AA201" i="50"/>
  <c r="AA190" i="50"/>
  <c r="AA200" i="50"/>
  <c r="AA189" i="50"/>
  <c r="AA196" i="50"/>
  <c r="AA195" i="50"/>
  <c r="AA194" i="50"/>
  <c r="AA204" i="50"/>
  <c r="AA203" i="50"/>
  <c r="AA202" i="50"/>
  <c r="AA207" i="50"/>
  <c r="AA205" i="50"/>
  <c r="AA188" i="50"/>
  <c r="AA192" i="50"/>
  <c r="AA193" i="50"/>
  <c r="AA206" i="50"/>
  <c r="BP227" i="50"/>
  <c r="BQ236" i="50"/>
  <c r="BP230" i="50"/>
  <c r="BP228" i="50"/>
  <c r="BP233" i="50"/>
  <c r="BQ230" i="50"/>
  <c r="BP247" i="50"/>
  <c r="BQ245" i="50"/>
  <c r="BP229" i="50"/>
  <c r="BQ234" i="50"/>
  <c r="BQ246" i="50"/>
  <c r="BP235" i="50"/>
  <c r="BP236" i="50"/>
  <c r="BQ237" i="50"/>
  <c r="BP248" i="50"/>
  <c r="BQ244" i="50"/>
  <c r="BQ231" i="50"/>
  <c r="BP242" i="50"/>
  <c r="BQ242" i="50"/>
  <c r="BP240" i="50"/>
  <c r="BQ248" i="50"/>
  <c r="BQ239" i="50"/>
  <c r="BP244" i="50"/>
  <c r="BP241" i="50"/>
  <c r="BP243" i="50"/>
  <c r="BP232" i="50"/>
  <c r="BQ247" i="50"/>
  <c r="BP234" i="50"/>
  <c r="BQ241" i="50"/>
  <c r="BQ238" i="50"/>
  <c r="BQ229" i="50"/>
  <c r="BQ240" i="50"/>
  <c r="BP239" i="50"/>
  <c r="BP245" i="50"/>
  <c r="BP238" i="50"/>
  <c r="BQ227" i="50"/>
  <c r="BP246" i="50"/>
  <c r="BP237" i="50"/>
  <c r="BQ233" i="50"/>
  <c r="BQ235" i="50"/>
  <c r="BQ228" i="50"/>
  <c r="BQ243" i="50"/>
  <c r="BP231" i="50"/>
  <c r="BQ232" i="50"/>
  <c r="Z230" i="50"/>
  <c r="Z228" i="50"/>
  <c r="Z240" i="50"/>
  <c r="Z241" i="50"/>
  <c r="Z232" i="50"/>
  <c r="Z243" i="50"/>
  <c r="Z248" i="50"/>
  <c r="Z235" i="50"/>
  <c r="Z247" i="50"/>
  <c r="Z236" i="50"/>
  <c r="Z239" i="50"/>
  <c r="Z237" i="50"/>
  <c r="Z233" i="50"/>
  <c r="Z231" i="50"/>
  <c r="Z238" i="50"/>
  <c r="Z229" i="50"/>
  <c r="Z242" i="50"/>
  <c r="Z244" i="50"/>
  <c r="Z245" i="50"/>
  <c r="Z227" i="50"/>
  <c r="Z246" i="50"/>
  <c r="Z234" i="50"/>
  <c r="AF157" i="50"/>
  <c r="AD169" i="50"/>
  <c r="AF174" i="50"/>
  <c r="AF158" i="50"/>
  <c r="AD170" i="50"/>
  <c r="AF175" i="50"/>
  <c r="AD158" i="50"/>
  <c r="AH169" i="50"/>
  <c r="AD175" i="50"/>
  <c r="AH157" i="50"/>
  <c r="AF169" i="50"/>
  <c r="AH174" i="50"/>
  <c r="AF162" i="50"/>
  <c r="AE174" i="50"/>
  <c r="AC169" i="50"/>
  <c r="AG163" i="50"/>
  <c r="AE158" i="50"/>
  <c r="AD164" i="50"/>
  <c r="AC176" i="50"/>
  <c r="AG170" i="50"/>
  <c r="AE165" i="50"/>
  <c r="AC160" i="50"/>
  <c r="AH165" i="50"/>
  <c r="AF160" i="50"/>
  <c r="AE172" i="50"/>
  <c r="AC167" i="50"/>
  <c r="AG161" i="50"/>
  <c r="AE156" i="50"/>
  <c r="AH160" i="50"/>
  <c r="AG172" i="50"/>
  <c r="AE167" i="50"/>
  <c r="AC162" i="50"/>
  <c r="AG156" i="50"/>
  <c r="AH158" i="50"/>
  <c r="AF170" i="50"/>
  <c r="AH175" i="50"/>
  <c r="AD166" i="50"/>
  <c r="AF171" i="50"/>
  <c r="AH176" i="50"/>
  <c r="AF159" i="50"/>
  <c r="AD171" i="50"/>
  <c r="AF176" i="50"/>
  <c r="AD159" i="50"/>
  <c r="AH170" i="50"/>
  <c r="AD176" i="50"/>
  <c r="AD161" i="50"/>
  <c r="AC173" i="50"/>
  <c r="AG167" i="50"/>
  <c r="AE162" i="50"/>
  <c r="AC157" i="50"/>
  <c r="AH162" i="50"/>
  <c r="AG174" i="50"/>
  <c r="AE169" i="50"/>
  <c r="AC164" i="50"/>
  <c r="AG158" i="50"/>
  <c r="AF164" i="50"/>
  <c r="AE176" i="50"/>
  <c r="AC171" i="50"/>
  <c r="AG165" i="50"/>
  <c r="AE160" i="50"/>
  <c r="AH164" i="50"/>
  <c r="AG176" i="50"/>
  <c r="AE171" i="50"/>
  <c r="AC166" i="50"/>
  <c r="AG160" i="50"/>
  <c r="AE155" i="50"/>
  <c r="AH167" i="50"/>
  <c r="AD157" i="50"/>
  <c r="AD174" i="50"/>
  <c r="AF168" i="50"/>
  <c r="AF156" i="50"/>
  <c r="AF173" i="50"/>
  <c r="AG175" i="50"/>
  <c r="AC165" i="50"/>
  <c r="AF165" i="50"/>
  <c r="AC172" i="50"/>
  <c r="AE161" i="50"/>
  <c r="AH161" i="50"/>
  <c r="AE168" i="50"/>
  <c r="AG157" i="50"/>
  <c r="AC174" i="50"/>
  <c r="AE163" i="50"/>
  <c r="AF166" i="50"/>
  <c r="AH155" i="50"/>
  <c r="AH172" i="50"/>
  <c r="AD167" i="50"/>
  <c r="AD155" i="50"/>
  <c r="AD172" i="50"/>
  <c r="AH159" i="50"/>
  <c r="AE166" i="50"/>
  <c r="AG155" i="50"/>
  <c r="AE173" i="50"/>
  <c r="AG162" i="50"/>
  <c r="AD163" i="50"/>
  <c r="AG169" i="50"/>
  <c r="AC159" i="50"/>
  <c r="AE175" i="50"/>
  <c r="AG164" i="50"/>
  <c r="AD173" i="50"/>
  <c r="AH156" i="50"/>
  <c r="AD168" i="50"/>
  <c r="AE170" i="50"/>
  <c r="AD160" i="50"/>
  <c r="AC156" i="50"/>
  <c r="AC163" i="50"/>
  <c r="AG168" i="50"/>
  <c r="AH171" i="50"/>
  <c r="AF155" i="50"/>
  <c r="AH166" i="50"/>
  <c r="AG171" i="50"/>
  <c r="AF161" i="50"/>
  <c r="AE157" i="50"/>
  <c r="AE164" i="50"/>
  <c r="AC170" i="50"/>
  <c r="AF167" i="50"/>
  <c r="AF172" i="50"/>
  <c r="AD165" i="50"/>
  <c r="AC161" i="50"/>
  <c r="AC168" i="50"/>
  <c r="AC175" i="50"/>
  <c r="AF163" i="50"/>
  <c r="AE159" i="50"/>
  <c r="AD156" i="50"/>
  <c r="AH168" i="50"/>
  <c r="AH173" i="50"/>
  <c r="AH163" i="50"/>
  <c r="AG159" i="50"/>
  <c r="AG166" i="50"/>
  <c r="AG173" i="50"/>
  <c r="AD162" i="50"/>
  <c r="AC158" i="50"/>
  <c r="AC155" i="50"/>
  <c r="BO201" i="50"/>
  <c r="BO207" i="50"/>
  <c r="BO195" i="50"/>
  <c r="BO192" i="50"/>
  <c r="BO196" i="50"/>
  <c r="BO209" i="50"/>
  <c r="BO189" i="50"/>
  <c r="BO203" i="50"/>
  <c r="BO202" i="50"/>
  <c r="BO206" i="50"/>
  <c r="BO193" i="50"/>
  <c r="BO205" i="50"/>
  <c r="BO204" i="50"/>
  <c r="BO188" i="50"/>
  <c r="BO197" i="50"/>
  <c r="BO194" i="50"/>
  <c r="BO199" i="50"/>
  <c r="BO190" i="50"/>
  <c r="BO191" i="50"/>
  <c r="BO198" i="50"/>
  <c r="BO208" i="50"/>
  <c r="BO200" i="50"/>
  <c r="BL202" i="50"/>
  <c r="BL192" i="50"/>
  <c r="BL201" i="50"/>
  <c r="BL191" i="50"/>
  <c r="BL204" i="50"/>
  <c r="BL188" i="50"/>
  <c r="BL200" i="50"/>
  <c r="BL190" i="50"/>
  <c r="BL199" i="50"/>
  <c r="BL189" i="50"/>
  <c r="BL203" i="50"/>
  <c r="BL206" i="50"/>
  <c r="BL205" i="50"/>
  <c r="BL195" i="50"/>
  <c r="BL198" i="50"/>
  <c r="BL197" i="50"/>
  <c r="BL193" i="50"/>
  <c r="BL208" i="50"/>
  <c r="BL209" i="50"/>
  <c r="BL207" i="50"/>
  <c r="BL194" i="50"/>
  <c r="BL196" i="50"/>
  <c r="AF192" i="50"/>
  <c r="AL157" i="50"/>
  <c r="AL175" i="50"/>
  <c r="AL164" i="50"/>
  <c r="AL171" i="50"/>
  <c r="AL167" i="50"/>
  <c r="AL163" i="50"/>
  <c r="AL166" i="50"/>
  <c r="AL165" i="50"/>
  <c r="AL158" i="50"/>
  <c r="AL168" i="50"/>
  <c r="AL162" i="50"/>
  <c r="AL161" i="50"/>
  <c r="AL176" i="50"/>
  <c r="AL169" i="50"/>
  <c r="AL172" i="50"/>
  <c r="AL159" i="50"/>
  <c r="AL173" i="50"/>
  <c r="AL155" i="50"/>
  <c r="AL174" i="50"/>
  <c r="AL170" i="50"/>
  <c r="AL160" i="50"/>
  <c r="AL156" i="50"/>
  <c r="BQ155" i="50"/>
  <c r="BR159" i="50"/>
  <c r="BT164" i="50"/>
  <c r="BV169" i="50"/>
  <c r="BR175" i="50"/>
  <c r="BV158" i="50"/>
  <c r="BR164" i="50"/>
  <c r="BT169" i="50"/>
  <c r="BV174" i="50"/>
  <c r="BT158" i="50"/>
  <c r="BV163" i="50"/>
  <c r="BR169" i="50"/>
  <c r="BT174" i="50"/>
  <c r="BR158" i="50"/>
  <c r="BT163" i="50"/>
  <c r="BV168" i="50"/>
  <c r="BR174" i="50"/>
  <c r="BS174" i="50"/>
  <c r="BQ169" i="50"/>
  <c r="BU163" i="50"/>
  <c r="BS158" i="50"/>
  <c r="BU174" i="50"/>
  <c r="BS169" i="50"/>
  <c r="BQ164" i="50"/>
  <c r="BU158" i="50"/>
  <c r="BQ175" i="50"/>
  <c r="BU169" i="50"/>
  <c r="BS164" i="50"/>
  <c r="BQ159" i="50"/>
  <c r="BS175" i="50"/>
  <c r="BQ170" i="50"/>
  <c r="BU164" i="50"/>
  <c r="BS159" i="50"/>
  <c r="BR155" i="50"/>
  <c r="BT160" i="50"/>
  <c r="BV165" i="50"/>
  <c r="BR171" i="50"/>
  <c r="BT176" i="50"/>
  <c r="BR160" i="50"/>
  <c r="BT165" i="50"/>
  <c r="BV170" i="50"/>
  <c r="BR176" i="50"/>
  <c r="BV159" i="50"/>
  <c r="BR165" i="50"/>
  <c r="BT170" i="50"/>
  <c r="BV175" i="50"/>
  <c r="BT159" i="50"/>
  <c r="BV164" i="50"/>
  <c r="BR170" i="50"/>
  <c r="BT175" i="50"/>
  <c r="BQ173" i="50"/>
  <c r="BU167" i="50"/>
  <c r="BS162" i="50"/>
  <c r="BQ157" i="50"/>
  <c r="BS173" i="50"/>
  <c r="BQ168" i="50"/>
  <c r="BU162" i="50"/>
  <c r="BS157" i="50"/>
  <c r="BU173" i="50"/>
  <c r="BS168" i="50"/>
  <c r="BQ163" i="50"/>
  <c r="BU157" i="50"/>
  <c r="BQ174" i="50"/>
  <c r="BU168" i="50"/>
  <c r="BS163" i="50"/>
  <c r="BQ158" i="50"/>
  <c r="BR163" i="50"/>
  <c r="BV173" i="50"/>
  <c r="BV162" i="50"/>
  <c r="BT173" i="50"/>
  <c r="BT162" i="50"/>
  <c r="BR173" i="50"/>
  <c r="BR162" i="50"/>
  <c r="BV172" i="50"/>
  <c r="BS170" i="50"/>
  <c r="BU159" i="50"/>
  <c r="BU170" i="50"/>
  <c r="BQ160" i="50"/>
  <c r="BQ171" i="50"/>
  <c r="BS160" i="50"/>
  <c r="BS171" i="50"/>
  <c r="BU160" i="50"/>
  <c r="BV161" i="50"/>
  <c r="BT172" i="50"/>
  <c r="BT161" i="50"/>
  <c r="BR172" i="50"/>
  <c r="BR161" i="50"/>
  <c r="BV171" i="50"/>
  <c r="BV160" i="50"/>
  <c r="BT171" i="50"/>
  <c r="BU171" i="50"/>
  <c r="BQ161" i="50"/>
  <c r="BQ172" i="50"/>
  <c r="BS161" i="50"/>
  <c r="BS172" i="50"/>
  <c r="BU161" i="50"/>
  <c r="BU172" i="50"/>
  <c r="BQ162" i="50"/>
  <c r="BV157" i="50"/>
  <c r="BT157" i="50"/>
  <c r="BR157" i="50"/>
  <c r="BV156" i="50"/>
  <c r="BU175" i="50"/>
  <c r="BQ176" i="50"/>
  <c r="BS176" i="50"/>
  <c r="BU176" i="50"/>
  <c r="BS155" i="50"/>
  <c r="BT156" i="50"/>
  <c r="BR156" i="50"/>
  <c r="BV155" i="50"/>
  <c r="BT155" i="50"/>
  <c r="BV176" i="50"/>
  <c r="BU155" i="50"/>
  <c r="BQ156" i="50"/>
  <c r="BS156" i="50"/>
  <c r="BU156" i="50"/>
  <c r="BR167" i="50"/>
  <c r="BV166" i="50"/>
  <c r="BT166" i="50"/>
  <c r="BR166" i="50"/>
  <c r="BS166" i="50"/>
  <c r="BU166" i="50"/>
  <c r="BQ167" i="50"/>
  <c r="BS167" i="50"/>
  <c r="BT168" i="50"/>
  <c r="BR168" i="50"/>
  <c r="BV167" i="50"/>
  <c r="BT167" i="50"/>
  <c r="BQ165" i="50"/>
  <c r="BS165" i="50"/>
  <c r="BU165" i="50"/>
  <c r="BQ166" i="50"/>
  <c r="B20" i="51"/>
  <c r="AD209" i="50" l="1"/>
  <c r="AD191" i="50"/>
  <c r="AD192" i="50"/>
  <c r="AD198" i="50"/>
  <c r="AD206" i="50"/>
  <c r="AD188" i="50"/>
  <c r="BR200" i="50"/>
  <c r="BR190" i="50"/>
  <c r="BR205" i="50"/>
  <c r="BR198" i="50"/>
  <c r="BR201" i="50"/>
  <c r="BS197" i="50"/>
  <c r="BS202" i="50"/>
  <c r="BS193" i="50"/>
  <c r="BS188" i="50"/>
  <c r="AD200" i="50"/>
  <c r="AD189" i="50"/>
  <c r="AD205" i="50"/>
  <c r="AD207" i="50"/>
  <c r="AD193" i="50"/>
  <c r="BS206" i="50"/>
  <c r="BS190" i="50"/>
  <c r="BS195" i="50"/>
  <c r="AD208" i="50"/>
  <c r="AD199" i="50"/>
  <c r="AD194" i="50"/>
  <c r="AD196" i="50"/>
  <c r="BS196" i="50"/>
  <c r="BS203" i="50"/>
  <c r="G72" i="1"/>
  <c r="BS194" i="50"/>
  <c r="BS192" i="50"/>
  <c r="BS191" i="50"/>
  <c r="BS208" i="50"/>
  <c r="BS198" i="50"/>
  <c r="BS207" i="50"/>
  <c r="BS201" i="50"/>
  <c r="BS199" i="50"/>
  <c r="BS205" i="50"/>
  <c r="BS209" i="50"/>
  <c r="BS200" i="50"/>
  <c r="BS189" i="50"/>
  <c r="F39" i="44"/>
  <c r="F39" i="22" s="1"/>
  <c r="F210" i="44"/>
  <c r="F210" i="22" s="1"/>
  <c r="F204" i="44"/>
  <c r="F204" i="22" s="1"/>
  <c r="F203" i="44"/>
  <c r="F203" i="22" s="1"/>
  <c r="F211" i="44"/>
  <c r="F211" i="22" s="1"/>
  <c r="F205" i="44"/>
  <c r="F205" i="22" s="1"/>
  <c r="F40" i="22"/>
  <c r="F36" i="12"/>
  <c r="H2" i="1"/>
  <c r="H1" i="1" s="1"/>
  <c r="H17" i="1" s="1"/>
  <c r="G67" i="1"/>
  <c r="H95" i="1"/>
  <c r="G7" i="1"/>
  <c r="F28" i="49"/>
  <c r="G68" i="1"/>
  <c r="I4" i="1"/>
  <c r="G22" i="49" s="1"/>
  <c r="F22" i="49"/>
  <c r="H64" i="1"/>
  <c r="AF203" i="50"/>
  <c r="AF200" i="50"/>
  <c r="AF191" i="50"/>
  <c r="BT199" i="50"/>
  <c r="G20" i="1"/>
  <c r="G59" i="1"/>
  <c r="G58" i="1"/>
  <c r="C13" i="25"/>
  <c r="D13" i="25" s="1"/>
  <c r="BT203" i="50"/>
  <c r="BT191" i="50"/>
  <c r="BT207" i="50"/>
  <c r="BT202" i="50"/>
  <c r="BT190" i="50"/>
  <c r="BT198" i="50"/>
  <c r="AF205" i="50"/>
  <c r="AF207" i="50"/>
  <c r="BT188" i="50"/>
  <c r="AF194" i="50"/>
  <c r="AF199" i="50"/>
  <c r="BT197" i="50"/>
  <c r="BT195" i="50"/>
  <c r="BT194" i="50"/>
  <c r="BT205" i="50"/>
  <c r="BT204" i="50"/>
  <c r="BT189" i="50"/>
  <c r="BT192" i="50"/>
  <c r="AF193" i="50"/>
  <c r="AF202" i="50"/>
  <c r="BT200" i="50"/>
  <c r="BT201" i="50"/>
  <c r="BT193" i="50"/>
  <c r="BT206" i="50"/>
  <c r="AF195" i="50"/>
  <c r="AF204" i="50"/>
  <c r="AF198" i="50"/>
  <c r="AF189" i="50"/>
  <c r="AF196" i="50"/>
  <c r="AF197" i="50"/>
  <c r="AF201" i="50"/>
  <c r="AF206" i="50"/>
  <c r="AF188" i="50"/>
  <c r="A20" i="15"/>
  <c r="C20" i="15" s="1"/>
  <c r="C19" i="15"/>
  <c r="V37" i="15"/>
  <c r="W38" i="15"/>
  <c r="R36" i="15"/>
  <c r="S37" i="15"/>
  <c r="F48" i="44"/>
  <c r="F48" i="22" s="1"/>
  <c r="F73" i="22"/>
  <c r="A21" i="15"/>
  <c r="R11" i="57"/>
  <c r="S9" i="57"/>
  <c r="R10" i="57"/>
  <c r="R12" i="57" s="1"/>
  <c r="AH39" i="15"/>
  <c r="AG38" i="15"/>
  <c r="M51" i="15"/>
  <c r="L52" i="15"/>
  <c r="G48" i="44"/>
  <c r="G48" i="22" s="1"/>
  <c r="G73" i="22"/>
  <c r="H48" i="44"/>
  <c r="H48" i="22" s="1"/>
  <c r="H73" i="22"/>
  <c r="BB165" i="15"/>
  <c r="BB166" i="15"/>
  <c r="BC163" i="15"/>
  <c r="BB167" i="15"/>
  <c r="D48" i="44"/>
  <c r="D48" i="22" s="1"/>
  <c r="D73" i="22"/>
  <c r="E48" i="44"/>
  <c r="E48" i="22" s="1"/>
  <c r="E73" i="22"/>
  <c r="Q12" i="57"/>
  <c r="E6" i="12"/>
  <c r="G140" i="40"/>
  <c r="G1" i="40"/>
  <c r="G21" i="40" s="1"/>
  <c r="G89" i="40"/>
  <c r="H2" i="40"/>
  <c r="H57" i="40"/>
  <c r="H91" i="40"/>
  <c r="I4" i="40"/>
  <c r="H14" i="40"/>
  <c r="H93" i="1"/>
  <c r="AN20" i="15"/>
  <c r="AL19" i="15"/>
  <c r="D19" i="15" s="1"/>
  <c r="AM19" i="15"/>
  <c r="E25" i="25"/>
  <c r="F24" i="25"/>
  <c r="AT20" i="15"/>
  <c r="AX19" i="15"/>
  <c r="AW19" i="15"/>
  <c r="AZ19" i="15"/>
  <c r="BA19" i="15"/>
  <c r="AU19" i="15"/>
  <c r="AV19" i="15"/>
  <c r="AY19" i="15"/>
  <c r="F16" i="25"/>
  <c r="E15" i="25"/>
  <c r="AT12" i="15"/>
  <c r="AY13" i="15"/>
  <c r="BA13" i="15"/>
  <c r="AX13" i="15"/>
  <c r="AU13" i="15"/>
  <c r="AW13" i="15"/>
  <c r="AZ13" i="15"/>
  <c r="AV13" i="15"/>
  <c r="C23" i="25"/>
  <c r="D22" i="25"/>
  <c r="H33" i="27"/>
  <c r="Z14" i="8"/>
  <c r="D14" i="8"/>
  <c r="E14" i="8"/>
  <c r="U14" i="8"/>
  <c r="K14" i="8"/>
  <c r="W14" i="8"/>
  <c r="G14" i="8"/>
  <c r="Q14" i="8"/>
  <c r="F14" i="8"/>
  <c r="O14" i="8"/>
  <c r="L14" i="8"/>
  <c r="N14" i="8"/>
  <c r="J14" i="8"/>
  <c r="X14" i="8"/>
  <c r="T14" i="8"/>
  <c r="AC14" i="8"/>
  <c r="AD14" i="8"/>
  <c r="P14" i="8"/>
  <c r="S14" i="8"/>
  <c r="Y14" i="8"/>
  <c r="H14" i="8"/>
  <c r="AB14" i="8"/>
  <c r="M14" i="8"/>
  <c r="AA14" i="8"/>
  <c r="I14" i="8"/>
  <c r="V14" i="8"/>
  <c r="R14" i="8"/>
  <c r="O3" i="8"/>
  <c r="C12" i="52"/>
  <c r="C14" i="52" s="1"/>
  <c r="C15" i="52" s="1"/>
  <c r="B21" i="51"/>
  <c r="T66" i="20" s="1"/>
  <c r="D27" i="21"/>
  <c r="U45" i="20"/>
  <c r="BP157" i="50"/>
  <c r="BP173" i="50"/>
  <c r="BP167" i="50"/>
  <c r="BP165" i="50"/>
  <c r="BP168" i="50"/>
  <c r="BP159" i="50"/>
  <c r="BP163" i="50"/>
  <c r="BP170" i="50"/>
  <c r="BP160" i="50"/>
  <c r="BP174" i="50"/>
  <c r="BP162" i="50"/>
  <c r="BP171" i="50"/>
  <c r="BP156" i="50"/>
  <c r="BP166" i="50"/>
  <c r="BP158" i="50"/>
  <c r="BP172" i="50"/>
  <c r="BP169" i="50"/>
  <c r="BP155" i="50"/>
  <c r="BP161" i="50"/>
  <c r="BP164" i="50"/>
  <c r="AB157" i="50"/>
  <c r="AB173" i="50"/>
  <c r="AB162" i="50"/>
  <c r="AB164" i="50"/>
  <c r="AB155" i="50"/>
  <c r="AB159" i="50"/>
  <c r="AB163" i="50"/>
  <c r="AB161" i="50"/>
  <c r="AB166" i="50"/>
  <c r="AB168" i="50"/>
  <c r="AB172" i="50"/>
  <c r="AB167" i="50"/>
  <c r="AB174" i="50"/>
  <c r="AB160" i="50"/>
  <c r="AB171" i="50"/>
  <c r="AB158" i="50"/>
  <c r="AB156" i="50"/>
  <c r="AB169" i="50"/>
  <c r="AB170" i="50"/>
  <c r="AB165" i="50"/>
  <c r="E21" i="21"/>
  <c r="E25" i="21"/>
  <c r="E27" i="21" s="1"/>
  <c r="E81" i="1"/>
  <c r="D81" i="1" s="1"/>
  <c r="E89" i="1"/>
  <c r="D89" i="1" s="1"/>
  <c r="T65" i="20"/>
  <c r="E19" i="21"/>
  <c r="V42" i="20" s="1"/>
  <c r="E23" i="21"/>
  <c r="V44" i="20" s="1"/>
  <c r="BP188" i="50" l="1" a="1"/>
  <c r="AB188" i="50" a="1"/>
  <c r="AK188" i="50" a="1"/>
  <c r="BY188" i="50" a="1"/>
  <c r="AG188" i="50" a="1"/>
  <c r="BU188" i="50" a="1"/>
  <c r="C12" i="25"/>
  <c r="D12" i="25" s="1"/>
  <c r="H154" i="1"/>
  <c r="I10" i="1"/>
  <c r="J4" i="1"/>
  <c r="K4" i="1" s="1"/>
  <c r="H153" i="1"/>
  <c r="H97" i="1" s="1"/>
  <c r="I2" i="1"/>
  <c r="I93" i="1" s="1"/>
  <c r="I64" i="1"/>
  <c r="G28" i="49"/>
  <c r="I95" i="1"/>
  <c r="B20" i="15"/>
  <c r="L53" i="15"/>
  <c r="M52" i="15"/>
  <c r="S38" i="15"/>
  <c r="R37" i="15"/>
  <c r="BC167" i="15"/>
  <c r="BD163" i="15"/>
  <c r="BC165" i="15"/>
  <c r="BC166" i="15"/>
  <c r="S10" i="57"/>
  <c r="S12" i="57" s="1"/>
  <c r="S11" i="57"/>
  <c r="T9" i="57"/>
  <c r="B21" i="15"/>
  <c r="A22" i="15"/>
  <c r="C21" i="15"/>
  <c r="W39" i="15"/>
  <c r="V38" i="15"/>
  <c r="AH40" i="15"/>
  <c r="AG39" i="15"/>
  <c r="I14" i="40"/>
  <c r="I57" i="40"/>
  <c r="I2" i="40"/>
  <c r="I91" i="40"/>
  <c r="J4" i="40"/>
  <c r="H1" i="40"/>
  <c r="H21" i="40" s="1"/>
  <c r="H89" i="40"/>
  <c r="H140" i="40"/>
  <c r="H139" i="40"/>
  <c r="H93" i="40" s="1"/>
  <c r="G65" i="40"/>
  <c r="G32" i="40"/>
  <c r="G7" i="40"/>
  <c r="G60" i="40"/>
  <c r="G52" i="40"/>
  <c r="G61" i="40"/>
  <c r="G24" i="40"/>
  <c r="G55" i="40"/>
  <c r="G51" i="40"/>
  <c r="AN21" i="15"/>
  <c r="AM20" i="15"/>
  <c r="AL20" i="15"/>
  <c r="D20" i="15" s="1"/>
  <c r="H67" i="1"/>
  <c r="H68" i="1"/>
  <c r="H7" i="1"/>
  <c r="H72" i="1"/>
  <c r="H59" i="1"/>
  <c r="H20" i="1"/>
  <c r="H58" i="1"/>
  <c r="E26" i="25"/>
  <c r="F25" i="25"/>
  <c r="AT21" i="15"/>
  <c r="AU20" i="15"/>
  <c r="BA20" i="15"/>
  <c r="AZ20" i="15"/>
  <c r="AY20" i="15"/>
  <c r="AX20" i="15"/>
  <c r="AV20" i="15"/>
  <c r="AW20" i="15"/>
  <c r="AT11" i="15"/>
  <c r="F15" i="25"/>
  <c r="E14" i="25"/>
  <c r="AX12" i="15"/>
  <c r="AY12" i="15"/>
  <c r="AU12" i="15"/>
  <c r="AW12" i="15"/>
  <c r="AV12" i="15"/>
  <c r="AZ12" i="15"/>
  <c r="BA12" i="15"/>
  <c r="C24" i="25"/>
  <c r="D23" i="25"/>
  <c r="I33" i="27"/>
  <c r="P3" i="8"/>
  <c r="C11" i="25"/>
  <c r="D67" i="2"/>
  <c r="D64" i="2"/>
  <c r="T77" i="20" s="1"/>
  <c r="D65" i="2"/>
  <c r="D71" i="2"/>
  <c r="T78" i="20" s="1"/>
  <c r="D63" i="2"/>
  <c r="D66" i="2"/>
  <c r="D70" i="2"/>
  <c r="N9" i="52"/>
  <c r="V43" i="20"/>
  <c r="N8" i="52"/>
  <c r="V45" i="20"/>
  <c r="U18" i="20"/>
  <c r="H22" i="49" l="1"/>
  <c r="J64" i="1"/>
  <c r="J10" i="1"/>
  <c r="J2" i="1"/>
  <c r="J1" i="1" s="1"/>
  <c r="J17" i="1" s="1"/>
  <c r="AB200" i="50"/>
  <c r="AB203" i="50"/>
  <c r="AB190" i="50"/>
  <c r="AB202" i="50"/>
  <c r="AB205" i="50"/>
  <c r="AB207" i="50"/>
  <c r="AB194" i="50"/>
  <c r="AB206" i="50"/>
  <c r="AB198" i="50"/>
  <c r="AB209" i="50"/>
  <c r="AB191" i="50"/>
  <c r="AB199" i="50"/>
  <c r="AB201" i="50"/>
  <c r="AB197" i="50"/>
  <c r="AB208" i="50"/>
  <c r="AB189" i="50"/>
  <c r="AB188" i="50"/>
  <c r="AB196" i="50"/>
  <c r="AB195" i="50"/>
  <c r="AB192" i="50"/>
  <c r="AB204" i="50"/>
  <c r="AB193" i="50"/>
  <c r="BZ195" i="50"/>
  <c r="BY192" i="50"/>
  <c r="BY189" i="50"/>
  <c r="BZ208" i="50"/>
  <c r="BZ209" i="50"/>
  <c r="BY203" i="50"/>
  <c r="BZ192" i="50"/>
  <c r="BZ200" i="50"/>
  <c r="BY206" i="50"/>
  <c r="BY198" i="50"/>
  <c r="BZ193" i="50"/>
  <c r="BZ204" i="50"/>
  <c r="BY209" i="50"/>
  <c r="BZ199" i="50"/>
  <c r="BZ197" i="50"/>
  <c r="BY199" i="50"/>
  <c r="BY195" i="50"/>
  <c r="BY204" i="50"/>
  <c r="BZ203" i="50"/>
  <c r="BZ198" i="50"/>
  <c r="BY200" i="50"/>
  <c r="BY188" i="50"/>
  <c r="BY196" i="50"/>
  <c r="BZ196" i="50"/>
  <c r="BZ202" i="50"/>
  <c r="BY190" i="50"/>
  <c r="BZ201" i="50"/>
  <c r="BZ190" i="50"/>
  <c r="BY201" i="50"/>
  <c r="BZ191" i="50"/>
  <c r="BZ205" i="50"/>
  <c r="BZ188" i="50"/>
  <c r="BY205" i="50"/>
  <c r="BZ194" i="50"/>
  <c r="BY194" i="50"/>
  <c r="BY191" i="50"/>
  <c r="BZ207" i="50"/>
  <c r="BY193" i="50"/>
  <c r="BY207" i="50"/>
  <c r="BY208" i="50"/>
  <c r="BY202" i="50"/>
  <c r="BZ206" i="50"/>
  <c r="BY197" i="50"/>
  <c r="BZ189" i="50"/>
  <c r="AK193" i="50"/>
  <c r="AL197" i="50"/>
  <c r="AK196" i="50"/>
  <c r="AL204" i="50"/>
  <c r="AK207" i="50"/>
  <c r="AK188" i="50"/>
  <c r="AL192" i="50"/>
  <c r="AK195" i="50"/>
  <c r="AK205" i="50"/>
  <c r="AL209" i="50"/>
  <c r="AK208" i="50"/>
  <c r="AL203" i="50"/>
  <c r="AL206" i="50"/>
  <c r="AK194" i="50"/>
  <c r="AK201" i="50"/>
  <c r="AK204" i="50"/>
  <c r="AK199" i="50"/>
  <c r="AK190" i="50"/>
  <c r="AK197" i="50"/>
  <c r="AK200" i="50"/>
  <c r="AL189" i="50"/>
  <c r="AK202" i="50"/>
  <c r="AL200" i="50"/>
  <c r="AK203" i="50"/>
  <c r="AL207" i="50"/>
  <c r="AL188" i="50"/>
  <c r="AK191" i="50"/>
  <c r="AL195" i="50"/>
  <c r="AK198" i="50"/>
  <c r="AL198" i="50"/>
  <c r="AK189" i="50"/>
  <c r="AL193" i="50"/>
  <c r="AK192" i="50"/>
  <c r="AK206" i="50"/>
  <c r="AL191" i="50"/>
  <c r="AL194" i="50"/>
  <c r="AL205" i="50"/>
  <c r="AL196" i="50"/>
  <c r="AK209" i="50"/>
  <c r="AL190" i="50"/>
  <c r="AL201" i="50"/>
  <c r="AL208" i="50"/>
  <c r="AL199" i="50"/>
  <c r="AL202" i="50"/>
  <c r="BV207" i="50"/>
  <c r="BU191" i="50"/>
  <c r="BX204" i="50"/>
  <c r="BU199" i="50"/>
  <c r="BU189" i="50"/>
  <c r="BX200" i="50"/>
  <c r="BU202" i="50"/>
  <c r="BW194" i="50"/>
  <c r="BW206" i="50"/>
  <c r="BV209" i="50"/>
  <c r="BV191" i="50"/>
  <c r="BX201" i="50"/>
  <c r="BX209" i="50"/>
  <c r="BV202" i="50"/>
  <c r="BW199" i="50"/>
  <c r="BX194" i="50"/>
  <c r="BX202" i="50"/>
  <c r="BU206" i="50"/>
  <c r="BX196" i="50"/>
  <c r="BU207" i="50"/>
  <c r="BV192" i="50"/>
  <c r="BV201" i="50"/>
  <c r="BW195" i="50"/>
  <c r="BW209" i="50"/>
  <c r="BX199" i="50"/>
  <c r="BW190" i="50"/>
  <c r="BU209" i="50"/>
  <c r="BW204" i="50"/>
  <c r="BW189" i="50"/>
  <c r="BU195" i="50"/>
  <c r="BW207" i="50"/>
  <c r="BV204" i="50"/>
  <c r="BV195" i="50"/>
  <c r="BU194" i="50"/>
  <c r="BX197" i="50"/>
  <c r="BW198" i="50"/>
  <c r="BX208" i="50"/>
  <c r="BX193" i="50"/>
  <c r="BW188" i="50"/>
  <c r="BV197" i="50"/>
  <c r="BX190" i="50"/>
  <c r="BX206" i="50"/>
  <c r="BX198" i="50"/>
  <c r="BX191" i="50"/>
  <c r="BV193" i="50"/>
  <c r="BW205" i="50"/>
  <c r="BV196" i="50"/>
  <c r="BX195" i="50"/>
  <c r="BV189" i="50"/>
  <c r="BX205" i="50"/>
  <c r="BV206" i="50"/>
  <c r="BW197" i="50"/>
  <c r="BU204" i="50"/>
  <c r="BU197" i="50"/>
  <c r="BW191" i="50"/>
  <c r="BU201" i="50"/>
  <c r="BV198" i="50"/>
  <c r="BW203" i="50"/>
  <c r="BU193" i="50"/>
  <c r="BW193" i="50"/>
  <c r="BW208" i="50"/>
  <c r="BX207" i="50"/>
  <c r="BU188" i="50"/>
  <c r="BU196" i="50"/>
  <c r="BV188" i="50"/>
  <c r="BU208" i="50"/>
  <c r="BV208" i="50"/>
  <c r="BV200" i="50"/>
  <c r="BX188" i="50"/>
  <c r="BX203" i="50"/>
  <c r="BU200" i="50"/>
  <c r="BU190" i="50"/>
  <c r="BV199" i="50"/>
  <c r="BW192" i="50"/>
  <c r="BV203" i="50"/>
  <c r="BX189" i="50"/>
  <c r="BU203" i="50"/>
  <c r="BW202" i="50"/>
  <c r="BU205" i="50"/>
  <c r="BW200" i="50"/>
  <c r="BV194" i="50"/>
  <c r="BU198" i="50"/>
  <c r="BU192" i="50"/>
  <c r="BW201" i="50"/>
  <c r="BV205" i="50"/>
  <c r="BX192" i="50"/>
  <c r="BV190" i="50"/>
  <c r="BW196" i="50"/>
  <c r="AI197" i="50"/>
  <c r="AG202" i="50"/>
  <c r="AJ192" i="50"/>
  <c r="AG205" i="50"/>
  <c r="AH200" i="50"/>
  <c r="AG207" i="50"/>
  <c r="AG191" i="50"/>
  <c r="AH198" i="50"/>
  <c r="AJ188" i="50"/>
  <c r="AI208" i="50"/>
  <c r="AG190" i="50"/>
  <c r="AI202" i="50"/>
  <c r="AH206" i="50"/>
  <c r="AI190" i="50"/>
  <c r="AJ205" i="50"/>
  <c r="AG194" i="50"/>
  <c r="AH209" i="50"/>
  <c r="AI192" i="50"/>
  <c r="AG203" i="50"/>
  <c r="AH207" i="50"/>
  <c r="AH196" i="50"/>
  <c r="AI209" i="50"/>
  <c r="AJ193" i="50"/>
  <c r="AG204" i="50"/>
  <c r="AI206" i="50"/>
  <c r="AG193" i="50"/>
  <c r="AG195" i="50"/>
  <c r="AH191" i="50"/>
  <c r="AJ190" i="50"/>
  <c r="AG200" i="50"/>
  <c r="AH189" i="50"/>
  <c r="AG208" i="50"/>
  <c r="AI201" i="50"/>
  <c r="AI200" i="50"/>
  <c r="AH199" i="50"/>
  <c r="AI188" i="50"/>
  <c r="AI199" i="50"/>
  <c r="AI198" i="50"/>
  <c r="AJ200" i="50"/>
  <c r="AI207" i="50"/>
  <c r="AJ209" i="50"/>
  <c r="AG188" i="50"/>
  <c r="AJ199" i="50"/>
  <c r="AI205" i="50"/>
  <c r="AJ207" i="50"/>
  <c r="AG209" i="50"/>
  <c r="AH194" i="50"/>
  <c r="AJ202" i="50"/>
  <c r="AH202" i="50"/>
  <c r="AI204" i="50"/>
  <c r="AJ198" i="50"/>
  <c r="AI189" i="50"/>
  <c r="AJ191" i="50"/>
  <c r="AG201" i="50"/>
  <c r="AH201" i="50"/>
  <c r="AJ208" i="50"/>
  <c r="AH192" i="50"/>
  <c r="AI194" i="50"/>
  <c r="AJ196" i="50"/>
  <c r="AG189" i="50"/>
  <c r="AJ195" i="50"/>
  <c r="AG197" i="50"/>
  <c r="AH193" i="50"/>
  <c r="AH188" i="50"/>
  <c r="AI193" i="50"/>
  <c r="AJ203" i="50"/>
  <c r="AJ206" i="50"/>
  <c r="AG192" i="50"/>
  <c r="AI203" i="50"/>
  <c r="AJ194" i="50"/>
  <c r="AG198" i="50"/>
  <c r="AJ204" i="50"/>
  <c r="AG206" i="50"/>
  <c r="AH195" i="50"/>
  <c r="AI196" i="50"/>
  <c r="AJ189" i="50"/>
  <c r="AH203" i="50"/>
  <c r="AH197" i="50"/>
  <c r="AI195" i="50"/>
  <c r="AH208" i="50"/>
  <c r="AJ201" i="50"/>
  <c r="AH190" i="50"/>
  <c r="AI191" i="50"/>
  <c r="AG199" i="50"/>
  <c r="AG196" i="50"/>
  <c r="AJ197" i="50"/>
  <c r="AH204" i="50"/>
  <c r="AH205" i="50"/>
  <c r="BP202" i="50"/>
  <c r="BP195" i="50"/>
  <c r="BP188" i="50"/>
  <c r="BP196" i="50"/>
  <c r="BP205" i="50"/>
  <c r="BP203" i="50"/>
  <c r="BP191" i="50"/>
  <c r="BP190" i="50"/>
  <c r="BP207" i="50"/>
  <c r="BP189" i="50"/>
  <c r="BP199" i="50"/>
  <c r="BP208" i="50"/>
  <c r="BP204" i="50"/>
  <c r="BP209" i="50"/>
  <c r="BP206" i="50"/>
  <c r="BP194" i="50"/>
  <c r="BP193" i="50"/>
  <c r="BP201" i="50"/>
  <c r="BP192" i="50"/>
  <c r="BP200" i="50"/>
  <c r="BP197" i="50"/>
  <c r="BP198" i="50"/>
  <c r="H28" i="49"/>
  <c r="J95" i="1"/>
  <c r="I154" i="1"/>
  <c r="I153" i="1"/>
  <c r="I97" i="1" s="1"/>
  <c r="I1" i="1"/>
  <c r="I17" i="1" s="1"/>
  <c r="W40" i="15"/>
  <c r="V39" i="15"/>
  <c r="T11" i="57"/>
  <c r="U9" i="57"/>
  <c r="T10" i="57"/>
  <c r="T12" i="57" s="1"/>
  <c r="R38" i="15"/>
  <c r="S39" i="15"/>
  <c r="AG40" i="15"/>
  <c r="AH41" i="15"/>
  <c r="BD165" i="15"/>
  <c r="BD167" i="15"/>
  <c r="BE163" i="15"/>
  <c r="BD166" i="15"/>
  <c r="A23" i="15"/>
  <c r="B22" i="15"/>
  <c r="C22" i="15"/>
  <c r="M53" i="15"/>
  <c r="L54" i="15"/>
  <c r="H65" i="40"/>
  <c r="H52" i="40"/>
  <c r="H61" i="40"/>
  <c r="H51" i="40"/>
  <c r="H32" i="40"/>
  <c r="H55" i="40"/>
  <c r="H24" i="40"/>
  <c r="H60" i="40"/>
  <c r="H7" i="40"/>
  <c r="J14" i="40"/>
  <c r="J57" i="40"/>
  <c r="J2" i="40"/>
  <c r="K4" i="40"/>
  <c r="J91" i="40"/>
  <c r="I89" i="40"/>
  <c r="I140" i="40"/>
  <c r="I1" i="40"/>
  <c r="I21" i="40" s="1"/>
  <c r="I139" i="40"/>
  <c r="I93" i="40" s="1"/>
  <c r="AM21" i="15"/>
  <c r="AL21" i="15"/>
  <c r="D21" i="15" s="1"/>
  <c r="AN22" i="15"/>
  <c r="K2" i="1"/>
  <c r="K10" i="1"/>
  <c r="K64" i="1"/>
  <c r="I22" i="49"/>
  <c r="I28" i="49"/>
  <c r="K95" i="1"/>
  <c r="L4" i="1"/>
  <c r="E27" i="25"/>
  <c r="AT22" i="15"/>
  <c r="F26" i="25"/>
  <c r="AV21" i="15"/>
  <c r="BA21" i="15"/>
  <c r="AY21" i="15"/>
  <c r="AZ21" i="15"/>
  <c r="AU21" i="15"/>
  <c r="AX21" i="15"/>
  <c r="AW21" i="15"/>
  <c r="BA11" i="15"/>
  <c r="AU11" i="15"/>
  <c r="AW11" i="15"/>
  <c r="AV11" i="15"/>
  <c r="AX11" i="15"/>
  <c r="AZ11" i="15"/>
  <c r="AY11" i="15"/>
  <c r="E13" i="25"/>
  <c r="F14" i="25"/>
  <c r="AT10" i="15"/>
  <c r="D11" i="25"/>
  <c r="C10" i="25"/>
  <c r="Q3" i="8"/>
  <c r="C25" i="25"/>
  <c r="J33" i="27"/>
  <c r="D24" i="25"/>
  <c r="T75" i="20"/>
  <c r="G66" i="2"/>
  <c r="T79" i="20"/>
  <c r="J70" i="2"/>
  <c r="T80" i="20"/>
  <c r="G65" i="2"/>
  <c r="H10" i="52"/>
  <c r="H14" i="52"/>
  <c r="H12" i="52"/>
  <c r="J63" i="2"/>
  <c r="T76" i="20"/>
  <c r="G67" i="2"/>
  <c r="T81" i="20"/>
  <c r="J154" i="1" l="1"/>
  <c r="J93" i="1"/>
  <c r="J153" i="1"/>
  <c r="J97" i="1" s="1"/>
  <c r="I20" i="1"/>
  <c r="I72" i="1"/>
  <c r="I58" i="1"/>
  <c r="I59" i="1"/>
  <c r="I7" i="1"/>
  <c r="I67" i="1"/>
  <c r="I68" i="1"/>
  <c r="BE167" i="15"/>
  <c r="BF163" i="15"/>
  <c r="BE165" i="15"/>
  <c r="BE166" i="15"/>
  <c r="U10" i="57"/>
  <c r="U11" i="57"/>
  <c r="V9" i="57"/>
  <c r="S40" i="15"/>
  <c r="R39" i="15"/>
  <c r="L55" i="15"/>
  <c r="M54" i="15"/>
  <c r="B23" i="15"/>
  <c r="A24" i="15"/>
  <c r="C23" i="15"/>
  <c r="AG41" i="15"/>
  <c r="AH42" i="15"/>
  <c r="V40" i="15"/>
  <c r="W41" i="15"/>
  <c r="J89" i="40"/>
  <c r="J140" i="40"/>
  <c r="J139" i="40"/>
  <c r="J93" i="40" s="1"/>
  <c r="J1" i="40"/>
  <c r="J21" i="40" s="1"/>
  <c r="I24" i="40"/>
  <c r="I7" i="40"/>
  <c r="I60" i="40"/>
  <c r="I51" i="40"/>
  <c r="I55" i="40"/>
  <c r="I52" i="40"/>
  <c r="I61" i="40"/>
  <c r="I65" i="40"/>
  <c r="I32" i="40"/>
  <c r="K57" i="40"/>
  <c r="K91" i="40"/>
  <c r="K2" i="40"/>
  <c r="K14" i="40"/>
  <c r="L4" i="40"/>
  <c r="J7" i="1"/>
  <c r="J67" i="1"/>
  <c r="J59" i="1"/>
  <c r="J72" i="1"/>
  <c r="J58" i="1"/>
  <c r="J68" i="1"/>
  <c r="J20" i="1"/>
  <c r="J28" i="49"/>
  <c r="L95" i="1"/>
  <c r="L64" i="1"/>
  <c r="M4" i="1"/>
  <c r="J22" i="49"/>
  <c r="L2" i="1"/>
  <c r="L10" i="1"/>
  <c r="AL22" i="15"/>
  <c r="D22" i="15" s="1"/>
  <c r="AN23" i="15"/>
  <c r="AM22" i="15"/>
  <c r="K153" i="1"/>
  <c r="K97" i="1" s="1"/>
  <c r="K154" i="1"/>
  <c r="K1" i="1"/>
  <c r="K17" i="1" s="1"/>
  <c r="K93" i="1"/>
  <c r="E28" i="25"/>
  <c r="AT23" i="15"/>
  <c r="F27" i="25"/>
  <c r="AW22" i="15"/>
  <c r="BA22" i="15"/>
  <c r="AV22" i="15"/>
  <c r="AU22" i="15"/>
  <c r="AY22" i="15"/>
  <c r="AX22" i="15"/>
  <c r="AZ22" i="15"/>
  <c r="AZ10" i="15"/>
  <c r="BA10" i="15"/>
  <c r="AW10" i="15"/>
  <c r="AY10" i="15"/>
  <c r="AU10" i="15"/>
  <c r="AX10" i="15"/>
  <c r="AV10" i="15"/>
  <c r="AT9" i="15"/>
  <c r="F13" i="25"/>
  <c r="E12" i="25"/>
  <c r="J72" i="2"/>
  <c r="R3" i="8"/>
  <c r="C26" i="25"/>
  <c r="D25" i="25"/>
  <c r="G36" i="12" s="1"/>
  <c r="K33" i="27"/>
  <c r="C9" i="25"/>
  <c r="D9" i="25" s="1"/>
  <c r="D10" i="25"/>
  <c r="AH43" i="15" l="1"/>
  <c r="AG42" i="15"/>
  <c r="S41" i="15"/>
  <c r="R40" i="15"/>
  <c r="W42" i="15"/>
  <c r="V41" i="15"/>
  <c r="V11" i="57"/>
  <c r="W9" i="57"/>
  <c r="V10" i="57"/>
  <c r="V12" i="57" s="1"/>
  <c r="L56" i="15"/>
  <c r="M55" i="15"/>
  <c r="BF165" i="15"/>
  <c r="BF167" i="15"/>
  <c r="BG163" i="15"/>
  <c r="BF166" i="15"/>
  <c r="A25" i="15"/>
  <c r="C24" i="15"/>
  <c r="B24" i="15"/>
  <c r="U12" i="57"/>
  <c r="L91" i="40"/>
  <c r="L57" i="40"/>
  <c r="L14" i="40"/>
  <c r="L2" i="40"/>
  <c r="M4" i="40"/>
  <c r="K89" i="40"/>
  <c r="K139" i="40"/>
  <c r="K93" i="40" s="1"/>
  <c r="K140" i="40"/>
  <c r="K1" i="40"/>
  <c r="K21" i="40" s="1"/>
  <c r="J7" i="40"/>
  <c r="J61" i="40"/>
  <c r="J60" i="40"/>
  <c r="J52" i="40"/>
  <c r="J51" i="40"/>
  <c r="J55" i="40"/>
  <c r="J65" i="40"/>
  <c r="J24" i="40"/>
  <c r="J32" i="40"/>
  <c r="L153" i="1"/>
  <c r="L97" i="1" s="1"/>
  <c r="L1" i="1"/>
  <c r="L17" i="1" s="1"/>
  <c r="L93" i="1"/>
  <c r="L154" i="1"/>
  <c r="K58" i="1"/>
  <c r="K20" i="1"/>
  <c r="K59" i="1"/>
  <c r="K68" i="1"/>
  <c r="K7" i="1"/>
  <c r="K67" i="1"/>
  <c r="K72" i="1"/>
  <c r="AL23" i="15"/>
  <c r="D23" i="15" s="1"/>
  <c r="AM23" i="15"/>
  <c r="AM24" i="15" s="1"/>
  <c r="AM25" i="15" s="1"/>
  <c r="AM26" i="15" s="1"/>
  <c r="AM27" i="15" s="1"/>
  <c r="AM28" i="15" s="1"/>
  <c r="AM29" i="15" s="1"/>
  <c r="AM30" i="15" s="1"/>
  <c r="AM31" i="15" s="1"/>
  <c r="AM32" i="15" s="1"/>
  <c r="AM33" i="15" s="1"/>
  <c r="AM34" i="15" s="1"/>
  <c r="AM35" i="15" s="1"/>
  <c r="AM36" i="15" s="1"/>
  <c r="AM37" i="15" s="1"/>
  <c r="AM38" i="15" s="1"/>
  <c r="AM39" i="15" s="1"/>
  <c r="AM40" i="15" s="1"/>
  <c r="AM41" i="15" s="1"/>
  <c r="AM42" i="15" s="1"/>
  <c r="AM43" i="15" s="1"/>
  <c r="AM44" i="15" s="1"/>
  <c r="AM45" i="15" s="1"/>
  <c r="AM46" i="15" s="1"/>
  <c r="AM47" i="15" s="1"/>
  <c r="AM48" i="15" s="1"/>
  <c r="AM49" i="15" s="1"/>
  <c r="AM50" i="15" s="1"/>
  <c r="AM51" i="15" s="1"/>
  <c r="AM52" i="15" s="1"/>
  <c r="AM53" i="15" s="1"/>
  <c r="AM54" i="15" s="1"/>
  <c r="AM55" i="15" s="1"/>
  <c r="AM56" i="15" s="1"/>
  <c r="AM57" i="15" s="1"/>
  <c r="AM58" i="15" s="1"/>
  <c r="AM59" i="15" s="1"/>
  <c r="AM60" i="15" s="1"/>
  <c r="AM61" i="15" s="1"/>
  <c r="AM62" i="15" s="1"/>
  <c r="AM63" i="15" s="1"/>
  <c r="AM64" i="15" s="1"/>
  <c r="AM65" i="15" s="1"/>
  <c r="AM66" i="15" s="1"/>
  <c r="AM67" i="15" s="1"/>
  <c r="AM68" i="15" s="1"/>
  <c r="AM69" i="15" s="1"/>
  <c r="AM70" i="15" s="1"/>
  <c r="AM71" i="15" s="1"/>
  <c r="AM72" i="15" s="1"/>
  <c r="AM73" i="15" s="1"/>
  <c r="AM74" i="15" s="1"/>
  <c r="AM75" i="15" s="1"/>
  <c r="AM76" i="15" s="1"/>
  <c r="AM77" i="15" s="1"/>
  <c r="AM78" i="15" s="1"/>
  <c r="AN24" i="15"/>
  <c r="M10" i="1"/>
  <c r="M95" i="1"/>
  <c r="N4" i="1"/>
  <c r="K28" i="49"/>
  <c r="K22" i="49"/>
  <c r="M64" i="1"/>
  <c r="M2" i="1"/>
  <c r="E29" i="25"/>
  <c r="F28" i="25"/>
  <c r="AT24" i="15"/>
  <c r="AU23" i="15"/>
  <c r="AY23" i="15"/>
  <c r="AZ23" i="15"/>
  <c r="AW23" i="15"/>
  <c r="AX23" i="15"/>
  <c r="BA23" i="15"/>
  <c r="AV23" i="15"/>
  <c r="AY9" i="15"/>
  <c r="AU9" i="15"/>
  <c r="AW9" i="15"/>
  <c r="AV9" i="15"/>
  <c r="BA9" i="15"/>
  <c r="AX9" i="15"/>
  <c r="AZ9" i="15"/>
  <c r="F12" i="25"/>
  <c r="AT8" i="15"/>
  <c r="E11" i="25"/>
  <c r="C27" i="25"/>
  <c r="L33" i="27"/>
  <c r="D26" i="25"/>
  <c r="S3" i="8"/>
  <c r="A26" i="15" l="1"/>
  <c r="C25" i="15"/>
  <c r="B25" i="15"/>
  <c r="W10" i="57"/>
  <c r="W12" i="57" s="1"/>
  <c r="W11" i="57"/>
  <c r="X9" i="57"/>
  <c r="S42" i="15"/>
  <c r="R41" i="15"/>
  <c r="BG166" i="15"/>
  <c r="BH163" i="15"/>
  <c r="BG165" i="15"/>
  <c r="BG167" i="15"/>
  <c r="M56" i="15"/>
  <c r="L57" i="15"/>
  <c r="V42" i="15"/>
  <c r="W43" i="15"/>
  <c r="AH44" i="15"/>
  <c r="AG43" i="15"/>
  <c r="K55" i="40"/>
  <c r="K60" i="40"/>
  <c r="K52" i="40"/>
  <c r="K24" i="40"/>
  <c r="K51" i="40"/>
  <c r="K7" i="40"/>
  <c r="K32" i="40"/>
  <c r="K65" i="40"/>
  <c r="K61" i="40"/>
  <c r="N4" i="40"/>
  <c r="M14" i="40"/>
  <c r="M2" i="40"/>
  <c r="M91" i="40"/>
  <c r="M57" i="40"/>
  <c r="L89" i="40"/>
  <c r="L139" i="40"/>
  <c r="L93" i="40" s="1"/>
  <c r="L1" i="40"/>
  <c r="L21" i="40" s="1"/>
  <c r="L140" i="40"/>
  <c r="M153" i="1"/>
  <c r="M97" i="1" s="1"/>
  <c r="M1" i="1"/>
  <c r="M17" i="1" s="1"/>
  <c r="M154" i="1"/>
  <c r="M93" i="1"/>
  <c r="N2" i="1"/>
  <c r="N10" i="1"/>
  <c r="N64" i="1"/>
  <c r="O4" i="1"/>
  <c r="N95" i="1"/>
  <c r="L22" i="49"/>
  <c r="L28" i="49"/>
  <c r="AN25" i="15"/>
  <c r="AL24" i="15"/>
  <c r="D24" i="15" s="1"/>
  <c r="L58" i="1"/>
  <c r="L20" i="1"/>
  <c r="L68" i="1"/>
  <c r="L59" i="1"/>
  <c r="L67" i="1"/>
  <c r="L72" i="1"/>
  <c r="L7" i="1"/>
  <c r="E30" i="25"/>
  <c r="F29" i="25"/>
  <c r="AT25" i="15"/>
  <c r="AZ24" i="15"/>
  <c r="AW24" i="15"/>
  <c r="AV24" i="15"/>
  <c r="AU24" i="15"/>
  <c r="BA24" i="15"/>
  <c r="AX24" i="15"/>
  <c r="AY24" i="15"/>
  <c r="F11" i="25"/>
  <c r="AT7" i="15"/>
  <c r="E10" i="25"/>
  <c r="C28" i="25"/>
  <c r="M33" i="27"/>
  <c r="D27" i="25"/>
  <c r="V43" i="15" l="1"/>
  <c r="W44" i="15"/>
  <c r="R42" i="15"/>
  <c r="S43" i="15"/>
  <c r="L58" i="15"/>
  <c r="M57" i="15"/>
  <c r="BH165" i="15"/>
  <c r="BH167" i="15"/>
  <c r="BI163" i="15"/>
  <c r="BH166" i="15"/>
  <c r="X11" i="57"/>
  <c r="Y9" i="57"/>
  <c r="X10" i="57"/>
  <c r="X12" i="57" s="1"/>
  <c r="AH45" i="15"/>
  <c r="AG44" i="15"/>
  <c r="B26" i="15"/>
  <c r="C26" i="15"/>
  <c r="A27" i="15"/>
  <c r="L51" i="40"/>
  <c r="L55" i="40"/>
  <c r="L65" i="40"/>
  <c r="L24" i="40"/>
  <c r="L60" i="40"/>
  <c r="L61" i="40"/>
  <c r="L52" i="40"/>
  <c r="L7" i="40"/>
  <c r="L32" i="40"/>
  <c r="N14" i="40"/>
  <c r="N57" i="40"/>
  <c r="O4" i="40"/>
  <c r="N91" i="40"/>
  <c r="N2" i="40"/>
  <c r="M139" i="40"/>
  <c r="M93" i="40" s="1"/>
  <c r="M140" i="40"/>
  <c r="M1" i="40"/>
  <c r="M21" i="40" s="1"/>
  <c r="M89" i="40"/>
  <c r="N93" i="1"/>
  <c r="N153" i="1"/>
  <c r="N97" i="1" s="1"/>
  <c r="N154" i="1"/>
  <c r="N1" i="1"/>
  <c r="N17" i="1" s="1"/>
  <c r="M72" i="1"/>
  <c r="M20" i="1"/>
  <c r="M7" i="1"/>
  <c r="M68" i="1"/>
  <c r="M59" i="1"/>
  <c r="M58" i="1"/>
  <c r="M67" i="1"/>
  <c r="AN26" i="15"/>
  <c r="AL25" i="15"/>
  <c r="D25" i="15" s="1"/>
  <c r="P4" i="1"/>
  <c r="O64" i="1"/>
  <c r="O95" i="1"/>
  <c r="O2" i="1"/>
  <c r="M28" i="49"/>
  <c r="M22" i="49"/>
  <c r="O10" i="1"/>
  <c r="E31" i="25"/>
  <c r="AT26" i="15"/>
  <c r="F30" i="25"/>
  <c r="AY25" i="15"/>
  <c r="AX25" i="15"/>
  <c r="AV25" i="15"/>
  <c r="AW25" i="15"/>
  <c r="AZ25" i="15"/>
  <c r="BA25" i="15"/>
  <c r="AU25" i="15"/>
  <c r="E9" i="25"/>
  <c r="F10" i="25"/>
  <c r="AT6" i="15"/>
  <c r="C29" i="25"/>
  <c r="D28" i="25"/>
  <c r="N33" i="27"/>
  <c r="Y10" i="57" l="1"/>
  <c r="Y11" i="57"/>
  <c r="Z9" i="57"/>
  <c r="S44" i="15"/>
  <c r="R43" i="15"/>
  <c r="A28" i="15"/>
  <c r="B27" i="15"/>
  <c r="C27" i="15"/>
  <c r="AG45" i="15"/>
  <c r="AH46" i="15"/>
  <c r="V44" i="15"/>
  <c r="W45" i="15"/>
  <c r="BI167" i="15"/>
  <c r="BJ163" i="15"/>
  <c r="BI165" i="15"/>
  <c r="BI166" i="15"/>
  <c r="M58" i="15"/>
  <c r="L59" i="15"/>
  <c r="M61" i="40"/>
  <c r="M7" i="40"/>
  <c r="M32" i="40"/>
  <c r="M65" i="40"/>
  <c r="M52" i="40"/>
  <c r="M24" i="40"/>
  <c r="M60" i="40"/>
  <c r="M51" i="40"/>
  <c r="M55" i="40"/>
  <c r="N140" i="40"/>
  <c r="N139" i="40"/>
  <c r="N93" i="40" s="1"/>
  <c r="N89" i="40"/>
  <c r="N1" i="40"/>
  <c r="N21" i="40" s="1"/>
  <c r="O91" i="40"/>
  <c r="O14" i="40"/>
  <c r="O57" i="40"/>
  <c r="O2" i="40"/>
  <c r="P4" i="40"/>
  <c r="AN27" i="15"/>
  <c r="AL26" i="15"/>
  <c r="D26" i="15" s="1"/>
  <c r="O1" i="1"/>
  <c r="O17" i="1" s="1"/>
  <c r="O154" i="1"/>
  <c r="O93" i="1"/>
  <c r="O153" i="1"/>
  <c r="O97" i="1" s="1"/>
  <c r="Q4" i="1"/>
  <c r="P64" i="1"/>
  <c r="P95" i="1"/>
  <c r="P2" i="1"/>
  <c r="P10" i="1"/>
  <c r="N22" i="49"/>
  <c r="N28" i="49"/>
  <c r="N20" i="1"/>
  <c r="N68" i="1"/>
  <c r="N67" i="1"/>
  <c r="N7" i="1"/>
  <c r="N72" i="1"/>
  <c r="N59" i="1"/>
  <c r="N58" i="1"/>
  <c r="F31" i="25"/>
  <c r="E32" i="25"/>
  <c r="AT27" i="15"/>
  <c r="AX26" i="15"/>
  <c r="AW26" i="15"/>
  <c r="AU26" i="15"/>
  <c r="BA26" i="15"/>
  <c r="AZ26" i="15"/>
  <c r="AY26" i="15"/>
  <c r="AV26" i="15"/>
  <c r="F9" i="25"/>
  <c r="AT5" i="15"/>
  <c r="C30" i="25"/>
  <c r="O33" i="27"/>
  <c r="D29" i="25"/>
  <c r="W46" i="15" l="1"/>
  <c r="V45" i="15"/>
  <c r="S45" i="15"/>
  <c r="R44" i="15"/>
  <c r="Z11" i="57"/>
  <c r="AA9" i="57"/>
  <c r="Z10" i="57"/>
  <c r="Z12" i="57" s="1"/>
  <c r="L60" i="15"/>
  <c r="M59" i="15"/>
  <c r="BJ165" i="15"/>
  <c r="BJ167" i="15"/>
  <c r="BK163" i="15"/>
  <c r="BJ166" i="15"/>
  <c r="AH47" i="15"/>
  <c r="AG46" i="15"/>
  <c r="A29" i="15"/>
  <c r="B28" i="15"/>
  <c r="C28" i="15"/>
  <c r="Y12" i="57"/>
  <c r="N65" i="40"/>
  <c r="N24" i="40"/>
  <c r="N61" i="40"/>
  <c r="N7" i="40"/>
  <c r="N55" i="40"/>
  <c r="N51" i="40"/>
  <c r="N52" i="40"/>
  <c r="N60" i="40"/>
  <c r="N32" i="40"/>
  <c r="P91" i="40"/>
  <c r="Q4" i="40"/>
  <c r="P2" i="40"/>
  <c r="P14" i="40"/>
  <c r="P57" i="40"/>
  <c r="O1" i="40"/>
  <c r="O21" i="40" s="1"/>
  <c r="O139" i="40"/>
  <c r="O93" i="40" s="1"/>
  <c r="O89" i="40"/>
  <c r="O140" i="40"/>
  <c r="AL27" i="15"/>
  <c r="D27" i="15" s="1"/>
  <c r="AN28" i="15"/>
  <c r="P93" i="1"/>
  <c r="P153" i="1"/>
  <c r="P97" i="1" s="1"/>
  <c r="P1" i="1"/>
  <c r="P17" i="1" s="1"/>
  <c r="P154" i="1"/>
  <c r="Q10" i="1"/>
  <c r="R4" i="1"/>
  <c r="Q95" i="1"/>
  <c r="O28" i="49"/>
  <c r="Q2" i="1"/>
  <c r="O22" i="49"/>
  <c r="Q64" i="1"/>
  <c r="O20" i="1"/>
  <c r="O7" i="1"/>
  <c r="O67" i="1"/>
  <c r="O59" i="1"/>
  <c r="O58" i="1"/>
  <c r="O72" i="1"/>
  <c r="O68" i="1"/>
  <c r="F32" i="25"/>
  <c r="AT28" i="15"/>
  <c r="E33" i="25"/>
  <c r="AW27" i="15"/>
  <c r="AX27" i="15"/>
  <c r="AY27" i="15"/>
  <c r="AV27" i="15"/>
  <c r="AZ27" i="15"/>
  <c r="BA27" i="15"/>
  <c r="AU27" i="15"/>
  <c r="C31" i="25"/>
  <c r="D30" i="25"/>
  <c r="P33" i="27"/>
  <c r="B29" i="15" l="1"/>
  <c r="C29" i="15"/>
  <c r="A30" i="15"/>
  <c r="BL163" i="15"/>
  <c r="BK165" i="15"/>
  <c r="BK167" i="15"/>
  <c r="BK166" i="15"/>
  <c r="M60" i="15"/>
  <c r="L61" i="15"/>
  <c r="S46" i="15"/>
  <c r="R45" i="15"/>
  <c r="AG47" i="15"/>
  <c r="AH48" i="15"/>
  <c r="AA10" i="57"/>
  <c r="AA12" i="57" s="1"/>
  <c r="B12" i="57" s="1"/>
  <c r="C10" i="57" s="1"/>
  <c r="C11" i="57" s="1"/>
  <c r="AA11" i="57"/>
  <c r="V46" i="15"/>
  <c r="W47" i="15"/>
  <c r="O51" i="40"/>
  <c r="O55" i="40"/>
  <c r="O61" i="40"/>
  <c r="O60" i="40"/>
  <c r="O24" i="40"/>
  <c r="O52" i="40"/>
  <c r="O32" i="40"/>
  <c r="O7" i="40"/>
  <c r="O65" i="40"/>
  <c r="Q2" i="40"/>
  <c r="Q57" i="40"/>
  <c r="Q91" i="40"/>
  <c r="R4" i="40"/>
  <c r="Q14" i="40"/>
  <c r="P139" i="40"/>
  <c r="P93" i="40" s="1"/>
  <c r="P1" i="40"/>
  <c r="P21" i="40" s="1"/>
  <c r="P140" i="40"/>
  <c r="P89" i="40"/>
  <c r="P70" i="1"/>
  <c r="P58" i="1"/>
  <c r="P59" i="1"/>
  <c r="P20" i="1"/>
  <c r="P67" i="1"/>
  <c r="P68" i="1"/>
  <c r="P72" i="1"/>
  <c r="P7" i="1"/>
  <c r="Q93" i="1"/>
  <c r="Q1" i="1"/>
  <c r="Q17" i="1" s="1"/>
  <c r="Q154" i="1"/>
  <c r="Q153" i="1"/>
  <c r="Q97" i="1" s="1"/>
  <c r="AN29" i="15"/>
  <c r="AL28" i="15"/>
  <c r="D28" i="15" s="1"/>
  <c r="R10" i="1"/>
  <c r="R64" i="1"/>
  <c r="P22" i="49"/>
  <c r="S4" i="1"/>
  <c r="R95" i="1"/>
  <c r="R2" i="1"/>
  <c r="P28" i="49"/>
  <c r="AZ28" i="15"/>
  <c r="AY28" i="15"/>
  <c r="AU28" i="15"/>
  <c r="AV28" i="15"/>
  <c r="AX28" i="15"/>
  <c r="AW28" i="15"/>
  <c r="BA28" i="15"/>
  <c r="E34" i="25"/>
  <c r="AT29" i="15"/>
  <c r="F33" i="25"/>
  <c r="D31" i="25"/>
  <c r="Q33" i="27"/>
  <c r="C32" i="25"/>
  <c r="BM163" i="15" l="1"/>
  <c r="BL165" i="15"/>
  <c r="BL166" i="15"/>
  <c r="BL167" i="15"/>
  <c r="B30" i="15"/>
  <c r="A31" i="15"/>
  <c r="C30" i="15"/>
  <c r="S47" i="15"/>
  <c r="R46" i="15"/>
  <c r="W48" i="15"/>
  <c r="V47" i="15"/>
  <c r="AH49" i="15"/>
  <c r="AG48" i="15"/>
  <c r="L62" i="15"/>
  <c r="M61" i="15"/>
  <c r="Q139" i="40"/>
  <c r="Q93" i="40" s="1"/>
  <c r="Q1" i="40"/>
  <c r="Q21" i="40" s="1"/>
  <c r="Q89" i="40"/>
  <c r="Q140" i="40"/>
  <c r="R57" i="40"/>
  <c r="R14" i="40"/>
  <c r="S4" i="40"/>
  <c r="R2" i="40"/>
  <c r="R91" i="40"/>
  <c r="P7" i="40"/>
  <c r="P55" i="40"/>
  <c r="P63" i="40"/>
  <c r="P32" i="40"/>
  <c r="P65" i="40"/>
  <c r="P60" i="40"/>
  <c r="P52" i="40"/>
  <c r="P51" i="40"/>
  <c r="P24" i="40"/>
  <c r="P61" i="40"/>
  <c r="R154" i="1"/>
  <c r="R1" i="1"/>
  <c r="R17" i="1" s="1"/>
  <c r="R153" i="1"/>
  <c r="R97" i="1" s="1"/>
  <c r="R93" i="1"/>
  <c r="AL29" i="15"/>
  <c r="D29" i="15" s="1"/>
  <c r="AN30" i="15"/>
  <c r="T4" i="1"/>
  <c r="Q22" i="49"/>
  <c r="S10" i="1"/>
  <c r="S2" i="1"/>
  <c r="S64" i="1"/>
  <c r="Q28" i="49"/>
  <c r="S95" i="1"/>
  <c r="Q20" i="1"/>
  <c r="Q67" i="1"/>
  <c r="Q58" i="1"/>
  <c r="Q70" i="1"/>
  <c r="Q68" i="1"/>
  <c r="Q7" i="1"/>
  <c r="Q59" i="1"/>
  <c r="Q72" i="1"/>
  <c r="AU29" i="15"/>
  <c r="AY29" i="15"/>
  <c r="AW29" i="15"/>
  <c r="AZ29" i="15"/>
  <c r="AV29" i="15"/>
  <c r="BA29" i="15"/>
  <c r="AX29" i="15"/>
  <c r="AT30" i="15"/>
  <c r="F34" i="25"/>
  <c r="E35" i="25"/>
  <c r="C33" i="25"/>
  <c r="R33" i="27"/>
  <c r="D32" i="25"/>
  <c r="AH50" i="15" l="1"/>
  <c r="AG49" i="15"/>
  <c r="S48" i="15"/>
  <c r="R47" i="15"/>
  <c r="L63" i="15"/>
  <c r="M62" i="15"/>
  <c r="V48" i="15"/>
  <c r="W49" i="15"/>
  <c r="C31" i="15"/>
  <c r="B31" i="15"/>
  <c r="A32" i="15"/>
  <c r="BM166" i="15"/>
  <c r="BM167" i="15"/>
  <c r="BN163" i="15"/>
  <c r="BM165" i="15"/>
  <c r="Q52" i="40"/>
  <c r="Q7" i="40"/>
  <c r="Q24" i="40"/>
  <c r="Q32" i="40"/>
  <c r="Q61" i="40"/>
  <c r="Q55" i="40"/>
  <c r="Q65" i="40"/>
  <c r="Q60" i="40"/>
  <c r="Q51" i="40"/>
  <c r="Q63" i="40"/>
  <c r="T4" i="40"/>
  <c r="S57" i="40"/>
  <c r="S2" i="40"/>
  <c r="S14" i="40"/>
  <c r="S91" i="40"/>
  <c r="R89" i="40"/>
  <c r="R1" i="40"/>
  <c r="R21" i="40" s="1"/>
  <c r="R139" i="40"/>
  <c r="R93" i="40" s="1"/>
  <c r="R140" i="40"/>
  <c r="S153" i="1"/>
  <c r="S97" i="1" s="1"/>
  <c r="S1" i="1"/>
  <c r="S17" i="1" s="1"/>
  <c r="S154" i="1"/>
  <c r="S93" i="1"/>
  <c r="T2" i="1"/>
  <c r="R28" i="49"/>
  <c r="U4" i="1"/>
  <c r="T64" i="1"/>
  <c r="R22" i="49"/>
  <c r="T95" i="1"/>
  <c r="T10" i="1"/>
  <c r="AL30" i="15"/>
  <c r="D30" i="15" s="1"/>
  <c r="AN31" i="15"/>
  <c r="R58" i="1"/>
  <c r="R20" i="1"/>
  <c r="R7" i="1"/>
  <c r="R68" i="1"/>
  <c r="R67" i="1"/>
  <c r="R70" i="1"/>
  <c r="R72" i="1"/>
  <c r="R59" i="1"/>
  <c r="AT31" i="15"/>
  <c r="E36" i="25"/>
  <c r="F35" i="25"/>
  <c r="AX30" i="15"/>
  <c r="AW30" i="15"/>
  <c r="AU30" i="15"/>
  <c r="AZ30" i="15"/>
  <c r="AY30" i="15"/>
  <c r="AV30" i="15"/>
  <c r="BA30" i="15"/>
  <c r="S33" i="27"/>
  <c r="D33" i="25"/>
  <c r="C34" i="25"/>
  <c r="V49" i="15" l="1"/>
  <c r="W50" i="15"/>
  <c r="C32" i="15"/>
  <c r="A33" i="15"/>
  <c r="B32" i="15"/>
  <c r="R48" i="15"/>
  <c r="S49" i="15"/>
  <c r="BN165" i="15"/>
  <c r="BN166" i="15"/>
  <c r="BO163" i="15"/>
  <c r="BN167" i="15"/>
  <c r="M63" i="15"/>
  <c r="L64" i="15"/>
  <c r="AG50" i="15"/>
  <c r="AH51" i="15"/>
  <c r="R52" i="40"/>
  <c r="R63" i="40"/>
  <c r="R24" i="40"/>
  <c r="R7" i="40"/>
  <c r="R55" i="40"/>
  <c r="R60" i="40"/>
  <c r="R65" i="40"/>
  <c r="R61" i="40"/>
  <c r="R32" i="40"/>
  <c r="R51" i="40"/>
  <c r="S139" i="40"/>
  <c r="S93" i="40" s="1"/>
  <c r="S140" i="40"/>
  <c r="S1" i="40"/>
  <c r="S21" i="40" s="1"/>
  <c r="S89" i="40"/>
  <c r="T14" i="40"/>
  <c r="U4" i="40"/>
  <c r="T57" i="40"/>
  <c r="T91" i="40"/>
  <c r="T2" i="40"/>
  <c r="T93" i="1"/>
  <c r="T1" i="1"/>
  <c r="T17" i="1" s="1"/>
  <c r="T154" i="1"/>
  <c r="T153" i="1"/>
  <c r="T97" i="1" s="1"/>
  <c r="S58" i="1"/>
  <c r="S72" i="1"/>
  <c r="S68" i="1"/>
  <c r="S7" i="1"/>
  <c r="S59" i="1"/>
  <c r="S20" i="1"/>
  <c r="S70" i="1"/>
  <c r="S67" i="1"/>
  <c r="AN32" i="15"/>
  <c r="AL31" i="15"/>
  <c r="D31" i="15" s="1"/>
  <c r="U10" i="1"/>
  <c r="U95" i="1"/>
  <c r="V4" i="1"/>
  <c r="S28" i="49"/>
  <c r="S22" i="49"/>
  <c r="U64" i="1"/>
  <c r="U2" i="1"/>
  <c r="AT32" i="15"/>
  <c r="E37" i="25"/>
  <c r="F36" i="25"/>
  <c r="AW31" i="15"/>
  <c r="AU31" i="15"/>
  <c r="AZ31" i="15"/>
  <c r="AX31" i="15"/>
  <c r="AV31" i="15"/>
  <c r="AY31" i="15"/>
  <c r="BA31" i="15"/>
  <c r="T33" i="27"/>
  <c r="D34" i="25"/>
  <c r="C35" i="25"/>
  <c r="C33" i="15" l="1"/>
  <c r="A34" i="15"/>
  <c r="B33" i="15"/>
  <c r="AG51" i="15"/>
  <c r="AH52" i="15"/>
  <c r="S50" i="15"/>
  <c r="R49" i="15"/>
  <c r="BP163" i="15"/>
  <c r="BO165" i="15"/>
  <c r="BO166" i="15"/>
  <c r="BO167" i="15"/>
  <c r="W51" i="15"/>
  <c r="V50" i="15"/>
  <c r="M64" i="15"/>
  <c r="L65" i="15"/>
  <c r="T89" i="40"/>
  <c r="T1" i="40"/>
  <c r="T21" i="40" s="1"/>
  <c r="T139" i="40"/>
  <c r="T93" i="40" s="1"/>
  <c r="T140" i="40"/>
  <c r="S65" i="40"/>
  <c r="S7" i="40"/>
  <c r="S52" i="40"/>
  <c r="S24" i="40"/>
  <c r="S32" i="40"/>
  <c r="S51" i="40"/>
  <c r="S61" i="40"/>
  <c r="S63" i="40"/>
  <c r="S60" i="40"/>
  <c r="S55" i="40"/>
  <c r="U91" i="40"/>
  <c r="U14" i="40"/>
  <c r="U57" i="40"/>
  <c r="U2" i="40"/>
  <c r="V4" i="40"/>
  <c r="T59" i="1"/>
  <c r="T58" i="1"/>
  <c r="T72" i="1"/>
  <c r="T70" i="1"/>
  <c r="T20" i="1"/>
  <c r="T68" i="1"/>
  <c r="T67" i="1"/>
  <c r="T7" i="1"/>
  <c r="U154" i="1"/>
  <c r="U1" i="1"/>
  <c r="U17" i="1" s="1"/>
  <c r="U93" i="1"/>
  <c r="U153" i="1"/>
  <c r="U97" i="1" s="1"/>
  <c r="W4" i="1"/>
  <c r="V2" i="1"/>
  <c r="V10" i="1"/>
  <c r="T28" i="49"/>
  <c r="V95" i="1"/>
  <c r="V64" i="1"/>
  <c r="T22" i="49"/>
  <c r="AL32" i="15"/>
  <c r="D32" i="15" s="1"/>
  <c r="AN33" i="15"/>
  <c r="AX32" i="15"/>
  <c r="AZ32" i="15"/>
  <c r="BA32" i="15"/>
  <c r="AU32" i="15"/>
  <c r="AW32" i="15"/>
  <c r="AV32" i="15"/>
  <c r="AY32" i="15"/>
  <c r="AT33" i="15"/>
  <c r="F37" i="25"/>
  <c r="E38" i="25"/>
  <c r="C36" i="25"/>
  <c r="U33" i="27"/>
  <c r="D35" i="25"/>
  <c r="W52" i="15" l="1"/>
  <c r="V51" i="15"/>
  <c r="BQ163" i="15"/>
  <c r="BP165" i="15"/>
  <c r="BP167" i="15"/>
  <c r="BP166" i="15"/>
  <c r="M65" i="15"/>
  <c r="L66" i="15"/>
  <c r="R50" i="15"/>
  <c r="S51" i="15"/>
  <c r="B34" i="15"/>
  <c r="C34" i="15"/>
  <c r="A35" i="15"/>
  <c r="AG52" i="15"/>
  <c r="AH53" i="15"/>
  <c r="U139" i="40"/>
  <c r="U93" i="40" s="1"/>
  <c r="U89" i="40"/>
  <c r="U1" i="40"/>
  <c r="U21" i="40" s="1"/>
  <c r="U140" i="40"/>
  <c r="T24" i="40"/>
  <c r="T60" i="40"/>
  <c r="T51" i="40"/>
  <c r="T63" i="40"/>
  <c r="T61" i="40"/>
  <c r="T55" i="40"/>
  <c r="T32" i="40"/>
  <c r="T7" i="40"/>
  <c r="T65" i="40"/>
  <c r="T52" i="40"/>
  <c r="W4" i="40"/>
  <c r="V2" i="40"/>
  <c r="V14" i="40"/>
  <c r="V91" i="40"/>
  <c r="V57" i="40"/>
  <c r="V93" i="1"/>
  <c r="V1" i="1"/>
  <c r="V17" i="1" s="1"/>
  <c r="V154" i="1"/>
  <c r="V153" i="1"/>
  <c r="V97" i="1" s="1"/>
  <c r="U7" i="1"/>
  <c r="U67" i="1"/>
  <c r="U68" i="1"/>
  <c r="U59" i="1"/>
  <c r="U70" i="1"/>
  <c r="U58" i="1"/>
  <c r="U72" i="1"/>
  <c r="U20" i="1"/>
  <c r="AL33" i="15"/>
  <c r="D33" i="15" s="1"/>
  <c r="AN34" i="15"/>
  <c r="W10" i="1"/>
  <c r="W64" i="1"/>
  <c r="W2" i="1"/>
  <c r="X4" i="1"/>
  <c r="U28" i="49"/>
  <c r="W95" i="1"/>
  <c r="U22" i="49"/>
  <c r="AT34" i="15"/>
  <c r="F38" i="25"/>
  <c r="E39" i="25"/>
  <c r="AV33" i="15"/>
  <c r="AZ33" i="15"/>
  <c r="AX33" i="15"/>
  <c r="AU33" i="15"/>
  <c r="BA33" i="15"/>
  <c r="AW33" i="15"/>
  <c r="AY33" i="15"/>
  <c r="C37" i="25"/>
  <c r="D36" i="25"/>
  <c r="V33" i="27"/>
  <c r="M66" i="15" l="1"/>
  <c r="L67" i="15"/>
  <c r="AH54" i="15"/>
  <c r="AG53" i="15"/>
  <c r="BQ166" i="15"/>
  <c r="BQ167" i="15"/>
  <c r="BR163" i="15"/>
  <c r="BQ165" i="15"/>
  <c r="R51" i="15"/>
  <c r="S52" i="15"/>
  <c r="B35" i="15"/>
  <c r="C35" i="15"/>
  <c r="A36" i="15"/>
  <c r="W53" i="15"/>
  <c r="V52" i="15"/>
  <c r="W2" i="40"/>
  <c r="W91" i="40"/>
  <c r="W57" i="40"/>
  <c r="W14" i="40"/>
  <c r="X4" i="40"/>
  <c r="U55" i="40"/>
  <c r="U51" i="40"/>
  <c r="U32" i="40"/>
  <c r="U7" i="40"/>
  <c r="U61" i="40"/>
  <c r="U65" i="40"/>
  <c r="U63" i="40"/>
  <c r="U24" i="40"/>
  <c r="U52" i="40"/>
  <c r="U60" i="40"/>
  <c r="V89" i="40"/>
  <c r="V139" i="40"/>
  <c r="V93" i="40" s="1"/>
  <c r="V140" i="40"/>
  <c r="V1" i="40"/>
  <c r="V21" i="40" s="1"/>
  <c r="V22" i="49"/>
  <c r="Y4" i="1"/>
  <c r="V28" i="49"/>
  <c r="X10" i="1"/>
  <c r="X95" i="1"/>
  <c r="X2" i="1"/>
  <c r="X64" i="1"/>
  <c r="AL34" i="15"/>
  <c r="D34" i="15" s="1"/>
  <c r="AN35" i="15"/>
  <c r="V67" i="1"/>
  <c r="V59" i="1"/>
  <c r="V70" i="1"/>
  <c r="V68" i="1"/>
  <c r="V20" i="1"/>
  <c r="V7" i="1"/>
  <c r="V58" i="1"/>
  <c r="V72" i="1"/>
  <c r="W154" i="1"/>
  <c r="W1" i="1"/>
  <c r="W17" i="1" s="1"/>
  <c r="W153" i="1"/>
  <c r="W97" i="1" s="1"/>
  <c r="W93" i="1"/>
  <c r="BA34" i="15"/>
  <c r="AX34" i="15"/>
  <c r="AV34" i="15"/>
  <c r="AW34" i="15"/>
  <c r="AY34" i="15"/>
  <c r="AZ34" i="15"/>
  <c r="AU34" i="15"/>
  <c r="F39" i="25"/>
  <c r="E40" i="25"/>
  <c r="AT35" i="15"/>
  <c r="W33" i="27"/>
  <c r="D37" i="25"/>
  <c r="C38" i="25"/>
  <c r="BR165" i="15" l="1"/>
  <c r="BR166" i="15"/>
  <c r="BS163" i="15"/>
  <c r="BR167" i="15"/>
  <c r="AG54" i="15"/>
  <c r="AH55" i="15"/>
  <c r="W54" i="15"/>
  <c r="V53" i="15"/>
  <c r="S53" i="15"/>
  <c r="R52" i="15"/>
  <c r="M67" i="15"/>
  <c r="L68" i="15"/>
  <c r="A37" i="15"/>
  <c r="B36" i="15"/>
  <c r="C36" i="15"/>
  <c r="W140" i="40"/>
  <c r="W89" i="40"/>
  <c r="W1" i="40"/>
  <c r="W21" i="40" s="1"/>
  <c r="W139" i="40"/>
  <c r="W93" i="40" s="1"/>
  <c r="V51" i="40"/>
  <c r="V60" i="40"/>
  <c r="V65" i="40"/>
  <c r="V52" i="40"/>
  <c r="V61" i="40"/>
  <c r="V7" i="40"/>
  <c r="V32" i="40"/>
  <c r="V55" i="40"/>
  <c r="V63" i="40"/>
  <c r="V24" i="40"/>
  <c r="X14" i="40"/>
  <c r="X57" i="40"/>
  <c r="X2" i="40"/>
  <c r="X91" i="40"/>
  <c r="Y4" i="40"/>
  <c r="AL35" i="15"/>
  <c r="D35" i="15" s="1"/>
  <c r="AN36" i="15"/>
  <c r="W59" i="1"/>
  <c r="W68" i="1"/>
  <c r="W58" i="1"/>
  <c r="W67" i="1"/>
  <c r="W70" i="1"/>
  <c r="W7" i="1"/>
  <c r="W20" i="1"/>
  <c r="W72" i="1"/>
  <c r="X153" i="1"/>
  <c r="X97" i="1" s="1"/>
  <c r="X1" i="1"/>
  <c r="X17" i="1" s="1"/>
  <c r="X154" i="1"/>
  <c r="X93" i="1"/>
  <c r="Y10" i="1"/>
  <c r="Y95" i="1"/>
  <c r="Y64" i="1"/>
  <c r="Y2" i="1"/>
  <c r="W22" i="49"/>
  <c r="W28" i="49"/>
  <c r="Z4" i="1"/>
  <c r="E41" i="25"/>
  <c r="F40" i="25"/>
  <c r="AT36" i="15"/>
  <c r="AV35" i="15"/>
  <c r="AU35" i="15"/>
  <c r="AX35" i="15"/>
  <c r="AZ35" i="15"/>
  <c r="AW35" i="15"/>
  <c r="BA35" i="15"/>
  <c r="AY35" i="15"/>
  <c r="X33" i="27"/>
  <c r="C39" i="25"/>
  <c r="D38" i="25"/>
  <c r="L69" i="15" l="1"/>
  <c r="M68" i="15"/>
  <c r="V54" i="15"/>
  <c r="W55" i="15"/>
  <c r="BS165" i="15"/>
  <c r="BS166" i="15"/>
  <c r="BS167" i="15"/>
  <c r="AH56" i="15"/>
  <c r="AG55" i="15"/>
  <c r="C37" i="15"/>
  <c r="B37" i="15"/>
  <c r="A38" i="15"/>
  <c r="R53" i="15"/>
  <c r="S54" i="15"/>
  <c r="X139" i="40"/>
  <c r="X93" i="40" s="1"/>
  <c r="X140" i="40"/>
  <c r="X89" i="40"/>
  <c r="X1" i="40"/>
  <c r="X21" i="40" s="1"/>
  <c r="Y57" i="40"/>
  <c r="Y91" i="40"/>
  <c r="Y14" i="40"/>
  <c r="Z4" i="40"/>
  <c r="Y2" i="40"/>
  <c r="W7" i="40"/>
  <c r="W60" i="40"/>
  <c r="W61" i="40"/>
  <c r="W32" i="40"/>
  <c r="W24" i="40"/>
  <c r="W55" i="40"/>
  <c r="W52" i="40"/>
  <c r="W65" i="40"/>
  <c r="W63" i="40"/>
  <c r="W51" i="40"/>
  <c r="X58" i="1"/>
  <c r="X70" i="1"/>
  <c r="X59" i="1"/>
  <c r="X20" i="1"/>
  <c r="X68" i="1"/>
  <c r="X67" i="1"/>
  <c r="X7" i="1"/>
  <c r="X72" i="1"/>
  <c r="AL36" i="15"/>
  <c r="D36" i="15" s="1"/>
  <c r="AN37" i="15"/>
  <c r="Z64" i="1"/>
  <c r="Z95" i="1"/>
  <c r="Z2" i="1"/>
  <c r="Z10" i="1"/>
  <c r="AA4" i="1"/>
  <c r="Y154" i="1"/>
  <c r="Y1" i="1"/>
  <c r="Y17" i="1" s="1"/>
  <c r="Y93" i="1"/>
  <c r="Y153" i="1"/>
  <c r="Y97" i="1" s="1"/>
  <c r="E42" i="25"/>
  <c r="F41" i="25"/>
  <c r="AT37" i="15"/>
  <c r="AZ36" i="15"/>
  <c r="AX36" i="15"/>
  <c r="AU36" i="15"/>
  <c r="AW36" i="15"/>
  <c r="AY36" i="15"/>
  <c r="AV36" i="15"/>
  <c r="BA36" i="15"/>
  <c r="C40" i="25"/>
  <c r="Y33" i="27"/>
  <c r="D39" i="25"/>
  <c r="A39" i="15" l="1"/>
  <c r="C38" i="15"/>
  <c r="B38" i="15"/>
  <c r="AG56" i="15"/>
  <c r="AH57" i="15"/>
  <c r="V55" i="15"/>
  <c r="W56" i="15"/>
  <c r="S55" i="15"/>
  <c r="R54" i="15"/>
  <c r="L70" i="15"/>
  <c r="M69" i="15"/>
  <c r="Y89" i="40"/>
  <c r="Y139" i="40"/>
  <c r="Y93" i="40" s="1"/>
  <c r="Y140" i="40"/>
  <c r="Y1" i="40"/>
  <c r="Y21" i="40" s="1"/>
  <c r="Z2" i="40"/>
  <c r="Z57" i="40"/>
  <c r="Z14" i="40"/>
  <c r="AA4" i="40"/>
  <c r="Z91" i="40"/>
  <c r="X7" i="40"/>
  <c r="X65" i="40"/>
  <c r="X61" i="40"/>
  <c r="X52" i="40"/>
  <c r="X32" i="40"/>
  <c r="X60" i="40"/>
  <c r="X55" i="40"/>
  <c r="X63" i="40"/>
  <c r="X51" i="40"/>
  <c r="X24" i="40"/>
  <c r="Z1" i="1"/>
  <c r="Z17" i="1" s="1"/>
  <c r="Z93" i="1"/>
  <c r="Z154" i="1"/>
  <c r="Z153" i="1"/>
  <c r="Z97" i="1" s="1"/>
  <c r="AL37" i="15"/>
  <c r="D37" i="15" s="1"/>
  <c r="AN38" i="15"/>
  <c r="AA95" i="1"/>
  <c r="AB4" i="1"/>
  <c r="AA2" i="1"/>
  <c r="AA10" i="1"/>
  <c r="AA64" i="1"/>
  <c r="Y58" i="1"/>
  <c r="Y68" i="1"/>
  <c r="Y72" i="1"/>
  <c r="Y59" i="1"/>
  <c r="Y70" i="1"/>
  <c r="Y67" i="1"/>
  <c r="Y20" i="1"/>
  <c r="Y7" i="1"/>
  <c r="F42" i="25"/>
  <c r="E43" i="25"/>
  <c r="AT38" i="15"/>
  <c r="AV37" i="15"/>
  <c r="AY37" i="15"/>
  <c r="AX37" i="15"/>
  <c r="AW37" i="15"/>
  <c r="BA37" i="15"/>
  <c r="AZ37" i="15"/>
  <c r="AU37" i="15"/>
  <c r="C41" i="25"/>
  <c r="D40" i="25"/>
  <c r="Z33" i="27"/>
  <c r="R55" i="15" l="1"/>
  <c r="S56" i="15"/>
  <c r="V56" i="15"/>
  <c r="W57" i="15"/>
  <c r="L71" i="15"/>
  <c r="M70" i="15"/>
  <c r="AH58" i="15"/>
  <c r="AG57" i="15"/>
  <c r="A40" i="15"/>
  <c r="C39" i="15"/>
  <c r="B39" i="15"/>
  <c r="Z140" i="40"/>
  <c r="Z89" i="40"/>
  <c r="Z139" i="40"/>
  <c r="Z93" i="40" s="1"/>
  <c r="Z1" i="40"/>
  <c r="Z21" i="40" s="1"/>
  <c r="AA91" i="40"/>
  <c r="AA2" i="40"/>
  <c r="AA57" i="40"/>
  <c r="AA14" i="40"/>
  <c r="AB4" i="40"/>
  <c r="Y55" i="40"/>
  <c r="Y63" i="40"/>
  <c r="Y51" i="40"/>
  <c r="Y24" i="40"/>
  <c r="Y65" i="40"/>
  <c r="Y52" i="40"/>
  <c r="Y61" i="40"/>
  <c r="Y32" i="40"/>
  <c r="Y7" i="40"/>
  <c r="Y60" i="40"/>
  <c r="Z58" i="1"/>
  <c r="Z67" i="1"/>
  <c r="Z7" i="1"/>
  <c r="Z20" i="1"/>
  <c r="Z59" i="1"/>
  <c r="Z68" i="1"/>
  <c r="Z72" i="1"/>
  <c r="Z70" i="1"/>
  <c r="AB10" i="1"/>
  <c r="AB64" i="1"/>
  <c r="AC4" i="1"/>
  <c r="AB2" i="1"/>
  <c r="AB95" i="1"/>
  <c r="AL38" i="15"/>
  <c r="D38" i="15" s="1"/>
  <c r="AN39" i="15"/>
  <c r="AA1" i="1"/>
  <c r="AA17" i="1" s="1"/>
  <c r="AA153" i="1"/>
  <c r="AA97" i="1" s="1"/>
  <c r="AA93" i="1"/>
  <c r="AA154" i="1"/>
  <c r="F43" i="25"/>
  <c r="AT39" i="15"/>
  <c r="E44" i="25"/>
  <c r="BA38" i="15"/>
  <c r="AU38" i="15"/>
  <c r="AW38" i="15"/>
  <c r="AY38" i="15"/>
  <c r="AV38" i="15"/>
  <c r="AZ38" i="15"/>
  <c r="AX38" i="15"/>
  <c r="AA33" i="27"/>
  <c r="D41" i="25"/>
  <c r="C42" i="25"/>
  <c r="V57" i="15" l="1"/>
  <c r="W58" i="15"/>
  <c r="AG58" i="15"/>
  <c r="AH59" i="15"/>
  <c r="R56" i="15"/>
  <c r="S57" i="15"/>
  <c r="B40" i="15"/>
  <c r="C40" i="15"/>
  <c r="A41" i="15"/>
  <c r="M71" i="15"/>
  <c r="L72" i="15"/>
  <c r="AA89" i="40"/>
  <c r="AA139" i="40"/>
  <c r="AA93" i="40" s="1"/>
  <c r="AA140" i="40"/>
  <c r="AA1" i="40"/>
  <c r="AA21" i="40" s="1"/>
  <c r="AB57" i="40"/>
  <c r="AC4" i="40"/>
  <c r="AB2" i="40"/>
  <c r="AB91" i="40"/>
  <c r="AB14" i="40"/>
  <c r="Z51" i="40"/>
  <c r="Z24" i="40"/>
  <c r="Z7" i="40"/>
  <c r="Z52" i="40"/>
  <c r="Z61" i="40"/>
  <c r="Z60" i="40"/>
  <c r="Z63" i="40"/>
  <c r="Z65" i="40"/>
  <c r="Z32" i="40"/>
  <c r="Z55" i="40"/>
  <c r="AL39" i="15"/>
  <c r="D39" i="15" s="1"/>
  <c r="AN40" i="15"/>
  <c r="AC2" i="1"/>
  <c r="AD4" i="1"/>
  <c r="AC64" i="1"/>
  <c r="AC10" i="1"/>
  <c r="AC95" i="1"/>
  <c r="AA58" i="1"/>
  <c r="AA59" i="1"/>
  <c r="AA68" i="1"/>
  <c r="AA20" i="1"/>
  <c r="AA70" i="1"/>
  <c r="AA72" i="1"/>
  <c r="AA7" i="1"/>
  <c r="AA67" i="1"/>
  <c r="AB153" i="1"/>
  <c r="AB97" i="1" s="1"/>
  <c r="AB154" i="1"/>
  <c r="AB93" i="1"/>
  <c r="AB1" i="1"/>
  <c r="AB17" i="1" s="1"/>
  <c r="AY39" i="15"/>
  <c r="AZ39" i="15"/>
  <c r="AV39" i="15"/>
  <c r="AW39" i="15"/>
  <c r="AX39" i="15"/>
  <c r="AU39" i="15"/>
  <c r="BA39" i="15"/>
  <c r="E45" i="25"/>
  <c r="AT40" i="15"/>
  <c r="F44" i="25"/>
  <c r="AB33" i="27"/>
  <c r="D42" i="25"/>
  <c r="C43" i="25"/>
  <c r="AH60" i="15" l="1"/>
  <c r="AG59" i="15"/>
  <c r="M72" i="15"/>
  <c r="L73" i="15"/>
  <c r="R57" i="15"/>
  <c r="S58" i="15"/>
  <c r="V58" i="15"/>
  <c r="W59" i="15"/>
  <c r="C41" i="15"/>
  <c r="B41" i="15"/>
  <c r="A42" i="15"/>
  <c r="AC2" i="40"/>
  <c r="AD4" i="40"/>
  <c r="AC57" i="40"/>
  <c r="AC14" i="40"/>
  <c r="AC91" i="40"/>
  <c r="AB1" i="40"/>
  <c r="AB21" i="40" s="1"/>
  <c r="AB140" i="40"/>
  <c r="AB89" i="40"/>
  <c r="AB139" i="40"/>
  <c r="AB93" i="40" s="1"/>
  <c r="AA51" i="40"/>
  <c r="AA7" i="40"/>
  <c r="AA55" i="40"/>
  <c r="AA24" i="40"/>
  <c r="AA60" i="40"/>
  <c r="AA63" i="40"/>
  <c r="AA61" i="40"/>
  <c r="AA52" i="40"/>
  <c r="AA65" i="40"/>
  <c r="AA32" i="40"/>
  <c r="AL40" i="15"/>
  <c r="D40" i="15" s="1"/>
  <c r="AN41" i="15"/>
  <c r="AB67" i="1"/>
  <c r="AB7" i="1"/>
  <c r="AB68" i="1"/>
  <c r="AB72" i="1"/>
  <c r="AB59" i="1"/>
  <c r="AB58" i="1"/>
  <c r="AB70" i="1"/>
  <c r="AB20" i="1"/>
  <c r="AC1" i="1"/>
  <c r="AC17" i="1" s="1"/>
  <c r="AC93" i="1"/>
  <c r="AC153" i="1"/>
  <c r="AC97" i="1" s="1"/>
  <c r="AC154" i="1"/>
  <c r="AD95" i="1"/>
  <c r="AD2" i="1"/>
  <c r="AD64" i="1"/>
  <c r="AE4" i="1"/>
  <c r="AD10" i="1"/>
  <c r="AX40" i="15"/>
  <c r="AY40" i="15"/>
  <c r="AU40" i="15"/>
  <c r="AW40" i="15"/>
  <c r="AV40" i="15"/>
  <c r="BA40" i="15"/>
  <c r="AZ40" i="15"/>
  <c r="E46" i="25"/>
  <c r="F45" i="25"/>
  <c r="AT41" i="15"/>
  <c r="C44" i="25"/>
  <c r="AC33" i="27"/>
  <c r="D43" i="25"/>
  <c r="W60" i="15" l="1"/>
  <c r="V59" i="15"/>
  <c r="M73" i="15"/>
  <c r="L74" i="15"/>
  <c r="C42" i="15"/>
  <c r="A43" i="15"/>
  <c r="B42" i="15"/>
  <c r="R58" i="15"/>
  <c r="S59" i="15"/>
  <c r="AG60" i="15"/>
  <c r="AH61" i="15"/>
  <c r="AC1" i="40"/>
  <c r="AC21" i="40" s="1"/>
  <c r="AC140" i="40"/>
  <c r="AC139" i="40"/>
  <c r="AC93" i="40" s="1"/>
  <c r="AC89" i="40"/>
  <c r="AB61" i="40"/>
  <c r="AB52" i="40"/>
  <c r="AB60" i="40"/>
  <c r="AB55" i="40"/>
  <c r="AB65" i="40"/>
  <c r="AB51" i="40"/>
  <c r="AB7" i="40"/>
  <c r="AB63" i="40"/>
  <c r="AB32" i="40"/>
  <c r="AB24" i="40"/>
  <c r="AD14" i="40"/>
  <c r="AD57" i="40"/>
  <c r="AE4" i="40"/>
  <c r="AD91" i="40"/>
  <c r="AD2" i="40"/>
  <c r="AC20" i="1"/>
  <c r="AC59" i="1"/>
  <c r="AC68" i="1"/>
  <c r="AC67" i="1"/>
  <c r="AC58" i="1"/>
  <c r="AC70" i="1"/>
  <c r="AC72" i="1"/>
  <c r="AC7" i="1"/>
  <c r="AD153" i="1"/>
  <c r="AD97" i="1" s="1"/>
  <c r="AD154" i="1"/>
  <c r="AD1" i="1"/>
  <c r="AD17" i="1" s="1"/>
  <c r="AD93" i="1"/>
  <c r="AL41" i="15"/>
  <c r="D41" i="15" s="1"/>
  <c r="AN42" i="15"/>
  <c r="AE95" i="1"/>
  <c r="AE10" i="1"/>
  <c r="AF4" i="1"/>
  <c r="AE2" i="1"/>
  <c r="AE30" i="1"/>
  <c r="AE100" i="1"/>
  <c r="AE64" i="1"/>
  <c r="AE31" i="1"/>
  <c r="AZ41" i="15"/>
  <c r="BA41" i="15"/>
  <c r="AV41" i="15"/>
  <c r="AU41" i="15"/>
  <c r="AW41" i="15"/>
  <c r="AX41" i="15"/>
  <c r="AY41" i="15"/>
  <c r="F46" i="25"/>
  <c r="E47" i="25"/>
  <c r="AT42" i="15"/>
  <c r="C45" i="25"/>
  <c r="AD33" i="27"/>
  <c r="D44" i="25"/>
  <c r="M74" i="15" l="1"/>
  <c r="L75" i="15"/>
  <c r="AH62" i="15"/>
  <c r="AG61" i="15"/>
  <c r="C43" i="15"/>
  <c r="B43" i="15"/>
  <c r="A44" i="15"/>
  <c r="S60" i="15"/>
  <c r="R59" i="15"/>
  <c r="W61" i="15"/>
  <c r="V60" i="15"/>
  <c r="AE32" i="1"/>
  <c r="AE45" i="1" s="1"/>
  <c r="AE34" i="40"/>
  <c r="AE2" i="40"/>
  <c r="AE14" i="40"/>
  <c r="AE96" i="40"/>
  <c r="AE57" i="40"/>
  <c r="AE91" i="40"/>
  <c r="AF4" i="40"/>
  <c r="AE35" i="40"/>
  <c r="AC24" i="40"/>
  <c r="AC61" i="40"/>
  <c r="AC52" i="40"/>
  <c r="AC55" i="40"/>
  <c r="AC7" i="40"/>
  <c r="AC60" i="40"/>
  <c r="AC51" i="40"/>
  <c r="AC32" i="40"/>
  <c r="AC63" i="40"/>
  <c r="AC65" i="40"/>
  <c r="AD140" i="40"/>
  <c r="AD89" i="40"/>
  <c r="AD1" i="40"/>
  <c r="AD21" i="40" s="1"/>
  <c r="AD139" i="40"/>
  <c r="AD93" i="40" s="1"/>
  <c r="AL42" i="15"/>
  <c r="D42" i="15" s="1"/>
  <c r="AN43" i="15"/>
  <c r="AG4" i="1"/>
  <c r="AF64" i="1"/>
  <c r="AF2" i="1"/>
  <c r="AF10" i="1"/>
  <c r="AF100" i="1"/>
  <c r="AF30" i="1"/>
  <c r="AF95" i="1"/>
  <c r="AF31" i="1"/>
  <c r="AD58" i="1"/>
  <c r="AD20" i="1"/>
  <c r="AD59" i="1"/>
  <c r="AD7" i="1"/>
  <c r="AD68" i="1"/>
  <c r="AD67" i="1"/>
  <c r="AD72" i="1"/>
  <c r="AD70" i="1"/>
  <c r="AE1" i="1"/>
  <c r="AE17" i="1" s="1"/>
  <c r="AE93" i="1"/>
  <c r="AE153" i="1"/>
  <c r="AE97" i="1" s="1"/>
  <c r="AE154" i="1"/>
  <c r="AT43" i="15"/>
  <c r="F47" i="25"/>
  <c r="E48" i="25"/>
  <c r="BA42" i="15"/>
  <c r="AU42" i="15"/>
  <c r="AZ42" i="15"/>
  <c r="AX42" i="15"/>
  <c r="AY42" i="15"/>
  <c r="AV42" i="15"/>
  <c r="AW42" i="15"/>
  <c r="AE33" i="27"/>
  <c r="D45" i="25"/>
  <c r="C46" i="25"/>
  <c r="S61" i="15" l="1"/>
  <c r="R60" i="15"/>
  <c r="A45" i="15"/>
  <c r="B44" i="15"/>
  <c r="C44" i="15"/>
  <c r="AG62" i="15"/>
  <c r="AH63" i="15"/>
  <c r="W62" i="15"/>
  <c r="V61" i="15"/>
  <c r="M75" i="15"/>
  <c r="L76" i="15"/>
  <c r="AE36" i="40"/>
  <c r="AE37" i="40" s="1"/>
  <c r="AD63" i="40"/>
  <c r="AD65" i="40"/>
  <c r="AD7" i="40"/>
  <c r="AD55" i="40"/>
  <c r="AD52" i="40"/>
  <c r="AD51" i="40"/>
  <c r="AD32" i="40"/>
  <c r="AD60" i="40"/>
  <c r="AD24" i="40"/>
  <c r="AD61" i="40"/>
  <c r="AE1" i="40"/>
  <c r="AE21" i="40" s="1"/>
  <c r="AE140" i="40"/>
  <c r="AE89" i="40"/>
  <c r="AE139" i="40"/>
  <c r="AE93" i="40" s="1"/>
  <c r="AF2" i="40"/>
  <c r="AF91" i="40"/>
  <c r="AF35" i="40"/>
  <c r="AF34" i="40"/>
  <c r="AG4" i="40"/>
  <c r="AF57" i="40"/>
  <c r="AF14" i="40"/>
  <c r="AF96" i="40"/>
  <c r="AE70" i="1"/>
  <c r="AE7" i="1"/>
  <c r="AE67" i="1"/>
  <c r="AE72" i="1"/>
  <c r="AE20" i="1"/>
  <c r="AE59" i="1"/>
  <c r="AE58" i="1"/>
  <c r="AE68" i="1"/>
  <c r="AF32" i="1"/>
  <c r="AF45" i="1" s="1"/>
  <c r="AG100" i="1"/>
  <c r="AG30" i="1"/>
  <c r="AG10" i="1"/>
  <c r="AG31" i="1"/>
  <c r="AH4" i="1"/>
  <c r="AG95" i="1"/>
  <c r="AG64" i="1"/>
  <c r="AG2" i="1"/>
  <c r="AF1" i="1"/>
  <c r="AF17" i="1" s="1"/>
  <c r="AF93" i="1"/>
  <c r="AF154" i="1"/>
  <c r="AF153" i="1"/>
  <c r="AF97" i="1" s="1"/>
  <c r="AL43" i="15"/>
  <c r="D43" i="15" s="1"/>
  <c r="AN44" i="15"/>
  <c r="AY43" i="15"/>
  <c r="BA43" i="15"/>
  <c r="AW43" i="15"/>
  <c r="AV43" i="15"/>
  <c r="AX43" i="15"/>
  <c r="AU43" i="15"/>
  <c r="AZ43" i="15"/>
  <c r="E49" i="25"/>
  <c r="AT44" i="15"/>
  <c r="F48" i="25"/>
  <c r="AF33" i="27"/>
  <c r="D46" i="25"/>
  <c r="C47" i="25"/>
  <c r="W63" i="15" l="1"/>
  <c r="V62" i="15"/>
  <c r="L77" i="15"/>
  <c r="M76" i="15"/>
  <c r="AH64" i="15"/>
  <c r="AG63" i="15"/>
  <c r="B45" i="15"/>
  <c r="A46" i="15"/>
  <c r="C45" i="15"/>
  <c r="S62" i="15"/>
  <c r="R61" i="15"/>
  <c r="AF36" i="40"/>
  <c r="AF37" i="40" s="1"/>
  <c r="AG57" i="40"/>
  <c r="AG34" i="40"/>
  <c r="AH4" i="40"/>
  <c r="AG2" i="40"/>
  <c r="AG35" i="40"/>
  <c r="AG14" i="40"/>
  <c r="AG91" i="40"/>
  <c r="AG96" i="40"/>
  <c r="AF1" i="40"/>
  <c r="AF21" i="40" s="1"/>
  <c r="AF89" i="40"/>
  <c r="AF139" i="40"/>
  <c r="AF93" i="40" s="1"/>
  <c r="AF140" i="40"/>
  <c r="AE55" i="40"/>
  <c r="AE65" i="40"/>
  <c r="AE24" i="40"/>
  <c r="AE61" i="40"/>
  <c r="AE7" i="40"/>
  <c r="AE32" i="40"/>
  <c r="AE60" i="40"/>
  <c r="AE51" i="40"/>
  <c r="AE52" i="40"/>
  <c r="AE63" i="40"/>
  <c r="AF59" i="1"/>
  <c r="AF58" i="1"/>
  <c r="AF68" i="1"/>
  <c r="AF20" i="1"/>
  <c r="AF70" i="1"/>
  <c r="AF67" i="1"/>
  <c r="AF72" i="1"/>
  <c r="AF7" i="1"/>
  <c r="AI4" i="1"/>
  <c r="AH95" i="1"/>
  <c r="AH2" i="1"/>
  <c r="AH10" i="1"/>
  <c r="AH64" i="1"/>
  <c r="AH30" i="1"/>
  <c r="AH100" i="1"/>
  <c r="AH31" i="1"/>
  <c r="AL44" i="15"/>
  <c r="D44" i="15" s="1"/>
  <c r="AN45" i="15"/>
  <c r="AG32" i="1"/>
  <c r="AG45" i="1" s="1"/>
  <c r="AG154" i="1"/>
  <c r="AG153" i="1"/>
  <c r="AG97" i="1" s="1"/>
  <c r="AG93" i="1"/>
  <c r="AG1" i="1"/>
  <c r="AG17" i="1" s="1"/>
  <c r="E50" i="25"/>
  <c r="AT45" i="15"/>
  <c r="F49" i="25"/>
  <c r="AX44" i="15"/>
  <c r="BA44" i="15"/>
  <c r="AU44" i="15"/>
  <c r="AW44" i="15"/>
  <c r="AZ44" i="15"/>
  <c r="AV44" i="15"/>
  <c r="AY44" i="15"/>
  <c r="C48" i="25"/>
  <c r="AG33" i="27"/>
  <c r="D47" i="25"/>
  <c r="C46" i="15" l="1"/>
  <c r="B46" i="15"/>
  <c r="A47" i="15"/>
  <c r="M77" i="15"/>
  <c r="L78" i="15"/>
  <c r="M78" i="15" s="1"/>
  <c r="R62" i="15"/>
  <c r="S63" i="15"/>
  <c r="AG64" i="15"/>
  <c r="AH65" i="15"/>
  <c r="V63" i="15"/>
  <c r="W64" i="15"/>
  <c r="AF51" i="40"/>
  <c r="AF55" i="40"/>
  <c r="AF32" i="40"/>
  <c r="AF24" i="40"/>
  <c r="AF52" i="40"/>
  <c r="AF63" i="40"/>
  <c r="AF7" i="40"/>
  <c r="AF60" i="40"/>
  <c r="AF61" i="40"/>
  <c r="AF65" i="40"/>
  <c r="AG1" i="40"/>
  <c r="AG21" i="40" s="1"/>
  <c r="AG139" i="40"/>
  <c r="AG93" i="40" s="1"/>
  <c r="AG140" i="40"/>
  <c r="AG89" i="40"/>
  <c r="AG36" i="40"/>
  <c r="AG37" i="40" s="1"/>
  <c r="AH34" i="40"/>
  <c r="AH96" i="40"/>
  <c r="AH91" i="40"/>
  <c r="AH14" i="40"/>
  <c r="AH2" i="40"/>
  <c r="AH57" i="40"/>
  <c r="AH35" i="40"/>
  <c r="AI4" i="40"/>
  <c r="AI2" i="1"/>
  <c r="AI95" i="1"/>
  <c r="AI10" i="1"/>
  <c r="AI31" i="1"/>
  <c r="AJ4" i="1"/>
  <c r="AI64" i="1"/>
  <c r="AI30" i="1"/>
  <c r="AI100" i="1"/>
  <c r="AG20" i="1"/>
  <c r="AG67" i="1"/>
  <c r="AG58" i="1"/>
  <c r="AG68" i="1"/>
  <c r="AG72" i="1"/>
  <c r="AG70" i="1"/>
  <c r="AG7" i="1"/>
  <c r="AG59" i="1"/>
  <c r="AL45" i="15"/>
  <c r="D45" i="15" s="1"/>
  <c r="AN46" i="15"/>
  <c r="AH32" i="1"/>
  <c r="AH45" i="1" s="1"/>
  <c r="AH154" i="1"/>
  <c r="AH1" i="1"/>
  <c r="AH17" i="1" s="1"/>
  <c r="AH93" i="1"/>
  <c r="AH153" i="1"/>
  <c r="AH97" i="1" s="1"/>
  <c r="AT46" i="15"/>
  <c r="E51" i="25"/>
  <c r="F50" i="25"/>
  <c r="B2" i="25" s="1"/>
  <c r="AX45" i="15"/>
  <c r="AU45" i="15"/>
  <c r="BA45" i="15"/>
  <c r="AV45" i="15"/>
  <c r="AZ45" i="15"/>
  <c r="AY45" i="15"/>
  <c r="AW45" i="15"/>
  <c r="C49" i="25"/>
  <c r="D48" i="25"/>
  <c r="AH33" i="27"/>
  <c r="W65" i="15" l="1"/>
  <c r="V64" i="15"/>
  <c r="S64" i="15"/>
  <c r="R63" i="15"/>
  <c r="B47" i="15"/>
  <c r="C47" i="15"/>
  <c r="A48" i="15"/>
  <c r="AG65" i="15"/>
  <c r="AH66" i="15"/>
  <c r="AI32" i="1"/>
  <c r="AI45" i="1" s="1"/>
  <c r="AI57" i="40"/>
  <c r="AI35" i="40"/>
  <c r="AI34" i="40"/>
  <c r="AI91" i="40"/>
  <c r="AI96" i="40"/>
  <c r="AJ4" i="40"/>
  <c r="AI14" i="40"/>
  <c r="AI2" i="40"/>
  <c r="AG61" i="40"/>
  <c r="AG7" i="40"/>
  <c r="AG24" i="40"/>
  <c r="AG55" i="40"/>
  <c r="AG63" i="40"/>
  <c r="AG51" i="40"/>
  <c r="AG60" i="40"/>
  <c r="AG32" i="40"/>
  <c r="AG52" i="40"/>
  <c r="AG65" i="40"/>
  <c r="AH1" i="40"/>
  <c r="AH21" i="40" s="1"/>
  <c r="AH139" i="40"/>
  <c r="AH93" i="40" s="1"/>
  <c r="AH140" i="40"/>
  <c r="AH89" i="40"/>
  <c r="AH36" i="40"/>
  <c r="AH37" i="40" s="1"/>
  <c r="AH68" i="1"/>
  <c r="AH7" i="1"/>
  <c r="AH20" i="1"/>
  <c r="AH59" i="1"/>
  <c r="AH67" i="1"/>
  <c r="AH70" i="1"/>
  <c r="AH72" i="1"/>
  <c r="AH58" i="1"/>
  <c r="AJ10" i="1"/>
  <c r="AJ30" i="1"/>
  <c r="AJ2" i="1"/>
  <c r="AJ31" i="1"/>
  <c r="AK4" i="1"/>
  <c r="AJ64" i="1"/>
  <c r="AJ100" i="1"/>
  <c r="AJ95" i="1"/>
  <c r="AI154" i="1"/>
  <c r="AI1" i="1"/>
  <c r="AI9" i="1" s="1"/>
  <c r="AI93" i="1"/>
  <c r="AI153" i="1"/>
  <c r="AI97" i="1" s="1"/>
  <c r="AL46" i="15"/>
  <c r="D46" i="15" s="1"/>
  <c r="AN47" i="15"/>
  <c r="AA101" i="1"/>
  <c r="AA22" i="1" s="1"/>
  <c r="AA113" i="1" s="1"/>
  <c r="AA9" i="1"/>
  <c r="AA102" i="1"/>
  <c r="AC97" i="40"/>
  <c r="AC26" i="40" s="1"/>
  <c r="AC110" i="40" s="1"/>
  <c r="Z98" i="40"/>
  <c r="AD13" i="40"/>
  <c r="AD97" i="40"/>
  <c r="AD26" i="40" s="1"/>
  <c r="AD110" i="40" s="1"/>
  <c r="AB102" i="1"/>
  <c r="AA13" i="40"/>
  <c r="AB98" i="40"/>
  <c r="Z101" i="1"/>
  <c r="Z22" i="1" s="1"/>
  <c r="Z113" i="1" s="1"/>
  <c r="AC98" i="40"/>
  <c r="AD98" i="40"/>
  <c r="AB9" i="1"/>
  <c r="Z13" i="40"/>
  <c r="Z102" i="1"/>
  <c r="AB13" i="40"/>
  <c r="AA97" i="40"/>
  <c r="AA26" i="40" s="1"/>
  <c r="AA110" i="40" s="1"/>
  <c r="AB101" i="1"/>
  <c r="AB22" i="1" s="1"/>
  <c r="AB113" i="1" s="1"/>
  <c r="Z97" i="40"/>
  <c r="Z26" i="40" s="1"/>
  <c r="Z110" i="40" s="1"/>
  <c r="AA98" i="40"/>
  <c r="AB97" i="40"/>
  <c r="AB26" i="40" s="1"/>
  <c r="AB110" i="40" s="1"/>
  <c r="Z9" i="1"/>
  <c r="AC101" i="1"/>
  <c r="AC22" i="1" s="1"/>
  <c r="AC113" i="1" s="1"/>
  <c r="AE13" i="40"/>
  <c r="AC9" i="1"/>
  <c r="AC102" i="1"/>
  <c r="AE97" i="40"/>
  <c r="AE26" i="40" s="1"/>
  <c r="AE110" i="40" s="1"/>
  <c r="AE98" i="40"/>
  <c r="AF97" i="40"/>
  <c r="AF26" i="40" s="1"/>
  <c r="AF110" i="40" s="1"/>
  <c r="AD101" i="1"/>
  <c r="AD22" i="1" s="1"/>
  <c r="AD113" i="1" s="1"/>
  <c r="AF13" i="40"/>
  <c r="AD9" i="1"/>
  <c r="AD102" i="1"/>
  <c r="AF98" i="40"/>
  <c r="AE101" i="1"/>
  <c r="AE22" i="1" s="1"/>
  <c r="AE113" i="1" s="1"/>
  <c r="AG13" i="40"/>
  <c r="AG97" i="40"/>
  <c r="AE102" i="1"/>
  <c r="AE9" i="1"/>
  <c r="AG98" i="40"/>
  <c r="AH97" i="40"/>
  <c r="AF101" i="1"/>
  <c r="AF22" i="1" s="1"/>
  <c r="AF113" i="1" s="1"/>
  <c r="AF9" i="1"/>
  <c r="AF102" i="1"/>
  <c r="AG102" i="1"/>
  <c r="AG9" i="1"/>
  <c r="AG101" i="1"/>
  <c r="AG22" i="1" s="1"/>
  <c r="AG113" i="1" s="1"/>
  <c r="AH101" i="1"/>
  <c r="AH102" i="1"/>
  <c r="AH9" i="1"/>
  <c r="BA46" i="15"/>
  <c r="AX46" i="15"/>
  <c r="AV46" i="15"/>
  <c r="AY46" i="15"/>
  <c r="AZ46" i="15"/>
  <c r="AU46" i="15"/>
  <c r="AW46" i="15"/>
  <c r="F51" i="25"/>
  <c r="E52" i="25"/>
  <c r="AT47" i="15"/>
  <c r="AC13" i="40"/>
  <c r="Z49" i="55"/>
  <c r="AA49" i="55" s="1"/>
  <c r="AB49" i="55" s="1"/>
  <c r="AC49" i="55" s="1"/>
  <c r="AD49" i="55" s="1"/>
  <c r="AE49" i="55" s="1"/>
  <c r="AF49" i="55" s="1"/>
  <c r="AG49" i="55" s="1"/>
  <c r="AH49" i="55" s="1"/>
  <c r="AI49" i="55" s="1"/>
  <c r="AJ49" i="55" s="1"/>
  <c r="AK49" i="55" s="1"/>
  <c r="AL49" i="55" s="1"/>
  <c r="AM49" i="55" s="1"/>
  <c r="AN49" i="55" s="1"/>
  <c r="AO49" i="55" s="1"/>
  <c r="AP49" i="55" s="1"/>
  <c r="AQ49" i="55" s="1"/>
  <c r="AR49" i="55" s="1"/>
  <c r="AS49" i="55" s="1"/>
  <c r="AT49" i="55" s="1"/>
  <c r="AA59" i="55"/>
  <c r="AB59" i="55" s="1"/>
  <c r="AC59" i="55" s="1"/>
  <c r="AD59" i="55" s="1"/>
  <c r="AE59" i="55" s="1"/>
  <c r="AF59" i="55" s="1"/>
  <c r="AG59" i="55" s="1"/>
  <c r="AH59" i="55" s="1"/>
  <c r="AI59" i="55" s="1"/>
  <c r="AJ59" i="55" s="1"/>
  <c r="AK59" i="55" s="1"/>
  <c r="AL59" i="55" s="1"/>
  <c r="AM59" i="55" s="1"/>
  <c r="AN59" i="55" s="1"/>
  <c r="AO59" i="55" s="1"/>
  <c r="AP59" i="55" s="1"/>
  <c r="AQ59" i="55" s="1"/>
  <c r="AR59" i="55" s="1"/>
  <c r="AS59" i="55" s="1"/>
  <c r="AT59" i="55" s="1"/>
  <c r="AT13" i="55" s="1"/>
  <c r="Y58" i="55"/>
  <c r="X58" i="55" s="1"/>
  <c r="X31" i="55" s="1"/>
  <c r="B22" i="51"/>
  <c r="T67" i="20" s="1"/>
  <c r="G98" i="40"/>
  <c r="F13" i="40"/>
  <c r="F97" i="40"/>
  <c r="J102" i="1"/>
  <c r="J97" i="40"/>
  <c r="J26" i="40" s="1"/>
  <c r="J110" i="40" s="1"/>
  <c r="S11" i="8"/>
  <c r="E23" i="8"/>
  <c r="E11" i="8"/>
  <c r="AC15" i="8"/>
  <c r="AI13" i="55"/>
  <c r="O15" i="8"/>
  <c r="L15" i="8"/>
  <c r="H9" i="1"/>
  <c r="H97" i="40"/>
  <c r="H26" i="40" s="1"/>
  <c r="H110" i="40" s="1"/>
  <c r="I101" i="1"/>
  <c r="I22" i="1" s="1"/>
  <c r="I113" i="1" s="1"/>
  <c r="Y11" i="8"/>
  <c r="K13" i="8"/>
  <c r="Q13" i="8"/>
  <c r="J6" i="8"/>
  <c r="W15" i="8"/>
  <c r="AC23" i="8"/>
  <c r="S23" i="8"/>
  <c r="Q15" i="8"/>
  <c r="I23" i="8"/>
  <c r="O23" i="8"/>
  <c r="X11" i="8"/>
  <c r="R23" i="8"/>
  <c r="AB13" i="8"/>
  <c r="U13" i="8"/>
  <c r="X23" i="8"/>
  <c r="F102" i="1"/>
  <c r="Z13" i="55"/>
  <c r="N6" i="27" s="1"/>
  <c r="P6" i="27" s="1"/>
  <c r="F64" i="2" s="1"/>
  <c r="G64" i="2" s="1"/>
  <c r="X13" i="8"/>
  <c r="U15" i="8"/>
  <c r="K15" i="8"/>
  <c r="H15" i="8"/>
  <c r="J23" i="8"/>
  <c r="F6" i="8"/>
  <c r="K97" i="40"/>
  <c r="K26" i="40" s="1"/>
  <c r="K110" i="40" s="1"/>
  <c r="J9" i="1"/>
  <c r="AD13" i="8"/>
  <c r="P15" i="8"/>
  <c r="V15" i="8"/>
  <c r="I6" i="8"/>
  <c r="U20" i="8"/>
  <c r="Y15" i="8"/>
  <c r="AB20" i="8"/>
  <c r="F13" i="8"/>
  <c r="T11" i="8"/>
  <c r="E20" i="8"/>
  <c r="K70" i="1"/>
  <c r="K63" i="40"/>
  <c r="J63" i="40"/>
  <c r="I70" i="1"/>
  <c r="N97" i="40"/>
  <c r="N26" i="40" s="1"/>
  <c r="N110" i="40" s="1"/>
  <c r="N13" i="40"/>
  <c r="M9" i="1"/>
  <c r="O98" i="40"/>
  <c r="N9" i="1"/>
  <c r="N102" i="1"/>
  <c r="Q98" i="40"/>
  <c r="O9" i="1"/>
  <c r="R13" i="40"/>
  <c r="P9" i="1"/>
  <c r="S97" i="40"/>
  <c r="S26" i="40" s="1"/>
  <c r="S110" i="40" s="1"/>
  <c r="R101" i="1"/>
  <c r="R22" i="1" s="1"/>
  <c r="R113" i="1" s="1"/>
  <c r="T98" i="40"/>
  <c r="S102" i="1"/>
  <c r="T102" i="1"/>
  <c r="T101" i="1"/>
  <c r="T22" i="1" s="1"/>
  <c r="T113" i="1" s="1"/>
  <c r="U9" i="1"/>
  <c r="X13" i="40"/>
  <c r="V9" i="1"/>
  <c r="W101" i="1"/>
  <c r="W22" i="1" s="1"/>
  <c r="W113" i="1" s="1"/>
  <c r="X102" i="1"/>
  <c r="X101" i="1"/>
  <c r="X22" i="1" s="1"/>
  <c r="X113" i="1" s="1"/>
  <c r="Z48" i="55"/>
  <c r="AA48" i="55" s="1"/>
  <c r="AB48" i="55" s="1"/>
  <c r="AC48" i="55" s="1"/>
  <c r="AD48" i="55" s="1"/>
  <c r="AE48" i="55" s="1"/>
  <c r="AF48" i="55" s="1"/>
  <c r="AG48" i="55" s="1"/>
  <c r="AH48" i="55" s="1"/>
  <c r="AI48" i="55" s="1"/>
  <c r="AJ48" i="55" s="1"/>
  <c r="AK48" i="55" s="1"/>
  <c r="AL48" i="55" s="1"/>
  <c r="AM48" i="55" s="1"/>
  <c r="AN48" i="55" s="1"/>
  <c r="AO48" i="55" s="1"/>
  <c r="AP48" i="55" s="1"/>
  <c r="AQ48" i="55" s="1"/>
  <c r="AR48" i="55" s="1"/>
  <c r="AS48" i="55" s="1"/>
  <c r="AT48" i="55" s="1"/>
  <c r="AA56" i="55"/>
  <c r="AB56" i="55" s="1"/>
  <c r="AC56" i="55" s="1"/>
  <c r="AD56" i="55" s="1"/>
  <c r="AE56" i="55" s="1"/>
  <c r="AF56" i="55" s="1"/>
  <c r="AG56" i="55" s="1"/>
  <c r="AH56" i="55" s="1"/>
  <c r="AI56" i="55" s="1"/>
  <c r="AJ56" i="55" s="1"/>
  <c r="AK56" i="55" s="1"/>
  <c r="AL56" i="55" s="1"/>
  <c r="AM56" i="55" s="1"/>
  <c r="AN56" i="55" s="1"/>
  <c r="AO56" i="55" s="1"/>
  <c r="AP56" i="55" s="1"/>
  <c r="AQ56" i="55" s="1"/>
  <c r="AR56" i="55" s="1"/>
  <c r="AS56" i="55" s="1"/>
  <c r="AT56" i="55" s="1"/>
  <c r="AT40" i="55" s="1"/>
  <c r="Y59" i="55"/>
  <c r="X59" i="55" s="1"/>
  <c r="X13" i="55" s="1"/>
  <c r="Y56" i="55"/>
  <c r="X56" i="55" s="1"/>
  <c r="X40" i="55" s="1"/>
  <c r="I98" i="40"/>
  <c r="M13" i="40"/>
  <c r="K102" i="1"/>
  <c r="G102" i="1"/>
  <c r="G101" i="1"/>
  <c r="G22" i="1" s="1"/>
  <c r="G113" i="1" s="1"/>
  <c r="N13" i="8"/>
  <c r="AA13" i="8"/>
  <c r="AD11" i="8"/>
  <c r="W11" i="8"/>
  <c r="Z15" i="8"/>
  <c r="R20" i="8"/>
  <c r="I13" i="40"/>
  <c r="F9" i="1"/>
  <c r="K98" i="40"/>
  <c r="V23" i="8"/>
  <c r="K11" i="8"/>
  <c r="X15" i="8"/>
  <c r="N15" i="8"/>
  <c r="G11" i="8"/>
  <c r="D15" i="8"/>
  <c r="J15" i="8"/>
  <c r="M13" i="8"/>
  <c r="L6" i="8"/>
  <c r="G23" i="8"/>
  <c r="K9" i="1"/>
  <c r="G13" i="40"/>
  <c r="S15" i="8"/>
  <c r="E6" i="8"/>
  <c r="F20" i="8"/>
  <c r="M6" i="8"/>
  <c r="Y13" i="8"/>
  <c r="G15" i="8"/>
  <c r="Z20" i="8"/>
  <c r="S20" i="8"/>
  <c r="G6" i="8"/>
  <c r="G9" i="1"/>
  <c r="F101" i="1"/>
  <c r="F22" i="1" s="1"/>
  <c r="F113" i="1" s="1"/>
  <c r="K6" i="8"/>
  <c r="F11" i="8"/>
  <c r="L11" i="8"/>
  <c r="U11" i="8"/>
  <c r="Y20" i="8"/>
  <c r="O20" i="8"/>
  <c r="L13" i="8"/>
  <c r="D20" i="8"/>
  <c r="J20" i="8"/>
  <c r="AC13" i="8"/>
  <c r="Y4" i="55"/>
  <c r="Q23" i="8"/>
  <c r="AC11" i="8"/>
  <c r="P11" i="8"/>
  <c r="F70" i="1"/>
  <c r="G63" i="40"/>
  <c r="H70" i="1"/>
  <c r="L70" i="1"/>
  <c r="O6" i="8"/>
  <c r="L102" i="1"/>
  <c r="O13" i="40"/>
  <c r="M102" i="1"/>
  <c r="Q6" i="8"/>
  <c r="N101" i="1"/>
  <c r="N22" i="1" s="1"/>
  <c r="N113" i="1" s="1"/>
  <c r="P98" i="40"/>
  <c r="Q13" i="40"/>
  <c r="O70" i="1"/>
  <c r="R97" i="40"/>
  <c r="R26" i="40" s="1"/>
  <c r="R110" i="40" s="1"/>
  <c r="Q102" i="1"/>
  <c r="S98" i="40"/>
  <c r="T13" i="40"/>
  <c r="U98" i="40"/>
  <c r="U97" i="40"/>
  <c r="U26" i="40" s="1"/>
  <c r="U110" i="40" s="1"/>
  <c r="V98" i="40"/>
  <c r="W98" i="40"/>
  <c r="W13" i="40"/>
  <c r="X97" i="40"/>
  <c r="X26" i="40" s="1"/>
  <c r="X110" i="40" s="1"/>
  <c r="Y13" i="40"/>
  <c r="W102" i="1"/>
  <c r="Y9" i="1"/>
  <c r="AA58" i="55"/>
  <c r="AB58" i="55" s="1"/>
  <c r="AC58" i="55" s="1"/>
  <c r="AD58" i="55" s="1"/>
  <c r="AE58" i="55" s="1"/>
  <c r="AF58" i="55" s="1"/>
  <c r="AG58" i="55" s="1"/>
  <c r="AH58" i="55" s="1"/>
  <c r="AI58" i="55" s="1"/>
  <c r="AJ58" i="55" s="1"/>
  <c r="AK58" i="55" s="1"/>
  <c r="AL58" i="55" s="1"/>
  <c r="AM58" i="55" s="1"/>
  <c r="AN58" i="55" s="1"/>
  <c r="AO58" i="55" s="1"/>
  <c r="AP58" i="55" s="1"/>
  <c r="AQ58" i="55" s="1"/>
  <c r="AR58" i="55" s="1"/>
  <c r="AS58" i="55" s="1"/>
  <c r="AT58" i="55" s="1"/>
  <c r="AT31" i="55" s="1"/>
  <c r="Z54" i="55"/>
  <c r="AA54" i="55" s="1"/>
  <c r="AB54" i="55" s="1"/>
  <c r="AC54" i="55" s="1"/>
  <c r="AD54" i="55" s="1"/>
  <c r="AE54" i="55" s="1"/>
  <c r="AF54" i="55" s="1"/>
  <c r="AG54" i="55" s="1"/>
  <c r="AH54" i="55" s="1"/>
  <c r="AI54" i="55" s="1"/>
  <c r="AJ54" i="55" s="1"/>
  <c r="AK54" i="55" s="1"/>
  <c r="AL54" i="55" s="1"/>
  <c r="AM54" i="55" s="1"/>
  <c r="AN54" i="55" s="1"/>
  <c r="AO54" i="55" s="1"/>
  <c r="AP54" i="55" s="1"/>
  <c r="AQ54" i="55" s="1"/>
  <c r="AR54" i="55" s="1"/>
  <c r="AS54" i="55" s="1"/>
  <c r="AT54" i="55" s="1"/>
  <c r="Y57" i="55"/>
  <c r="X57" i="55" s="1"/>
  <c r="I97" i="40"/>
  <c r="I26" i="40" s="1"/>
  <c r="I110" i="40" s="1"/>
  <c r="I9" i="1"/>
  <c r="K13" i="40"/>
  <c r="I102" i="1"/>
  <c r="L97" i="40"/>
  <c r="L26" i="40" s="1"/>
  <c r="L110" i="40" s="1"/>
  <c r="F15" i="8"/>
  <c r="Y23" i="8"/>
  <c r="J13" i="40"/>
  <c r="H98" i="40"/>
  <c r="Z40" i="55"/>
  <c r="N13" i="27" s="1"/>
  <c r="P13" i="27" s="1"/>
  <c r="F71" i="2" s="1"/>
  <c r="G71" i="2" s="1"/>
  <c r="M15" i="8"/>
  <c r="G20" i="8"/>
  <c r="Q11" i="8"/>
  <c r="N11" i="8"/>
  <c r="D11" i="8"/>
  <c r="M11" i="8"/>
  <c r="M20" i="8"/>
  <c r="AD20" i="8"/>
  <c r="T20" i="8"/>
  <c r="AC20" i="8"/>
  <c r="AA15" i="8"/>
  <c r="W23" i="8"/>
  <c r="W13" i="8"/>
  <c r="K101" i="1"/>
  <c r="K22" i="1" s="1"/>
  <c r="K113" i="1" s="1"/>
  <c r="I11" i="8"/>
  <c r="V11" i="8"/>
  <c r="AB11" i="8"/>
  <c r="J13" i="8"/>
  <c r="N23" i="8"/>
  <c r="D23" i="8"/>
  <c r="K20" i="8"/>
  <c r="D13" i="8"/>
  <c r="N6" i="8"/>
  <c r="L13" i="40"/>
  <c r="Q20" i="8"/>
  <c r="L23" i="8"/>
  <c r="P13" i="8"/>
  <c r="X20" i="8"/>
  <c r="N20" i="8"/>
  <c r="R13" i="8"/>
  <c r="Z11" i="8"/>
  <c r="E13" i="8"/>
  <c r="L20" i="8"/>
  <c r="AB15" i="8"/>
  <c r="O11" i="8"/>
  <c r="K23" i="8"/>
  <c r="H20" i="8"/>
  <c r="P23" i="8"/>
  <c r="R11" i="8"/>
  <c r="H11" i="8"/>
  <c r="L63" i="40"/>
  <c r="J70" i="1"/>
  <c r="I63" i="40"/>
  <c r="N63" i="40"/>
  <c r="N98" i="40"/>
  <c r="L9" i="1"/>
  <c r="M101" i="1"/>
  <c r="M22" i="1" s="1"/>
  <c r="M113" i="1" s="1"/>
  <c r="O97" i="40"/>
  <c r="O26" i="40" s="1"/>
  <c r="O110" i="40" s="1"/>
  <c r="R6" i="8"/>
  <c r="P97" i="40"/>
  <c r="P26" i="40" s="1"/>
  <c r="P110" i="40" s="1"/>
  <c r="O102" i="1"/>
  <c r="O101" i="1"/>
  <c r="O22" i="1" s="1"/>
  <c r="O113" i="1" s="1"/>
  <c r="P102" i="1"/>
  <c r="Q101" i="1"/>
  <c r="Q22" i="1" s="1"/>
  <c r="Q113" i="1" s="1"/>
  <c r="Q9" i="1"/>
  <c r="R102" i="1"/>
  <c r="S101" i="1"/>
  <c r="S22" i="1" s="1"/>
  <c r="S113" i="1" s="1"/>
  <c r="S9" i="1"/>
  <c r="T9" i="1"/>
  <c r="U102" i="1"/>
  <c r="U101" i="1"/>
  <c r="U22" i="1" s="1"/>
  <c r="U113" i="1" s="1"/>
  <c r="V101" i="1"/>
  <c r="V22" i="1" s="1"/>
  <c r="V113" i="1" s="1"/>
  <c r="W9" i="1"/>
  <c r="Y98" i="40"/>
  <c r="X9" i="1"/>
  <c r="Y101" i="1"/>
  <c r="Y22" i="1" s="1"/>
  <c r="Y113" i="1" s="1"/>
  <c r="Z50" i="55"/>
  <c r="AA50" i="55" s="1"/>
  <c r="AB50" i="55" s="1"/>
  <c r="AC50" i="55" s="1"/>
  <c r="AD50" i="55" s="1"/>
  <c r="AE50" i="55" s="1"/>
  <c r="AF50" i="55" s="1"/>
  <c r="AG50" i="55" s="1"/>
  <c r="AH50" i="55" s="1"/>
  <c r="AI50" i="55" s="1"/>
  <c r="AJ50" i="55" s="1"/>
  <c r="AK50" i="55" s="1"/>
  <c r="AL50" i="55" s="1"/>
  <c r="AM50" i="55" s="1"/>
  <c r="AN50" i="55" s="1"/>
  <c r="AO50" i="55" s="1"/>
  <c r="AP50" i="55" s="1"/>
  <c r="AQ50" i="55" s="1"/>
  <c r="AR50" i="55" s="1"/>
  <c r="AS50" i="55" s="1"/>
  <c r="AT50" i="55" s="1"/>
  <c r="AA57" i="55"/>
  <c r="AB57" i="55" s="1"/>
  <c r="AC57" i="55" s="1"/>
  <c r="AD57" i="55" s="1"/>
  <c r="AE57" i="55" s="1"/>
  <c r="AF57" i="55" s="1"/>
  <c r="AG57" i="55" s="1"/>
  <c r="AH57" i="55" s="1"/>
  <c r="AI57" i="55" s="1"/>
  <c r="AJ57" i="55" s="1"/>
  <c r="AK57" i="55" s="1"/>
  <c r="AL57" i="55" s="1"/>
  <c r="AM57" i="55" s="1"/>
  <c r="AN57" i="55" s="1"/>
  <c r="AO57" i="55" s="1"/>
  <c r="AP57" i="55" s="1"/>
  <c r="AQ57" i="55" s="1"/>
  <c r="AR57" i="55" s="1"/>
  <c r="AS57" i="55" s="1"/>
  <c r="AT57" i="55" s="1"/>
  <c r="Z53" i="55"/>
  <c r="AA53" i="55" s="1"/>
  <c r="AB53" i="55" s="1"/>
  <c r="AC53" i="55" s="1"/>
  <c r="AD53" i="55" s="1"/>
  <c r="AE53" i="55" s="1"/>
  <c r="AF53" i="55" s="1"/>
  <c r="AG53" i="55" s="1"/>
  <c r="AH53" i="55" s="1"/>
  <c r="AI53" i="55" s="1"/>
  <c r="AJ53" i="55" s="1"/>
  <c r="AK53" i="55" s="1"/>
  <c r="AL53" i="55" s="1"/>
  <c r="AM53" i="55" s="1"/>
  <c r="AN53" i="55" s="1"/>
  <c r="AO53" i="55" s="1"/>
  <c r="AP53" i="55" s="1"/>
  <c r="AQ53" i="55" s="1"/>
  <c r="AR53" i="55" s="1"/>
  <c r="AS53" i="55" s="1"/>
  <c r="AT53" i="55" s="1"/>
  <c r="Z52" i="55"/>
  <c r="AA52" i="55" s="1"/>
  <c r="AB52" i="55" s="1"/>
  <c r="AC52" i="55" s="1"/>
  <c r="AD52" i="55" s="1"/>
  <c r="AE52" i="55" s="1"/>
  <c r="AF52" i="55" s="1"/>
  <c r="AG52" i="55" s="1"/>
  <c r="AH52" i="55" s="1"/>
  <c r="AI52" i="55" s="1"/>
  <c r="AJ52" i="55" s="1"/>
  <c r="AK52" i="55" s="1"/>
  <c r="AL52" i="55" s="1"/>
  <c r="AM52" i="55" s="1"/>
  <c r="AN52" i="55" s="1"/>
  <c r="AO52" i="55" s="1"/>
  <c r="AP52" i="55" s="1"/>
  <c r="AQ52" i="55" s="1"/>
  <c r="AR52" i="55" s="1"/>
  <c r="AS52" i="55" s="1"/>
  <c r="AT52" i="55" s="1"/>
  <c r="G97" i="40"/>
  <c r="G26" i="40" s="1"/>
  <c r="G110" i="40" s="1"/>
  <c r="H13" i="40"/>
  <c r="M97" i="40"/>
  <c r="M26" i="40" s="1"/>
  <c r="M110" i="40" s="1"/>
  <c r="J101" i="1"/>
  <c r="J22" i="1" s="1"/>
  <c r="J113" i="1" s="1"/>
  <c r="Z31" i="55"/>
  <c r="N12" i="27" s="1"/>
  <c r="P12" i="27" s="1"/>
  <c r="F70" i="2" s="1"/>
  <c r="G70" i="2" s="1"/>
  <c r="D6" i="8"/>
  <c r="W20" i="8"/>
  <c r="AA11" i="8"/>
  <c r="AD15" i="8"/>
  <c r="J11" i="8"/>
  <c r="H102" i="1"/>
  <c r="L98" i="40"/>
  <c r="J98" i="40"/>
  <c r="C20" i="51"/>
  <c r="P20" i="8"/>
  <c r="V20" i="8"/>
  <c r="Z13" i="8"/>
  <c r="AD23" i="8"/>
  <c r="T23" i="8"/>
  <c r="Z23" i="8"/>
  <c r="AA20" i="8"/>
  <c r="X4" i="55"/>
  <c r="I15" i="8"/>
  <c r="M98" i="40"/>
  <c r="F23" i="8"/>
  <c r="AB23" i="8"/>
  <c r="E15" i="8"/>
  <c r="M23" i="8"/>
  <c r="O13" i="8"/>
  <c r="H23" i="8"/>
  <c r="H101" i="1"/>
  <c r="H22" i="1" s="1"/>
  <c r="H113" i="1" s="1"/>
  <c r="F98" i="40"/>
  <c r="H13" i="8"/>
  <c r="U23" i="8"/>
  <c r="AA23" i="8"/>
  <c r="V13" i="8"/>
  <c r="S13" i="8"/>
  <c r="I13" i="8"/>
  <c r="H6" i="8"/>
  <c r="T13" i="8"/>
  <c r="R15" i="8"/>
  <c r="I20" i="8"/>
  <c r="T15" i="8"/>
  <c r="G13" i="8"/>
  <c r="F63" i="40"/>
  <c r="G70" i="1"/>
  <c r="M63" i="40"/>
  <c r="H63" i="40"/>
  <c r="L101" i="1"/>
  <c r="L22" i="1" s="1"/>
  <c r="L113" i="1" s="1"/>
  <c r="P6" i="8"/>
  <c r="O63" i="40"/>
  <c r="M70" i="1"/>
  <c r="P13" i="40"/>
  <c r="N70" i="1"/>
  <c r="S6" i="8"/>
  <c r="Q97" i="40"/>
  <c r="Q26" i="40" s="1"/>
  <c r="Q110" i="40" s="1"/>
  <c r="P101" i="1"/>
  <c r="P22" i="1" s="1"/>
  <c r="P113" i="1" s="1"/>
  <c r="R98" i="40"/>
  <c r="S13" i="40"/>
  <c r="T97" i="40"/>
  <c r="T26" i="40" s="1"/>
  <c r="T110" i="40" s="1"/>
  <c r="R9" i="1"/>
  <c r="U13" i="40"/>
  <c r="V13" i="40"/>
  <c r="V97" i="40"/>
  <c r="V26" i="40" s="1"/>
  <c r="V110" i="40" s="1"/>
  <c r="W97" i="40"/>
  <c r="W26" i="40" s="1"/>
  <c r="W110" i="40" s="1"/>
  <c r="V102" i="1"/>
  <c r="X98" i="40"/>
  <c r="Y97" i="40"/>
  <c r="Y26" i="40" s="1"/>
  <c r="Y110" i="40" s="1"/>
  <c r="Y102" i="1"/>
  <c r="AI33" i="27"/>
  <c r="D49" i="25"/>
  <c r="C50" i="25"/>
  <c r="AH13" i="40" l="1"/>
  <c r="AI31" i="55"/>
  <c r="AB13" i="55"/>
  <c r="AJ31" i="55"/>
  <c r="AP13" i="55"/>
  <c r="AQ13" i="55"/>
  <c r="AJ13" i="55"/>
  <c r="AM13" i="55"/>
  <c r="AC13" i="55"/>
  <c r="AH13" i="55"/>
  <c r="AK13" i="55"/>
  <c r="AE13" i="55"/>
  <c r="AO13" i="55"/>
  <c r="AF13" i="55"/>
  <c r="AN13" i="55"/>
  <c r="AL13" i="55"/>
  <c r="AG13" i="55"/>
  <c r="AD13" i="55"/>
  <c r="AA13" i="55"/>
  <c r="AR13" i="55"/>
  <c r="AQ31" i="55"/>
  <c r="AK31" i="55"/>
  <c r="AM31" i="55"/>
  <c r="Y40" i="55"/>
  <c r="AS13" i="55"/>
  <c r="AH98" i="40"/>
  <c r="Z4" i="55"/>
  <c r="N5" i="27" s="1"/>
  <c r="P5" i="27" s="1"/>
  <c r="F63" i="2" s="1"/>
  <c r="G63" i="2" s="1"/>
  <c r="G72" i="2" s="1"/>
  <c r="C33" i="2" s="1"/>
  <c r="C34" i="2" s="1"/>
  <c r="C49" i="2" s="1"/>
  <c r="AO4" i="55"/>
  <c r="AN4" i="55"/>
  <c r="AG40" i="55"/>
  <c r="AC4" i="55"/>
  <c r="AH4" i="55"/>
  <c r="AB4" i="55"/>
  <c r="AS4" i="55"/>
  <c r="AD40" i="55"/>
  <c r="AQ40" i="55"/>
  <c r="AR4" i="55"/>
  <c r="AP4" i="55"/>
  <c r="AO31" i="55"/>
  <c r="AG31" i="55"/>
  <c r="AP40" i="55"/>
  <c r="AB40" i="55"/>
  <c r="AC40" i="55"/>
  <c r="AA40" i="55"/>
  <c r="AO40" i="55"/>
  <c r="AK40" i="55"/>
  <c r="AN40" i="55"/>
  <c r="AS40" i="55"/>
  <c r="AR40" i="55"/>
  <c r="Y31" i="55"/>
  <c r="AH40" i="55"/>
  <c r="AE40" i="55"/>
  <c r="AM40" i="55"/>
  <c r="AL40" i="55"/>
  <c r="AI40" i="55"/>
  <c r="AF40" i="55"/>
  <c r="A49" i="15"/>
  <c r="B48" i="15"/>
  <c r="C48" i="15"/>
  <c r="R64" i="15"/>
  <c r="S65" i="15"/>
  <c r="AE31" i="55"/>
  <c r="AH67" i="15"/>
  <c r="AG66" i="15"/>
  <c r="V65" i="15"/>
  <c r="W66" i="15"/>
  <c r="AI102" i="1"/>
  <c r="AI17" i="1"/>
  <c r="AA4" i="55"/>
  <c r="AJ4" i="55"/>
  <c r="AT4" i="55"/>
  <c r="AL4" i="55"/>
  <c r="AQ4" i="55"/>
  <c r="AD4" i="55"/>
  <c r="AK4" i="55"/>
  <c r="AI4" i="55"/>
  <c r="AJ32" i="1"/>
  <c r="AJ45" i="1" s="1"/>
  <c r="AI101" i="1"/>
  <c r="AC58" i="40"/>
  <c r="AC59" i="40" s="1"/>
  <c r="AH22" i="1"/>
  <c r="AH113" i="1" s="1"/>
  <c r="AJ2" i="40"/>
  <c r="AJ34" i="40"/>
  <c r="AJ96" i="40"/>
  <c r="AJ57" i="40"/>
  <c r="AJ35" i="40"/>
  <c r="AJ91" i="40"/>
  <c r="AJ14" i="40"/>
  <c r="AK4" i="40"/>
  <c r="AG26" i="40"/>
  <c r="AG110" i="40" s="1"/>
  <c r="AH7" i="40"/>
  <c r="AH26" i="40" s="1"/>
  <c r="AH32" i="40"/>
  <c r="AH61" i="40"/>
  <c r="AH51" i="40"/>
  <c r="AH52" i="40"/>
  <c r="AH65" i="40"/>
  <c r="AH55" i="40"/>
  <c r="AH24" i="40"/>
  <c r="AH63" i="40"/>
  <c r="AH60" i="40"/>
  <c r="AI36" i="40"/>
  <c r="AI37" i="40" s="1"/>
  <c r="AI1" i="40"/>
  <c r="AI21" i="40" s="1"/>
  <c r="AI139" i="40"/>
  <c r="AI93" i="40" s="1"/>
  <c r="AI140" i="40"/>
  <c r="AI89" i="40"/>
  <c r="AJ93" i="1"/>
  <c r="AJ154" i="1"/>
  <c r="AJ153" i="1"/>
  <c r="AJ97" i="1" s="1"/>
  <c r="AJ1" i="1"/>
  <c r="AJ17" i="1" s="1"/>
  <c r="AK31" i="1"/>
  <c r="AK10" i="1"/>
  <c r="AK100" i="1"/>
  <c r="AL4" i="1"/>
  <c r="AK95" i="1"/>
  <c r="AK2" i="1"/>
  <c r="AK30" i="1"/>
  <c r="AK64" i="1"/>
  <c r="AN48" i="15"/>
  <c r="AL47" i="15"/>
  <c r="D47" i="15" s="1"/>
  <c r="AI59" i="1"/>
  <c r="AI67" i="1"/>
  <c r="AI72" i="1"/>
  <c r="AI20" i="1"/>
  <c r="AI7" i="1"/>
  <c r="AI58" i="1"/>
  <c r="AI70" i="1"/>
  <c r="AI68" i="1"/>
  <c r="AG111" i="1"/>
  <c r="AG65" i="1"/>
  <c r="AG66" i="1" s="1"/>
  <c r="AF111" i="1"/>
  <c r="AF65" i="1"/>
  <c r="AF66" i="1" s="1"/>
  <c r="AG108" i="40"/>
  <c r="AD111" i="1"/>
  <c r="AD65" i="1"/>
  <c r="AD66" i="1" s="1"/>
  <c r="AE58" i="40"/>
  <c r="AE59" i="40" s="1"/>
  <c r="AE108" i="40"/>
  <c r="AB58" i="40"/>
  <c r="AB59" i="40" s="1"/>
  <c r="AB108" i="40"/>
  <c r="AA108" i="40"/>
  <c r="AA58" i="40"/>
  <c r="AA59" i="40" s="1"/>
  <c r="AG4" i="55"/>
  <c r="AH108" i="40"/>
  <c r="AC65" i="1"/>
  <c r="AC66" i="1" s="1"/>
  <c r="AC111" i="1"/>
  <c r="AB65" i="1"/>
  <c r="AB66" i="1" s="1"/>
  <c r="AB111" i="1"/>
  <c r="AD58" i="40"/>
  <c r="AD59" i="40" s="1"/>
  <c r="AD108" i="40"/>
  <c r="AA65" i="1"/>
  <c r="AA66" i="1" s="1"/>
  <c r="AA111" i="1"/>
  <c r="AM4" i="55"/>
  <c r="AI111" i="1"/>
  <c r="Z65" i="1"/>
  <c r="Z66" i="1" s="1"/>
  <c r="Z111" i="1"/>
  <c r="Z58" i="40"/>
  <c r="Z59" i="40" s="1"/>
  <c r="Z108" i="40"/>
  <c r="AH65" i="1"/>
  <c r="AH66" i="1" s="1"/>
  <c r="AH111" i="1"/>
  <c r="AE65" i="1"/>
  <c r="AE66" i="1" s="1"/>
  <c r="AE111" i="1"/>
  <c r="AF108" i="40"/>
  <c r="AF58" i="40"/>
  <c r="AF59" i="40" s="1"/>
  <c r="AE4" i="55"/>
  <c r="AF4" i="55"/>
  <c r="V58" i="40"/>
  <c r="V59" i="40" s="1"/>
  <c r="V108" i="40"/>
  <c r="S108" i="40"/>
  <c r="S58" i="40"/>
  <c r="S59" i="40" s="1"/>
  <c r="W111" i="1"/>
  <c r="W65" i="1"/>
  <c r="W66" i="1" s="1"/>
  <c r="T65" i="1"/>
  <c r="T66" i="1" s="1"/>
  <c r="T111" i="1"/>
  <c r="Q65" i="1"/>
  <c r="Q66" i="1" s="1"/>
  <c r="Q111" i="1"/>
  <c r="L58" i="40"/>
  <c r="L59" i="40" s="1"/>
  <c r="L108" i="40"/>
  <c r="J108" i="40"/>
  <c r="J58" i="40"/>
  <c r="J59" i="40" s="1"/>
  <c r="I111" i="1"/>
  <c r="I65" i="1"/>
  <c r="I66" i="1" s="1"/>
  <c r="O58" i="40"/>
  <c r="O59" i="40" s="1"/>
  <c r="O108" i="40"/>
  <c r="G111" i="1"/>
  <c r="G65" i="1"/>
  <c r="G66" i="1" s="1"/>
  <c r="G58" i="40"/>
  <c r="G59" i="40" s="1"/>
  <c r="G108" i="40"/>
  <c r="I108" i="40"/>
  <c r="I58" i="40"/>
  <c r="I59" i="40" s="1"/>
  <c r="V111" i="1"/>
  <c r="V65" i="1"/>
  <c r="V66" i="1" s="1"/>
  <c r="M65" i="1"/>
  <c r="M66" i="1" s="1"/>
  <c r="M111" i="1"/>
  <c r="H111" i="1"/>
  <c r="H65" i="1"/>
  <c r="H66" i="1" s="1"/>
  <c r="AT48" i="15"/>
  <c r="F52" i="25"/>
  <c r="E53" i="25"/>
  <c r="F53" i="25" s="1"/>
  <c r="C13" i="8"/>
  <c r="C11" i="8"/>
  <c r="AP31" i="55"/>
  <c r="AJ40" i="55"/>
  <c r="H58" i="40"/>
  <c r="H59" i="40" s="1"/>
  <c r="H108" i="40"/>
  <c r="K58" i="40"/>
  <c r="K59" i="40" s="1"/>
  <c r="K108" i="40"/>
  <c r="Y58" i="40"/>
  <c r="Y59" i="40" s="1"/>
  <c r="Y108" i="40"/>
  <c r="Q58" i="40"/>
  <c r="Q59" i="40" s="1"/>
  <c r="Q108" i="40"/>
  <c r="F65" i="1"/>
  <c r="F66" i="1" s="1"/>
  <c r="F111" i="1"/>
  <c r="M58" i="40"/>
  <c r="M59" i="40" s="1"/>
  <c r="M108" i="40"/>
  <c r="O65" i="1"/>
  <c r="O66" i="1" s="1"/>
  <c r="O111" i="1"/>
  <c r="J65" i="1"/>
  <c r="J66" i="1" s="1"/>
  <c r="J111" i="1"/>
  <c r="U32" i="20"/>
  <c r="F108" i="40"/>
  <c r="BA47" i="15"/>
  <c r="AX47" i="15"/>
  <c r="AZ47" i="15"/>
  <c r="AV47" i="15"/>
  <c r="AY47" i="15"/>
  <c r="AU47" i="15"/>
  <c r="AW47" i="15"/>
  <c r="C6" i="8"/>
  <c r="B6" i="8" s="1"/>
  <c r="H55" i="52" s="1"/>
  <c r="AF31" i="55"/>
  <c r="AD31" i="55"/>
  <c r="AR31" i="55"/>
  <c r="AA31" i="55"/>
  <c r="R65" i="1"/>
  <c r="R66" i="1" s="1"/>
  <c r="R111" i="1"/>
  <c r="P58" i="40"/>
  <c r="P59" i="40" s="1"/>
  <c r="P108" i="40"/>
  <c r="X65" i="1"/>
  <c r="X66" i="1" s="1"/>
  <c r="X111" i="1"/>
  <c r="T58" i="40"/>
  <c r="T59" i="40" s="1"/>
  <c r="T108" i="40"/>
  <c r="U111" i="1"/>
  <c r="U65" i="1"/>
  <c r="U66" i="1" s="1"/>
  <c r="R108" i="40"/>
  <c r="R58" i="40"/>
  <c r="R59" i="40" s="1"/>
  <c r="N111" i="1"/>
  <c r="N65" i="1"/>
  <c r="N66" i="1" s="1"/>
  <c r="F26" i="40"/>
  <c r="F110" i="40" s="1"/>
  <c r="U33" i="20"/>
  <c r="AS31" i="55"/>
  <c r="AH31" i="55"/>
  <c r="AN31" i="55"/>
  <c r="AL31" i="55"/>
  <c r="U108" i="40"/>
  <c r="U58" i="40"/>
  <c r="U59" i="40" s="1"/>
  <c r="B15" i="8"/>
  <c r="B23" i="8"/>
  <c r="K24" i="52" s="1"/>
  <c r="K27" i="52" s="1"/>
  <c r="B13" i="8"/>
  <c r="B20" i="8"/>
  <c r="K13" i="52" s="1"/>
  <c r="K16" i="52" s="1"/>
  <c r="B11" i="8"/>
  <c r="U65" i="20"/>
  <c r="S111" i="1"/>
  <c r="S65" i="1"/>
  <c r="S66" i="1" s="1"/>
  <c r="L111" i="1"/>
  <c r="L65" i="1"/>
  <c r="L66" i="1" s="1"/>
  <c r="Y65" i="1"/>
  <c r="Y66" i="1" s="1"/>
  <c r="Y111" i="1"/>
  <c r="W58" i="40"/>
  <c r="W59" i="40" s="1"/>
  <c r="W108" i="40"/>
  <c r="K111" i="1"/>
  <c r="K65" i="1"/>
  <c r="K66" i="1" s="1"/>
  <c r="X58" i="40"/>
  <c r="X59" i="40" s="1"/>
  <c r="X108" i="40"/>
  <c r="P65" i="1"/>
  <c r="P66" i="1" s="1"/>
  <c r="P111" i="1"/>
  <c r="N108" i="40"/>
  <c r="N58" i="40"/>
  <c r="N59" i="40" s="1"/>
  <c r="AC108" i="40"/>
  <c r="AB31" i="55"/>
  <c r="C15" i="8"/>
  <c r="AC31" i="55"/>
  <c r="Y13" i="55"/>
  <c r="AJ33" i="27"/>
  <c r="D50" i="25"/>
  <c r="C51" i="25"/>
  <c r="G24" i="2" l="1"/>
  <c r="U28" i="20" s="1"/>
  <c r="G22" i="2"/>
  <c r="T28" i="20" s="1"/>
  <c r="B9" i="8"/>
  <c r="H63" i="52" s="1"/>
  <c r="H64" i="52" s="1"/>
  <c r="H72" i="52" s="1"/>
  <c r="H73" i="52" s="1"/>
  <c r="G45" i="2"/>
  <c r="G48" i="2"/>
  <c r="AI22" i="1"/>
  <c r="AI113" i="1" s="1"/>
  <c r="AG67" i="15"/>
  <c r="AH68" i="15"/>
  <c r="W67" i="15"/>
  <c r="V66" i="15"/>
  <c r="R65" i="15"/>
  <c r="S66" i="15"/>
  <c r="A50" i="15"/>
  <c r="C49" i="15"/>
  <c r="B49" i="15"/>
  <c r="U35" i="20"/>
  <c r="AJ36" i="40"/>
  <c r="AJ37" i="40" s="1"/>
  <c r="AH110" i="40"/>
  <c r="AH58" i="40"/>
  <c r="AH59" i="40" s="1"/>
  <c r="AJ140" i="40"/>
  <c r="AJ139" i="40"/>
  <c r="AJ93" i="40" s="1"/>
  <c r="AJ1" i="40"/>
  <c r="AJ21" i="40" s="1"/>
  <c r="AJ89" i="40"/>
  <c r="AG58" i="40"/>
  <c r="AG59" i="40" s="1"/>
  <c r="AI65" i="40"/>
  <c r="AI24" i="40"/>
  <c r="AI51" i="40"/>
  <c r="AI13" i="40"/>
  <c r="AI108" i="40" s="1"/>
  <c r="AI52" i="40"/>
  <c r="AI55" i="40"/>
  <c r="AI98" i="40"/>
  <c r="AI63" i="40"/>
  <c r="AI60" i="40"/>
  <c r="AI32" i="40"/>
  <c r="AI61" i="40"/>
  <c r="AI97" i="40"/>
  <c r="AI7" i="40"/>
  <c r="AK34" i="40"/>
  <c r="AK91" i="40"/>
  <c r="AK2" i="40"/>
  <c r="AK14" i="40"/>
  <c r="AK57" i="40"/>
  <c r="AK96" i="40"/>
  <c r="AL4" i="40"/>
  <c r="AK35" i="40"/>
  <c r="AN49" i="15"/>
  <c r="AL48" i="15"/>
  <c r="D48" i="15" s="1"/>
  <c r="AK1" i="1"/>
  <c r="AK17" i="1" s="1"/>
  <c r="AK154" i="1"/>
  <c r="AK93" i="1"/>
  <c r="AK153" i="1"/>
  <c r="AK97" i="1" s="1"/>
  <c r="AK32" i="1"/>
  <c r="AK45" i="1" s="1"/>
  <c r="AL100" i="1"/>
  <c r="AL2" i="1"/>
  <c r="AM4" i="1"/>
  <c r="AL10" i="1"/>
  <c r="AL95" i="1"/>
  <c r="AL31" i="1"/>
  <c r="AL64" i="1"/>
  <c r="AL30" i="1"/>
  <c r="AJ16" i="1"/>
  <c r="AJ102" i="1"/>
  <c r="AJ79" i="1"/>
  <c r="AJ123" i="1"/>
  <c r="AJ38" i="1"/>
  <c r="AJ87" i="1"/>
  <c r="AJ70" i="1"/>
  <c r="AJ65" i="1"/>
  <c r="AJ66" i="1" s="1"/>
  <c r="AJ12" i="1"/>
  <c r="AJ109" i="1" s="1"/>
  <c r="AJ9" i="1"/>
  <c r="AJ72" i="1"/>
  <c r="AJ125" i="1"/>
  <c r="AJ84" i="1"/>
  <c r="AJ28" i="1"/>
  <c r="AK48" i="1"/>
  <c r="AJ76" i="1"/>
  <c r="AJ58" i="1"/>
  <c r="AJ34" i="1"/>
  <c r="AJ7" i="1"/>
  <c r="AJ59" i="1"/>
  <c r="AJ49" i="1"/>
  <c r="AJ39" i="1"/>
  <c r="AJ55" i="1"/>
  <c r="AJ40" i="1"/>
  <c r="AJ120" i="1"/>
  <c r="AJ67" i="1"/>
  <c r="AJ35" i="1"/>
  <c r="AJ18" i="1"/>
  <c r="AJ112" i="1" s="1"/>
  <c r="AJ11" i="1"/>
  <c r="AJ110" i="1" s="1"/>
  <c r="AJ96" i="1"/>
  <c r="AJ104" i="1"/>
  <c r="AJ94" i="1"/>
  <c r="AJ62" i="1"/>
  <c r="AJ46" i="1"/>
  <c r="AJ101" i="1"/>
  <c r="AJ119" i="1"/>
  <c r="AJ98" i="1"/>
  <c r="AJ20" i="1"/>
  <c r="AJ22" i="1"/>
  <c r="AJ113" i="1" s="1"/>
  <c r="AJ68" i="1"/>
  <c r="K40" i="52"/>
  <c r="C30" i="52" s="1"/>
  <c r="F50" i="40"/>
  <c r="E50" i="40" s="1"/>
  <c r="D50" i="40" s="1"/>
  <c r="F58" i="40"/>
  <c r="F59" i="40" s="1"/>
  <c r="AZ48" i="15"/>
  <c r="AY48" i="15"/>
  <c r="AX48" i="15"/>
  <c r="AW48" i="15"/>
  <c r="BA48" i="15"/>
  <c r="AU48" i="15"/>
  <c r="AV48" i="15"/>
  <c r="U34" i="20"/>
  <c r="C52" i="25"/>
  <c r="AK33" i="27"/>
  <c r="D51" i="25"/>
  <c r="B11" i="51" l="1"/>
  <c r="F57" i="1" s="1"/>
  <c r="E57" i="1" s="1"/>
  <c r="D57" i="1" s="1"/>
  <c r="G49" i="2"/>
  <c r="G50" i="2" s="1"/>
  <c r="G52" i="2" s="1"/>
  <c r="G11" i="2"/>
  <c r="G12" i="2" s="1"/>
  <c r="G13" i="2" s="1"/>
  <c r="G14" i="2" s="1"/>
  <c r="G15" i="2" s="1"/>
  <c r="G16" i="2" s="1"/>
  <c r="G23" i="2" s="1"/>
  <c r="H74" i="52"/>
  <c r="C29" i="52" s="1"/>
  <c r="AI65" i="1"/>
  <c r="AI66" i="1" s="1"/>
  <c r="C50" i="15"/>
  <c r="B50" i="15"/>
  <c r="A51" i="15"/>
  <c r="V67" i="15"/>
  <c r="W68" i="15"/>
  <c r="R66" i="15"/>
  <c r="S67" i="15"/>
  <c r="AH69" i="15"/>
  <c r="AG68" i="15"/>
  <c r="AJ47" i="1"/>
  <c r="AJ121" i="1"/>
  <c r="AJ126" i="1" s="1"/>
  <c r="AJ127" i="1" s="1"/>
  <c r="AJ36" i="1"/>
  <c r="AJ42" i="1" s="1"/>
  <c r="AI26" i="40"/>
  <c r="AI110" i="40" s="1"/>
  <c r="AJ94" i="40"/>
  <c r="AJ38" i="40"/>
  <c r="AJ8" i="40"/>
  <c r="AJ20" i="40"/>
  <c r="AJ97" i="40"/>
  <c r="AJ15" i="40"/>
  <c r="AJ107" i="40" s="1"/>
  <c r="AJ16" i="40"/>
  <c r="AJ106" i="40" s="1"/>
  <c r="AJ92" i="40"/>
  <c r="AJ58" i="40"/>
  <c r="AJ59" i="40" s="1"/>
  <c r="AJ32" i="40"/>
  <c r="AJ100" i="40"/>
  <c r="AJ116" i="40"/>
  <c r="AJ13" i="40"/>
  <c r="AJ51" i="40"/>
  <c r="AJ63" i="40"/>
  <c r="AJ24" i="40"/>
  <c r="AJ60" i="40"/>
  <c r="AJ115" i="40"/>
  <c r="AJ26" i="40"/>
  <c r="AJ110" i="40" s="1"/>
  <c r="AJ7" i="40"/>
  <c r="AJ22" i="40"/>
  <c r="AJ48" i="40"/>
  <c r="AJ98" i="40"/>
  <c r="AJ52" i="40"/>
  <c r="AJ55" i="40"/>
  <c r="AJ9" i="40"/>
  <c r="AJ61" i="40"/>
  <c r="AK40" i="40"/>
  <c r="AJ41" i="40"/>
  <c r="AJ90" i="40"/>
  <c r="AJ65" i="40"/>
  <c r="AI58" i="40"/>
  <c r="AI59" i="40" s="1"/>
  <c r="AK36" i="40"/>
  <c r="AK37" i="40" s="1"/>
  <c r="AM4" i="40"/>
  <c r="AL2" i="40"/>
  <c r="AL91" i="40"/>
  <c r="AL34" i="40"/>
  <c r="AL96" i="40"/>
  <c r="AL57" i="40"/>
  <c r="AL14" i="40"/>
  <c r="AL35" i="40"/>
  <c r="AK139" i="40"/>
  <c r="AK93" i="40" s="1"/>
  <c r="AK1" i="40"/>
  <c r="AK21" i="40" s="1"/>
  <c r="AK140" i="40"/>
  <c r="AK89" i="40"/>
  <c r="AM64" i="1"/>
  <c r="AM30" i="1"/>
  <c r="AM100" i="1"/>
  <c r="AM2" i="1"/>
  <c r="AM10" i="1"/>
  <c r="AN4" i="1"/>
  <c r="AM95" i="1"/>
  <c r="AM31" i="1"/>
  <c r="AK34" i="1"/>
  <c r="AK12" i="1"/>
  <c r="AK109" i="1" s="1"/>
  <c r="AK49" i="1"/>
  <c r="AK62" i="1"/>
  <c r="AK65" i="1"/>
  <c r="AK66" i="1" s="1"/>
  <c r="AK123" i="1"/>
  <c r="AK120" i="1"/>
  <c r="AL48" i="1"/>
  <c r="AK18" i="1"/>
  <c r="AK112" i="1" s="1"/>
  <c r="AK35" i="1"/>
  <c r="AK68" i="1"/>
  <c r="AK125" i="1"/>
  <c r="AK87" i="1"/>
  <c r="AK98" i="1"/>
  <c r="AK7" i="1"/>
  <c r="AK72" i="1"/>
  <c r="AK79" i="1"/>
  <c r="AK46" i="1"/>
  <c r="AK104" i="1"/>
  <c r="AK101" i="1"/>
  <c r="AK94" i="1"/>
  <c r="AK59" i="1"/>
  <c r="AK20" i="1"/>
  <c r="AK9" i="1"/>
  <c r="AK22" i="1"/>
  <c r="AK113" i="1" s="1"/>
  <c r="AK28" i="1"/>
  <c r="AK67" i="1"/>
  <c r="AK70" i="1"/>
  <c r="AK102" i="1"/>
  <c r="AK38" i="1"/>
  <c r="AK119" i="1"/>
  <c r="AK121" i="1" s="1"/>
  <c r="AK16" i="1"/>
  <c r="AK40" i="1"/>
  <c r="AK76" i="1"/>
  <c r="AK55" i="1"/>
  <c r="AK96" i="1"/>
  <c r="AK11" i="1"/>
  <c r="AK110" i="1" s="1"/>
  <c r="AK84" i="1"/>
  <c r="AK39" i="1"/>
  <c r="AK58" i="1"/>
  <c r="AL32" i="1"/>
  <c r="AL45" i="1" s="1"/>
  <c r="AN50" i="15"/>
  <c r="AL49" i="15"/>
  <c r="D49" i="15" s="1"/>
  <c r="AJ13" i="1"/>
  <c r="AJ111" i="1"/>
  <c r="AL154" i="1"/>
  <c r="AL1" i="1"/>
  <c r="AL17" i="1" s="1"/>
  <c r="AL153" i="1"/>
  <c r="AL97" i="1" s="1"/>
  <c r="AL93" i="1"/>
  <c r="D52" i="25"/>
  <c r="C53" i="25"/>
  <c r="AL33" i="27"/>
  <c r="G25" i="2" l="1"/>
  <c r="AJ43" i="1"/>
  <c r="AG69" i="15"/>
  <c r="AH70" i="15"/>
  <c r="R67" i="15"/>
  <c r="S68" i="15"/>
  <c r="A52" i="15"/>
  <c r="B51" i="15"/>
  <c r="C51" i="15"/>
  <c r="V68" i="15"/>
  <c r="W69" i="15"/>
  <c r="AA34" i="40"/>
  <c r="AB34" i="40"/>
  <c r="AC31" i="1"/>
  <c r="Z35" i="40"/>
  <c r="AB96" i="40"/>
  <c r="AA30" i="1"/>
  <c r="AC100" i="1"/>
  <c r="AK126" i="1"/>
  <c r="AK127" i="1" s="1"/>
  <c r="AK36" i="1"/>
  <c r="AK43" i="1" s="1"/>
  <c r="AJ117" i="40"/>
  <c r="AJ39" i="40"/>
  <c r="AM34" i="40"/>
  <c r="AM96" i="40"/>
  <c r="AN4" i="40"/>
  <c r="AM35" i="40"/>
  <c r="AM2" i="40"/>
  <c r="AM91" i="40"/>
  <c r="AM57" i="40"/>
  <c r="AM14" i="40"/>
  <c r="AJ108" i="40"/>
  <c r="AJ17" i="40"/>
  <c r="AL36" i="40"/>
  <c r="AL37" i="40" s="1"/>
  <c r="AK100" i="40"/>
  <c r="AK38" i="40"/>
  <c r="AK90" i="40"/>
  <c r="AK24" i="40"/>
  <c r="AK60" i="40"/>
  <c r="AK20" i="40"/>
  <c r="AK55" i="40"/>
  <c r="AK16" i="40"/>
  <c r="AK106" i="40" s="1"/>
  <c r="AK97" i="40"/>
  <c r="AK115" i="40"/>
  <c r="AK116" i="40"/>
  <c r="AK98" i="40"/>
  <c r="AK13" i="40"/>
  <c r="AL40" i="40"/>
  <c r="AK51" i="40"/>
  <c r="AK8" i="40"/>
  <c r="AK41" i="40"/>
  <c r="AK22" i="40"/>
  <c r="AK52" i="40"/>
  <c r="AK94" i="40"/>
  <c r="AK7" i="40"/>
  <c r="AK26" i="40"/>
  <c r="AK110" i="40" s="1"/>
  <c r="AK65" i="40"/>
  <c r="AK9" i="40"/>
  <c r="AK32" i="40"/>
  <c r="AK63" i="40"/>
  <c r="AK61" i="40"/>
  <c r="AK15" i="40"/>
  <c r="AK107" i="40" s="1"/>
  <c r="AK48" i="40"/>
  <c r="AK58" i="40"/>
  <c r="AK59" i="40" s="1"/>
  <c r="AL1" i="40"/>
  <c r="AL21" i="40" s="1"/>
  <c r="AL139" i="40"/>
  <c r="AL93" i="40" s="1"/>
  <c r="AL89" i="40"/>
  <c r="AL140" i="40"/>
  <c r="AJ10" i="40"/>
  <c r="AJ11" i="40" s="1"/>
  <c r="AN51" i="15"/>
  <c r="AL50" i="15"/>
  <c r="D50" i="15" s="1"/>
  <c r="AL123" i="1"/>
  <c r="AL39" i="1"/>
  <c r="AL125" i="1"/>
  <c r="AL62" i="1"/>
  <c r="AL101" i="1"/>
  <c r="AL40" i="1"/>
  <c r="AL9" i="1"/>
  <c r="AL58" i="1"/>
  <c r="AL67" i="1"/>
  <c r="AL20" i="1"/>
  <c r="AL55" i="1"/>
  <c r="AM48" i="1"/>
  <c r="AL119" i="1"/>
  <c r="AL38" i="1"/>
  <c r="AL28" i="1"/>
  <c r="AL79" i="1"/>
  <c r="AL7" i="1"/>
  <c r="AL59" i="1"/>
  <c r="AL11" i="1"/>
  <c r="AL110" i="1" s="1"/>
  <c r="AL35" i="1"/>
  <c r="AL16" i="1"/>
  <c r="AL94" i="1"/>
  <c r="AL87" i="1"/>
  <c r="AL49" i="1"/>
  <c r="AL104" i="1"/>
  <c r="AL84" i="1"/>
  <c r="AL98" i="1"/>
  <c r="AL18" i="1"/>
  <c r="AL112" i="1" s="1"/>
  <c r="AL34" i="1"/>
  <c r="AL96" i="1"/>
  <c r="AL46" i="1"/>
  <c r="AL76" i="1"/>
  <c r="AL102" i="1"/>
  <c r="AL72" i="1"/>
  <c r="AL120" i="1"/>
  <c r="AL65" i="1"/>
  <c r="AL66" i="1" s="1"/>
  <c r="AL12" i="1"/>
  <c r="AL109" i="1" s="1"/>
  <c r="AL68" i="1"/>
  <c r="AL70" i="1"/>
  <c r="AL22" i="1"/>
  <c r="AL113" i="1" s="1"/>
  <c r="AJ83" i="1"/>
  <c r="AJ85" i="1" s="1"/>
  <c r="AJ108" i="1"/>
  <c r="AJ75" i="1"/>
  <c r="AO4" i="1"/>
  <c r="AN30" i="1"/>
  <c r="AN2" i="1"/>
  <c r="AN10" i="1"/>
  <c r="AN64" i="1"/>
  <c r="AN100" i="1"/>
  <c r="AN95" i="1"/>
  <c r="AN31" i="1"/>
  <c r="AK47" i="1"/>
  <c r="AM32" i="1"/>
  <c r="AM45" i="1" s="1"/>
  <c r="AK13" i="1"/>
  <c r="AK111" i="1"/>
  <c r="AM93" i="1"/>
  <c r="AM153" i="1"/>
  <c r="AM97" i="1" s="1"/>
  <c r="AM154" i="1"/>
  <c r="AM1" i="1"/>
  <c r="AM17" i="1" s="1"/>
  <c r="U34" i="40"/>
  <c r="Z71" i="40"/>
  <c r="AB28" i="1"/>
  <c r="AB35" i="1" s="1"/>
  <c r="AH15" i="40"/>
  <c r="U100" i="1"/>
  <c r="Z12" i="1"/>
  <c r="Z109" i="1" s="1"/>
  <c r="AB94" i="1"/>
  <c r="AF76" i="40"/>
  <c r="AG90" i="40"/>
  <c r="X34" i="40"/>
  <c r="AB16" i="40"/>
  <c r="AB106" i="40" s="1"/>
  <c r="AC16" i="40"/>
  <c r="AC106" i="40" s="1"/>
  <c r="AC69" i="1"/>
  <c r="AE96" i="1"/>
  <c r="X96" i="40"/>
  <c r="Z100" i="40"/>
  <c r="Z98" i="1"/>
  <c r="AB104" i="1"/>
  <c r="AD104" i="1"/>
  <c r="AG104" i="1"/>
  <c r="AG98" i="1"/>
  <c r="AI71" i="40"/>
  <c r="AH94" i="1"/>
  <c r="AH28" i="1"/>
  <c r="AH35" i="1" s="1"/>
  <c r="AI104" i="1"/>
  <c r="AI94" i="1"/>
  <c r="C53" i="51"/>
  <c r="I30" i="1"/>
  <c r="G30" i="1"/>
  <c r="N30" i="1"/>
  <c r="S90" i="40"/>
  <c r="L16" i="40"/>
  <c r="L106" i="40" s="1"/>
  <c r="M35" i="40"/>
  <c r="N35" i="40"/>
  <c r="J104" i="1"/>
  <c r="F68" i="1"/>
  <c r="P94" i="40"/>
  <c r="J94" i="1"/>
  <c r="T62" i="40"/>
  <c r="Q69" i="1"/>
  <c r="L104" i="1"/>
  <c r="N100" i="1"/>
  <c r="M104" i="1"/>
  <c r="O30" i="1"/>
  <c r="Q100" i="40"/>
  <c r="J11" i="1"/>
  <c r="U90" i="40"/>
  <c r="V15" i="40"/>
  <c r="U11" i="1"/>
  <c r="X16" i="40"/>
  <c r="X106" i="40" s="1"/>
  <c r="Y76" i="40"/>
  <c r="Y94" i="1"/>
  <c r="F69" i="1"/>
  <c r="H71" i="40"/>
  <c r="F71" i="40"/>
  <c r="H201" i="40"/>
  <c r="I69" i="1"/>
  <c r="R11" i="1"/>
  <c r="N15" i="40"/>
  <c r="F96" i="40"/>
  <c r="K96" i="40"/>
  <c r="P98" i="1"/>
  <c r="R34" i="40"/>
  <c r="H15" i="40"/>
  <c r="I11" i="1"/>
  <c r="R94" i="1"/>
  <c r="M71" i="40"/>
  <c r="T35" i="40"/>
  <c r="K94" i="1"/>
  <c r="P69" i="1"/>
  <c r="J100" i="40"/>
  <c r="H62" i="40"/>
  <c r="R28" i="1"/>
  <c r="R35" i="1" s="1"/>
  <c r="S69" i="1"/>
  <c r="V76" i="40"/>
  <c r="W71" i="40"/>
  <c r="X71" i="40"/>
  <c r="W98" i="1"/>
  <c r="Y96" i="1"/>
  <c r="Q100" i="1"/>
  <c r="O11" i="1"/>
  <c r="P11" i="1"/>
  <c r="L71" i="40"/>
  <c r="J16" i="40"/>
  <c r="J106" i="40" s="1"/>
  <c r="R30" i="1"/>
  <c r="O90" i="40"/>
  <c r="O12" i="1"/>
  <c r="O109" i="1" s="1"/>
  <c r="F35" i="40"/>
  <c r="N28" i="1"/>
  <c r="N35" i="1" s="1"/>
  <c r="J15" i="40"/>
  <c r="F94" i="1"/>
  <c r="K98" i="1"/>
  <c r="P94" i="1"/>
  <c r="R35" i="40"/>
  <c r="F76" i="40"/>
  <c r="H28" i="1"/>
  <c r="H35" i="1" s="1"/>
  <c r="M15" i="40"/>
  <c r="N11" i="1"/>
  <c r="J62" i="40"/>
  <c r="S71" i="40"/>
  <c r="F96" i="1"/>
  <c r="T94" i="40"/>
  <c r="N100" i="40"/>
  <c r="Q35" i="40"/>
  <c r="F40" i="40"/>
  <c r="K100" i="1"/>
  <c r="L11" i="1"/>
  <c r="M16" i="40"/>
  <c r="M106" i="40" s="1"/>
  <c r="H30" i="1"/>
  <c r="O104" i="1"/>
  <c r="L28" i="1"/>
  <c r="L35" i="1" s="1"/>
  <c r="L94" i="1"/>
  <c r="G11" i="1"/>
  <c r="U16" i="40"/>
  <c r="U106" i="40" s="1"/>
  <c r="U15" i="40"/>
  <c r="S11" i="1"/>
  <c r="V71" i="40"/>
  <c r="U104" i="1"/>
  <c r="U28" i="1"/>
  <c r="U35" i="1" s="1"/>
  <c r="V104" i="1"/>
  <c r="V96" i="1"/>
  <c r="W69" i="1"/>
  <c r="Y90" i="40"/>
  <c r="X28" i="1"/>
  <c r="X35" i="1" s="1"/>
  <c r="Y104" i="1"/>
  <c r="S96" i="40"/>
  <c r="M96" i="40"/>
  <c r="J96" i="40"/>
  <c r="K62" i="40"/>
  <c r="U29" i="20"/>
  <c r="U30" i="20" s="1"/>
  <c r="M62" i="40"/>
  <c r="K76" i="40"/>
  <c r="P96" i="1"/>
  <c r="P131" i="1" s="1"/>
  <c r="G71" i="40"/>
  <c r="Q12" i="1"/>
  <c r="Q109" i="1" s="1"/>
  <c r="T100" i="1"/>
  <c r="J94" i="40"/>
  <c r="F90" i="40"/>
  <c r="I15" i="40"/>
  <c r="K71" i="40"/>
  <c r="H35" i="40"/>
  <c r="K35" i="40"/>
  <c r="Q104" i="1"/>
  <c r="I35" i="40"/>
  <c r="P35" i="40"/>
  <c r="R90" i="40"/>
  <c r="N12" i="1"/>
  <c r="N109" i="1" s="1"/>
  <c r="H34" i="40"/>
  <c r="F28" i="1"/>
  <c r="F35" i="1" s="1"/>
  <c r="G62" i="40"/>
  <c r="G96" i="40"/>
  <c r="O100" i="40"/>
  <c r="O76" i="40"/>
  <c r="K11" i="1"/>
  <c r="P34" i="40"/>
  <c r="P36" i="40" s="1"/>
  <c r="O35" i="40"/>
  <c r="L15" i="40"/>
  <c r="K28" i="1"/>
  <c r="K35" i="1" s="1"/>
  <c r="L35" i="40"/>
  <c r="O94" i="40"/>
  <c r="R104" i="1"/>
  <c r="L76" i="40"/>
  <c r="N76" i="40"/>
  <c r="I12" i="1"/>
  <c r="I109" i="1" s="1"/>
  <c r="U71" i="40"/>
  <c r="T30" i="1"/>
  <c r="U100" i="40"/>
  <c r="T28" i="1"/>
  <c r="T35" i="1" s="1"/>
  <c r="W76" i="40"/>
  <c r="U12" i="1"/>
  <c r="U109" i="1" s="1"/>
  <c r="U96" i="1"/>
  <c r="X100" i="40"/>
  <c r="V12" i="1"/>
  <c r="V109" i="1" s="1"/>
  <c r="W11" i="1"/>
  <c r="Y94" i="40"/>
  <c r="Y12" i="1"/>
  <c r="Y109" i="1" s="1"/>
  <c r="AJ131" i="1"/>
  <c r="T36" i="20"/>
  <c r="I25" i="2"/>
  <c r="U31" i="20" s="1"/>
  <c r="H25" i="2"/>
  <c r="T29" i="20"/>
  <c r="T37" i="20"/>
  <c r="AM33" i="27"/>
  <c r="D53" i="25"/>
  <c r="D85" i="40" l="1"/>
  <c r="AE11" i="1"/>
  <c r="AE110" i="1" s="1"/>
  <c r="AH76" i="40"/>
  <c r="AF98" i="1"/>
  <c r="AE104" i="1"/>
  <c r="U31" i="1"/>
  <c r="V30" i="1"/>
  <c r="Y96" i="40"/>
  <c r="Z15" i="40"/>
  <c r="AA76" i="40"/>
  <c r="Z28" i="1"/>
  <c r="Z35" i="1" s="1"/>
  <c r="AC71" i="40"/>
  <c r="AA11" i="1"/>
  <c r="AD76" i="40"/>
  <c r="AB96" i="1"/>
  <c r="AD96" i="1"/>
  <c r="AG71" i="40"/>
  <c r="AH16" i="40"/>
  <c r="AH106" i="40" s="1"/>
  <c r="AF96" i="1"/>
  <c r="AF131" i="1" s="1"/>
  <c r="AG100" i="40"/>
  <c r="W96" i="40"/>
  <c r="V100" i="1"/>
  <c r="V31" i="1"/>
  <c r="Y30" i="1"/>
  <c r="AB71" i="40"/>
  <c r="AB15" i="40"/>
  <c r="AA94" i="1"/>
  <c r="AA96" i="1"/>
  <c r="AB11" i="1"/>
  <c r="AC12" i="1"/>
  <c r="AC109" i="1" s="1"/>
  <c r="AC96" i="1"/>
  <c r="AF16" i="40"/>
  <c r="AF106" i="40" s="1"/>
  <c r="AF62" i="40"/>
  <c r="AE98" i="1"/>
  <c r="AE71" i="40"/>
  <c r="AG15" i="40"/>
  <c r="AH62" i="40"/>
  <c r="AF11" i="1"/>
  <c r="AG76" i="40"/>
  <c r="V35" i="40"/>
  <c r="X35" i="40"/>
  <c r="Y34" i="40"/>
  <c r="X30" i="1"/>
  <c r="AA100" i="40"/>
  <c r="AA16" i="40"/>
  <c r="AA106" i="40" s="1"/>
  <c r="Z69" i="1"/>
  <c r="AB100" i="40"/>
  <c r="Z96" i="1"/>
  <c r="AA69" i="1"/>
  <c r="AC76" i="40"/>
  <c r="AB98" i="1"/>
  <c r="AD15" i="40"/>
  <c r="AC104" i="1"/>
  <c r="AC94" i="1"/>
  <c r="AD28" i="1"/>
  <c r="AD35" i="1" s="1"/>
  <c r="AF71" i="40"/>
  <c r="AD12" i="1"/>
  <c r="AD109" i="1" s="1"/>
  <c r="AH94" i="40"/>
  <c r="AE69" i="1"/>
  <c r="AF104" i="1"/>
  <c r="V34" i="40"/>
  <c r="U30" i="1"/>
  <c r="U32" i="1" s="1"/>
  <c r="W31" i="1"/>
  <c r="Y31" i="1"/>
  <c r="Z16" i="40"/>
  <c r="Z106" i="40" s="1"/>
  <c r="AA71" i="40"/>
  <c r="AA94" i="40"/>
  <c r="Z94" i="1"/>
  <c r="AB90" i="40"/>
  <c r="Z104" i="1"/>
  <c r="AC94" i="40"/>
  <c r="AC90" i="40"/>
  <c r="AB12" i="1"/>
  <c r="AB109" i="1" s="1"/>
  <c r="AD100" i="40"/>
  <c r="AE90" i="40"/>
  <c r="AE15" i="40"/>
  <c r="AD11" i="1"/>
  <c r="AD13" i="1" s="1"/>
  <c r="AD94" i="1"/>
  <c r="AG94" i="40"/>
  <c r="AF94" i="40"/>
  <c r="AG11" i="1"/>
  <c r="AG12" i="1"/>
  <c r="AG109" i="1" s="1"/>
  <c r="AI94" i="40"/>
  <c r="AG96" i="1"/>
  <c r="AI15" i="40"/>
  <c r="AG69" i="1"/>
  <c r="AH71" i="40"/>
  <c r="AF28" i="1"/>
  <c r="AF35" i="1" s="1"/>
  <c r="W34" i="40"/>
  <c r="Z76" i="40"/>
  <c r="AB94" i="40"/>
  <c r="AA98" i="1"/>
  <c r="AD62" i="40"/>
  <c r="AG16" i="40"/>
  <c r="AG106" i="40" s="1"/>
  <c r="AG62" i="40"/>
  <c r="V96" i="40"/>
  <c r="W30" i="1"/>
  <c r="Z62" i="40"/>
  <c r="AA104" i="1"/>
  <c r="AD71" i="40"/>
  <c r="AC28" i="1"/>
  <c r="AC35" i="1" s="1"/>
  <c r="AF90" i="40"/>
  <c r="AE28" i="1"/>
  <c r="AE35" i="1" s="1"/>
  <c r="AH100" i="40"/>
  <c r="AF69" i="1"/>
  <c r="W35" i="40"/>
  <c r="X100" i="1"/>
  <c r="AA15" i="40"/>
  <c r="Z11" i="1"/>
  <c r="Z13" i="1" s="1"/>
  <c r="AA12" i="1"/>
  <c r="AA109" i="1" s="1"/>
  <c r="AD16" i="40"/>
  <c r="AD106" i="40" s="1"/>
  <c r="AC98" i="1"/>
  <c r="AF15" i="40"/>
  <c r="AF17" i="40" s="1"/>
  <c r="AE76" i="40"/>
  <c r="AH90" i="40"/>
  <c r="U96" i="40"/>
  <c r="W100" i="1"/>
  <c r="Z94" i="40"/>
  <c r="AA90" i="40"/>
  <c r="AB62" i="40"/>
  <c r="AC100" i="40"/>
  <c r="AD94" i="40"/>
  <c r="AD90" i="40"/>
  <c r="AE100" i="40"/>
  <c r="AD98" i="1"/>
  <c r="AG94" i="1"/>
  <c r="AI100" i="40"/>
  <c r="AI16" i="40"/>
  <c r="AI106" i="40" s="1"/>
  <c r="AI76" i="40"/>
  <c r="AI90" i="40"/>
  <c r="AH69" i="1"/>
  <c r="AH104" i="1"/>
  <c r="AH98" i="1"/>
  <c r="AH131" i="1" s="1"/>
  <c r="AH96" i="1"/>
  <c r="AI96" i="1"/>
  <c r="AI11" i="1"/>
  <c r="AI98" i="1"/>
  <c r="AI28" i="1"/>
  <c r="AI35" i="1" s="1"/>
  <c r="AE12" i="1"/>
  <c r="AE13" i="1" s="1"/>
  <c r="I98" i="1"/>
  <c r="Q31" i="1"/>
  <c r="M90" i="40"/>
  <c r="R98" i="1"/>
  <c r="Q76" i="40"/>
  <c r="H98" i="1"/>
  <c r="H94" i="40"/>
  <c r="H104" i="1"/>
  <c r="Q71" i="40"/>
  <c r="K30" i="1"/>
  <c r="J96" i="1"/>
  <c r="N94" i="1"/>
  <c r="J31" i="1"/>
  <c r="K15" i="40"/>
  <c r="K107" i="40" s="1"/>
  <c r="S100" i="40"/>
  <c r="K94" i="40"/>
  <c r="M31" i="1"/>
  <c r="N62" i="40"/>
  <c r="I16" i="40"/>
  <c r="I106" i="40" s="1"/>
  <c r="Q96" i="40"/>
  <c r="O96" i="40"/>
  <c r="O94" i="1"/>
  <c r="I96" i="40"/>
  <c r="Q11" i="1"/>
  <c r="Q110" i="1" s="1"/>
  <c r="Q96" i="1"/>
  <c r="M94" i="40"/>
  <c r="N31" i="1"/>
  <c r="I94" i="1"/>
  <c r="M12" i="1"/>
  <c r="M109" i="1" s="1"/>
  <c r="S35" i="40"/>
  <c r="J69" i="1"/>
  <c r="T16" i="40"/>
  <c r="T106" i="40" s="1"/>
  <c r="M11" i="1"/>
  <c r="F62" i="40"/>
  <c r="T15" i="40"/>
  <c r="P104" i="1"/>
  <c r="I100" i="1"/>
  <c r="Q62" i="40"/>
  <c r="L30" i="1"/>
  <c r="S28" i="1"/>
  <c r="S35" i="1" s="1"/>
  <c r="S104" i="1"/>
  <c r="V100" i="40"/>
  <c r="T104" i="1"/>
  <c r="T94" i="1"/>
  <c r="W90" i="40"/>
  <c r="W100" i="40"/>
  <c r="X62" i="40"/>
  <c r="V69" i="1"/>
  <c r="W28" i="1"/>
  <c r="W35" i="1" s="1"/>
  <c r="Y15" i="40"/>
  <c r="Y107" i="40" s="1"/>
  <c r="X69" i="1"/>
  <c r="Y28" i="1"/>
  <c r="Y35" i="1" s="1"/>
  <c r="I96" i="1"/>
  <c r="S100" i="1"/>
  <c r="G69" i="1"/>
  <c r="G15" i="40"/>
  <c r="G107" i="40" s="1"/>
  <c r="N96" i="1"/>
  <c r="Q94" i="1"/>
  <c r="F100" i="40"/>
  <c r="H16" i="40"/>
  <c r="H106" i="40" s="1"/>
  <c r="O28" i="1"/>
  <c r="O35" i="1" s="1"/>
  <c r="G94" i="40"/>
  <c r="K31" i="1"/>
  <c r="T96" i="40"/>
  <c r="O100" i="1"/>
  <c r="R76" i="40"/>
  <c r="N98" i="1"/>
  <c r="R71" i="40"/>
  <c r="N69" i="1"/>
  <c r="P76" i="40"/>
  <c r="H12" i="1"/>
  <c r="H109" i="1" s="1"/>
  <c r="J100" i="1"/>
  <c r="L31" i="1"/>
  <c r="R96" i="40"/>
  <c r="Q15" i="40"/>
  <c r="K104" i="1"/>
  <c r="L94" i="40"/>
  <c r="Q28" i="1"/>
  <c r="Q35" i="1" s="1"/>
  <c r="O34" i="40"/>
  <c r="O16" i="40"/>
  <c r="O106" i="40" s="1"/>
  <c r="L98" i="1"/>
  <c r="L90" i="40"/>
  <c r="G100" i="40"/>
  <c r="R100" i="1"/>
  <c r="L62" i="40"/>
  <c r="H96" i="40"/>
  <c r="L100" i="40"/>
  <c r="T90" i="40"/>
  <c r="O31" i="1"/>
  <c r="G98" i="1"/>
  <c r="F11" i="1"/>
  <c r="G34" i="40"/>
  <c r="M28" i="1"/>
  <c r="M35" i="1" s="1"/>
  <c r="S96" i="1"/>
  <c r="U76" i="40"/>
  <c r="T69" i="1"/>
  <c r="V62" i="40"/>
  <c r="T11" i="1"/>
  <c r="T110" i="1" s="1"/>
  <c r="U94" i="1"/>
  <c r="V94" i="1"/>
  <c r="V28" i="1"/>
  <c r="V35" i="1" s="1"/>
  <c r="W12" i="1"/>
  <c r="W109" i="1" s="1"/>
  <c r="Y100" i="40"/>
  <c r="X104" i="1"/>
  <c r="X98" i="1"/>
  <c r="Y98" i="1"/>
  <c r="T34" i="40"/>
  <c r="O98" i="1"/>
  <c r="J34" i="40"/>
  <c r="K100" i="40"/>
  <c r="S16" i="40"/>
  <c r="S106" i="40" s="1"/>
  <c r="M100" i="40"/>
  <c r="T76" i="40"/>
  <c r="H11" i="1"/>
  <c r="H110" i="1" s="1"/>
  <c r="G76" i="40"/>
  <c r="R12" i="1"/>
  <c r="R109" i="1" s="1"/>
  <c r="P96" i="40"/>
  <c r="AK131" i="1"/>
  <c r="Y11" i="1"/>
  <c r="X94" i="1"/>
  <c r="W94" i="1"/>
  <c r="Y62" i="40"/>
  <c r="X76" i="40"/>
  <c r="X15" i="40"/>
  <c r="X107" i="40" s="1"/>
  <c r="W94" i="40"/>
  <c r="U69" i="1"/>
  <c r="V94" i="40"/>
  <c r="V90" i="40"/>
  <c r="S12" i="1"/>
  <c r="S109" i="1" s="1"/>
  <c r="U94" i="40"/>
  <c r="P100" i="40"/>
  <c r="Q90" i="40"/>
  <c r="G96" i="1"/>
  <c r="F15" i="40"/>
  <c r="U37" i="20" s="1"/>
  <c r="I28" i="1"/>
  <c r="I35" i="1" s="1"/>
  <c r="G16" i="40"/>
  <c r="G106" i="40" s="1"/>
  <c r="F98" i="1"/>
  <c r="H100" i="1"/>
  <c r="K34" i="40"/>
  <c r="P31" i="1"/>
  <c r="N104" i="1"/>
  <c r="K16" i="40"/>
  <c r="K106" i="40" s="1"/>
  <c r="N34" i="40"/>
  <c r="I71" i="40"/>
  <c r="S15" i="40"/>
  <c r="I104" i="1"/>
  <c r="I94" i="40"/>
  <c r="J98" i="1"/>
  <c r="H94" i="1"/>
  <c r="K96" i="1"/>
  <c r="J90" i="40"/>
  <c r="O15" i="40"/>
  <c r="O17" i="40" s="1"/>
  <c r="M30" i="1"/>
  <c r="M32" i="1" s="1"/>
  <c r="T71" i="40"/>
  <c r="R96" i="1"/>
  <c r="L96" i="40"/>
  <c r="P12" i="1"/>
  <c r="P109" i="1" s="1"/>
  <c r="F94" i="40"/>
  <c r="O96" i="1"/>
  <c r="S34" i="40"/>
  <c r="S36" i="40" s="1"/>
  <c r="L12" i="1"/>
  <c r="L109" i="1" s="1"/>
  <c r="N96" i="40"/>
  <c r="K12" i="1"/>
  <c r="K109" i="1" s="1"/>
  <c r="H76" i="40"/>
  <c r="T100" i="40"/>
  <c r="P90" i="40"/>
  <c r="G104" i="1"/>
  <c r="G94" i="1"/>
  <c r="P30" i="1"/>
  <c r="Q98" i="1"/>
  <c r="Q131" i="1" s="1"/>
  <c r="X96" i="1"/>
  <c r="X131" i="1" s="1"/>
  <c r="X12" i="1"/>
  <c r="X109" i="1" s="1"/>
  <c r="W104" i="1"/>
  <c r="Y71" i="40"/>
  <c r="X90" i="40"/>
  <c r="V11" i="1"/>
  <c r="V13" i="1" s="1"/>
  <c r="W15" i="40"/>
  <c r="V16" i="40"/>
  <c r="V106" i="40" s="1"/>
  <c r="T12" i="1"/>
  <c r="T109" i="1" s="1"/>
  <c r="U62" i="40"/>
  <c r="T31" i="1"/>
  <c r="H100" i="40"/>
  <c r="G90" i="40"/>
  <c r="M100" i="1"/>
  <c r="S76" i="40"/>
  <c r="J12" i="1"/>
  <c r="J109" i="1" s="1"/>
  <c r="N90" i="40"/>
  <c r="R69" i="1"/>
  <c r="J30" i="1"/>
  <c r="J32" i="1" s="1"/>
  <c r="Q16" i="40"/>
  <c r="Q106" i="40" s="1"/>
  <c r="Q30" i="1"/>
  <c r="H69" i="1"/>
  <c r="B12" i="51"/>
  <c r="I90" i="40"/>
  <c r="M94" i="1"/>
  <c r="R94" i="40"/>
  <c r="R100" i="40"/>
  <c r="I76" i="40"/>
  <c r="R62" i="40"/>
  <c r="N16" i="40"/>
  <c r="N106" i="40" s="1"/>
  <c r="L69" i="1"/>
  <c r="F34" i="40"/>
  <c r="F36" i="40" s="1"/>
  <c r="N94" i="40"/>
  <c r="G28" i="1"/>
  <c r="G35" i="1" s="1"/>
  <c r="L100" i="1"/>
  <c r="F48" i="1"/>
  <c r="AB49" i="1" s="1"/>
  <c r="AC48" i="1" s="1"/>
  <c r="AC34" i="1" s="1"/>
  <c r="F100" i="1"/>
  <c r="H96" i="1"/>
  <c r="H131" i="1" s="1"/>
  <c r="F16" i="40"/>
  <c r="I62" i="40"/>
  <c r="F30" i="1"/>
  <c r="O69" i="1"/>
  <c r="M34" i="40"/>
  <c r="P62" i="40"/>
  <c r="J71" i="40"/>
  <c r="K69" i="1"/>
  <c r="X11" i="1"/>
  <c r="Y16" i="40"/>
  <c r="Y106" i="40" s="1"/>
  <c r="V98" i="1"/>
  <c r="W62" i="40"/>
  <c r="T98" i="1"/>
  <c r="S94" i="1"/>
  <c r="N71" i="40"/>
  <c r="K90" i="40"/>
  <c r="J76" i="40"/>
  <c r="G12" i="1"/>
  <c r="G109" i="1" s="1"/>
  <c r="S31" i="1"/>
  <c r="J28" i="1"/>
  <c r="J35" i="1" s="1"/>
  <c r="F31" i="1"/>
  <c r="L96" i="1"/>
  <c r="M76" i="40"/>
  <c r="M69" i="1"/>
  <c r="J35" i="40"/>
  <c r="F12" i="1"/>
  <c r="F109" i="1" s="1"/>
  <c r="H31" i="1"/>
  <c r="P28" i="1"/>
  <c r="P35" i="1" s="1"/>
  <c r="S30" i="1"/>
  <c r="G35" i="40"/>
  <c r="H90" i="40"/>
  <c r="G31" i="1"/>
  <c r="G32" i="1" s="1"/>
  <c r="I31" i="1"/>
  <c r="P100" i="1"/>
  <c r="Y69" i="1"/>
  <c r="W96" i="1"/>
  <c r="X94" i="40"/>
  <c r="U98" i="1"/>
  <c r="W16" i="40"/>
  <c r="W106" i="40" s="1"/>
  <c r="T96" i="1"/>
  <c r="T131" i="1" s="1"/>
  <c r="S98" i="1"/>
  <c r="O71" i="40"/>
  <c r="M96" i="1"/>
  <c r="P16" i="40"/>
  <c r="P106" i="40" s="1"/>
  <c r="S94" i="40"/>
  <c r="Q34" i="40"/>
  <c r="R16" i="40"/>
  <c r="R106" i="40" s="1"/>
  <c r="G100" i="1"/>
  <c r="I100" i="40"/>
  <c r="F104" i="1"/>
  <c r="R31" i="1"/>
  <c r="R15" i="40"/>
  <c r="R107" i="40" s="1"/>
  <c r="P15" i="40"/>
  <c r="P71" i="40"/>
  <c r="L34" i="40"/>
  <c r="F61" i="40"/>
  <c r="S62" i="40"/>
  <c r="I34" i="40"/>
  <c r="Q94" i="40"/>
  <c r="O62" i="40"/>
  <c r="M98" i="1"/>
  <c r="AI69" i="1"/>
  <c r="AI12" i="1"/>
  <c r="AI109" i="1" s="1"/>
  <c r="AH11" i="1"/>
  <c r="AH12" i="1"/>
  <c r="AH109" i="1" s="1"/>
  <c r="AI62" i="40"/>
  <c r="AG28" i="1"/>
  <c r="AG35" i="1" s="1"/>
  <c r="AE16" i="40"/>
  <c r="AE106" i="40" s="1"/>
  <c r="AE94" i="40"/>
  <c r="AC62" i="40"/>
  <c r="AA62" i="40"/>
  <c r="X31" i="1"/>
  <c r="AF12" i="1"/>
  <c r="AF109" i="1" s="1"/>
  <c r="AF100" i="40"/>
  <c r="AB69" i="1"/>
  <c r="AB76" i="40"/>
  <c r="Z90" i="40"/>
  <c r="U35" i="40"/>
  <c r="AD69" i="1"/>
  <c r="AC11" i="1"/>
  <c r="AC13" i="1" s="1"/>
  <c r="AA28" i="1"/>
  <c r="AA35" i="1" s="1"/>
  <c r="Y100" i="1"/>
  <c r="AF94" i="1"/>
  <c r="AE62" i="40"/>
  <c r="AC15" i="40"/>
  <c r="Y35" i="40"/>
  <c r="Y36" i="40" s="1"/>
  <c r="AE94" i="1"/>
  <c r="AB100" i="1"/>
  <c r="Z30" i="1"/>
  <c r="AD34" i="40"/>
  <c r="Z96" i="40"/>
  <c r="AD100" i="1"/>
  <c r="AA31" i="1"/>
  <c r="AA32" i="1" s="1"/>
  <c r="Z34" i="40"/>
  <c r="Z36" i="40" s="1"/>
  <c r="AB35" i="40"/>
  <c r="AB36" i="40" s="1"/>
  <c r="AD30" i="1"/>
  <c r="AC34" i="40"/>
  <c r="AC96" i="40"/>
  <c r="AB31" i="1"/>
  <c r="AA35" i="40"/>
  <c r="AA36" i="40" s="1"/>
  <c r="AD31" i="1"/>
  <c r="AD35" i="40"/>
  <c r="Z100" i="1"/>
  <c r="AD96" i="40"/>
  <c r="AA100" i="1"/>
  <c r="AA96" i="40"/>
  <c r="AC30" i="1"/>
  <c r="AC32" i="1" s="1"/>
  <c r="AB30" i="1"/>
  <c r="AC35" i="40"/>
  <c r="Z31" i="1"/>
  <c r="U131" i="1"/>
  <c r="V131" i="1"/>
  <c r="H32" i="1"/>
  <c r="R32" i="1"/>
  <c r="AB131" i="1"/>
  <c r="AK42" i="1"/>
  <c r="AK108" i="1" s="1"/>
  <c r="AD131" i="1"/>
  <c r="AG131" i="1"/>
  <c r="Z131" i="1"/>
  <c r="AE131" i="1"/>
  <c r="AL131" i="1"/>
  <c r="K131" i="1"/>
  <c r="Q32" i="1"/>
  <c r="I131" i="1"/>
  <c r="R68" i="15"/>
  <c r="S69" i="15"/>
  <c r="AH71" i="15"/>
  <c r="AG70" i="15"/>
  <c r="V69" i="15"/>
  <c r="W70" i="15"/>
  <c r="A53" i="15"/>
  <c r="B52" i="15"/>
  <c r="C52" i="15"/>
  <c r="J36" i="40"/>
  <c r="K36" i="40"/>
  <c r="AL36" i="1"/>
  <c r="AL43" i="1" s="1"/>
  <c r="AN32" i="1"/>
  <c r="AN45" i="1" s="1"/>
  <c r="AL121" i="1"/>
  <c r="AL126" i="1" s="1"/>
  <c r="AL127" i="1" s="1"/>
  <c r="V36" i="40"/>
  <c r="AK39" i="40"/>
  <c r="AM36" i="40"/>
  <c r="AM37" i="40" s="1"/>
  <c r="AL55" i="40"/>
  <c r="AL38" i="40"/>
  <c r="AL22" i="40"/>
  <c r="AL90" i="40"/>
  <c r="AL13" i="40"/>
  <c r="AL94" i="40"/>
  <c r="AL41" i="40"/>
  <c r="AL60" i="40"/>
  <c r="AL52" i="40"/>
  <c r="AL7" i="40"/>
  <c r="AL15" i="40"/>
  <c r="AL107" i="40" s="1"/>
  <c r="AL51" i="40"/>
  <c r="AL58" i="40"/>
  <c r="AL59" i="40" s="1"/>
  <c r="AL100" i="40"/>
  <c r="AL115" i="40"/>
  <c r="AL63" i="40"/>
  <c r="AL48" i="40"/>
  <c r="AL8" i="40"/>
  <c r="AL98" i="40"/>
  <c r="AL16" i="40"/>
  <c r="AL106" i="40" s="1"/>
  <c r="AL32" i="40"/>
  <c r="AL97" i="40"/>
  <c r="AL116" i="40"/>
  <c r="AM40" i="40"/>
  <c r="AL20" i="40"/>
  <c r="AL65" i="40"/>
  <c r="AL24" i="40"/>
  <c r="AL61" i="40"/>
  <c r="AL9" i="40"/>
  <c r="AL92" i="40"/>
  <c r="AL26" i="40"/>
  <c r="AL110" i="40" s="1"/>
  <c r="AM140" i="40"/>
  <c r="AM1" i="40"/>
  <c r="AM21" i="40" s="1"/>
  <c r="AM89" i="40"/>
  <c r="AM139" i="40"/>
  <c r="AM93" i="40" s="1"/>
  <c r="N36" i="40"/>
  <c r="AK117" i="40"/>
  <c r="AN35" i="40"/>
  <c r="AN57" i="40"/>
  <c r="AN96" i="40"/>
  <c r="AN2" i="40"/>
  <c r="AN14" i="40"/>
  <c r="AN91" i="40"/>
  <c r="AO4" i="40"/>
  <c r="AN34" i="40"/>
  <c r="AK10" i="40"/>
  <c r="AK11" i="40" s="1"/>
  <c r="AK17" i="40"/>
  <c r="AK108" i="40"/>
  <c r="M36" i="40"/>
  <c r="AL51" i="15"/>
  <c r="D51" i="15" s="1"/>
  <c r="AN52" i="15"/>
  <c r="AN153" i="1"/>
  <c r="AN97" i="1" s="1"/>
  <c r="AN1" i="1"/>
  <c r="AN17" i="1" s="1"/>
  <c r="AN154" i="1"/>
  <c r="AN93" i="1"/>
  <c r="AM7" i="1"/>
  <c r="AM68" i="1"/>
  <c r="AM49" i="1"/>
  <c r="AM119" i="1"/>
  <c r="AM96" i="1"/>
  <c r="AM84" i="1"/>
  <c r="AM125" i="1"/>
  <c r="AM46" i="1"/>
  <c r="AM34" i="1"/>
  <c r="AM59" i="1"/>
  <c r="AM22" i="1"/>
  <c r="AM113" i="1" s="1"/>
  <c r="AM12" i="1"/>
  <c r="AM109" i="1" s="1"/>
  <c r="AM94" i="1"/>
  <c r="AM87" i="1"/>
  <c r="AM40" i="1"/>
  <c r="AM39" i="1"/>
  <c r="AM55" i="1"/>
  <c r="AM101" i="1"/>
  <c r="AM9" i="1"/>
  <c r="AM20" i="1"/>
  <c r="AM98" i="1"/>
  <c r="AM76" i="1"/>
  <c r="AM104" i="1"/>
  <c r="AN48" i="1"/>
  <c r="AM65" i="1"/>
  <c r="AM66" i="1" s="1"/>
  <c r="AM58" i="1"/>
  <c r="AM28" i="1"/>
  <c r="AM123" i="1"/>
  <c r="AM62" i="1"/>
  <c r="AM11" i="1"/>
  <c r="AM110" i="1" s="1"/>
  <c r="AM67" i="1"/>
  <c r="AM35" i="1"/>
  <c r="AM72" i="1"/>
  <c r="AM38" i="1"/>
  <c r="AM120" i="1"/>
  <c r="AM16" i="1"/>
  <c r="AM79" i="1"/>
  <c r="AM102" i="1"/>
  <c r="AM70" i="1"/>
  <c r="AM18" i="1"/>
  <c r="AM112" i="1" s="1"/>
  <c r="AO10" i="1"/>
  <c r="AO31" i="1"/>
  <c r="AP4" i="1"/>
  <c r="AO30" i="1"/>
  <c r="AO2" i="1"/>
  <c r="AO95" i="1"/>
  <c r="AO64" i="1"/>
  <c r="AO100" i="1"/>
  <c r="AJ77" i="1"/>
  <c r="AJ78" i="1"/>
  <c r="AJ80" i="1" s="1"/>
  <c r="AL13" i="1"/>
  <c r="AL111" i="1"/>
  <c r="AJ86" i="1"/>
  <c r="AJ88" i="1" s="1"/>
  <c r="AJ82" i="1" s="1"/>
  <c r="AL47" i="1"/>
  <c r="AI131" i="1"/>
  <c r="AA131" i="1"/>
  <c r="T32" i="1"/>
  <c r="T36" i="40"/>
  <c r="X36" i="40"/>
  <c r="AE107" i="40"/>
  <c r="AE17" i="40"/>
  <c r="AD107" i="40"/>
  <c r="AD17" i="40"/>
  <c r="AF110" i="1"/>
  <c r="AF13" i="1"/>
  <c r="AG107" i="40"/>
  <c r="AG17" i="40"/>
  <c r="AB107" i="40"/>
  <c r="AB17" i="40"/>
  <c r="Y32" i="1"/>
  <c r="AF107" i="40"/>
  <c r="Z110" i="1"/>
  <c r="AA107" i="40"/>
  <c r="W32" i="1"/>
  <c r="AC41" i="40"/>
  <c r="AD40" i="40" s="1"/>
  <c r="AG41" i="40"/>
  <c r="AH40" i="40" s="1"/>
  <c r="AH41" i="40"/>
  <c r="AI40" i="40" s="1"/>
  <c r="AB41" i="40"/>
  <c r="AC40" i="40" s="1"/>
  <c r="AF41" i="40"/>
  <c r="AG40" i="40" s="1"/>
  <c r="AA41" i="40"/>
  <c r="AB40" i="40" s="1"/>
  <c r="AE41" i="40"/>
  <c r="AF40" i="40" s="1"/>
  <c r="Z41" i="40"/>
  <c r="AA40" i="40" s="1"/>
  <c r="AD41" i="40"/>
  <c r="AE40" i="40" s="1"/>
  <c r="AI41" i="40"/>
  <c r="AJ40" i="40" s="1"/>
  <c r="AH110" i="1"/>
  <c r="AI107" i="40"/>
  <c r="AG110" i="1"/>
  <c r="AD110" i="1"/>
  <c r="AB110" i="1"/>
  <c r="AA110" i="1"/>
  <c r="Z107" i="40"/>
  <c r="X32" i="1"/>
  <c r="AC49" i="1"/>
  <c r="AD48" i="1" s="1"/>
  <c r="AD34" i="1" s="1"/>
  <c r="AA49" i="1"/>
  <c r="AB48" i="1" s="1"/>
  <c r="AB34" i="1" s="1"/>
  <c r="AF49" i="1"/>
  <c r="AG48" i="1" s="1"/>
  <c r="AG34" i="1" s="1"/>
  <c r="AD49" i="1"/>
  <c r="AE48" i="1" s="1"/>
  <c r="AE34" i="1" s="1"/>
  <c r="AH49" i="1"/>
  <c r="AI48" i="1" s="1"/>
  <c r="AI34" i="1" s="1"/>
  <c r="AI110" i="1"/>
  <c r="AI13" i="1"/>
  <c r="AC110" i="1"/>
  <c r="AH107" i="40"/>
  <c r="AH17" i="40"/>
  <c r="AC107" i="40"/>
  <c r="AC17" i="40"/>
  <c r="U36" i="40"/>
  <c r="R131" i="1"/>
  <c r="Y131" i="1"/>
  <c r="M131" i="1"/>
  <c r="L107" i="40"/>
  <c r="L17" i="40"/>
  <c r="I107" i="40"/>
  <c r="I17" i="40"/>
  <c r="U107" i="40"/>
  <c r="U17" i="40"/>
  <c r="G110" i="1"/>
  <c r="L110" i="1"/>
  <c r="L13" i="1"/>
  <c r="H41" i="40"/>
  <c r="I40" i="40" s="1"/>
  <c r="T41" i="40"/>
  <c r="U40" i="40" s="1"/>
  <c r="L41" i="40"/>
  <c r="M40" i="40" s="1"/>
  <c r="I41" i="40"/>
  <c r="J40" i="40" s="1"/>
  <c r="W41" i="40"/>
  <c r="X40" i="40" s="1"/>
  <c r="U41" i="40"/>
  <c r="V40" i="40" s="1"/>
  <c r="M41" i="40"/>
  <c r="N40" i="40" s="1"/>
  <c r="Q41" i="40"/>
  <c r="R40" i="40" s="1"/>
  <c r="K41" i="40"/>
  <c r="L40" i="40" s="1"/>
  <c r="P41" i="40"/>
  <c r="Q40" i="40" s="1"/>
  <c r="N41" i="40"/>
  <c r="O40" i="40" s="1"/>
  <c r="V41" i="40"/>
  <c r="W40" i="40" s="1"/>
  <c r="Y41" i="40"/>
  <c r="Z40" i="40" s="1"/>
  <c r="F41" i="40"/>
  <c r="G40" i="40" s="1"/>
  <c r="X41" i="40"/>
  <c r="Y40" i="40" s="1"/>
  <c r="G41" i="40"/>
  <c r="H40" i="40" s="1"/>
  <c r="O41" i="40"/>
  <c r="P40" i="40" s="1"/>
  <c r="J41" i="40"/>
  <c r="K40" i="40" s="1"/>
  <c r="R41" i="40"/>
  <c r="S40" i="40" s="1"/>
  <c r="S41" i="40"/>
  <c r="T40" i="40" s="1"/>
  <c r="M107" i="40"/>
  <c r="M17" i="40"/>
  <c r="P110" i="1"/>
  <c r="P13" i="1"/>
  <c r="O110" i="1"/>
  <c r="O13" i="1"/>
  <c r="I110" i="1"/>
  <c r="I13" i="1"/>
  <c r="H107" i="40"/>
  <c r="N107" i="40"/>
  <c r="R110" i="1"/>
  <c r="U110" i="1"/>
  <c r="U13" i="1"/>
  <c r="V107" i="40"/>
  <c r="J110" i="1"/>
  <c r="AE109" i="1"/>
  <c r="F131" i="1"/>
  <c r="R36" i="40"/>
  <c r="E69" i="1"/>
  <c r="D69" i="1" s="1"/>
  <c r="O32" i="1"/>
  <c r="N32" i="1"/>
  <c r="I32" i="1"/>
  <c r="X17" i="40"/>
  <c r="F107" i="40"/>
  <c r="O107" i="40"/>
  <c r="V110" i="1"/>
  <c r="F49" i="1"/>
  <c r="G48" i="1" s="1"/>
  <c r="G34" i="1" s="1"/>
  <c r="K49" i="1"/>
  <c r="L48" i="1" s="1"/>
  <c r="L34" i="1" s="1"/>
  <c r="T49" i="1"/>
  <c r="U48" i="1" s="1"/>
  <c r="U34" i="1" s="1"/>
  <c r="R49" i="1"/>
  <c r="S48" i="1" s="1"/>
  <c r="S34" i="1" s="1"/>
  <c r="F34" i="1"/>
  <c r="M49" i="1"/>
  <c r="N48" i="1" s="1"/>
  <c r="N34" i="1" s="1"/>
  <c r="I49" i="1"/>
  <c r="J48" i="1" s="1"/>
  <c r="J34" i="1" s="1"/>
  <c r="V49" i="1"/>
  <c r="W48" i="1" s="1"/>
  <c r="W34" i="1" s="1"/>
  <c r="P49" i="1"/>
  <c r="Q48" i="1" s="1"/>
  <c r="Q34" i="1" s="1"/>
  <c r="O49" i="1"/>
  <c r="P48" i="1" s="1"/>
  <c r="P34" i="1" s="1"/>
  <c r="Y49" i="1"/>
  <c r="Z48" i="1" s="1"/>
  <c r="Z34" i="1" s="1"/>
  <c r="H13" i="1"/>
  <c r="T13" i="1"/>
  <c r="G17" i="40"/>
  <c r="Y17" i="40"/>
  <c r="Q13" i="1"/>
  <c r="K17" i="40"/>
  <c r="K32" i="1"/>
  <c r="W110" i="1"/>
  <c r="W13" i="1"/>
  <c r="K110" i="1"/>
  <c r="K13" i="1"/>
  <c r="S110" i="1"/>
  <c r="S13" i="1"/>
  <c r="N110" i="1"/>
  <c r="N13" i="1"/>
  <c r="J107" i="40"/>
  <c r="J17" i="40"/>
  <c r="X110" i="1"/>
  <c r="X13" i="1"/>
  <c r="R17" i="40"/>
  <c r="P107" i="40"/>
  <c r="P17" i="40"/>
  <c r="H36" i="40"/>
  <c r="L131" i="1"/>
  <c r="S32" i="1"/>
  <c r="W131" i="1"/>
  <c r="Q36" i="40"/>
  <c r="L36" i="40"/>
  <c r="I36" i="40"/>
  <c r="Y110" i="1"/>
  <c r="Y13" i="1"/>
  <c r="S107" i="40"/>
  <c r="S17" i="40"/>
  <c r="W107" i="40"/>
  <c r="W17" i="40"/>
  <c r="F106" i="40"/>
  <c r="U36" i="20"/>
  <c r="F110" i="1"/>
  <c r="F13" i="1"/>
  <c r="Q107" i="40"/>
  <c r="Q17" i="40"/>
  <c r="T107" i="40"/>
  <c r="T17" i="40"/>
  <c r="M110" i="1"/>
  <c r="M13" i="1"/>
  <c r="O36" i="40"/>
  <c r="N131" i="1"/>
  <c r="L32" i="1"/>
  <c r="J131" i="1"/>
  <c r="AH13" i="1" l="1"/>
  <c r="AG13" i="1"/>
  <c r="E76" i="40"/>
  <c r="D76" i="40" s="1"/>
  <c r="E71" i="40"/>
  <c r="D71" i="40" s="1"/>
  <c r="P32" i="1"/>
  <c r="O131" i="1"/>
  <c r="S131" i="1"/>
  <c r="G36" i="40"/>
  <c r="G131" i="1"/>
  <c r="E62" i="40"/>
  <c r="D62" i="40" s="1"/>
  <c r="W36" i="40"/>
  <c r="AI17" i="40"/>
  <c r="AC131" i="1"/>
  <c r="AB13" i="1"/>
  <c r="AA13" i="1"/>
  <c r="Z17" i="40"/>
  <c r="V32" i="1"/>
  <c r="U49" i="1"/>
  <c r="V48" i="1" s="1"/>
  <c r="V34" i="1" s="1"/>
  <c r="H49" i="1"/>
  <c r="I48" i="1" s="1"/>
  <c r="I34" i="1" s="1"/>
  <c r="G49" i="1"/>
  <c r="H48" i="1" s="1"/>
  <c r="H34" i="1" s="1"/>
  <c r="L49" i="1"/>
  <c r="M48" i="1" s="1"/>
  <c r="M34" i="1" s="1"/>
  <c r="Q49" i="1"/>
  <c r="R48" i="1" s="1"/>
  <c r="R34" i="1" s="1"/>
  <c r="W49" i="1"/>
  <c r="X48" i="1" s="1"/>
  <c r="X34" i="1" s="1"/>
  <c r="J49" i="1"/>
  <c r="K48" i="1" s="1"/>
  <c r="K34" i="1" s="1"/>
  <c r="X49" i="1"/>
  <c r="Y48" i="1" s="1"/>
  <c r="Y34" i="1" s="1"/>
  <c r="N49" i="1"/>
  <c r="O48" i="1" s="1"/>
  <c r="O34" i="1" s="1"/>
  <c r="S49" i="1"/>
  <c r="T48" i="1" s="1"/>
  <c r="T34" i="1" s="1"/>
  <c r="F17" i="40"/>
  <c r="J13" i="1"/>
  <c r="V17" i="40"/>
  <c r="R13" i="1"/>
  <c r="N17" i="40"/>
  <c r="H17" i="40"/>
  <c r="G13" i="1"/>
  <c r="AI49" i="1"/>
  <c r="AJ48" i="1" s="1"/>
  <c r="AG49" i="1"/>
  <c r="AH48" i="1" s="1"/>
  <c r="AH34" i="1" s="1"/>
  <c r="Z49" i="1"/>
  <c r="AA48" i="1" s="1"/>
  <c r="AA34" i="1" s="1"/>
  <c r="AE49" i="1"/>
  <c r="AF48" i="1" s="1"/>
  <c r="AF34" i="1" s="1"/>
  <c r="AA17" i="40"/>
  <c r="F32" i="1"/>
  <c r="AD36" i="40"/>
  <c r="AC36" i="40"/>
  <c r="Z32" i="1"/>
  <c r="AD32" i="1"/>
  <c r="AB32" i="1"/>
  <c r="AK83" i="1"/>
  <c r="AK86" i="1" s="1"/>
  <c r="AK88" i="1" s="1"/>
  <c r="AK75" i="1"/>
  <c r="AK77" i="1" s="1"/>
  <c r="AL42" i="1"/>
  <c r="AL83" i="1" s="1"/>
  <c r="B53" i="15"/>
  <c r="A54" i="15"/>
  <c r="C53" i="15"/>
  <c r="W71" i="15"/>
  <c r="V70" i="15"/>
  <c r="AG71" i="15"/>
  <c r="AH72" i="15"/>
  <c r="S70" i="15"/>
  <c r="R69" i="15"/>
  <c r="AM36" i="1"/>
  <c r="AM42" i="1" s="1"/>
  <c r="AJ74" i="1"/>
  <c r="AO32" i="1"/>
  <c r="AO45" i="1" s="1"/>
  <c r="AN36" i="40"/>
  <c r="AN37" i="40" s="1"/>
  <c r="AN89" i="40"/>
  <c r="AN140" i="40"/>
  <c r="AN139" i="40"/>
  <c r="AN93" i="40" s="1"/>
  <c r="AN1" i="40"/>
  <c r="AN21" i="40" s="1"/>
  <c r="AL17" i="40"/>
  <c r="AL108" i="40"/>
  <c r="AL10" i="40"/>
  <c r="AL11" i="40" s="1"/>
  <c r="AL39" i="40"/>
  <c r="AM26" i="40"/>
  <c r="AM110" i="40" s="1"/>
  <c r="AM15" i="40"/>
  <c r="AM107" i="40" s="1"/>
  <c r="AM116" i="40"/>
  <c r="AM24" i="40"/>
  <c r="AM51" i="40"/>
  <c r="AM90" i="40"/>
  <c r="AM22" i="40"/>
  <c r="AM65" i="40"/>
  <c r="AM52" i="40"/>
  <c r="AM41" i="40"/>
  <c r="AM13" i="40"/>
  <c r="AM8" i="40"/>
  <c r="AM58" i="40"/>
  <c r="AM59" i="40" s="1"/>
  <c r="AM63" i="40"/>
  <c r="AM115" i="40"/>
  <c r="AM16" i="40"/>
  <c r="AM106" i="40" s="1"/>
  <c r="AM98" i="40"/>
  <c r="AM100" i="40"/>
  <c r="AN40" i="40"/>
  <c r="AM61" i="40"/>
  <c r="AM38" i="40"/>
  <c r="AM9" i="40"/>
  <c r="AM48" i="40"/>
  <c r="AM20" i="40"/>
  <c r="AM32" i="40"/>
  <c r="AM94" i="40"/>
  <c r="AM60" i="40"/>
  <c r="AM92" i="40"/>
  <c r="AM97" i="40"/>
  <c r="AM7" i="40"/>
  <c r="AM55" i="40"/>
  <c r="AL117" i="40"/>
  <c r="AP4" i="40"/>
  <c r="AO2" i="40"/>
  <c r="AO14" i="40"/>
  <c r="AO91" i="40"/>
  <c r="AO96" i="40"/>
  <c r="AO57" i="40"/>
  <c r="AO34" i="40"/>
  <c r="AO35" i="40"/>
  <c r="AM111" i="1"/>
  <c r="AM13" i="1"/>
  <c r="AL75" i="1"/>
  <c r="AQ4" i="1"/>
  <c r="AP100" i="1"/>
  <c r="AP95" i="1"/>
  <c r="AP2" i="1"/>
  <c r="AP64" i="1"/>
  <c r="AP31" i="1"/>
  <c r="AP10" i="1"/>
  <c r="AP30" i="1"/>
  <c r="AN70" i="1"/>
  <c r="AN94" i="1"/>
  <c r="AO48" i="1"/>
  <c r="AN79" i="1"/>
  <c r="AN39" i="1"/>
  <c r="AN16" i="1"/>
  <c r="AN62" i="1"/>
  <c r="AN98" i="1"/>
  <c r="AN67" i="1"/>
  <c r="AN22" i="1"/>
  <c r="AN113" i="1" s="1"/>
  <c r="AN18" i="1"/>
  <c r="AN112" i="1" s="1"/>
  <c r="AN72" i="1"/>
  <c r="AN28" i="1"/>
  <c r="AN84" i="1"/>
  <c r="AN49" i="1"/>
  <c r="AN9" i="1"/>
  <c r="AN87" i="1"/>
  <c r="AN59" i="1"/>
  <c r="AN96" i="1"/>
  <c r="AN68" i="1"/>
  <c r="AN65" i="1"/>
  <c r="AN66" i="1" s="1"/>
  <c r="AN7" i="1"/>
  <c r="AN102" i="1"/>
  <c r="AN120" i="1"/>
  <c r="AN104" i="1"/>
  <c r="AN123" i="1"/>
  <c r="AN76" i="1"/>
  <c r="AN125" i="1"/>
  <c r="AN58" i="1"/>
  <c r="AN12" i="1"/>
  <c r="AN109" i="1" s="1"/>
  <c r="AN34" i="1"/>
  <c r="AN11" i="1"/>
  <c r="AN110" i="1" s="1"/>
  <c r="AN40" i="1"/>
  <c r="AN101" i="1"/>
  <c r="AN46" i="1"/>
  <c r="AN55" i="1"/>
  <c r="AN38" i="1"/>
  <c r="AN119" i="1"/>
  <c r="AN35" i="1"/>
  <c r="AN20" i="1"/>
  <c r="AM47" i="1"/>
  <c r="AM121" i="1"/>
  <c r="AM126" i="1" s="1"/>
  <c r="AM127" i="1" s="1"/>
  <c r="AM131" i="1"/>
  <c r="AO1" i="1"/>
  <c r="AO17" i="1" s="1"/>
  <c r="AO153" i="1"/>
  <c r="AO97" i="1" s="1"/>
  <c r="AO93" i="1"/>
  <c r="AO154" i="1"/>
  <c r="AN53" i="15"/>
  <c r="AL52" i="15"/>
  <c r="D52" i="15" s="1"/>
  <c r="AH39" i="1"/>
  <c r="AH38" i="1"/>
  <c r="AH36" i="1"/>
  <c r="AF39" i="1"/>
  <c r="AF38" i="1"/>
  <c r="AF36" i="1"/>
  <c r="Z36" i="1"/>
  <c r="Z43" i="1" s="1"/>
  <c r="Z39" i="1"/>
  <c r="Z38" i="1"/>
  <c r="AI38" i="1"/>
  <c r="AI39" i="1"/>
  <c r="AI36" i="1"/>
  <c r="AG36" i="1"/>
  <c r="AG38" i="1"/>
  <c r="AG39" i="1"/>
  <c r="AD39" i="1"/>
  <c r="AD38" i="1"/>
  <c r="AD36" i="1"/>
  <c r="AA36" i="1"/>
  <c r="AA38" i="1"/>
  <c r="AA39" i="1"/>
  <c r="AC38" i="1"/>
  <c r="AC39" i="1"/>
  <c r="AC36" i="1"/>
  <c r="AE38" i="1"/>
  <c r="AE39" i="1"/>
  <c r="AE36" i="1"/>
  <c r="AB36" i="1"/>
  <c r="AB39" i="1"/>
  <c r="AB38" i="1"/>
  <c r="V38" i="1"/>
  <c r="V39" i="1"/>
  <c r="V36" i="1"/>
  <c r="H38" i="1"/>
  <c r="H39" i="1"/>
  <c r="H36" i="1"/>
  <c r="R38" i="1"/>
  <c r="R39" i="1"/>
  <c r="R36" i="1"/>
  <c r="F38" i="1"/>
  <c r="F36" i="1"/>
  <c r="F39" i="1"/>
  <c r="U36" i="1"/>
  <c r="U38" i="1"/>
  <c r="U39" i="1"/>
  <c r="Q39" i="1"/>
  <c r="Q36" i="1"/>
  <c r="Q38" i="1"/>
  <c r="J36" i="1"/>
  <c r="J39" i="1"/>
  <c r="J38" i="1"/>
  <c r="G36" i="1"/>
  <c r="G38" i="1"/>
  <c r="G39" i="1"/>
  <c r="Y39" i="1"/>
  <c r="Y36" i="1"/>
  <c r="Y38" i="1"/>
  <c r="T39" i="1"/>
  <c r="T38" i="1"/>
  <c r="T36" i="1"/>
  <c r="I38" i="1"/>
  <c r="I36" i="1"/>
  <c r="I39" i="1"/>
  <c r="M38" i="1"/>
  <c r="M39" i="1"/>
  <c r="M36" i="1"/>
  <c r="X38" i="1"/>
  <c r="X36" i="1"/>
  <c r="X39" i="1"/>
  <c r="S36" i="1"/>
  <c r="S38" i="1"/>
  <c r="S39" i="1"/>
  <c r="L39" i="1"/>
  <c r="L36" i="1"/>
  <c r="L38" i="1"/>
  <c r="P39" i="1"/>
  <c r="P38" i="1"/>
  <c r="P36" i="1"/>
  <c r="W36" i="1"/>
  <c r="W39" i="1"/>
  <c r="W38" i="1"/>
  <c r="N39" i="1"/>
  <c r="N36" i="1"/>
  <c r="N38" i="1"/>
  <c r="K36" i="1"/>
  <c r="K39" i="1"/>
  <c r="K38" i="1"/>
  <c r="O36" i="1"/>
  <c r="O38" i="1"/>
  <c r="O39" i="1"/>
  <c r="AK85" i="1" l="1"/>
  <c r="AK82" i="1" s="1"/>
  <c r="AL108" i="1"/>
  <c r="AK78" i="1"/>
  <c r="AK80" i="1" s="1"/>
  <c r="AK74" i="1" s="1"/>
  <c r="AM43" i="1"/>
  <c r="S71" i="15"/>
  <c r="R70" i="15"/>
  <c r="V71" i="15"/>
  <c r="W72" i="15"/>
  <c r="AH73" i="15"/>
  <c r="AG72" i="15"/>
  <c r="B54" i="15"/>
  <c r="A55" i="15"/>
  <c r="C54" i="15"/>
  <c r="AM39" i="40"/>
  <c r="AN47" i="1"/>
  <c r="AP32" i="1"/>
  <c r="AP45" i="1" s="1"/>
  <c r="AO36" i="40"/>
  <c r="AO37" i="40" s="1"/>
  <c r="AO89" i="40"/>
  <c r="AO139" i="40"/>
  <c r="AO93" i="40" s="1"/>
  <c r="AO1" i="40"/>
  <c r="AO21" i="40" s="1"/>
  <c r="AO140" i="40"/>
  <c r="AP35" i="40"/>
  <c r="AP14" i="40"/>
  <c r="AP34" i="40"/>
  <c r="AP96" i="40"/>
  <c r="AP57" i="40"/>
  <c r="AQ4" i="40"/>
  <c r="AP2" i="40"/>
  <c r="AP91" i="40"/>
  <c r="AM108" i="40"/>
  <c r="AM17" i="40"/>
  <c r="AM117" i="40"/>
  <c r="AO40" i="40"/>
  <c r="AN20" i="40"/>
  <c r="AN22" i="40"/>
  <c r="AN26" i="40"/>
  <c r="AN110" i="40" s="1"/>
  <c r="AN8" i="40"/>
  <c r="AN60" i="40"/>
  <c r="AN63" i="40"/>
  <c r="AN9" i="40"/>
  <c r="AN61" i="40"/>
  <c r="AN58" i="40"/>
  <c r="AN59" i="40" s="1"/>
  <c r="AN55" i="40"/>
  <c r="AN48" i="40"/>
  <c r="AN116" i="40"/>
  <c r="AN13" i="40"/>
  <c r="AN65" i="40"/>
  <c r="AN7" i="40"/>
  <c r="AN115" i="40"/>
  <c r="AN117" i="40" s="1"/>
  <c r="AN32" i="40"/>
  <c r="AN51" i="40"/>
  <c r="AN90" i="40"/>
  <c r="AN24" i="40"/>
  <c r="AN100" i="40"/>
  <c r="AN97" i="40"/>
  <c r="AN94" i="40"/>
  <c r="AN52" i="40"/>
  <c r="AN38" i="40"/>
  <c r="AN15" i="40"/>
  <c r="AN107" i="40" s="1"/>
  <c r="AN92" i="40"/>
  <c r="AN16" i="40"/>
  <c r="AN106" i="40" s="1"/>
  <c r="AN41" i="40"/>
  <c r="AN98" i="40"/>
  <c r="AM10" i="40"/>
  <c r="AM11" i="40" s="1"/>
  <c r="AN36" i="1"/>
  <c r="AN131" i="1"/>
  <c r="AN13" i="1"/>
  <c r="AN111" i="1"/>
  <c r="AP1" i="1"/>
  <c r="AP17" i="1" s="1"/>
  <c r="AP154" i="1"/>
  <c r="AP93" i="1"/>
  <c r="AP153" i="1"/>
  <c r="AP97" i="1" s="1"/>
  <c r="AL77" i="1"/>
  <c r="AL78" i="1"/>
  <c r="AL80" i="1" s="1"/>
  <c r="AL53" i="15"/>
  <c r="D53" i="15" s="1"/>
  <c r="AN54" i="15"/>
  <c r="AO79" i="1"/>
  <c r="AO39" i="1"/>
  <c r="AO102" i="1"/>
  <c r="AO76" i="1"/>
  <c r="AO94" i="1"/>
  <c r="AO9" i="1"/>
  <c r="AO70" i="1"/>
  <c r="AO65" i="1"/>
  <c r="AO66" i="1" s="1"/>
  <c r="AO7" i="1"/>
  <c r="AO22" i="1"/>
  <c r="AO113" i="1" s="1"/>
  <c r="AO123" i="1"/>
  <c r="AO12" i="1"/>
  <c r="AO109" i="1" s="1"/>
  <c r="AO84" i="1"/>
  <c r="AO28" i="1"/>
  <c r="AO40" i="1"/>
  <c r="AO120" i="1"/>
  <c r="AO72" i="1"/>
  <c r="AO46" i="1"/>
  <c r="AO58" i="1"/>
  <c r="AO34" i="1"/>
  <c r="AO18" i="1"/>
  <c r="AO112" i="1" s="1"/>
  <c r="AO11" i="1"/>
  <c r="AO110" i="1" s="1"/>
  <c r="AO38" i="1"/>
  <c r="AO125" i="1"/>
  <c r="AO67" i="1"/>
  <c r="AO16" i="1"/>
  <c r="AO59" i="1"/>
  <c r="AO49" i="1"/>
  <c r="AO119" i="1"/>
  <c r="AO62" i="1"/>
  <c r="AO104" i="1"/>
  <c r="AO87" i="1"/>
  <c r="AP48" i="1"/>
  <c r="AO68" i="1"/>
  <c r="AO96" i="1"/>
  <c r="AO98" i="1"/>
  <c r="AO20" i="1"/>
  <c r="AO101" i="1"/>
  <c r="AO55" i="1"/>
  <c r="AO35" i="1"/>
  <c r="AM75" i="1"/>
  <c r="AM77" i="1" s="1"/>
  <c r="AM83" i="1"/>
  <c r="AM85" i="1" s="1"/>
  <c r="AM108" i="1"/>
  <c r="AQ95" i="1"/>
  <c r="AQ30" i="1"/>
  <c r="AR4" i="1"/>
  <c r="AQ31" i="1"/>
  <c r="AQ2" i="1"/>
  <c r="AQ64" i="1"/>
  <c r="AQ100" i="1"/>
  <c r="AQ10" i="1"/>
  <c r="AL85" i="1"/>
  <c r="AL86" i="1"/>
  <c r="AL88" i="1" s="1"/>
  <c r="AN121" i="1"/>
  <c r="AN126" i="1" s="1"/>
  <c r="AN127" i="1" s="1"/>
  <c r="Z42" i="1"/>
  <c r="Z108" i="1" s="1"/>
  <c r="AG43" i="1"/>
  <c r="AG42" i="1"/>
  <c r="AD42" i="1"/>
  <c r="AD43" i="1"/>
  <c r="AF42" i="1"/>
  <c r="AF43" i="1"/>
  <c r="AE43" i="1"/>
  <c r="AE42" i="1"/>
  <c r="AA43" i="1"/>
  <c r="AA42" i="1"/>
  <c r="AH42" i="1"/>
  <c r="AH43" i="1"/>
  <c r="AB43" i="1"/>
  <c r="AB42" i="1"/>
  <c r="AC42" i="1"/>
  <c r="AC43" i="1"/>
  <c r="AI43" i="1"/>
  <c r="AI42" i="1"/>
  <c r="N42" i="1"/>
  <c r="N43" i="1"/>
  <c r="W42" i="1"/>
  <c r="W43" i="1"/>
  <c r="Q43" i="1"/>
  <c r="Q42" i="1"/>
  <c r="U43" i="1"/>
  <c r="U42" i="1"/>
  <c r="R42" i="1"/>
  <c r="R43" i="1"/>
  <c r="O42" i="1"/>
  <c r="O43" i="1"/>
  <c r="X42" i="1"/>
  <c r="X43" i="1"/>
  <c r="T43" i="1"/>
  <c r="T42" i="1"/>
  <c r="Y42" i="1"/>
  <c r="Y43" i="1"/>
  <c r="G42" i="1"/>
  <c r="G43" i="1"/>
  <c r="H43" i="1"/>
  <c r="H42" i="1"/>
  <c r="K42" i="1"/>
  <c r="K43" i="1"/>
  <c r="J42" i="1"/>
  <c r="J43" i="1"/>
  <c r="F43" i="1"/>
  <c r="F42" i="1"/>
  <c r="V42" i="1"/>
  <c r="V43" i="1"/>
  <c r="P43" i="1"/>
  <c r="P42" i="1"/>
  <c r="L43" i="1"/>
  <c r="L42" i="1"/>
  <c r="S43" i="1"/>
  <c r="S42" i="1"/>
  <c r="M42" i="1"/>
  <c r="M43" i="1"/>
  <c r="I43" i="1"/>
  <c r="I42" i="1"/>
  <c r="Z83" i="1" l="1"/>
  <c r="Z85" i="1" s="1"/>
  <c r="Z75" i="1"/>
  <c r="Z77" i="1" s="1"/>
  <c r="AL74" i="1"/>
  <c r="C55" i="15"/>
  <c r="F19" i="40" s="1" a="1"/>
  <c r="B55" i="15"/>
  <c r="A56" i="15"/>
  <c r="V72" i="15"/>
  <c r="W73" i="15"/>
  <c r="AG73" i="15"/>
  <c r="AH74" i="15"/>
  <c r="R71" i="15"/>
  <c r="S72" i="15"/>
  <c r="AL82" i="1"/>
  <c r="AO131" i="1"/>
  <c r="AQ32" i="1"/>
  <c r="AQ45" i="1" s="1"/>
  <c r="AM78" i="1"/>
  <c r="AM80" i="1" s="1"/>
  <c r="AM74" i="1" s="1"/>
  <c r="AN39" i="40"/>
  <c r="AQ91" i="40"/>
  <c r="AQ14" i="40"/>
  <c r="AQ2" i="40"/>
  <c r="AQ34" i="40"/>
  <c r="AQ35" i="40"/>
  <c r="AQ96" i="40"/>
  <c r="AR4" i="40"/>
  <c r="AQ57" i="40"/>
  <c r="AN108" i="40"/>
  <c r="AN17" i="40"/>
  <c r="AP140" i="40"/>
  <c r="AP89" i="40"/>
  <c r="AP139" i="40"/>
  <c r="AP93" i="40" s="1"/>
  <c r="AP1" i="40"/>
  <c r="AP21" i="40" s="1"/>
  <c r="AO100" i="40"/>
  <c r="AO26" i="40"/>
  <c r="AO110" i="40" s="1"/>
  <c r="AO24" i="40"/>
  <c r="AO52" i="40"/>
  <c r="AP40" i="40"/>
  <c r="AO92" i="40"/>
  <c r="AO90" i="40"/>
  <c r="AO32" i="40"/>
  <c r="AO61" i="40"/>
  <c r="AO38" i="40"/>
  <c r="AO58" i="40"/>
  <c r="AO59" i="40" s="1"/>
  <c r="AO60" i="40"/>
  <c r="AO63" i="40"/>
  <c r="AO41" i="40"/>
  <c r="AO65" i="40"/>
  <c r="AO55" i="40"/>
  <c r="AO98" i="40"/>
  <c r="AO116" i="40"/>
  <c r="AO13" i="40"/>
  <c r="AO9" i="40"/>
  <c r="AO16" i="40"/>
  <c r="AO106" i="40" s="1"/>
  <c r="AO97" i="40"/>
  <c r="AO48" i="40"/>
  <c r="AO7" i="40"/>
  <c r="AO94" i="40"/>
  <c r="AO115" i="40"/>
  <c r="AO117" i="40" s="1"/>
  <c r="AO51" i="40"/>
  <c r="AO22" i="40"/>
  <c r="AO20" i="40"/>
  <c r="AO15" i="40"/>
  <c r="AO107" i="40" s="1"/>
  <c r="AO8" i="40"/>
  <c r="AP36" i="40"/>
  <c r="AP37" i="40" s="1"/>
  <c r="AN10" i="40"/>
  <c r="AN11" i="40" s="1"/>
  <c r="AQ154" i="1"/>
  <c r="AQ1" i="1"/>
  <c r="AQ17" i="1" s="1"/>
  <c r="AQ93" i="1"/>
  <c r="AQ153" i="1"/>
  <c r="AQ97" i="1" s="1"/>
  <c r="AO13" i="1"/>
  <c r="AO111" i="1"/>
  <c r="AO47" i="1"/>
  <c r="AP70" i="1"/>
  <c r="AP59" i="1"/>
  <c r="AP39" i="1"/>
  <c r="AP7" i="1"/>
  <c r="AP87" i="1"/>
  <c r="AP38" i="1"/>
  <c r="AP94" i="1"/>
  <c r="AP79" i="1"/>
  <c r="AP12" i="1"/>
  <c r="AP109" i="1" s="1"/>
  <c r="AP20" i="1"/>
  <c r="AP35" i="1"/>
  <c r="AP65" i="1"/>
  <c r="AP66" i="1" s="1"/>
  <c r="AP49" i="1"/>
  <c r="AP55" i="1"/>
  <c r="AP76" i="1"/>
  <c r="AP16" i="1"/>
  <c r="AP102" i="1"/>
  <c r="AP84" i="1"/>
  <c r="AP22" i="1"/>
  <c r="AP113" i="1" s="1"/>
  <c r="AP68" i="1"/>
  <c r="AP98" i="1"/>
  <c r="AP67" i="1"/>
  <c r="AP28" i="1"/>
  <c r="AP62" i="1"/>
  <c r="AP120" i="1"/>
  <c r="AP18" i="1"/>
  <c r="AP112" i="1" s="1"/>
  <c r="AP125" i="1"/>
  <c r="AQ48" i="1"/>
  <c r="AP40" i="1"/>
  <c r="AP34" i="1"/>
  <c r="AP11" i="1"/>
  <c r="AP110" i="1" s="1"/>
  <c r="AP9" i="1"/>
  <c r="AP101" i="1"/>
  <c r="AP72" i="1"/>
  <c r="AP46" i="1"/>
  <c r="AP119" i="1"/>
  <c r="AP104" i="1"/>
  <c r="AP123" i="1"/>
  <c r="AP96" i="1"/>
  <c r="AP58" i="1"/>
  <c r="AS4" i="1"/>
  <c r="AR100" i="1"/>
  <c r="AR10" i="1"/>
  <c r="AR2" i="1"/>
  <c r="AR31" i="1"/>
  <c r="AR64" i="1"/>
  <c r="AR95" i="1"/>
  <c r="AR30" i="1"/>
  <c r="AN55" i="15"/>
  <c r="AL54" i="15"/>
  <c r="D54" i="15" s="1"/>
  <c r="AN42" i="1"/>
  <c r="AN43" i="1"/>
  <c r="AO36" i="1"/>
  <c r="AM86" i="1"/>
  <c r="AM88" i="1" s="1"/>
  <c r="AM82" i="1" s="1"/>
  <c r="AO121" i="1"/>
  <c r="AO126" i="1" s="1"/>
  <c r="AO127" i="1" s="1"/>
  <c r="AF83" i="1"/>
  <c r="AF85" i="1" s="1"/>
  <c r="AF108" i="1"/>
  <c r="AF75" i="1"/>
  <c r="AF77" i="1" s="1"/>
  <c r="AI108" i="1"/>
  <c r="AI83" i="1"/>
  <c r="AI85" i="1" s="1"/>
  <c r="AI75" i="1"/>
  <c r="AI77" i="1" s="1"/>
  <c r="AB83" i="1"/>
  <c r="AB85" i="1" s="1"/>
  <c r="AB108" i="1"/>
  <c r="AB75" i="1"/>
  <c r="AB77" i="1" s="1"/>
  <c r="AA83" i="1"/>
  <c r="AA85" i="1" s="1"/>
  <c r="AA75" i="1"/>
  <c r="AA77" i="1" s="1"/>
  <c r="AA108" i="1"/>
  <c r="AG83" i="1"/>
  <c r="AG85" i="1" s="1"/>
  <c r="AG108" i="1"/>
  <c r="AG75" i="1"/>
  <c r="AG77" i="1" s="1"/>
  <c r="AC75" i="1"/>
  <c r="AC77" i="1" s="1"/>
  <c r="AC108" i="1"/>
  <c r="AC83" i="1"/>
  <c r="AC85" i="1" s="1"/>
  <c r="AH108" i="1"/>
  <c r="AH75" i="1"/>
  <c r="AH77" i="1" s="1"/>
  <c r="AH83" i="1"/>
  <c r="AH85" i="1" s="1"/>
  <c r="AD108" i="1"/>
  <c r="AD83" i="1"/>
  <c r="AD85" i="1" s="1"/>
  <c r="AD75" i="1"/>
  <c r="AD77" i="1" s="1"/>
  <c r="AE108" i="1"/>
  <c r="AE75" i="1"/>
  <c r="AE77" i="1" s="1"/>
  <c r="AE83" i="1"/>
  <c r="AE85" i="1" s="1"/>
  <c r="I83" i="1"/>
  <c r="I85" i="1" s="1"/>
  <c r="I108" i="1"/>
  <c r="I75" i="1"/>
  <c r="I77" i="1" s="1"/>
  <c r="S108" i="1"/>
  <c r="S83" i="1"/>
  <c r="S85" i="1" s="1"/>
  <c r="S75" i="1"/>
  <c r="S77" i="1" s="1"/>
  <c r="P83" i="1"/>
  <c r="P85" i="1" s="1"/>
  <c r="P108" i="1"/>
  <c r="P75" i="1"/>
  <c r="P77" i="1" s="1"/>
  <c r="F83" i="1"/>
  <c r="F108" i="1"/>
  <c r="F75" i="1"/>
  <c r="J75" i="1"/>
  <c r="J77" i="1" s="1"/>
  <c r="J108" i="1"/>
  <c r="J83" i="1"/>
  <c r="J85" i="1" s="1"/>
  <c r="Y108" i="1"/>
  <c r="Y83" i="1"/>
  <c r="Y85" i="1" s="1"/>
  <c r="Y75" i="1"/>
  <c r="Y77" i="1" s="1"/>
  <c r="X108" i="1"/>
  <c r="X75" i="1"/>
  <c r="X77" i="1" s="1"/>
  <c r="X83" i="1"/>
  <c r="X85" i="1" s="1"/>
  <c r="R75" i="1"/>
  <c r="R77" i="1" s="1"/>
  <c r="R108" i="1"/>
  <c r="R83" i="1"/>
  <c r="R85" i="1" s="1"/>
  <c r="N108" i="1"/>
  <c r="N83" i="1"/>
  <c r="N85" i="1" s="1"/>
  <c r="N75" i="1"/>
  <c r="N77" i="1" s="1"/>
  <c r="M108" i="1"/>
  <c r="M75" i="1"/>
  <c r="M77" i="1" s="1"/>
  <c r="M83" i="1"/>
  <c r="M85" i="1" s="1"/>
  <c r="V75" i="1"/>
  <c r="V77" i="1" s="1"/>
  <c r="V83" i="1"/>
  <c r="V85" i="1" s="1"/>
  <c r="V108" i="1"/>
  <c r="H83" i="1"/>
  <c r="H85" i="1" s="1"/>
  <c r="H108" i="1"/>
  <c r="H75" i="1"/>
  <c r="H77" i="1" s="1"/>
  <c r="Q75" i="1"/>
  <c r="Q77" i="1" s="1"/>
  <c r="Q83" i="1"/>
  <c r="Q85" i="1" s="1"/>
  <c r="Q108" i="1"/>
  <c r="L75" i="1"/>
  <c r="L77" i="1" s="1"/>
  <c r="L108" i="1"/>
  <c r="L83" i="1"/>
  <c r="L85" i="1" s="1"/>
  <c r="K75" i="1"/>
  <c r="K77" i="1" s="1"/>
  <c r="K83" i="1"/>
  <c r="K85" i="1" s="1"/>
  <c r="K108" i="1"/>
  <c r="G108" i="1"/>
  <c r="G75" i="1"/>
  <c r="G77" i="1" s="1"/>
  <c r="G83" i="1"/>
  <c r="G85" i="1" s="1"/>
  <c r="O108" i="1"/>
  <c r="O83" i="1"/>
  <c r="O85" i="1" s="1"/>
  <c r="O75" i="1"/>
  <c r="O77" i="1" s="1"/>
  <c r="W75" i="1"/>
  <c r="W77" i="1" s="1"/>
  <c r="W83" i="1"/>
  <c r="W85" i="1" s="1"/>
  <c r="W108" i="1"/>
  <c r="T75" i="1"/>
  <c r="T77" i="1" s="1"/>
  <c r="T108" i="1"/>
  <c r="T83" i="1"/>
  <c r="T85" i="1" s="1"/>
  <c r="U75" i="1"/>
  <c r="U77" i="1" s="1"/>
  <c r="U108" i="1"/>
  <c r="U83" i="1"/>
  <c r="U85" i="1" s="1"/>
  <c r="Z86" i="1" l="1"/>
  <c r="Z88" i="1" s="1"/>
  <c r="Z82" i="1" s="1"/>
  <c r="F15" i="1" a="1"/>
  <c r="S15" i="1" s="1"/>
  <c r="Z78" i="1"/>
  <c r="Z80" i="1" s="1"/>
  <c r="Z74" i="1" s="1"/>
  <c r="AI86" i="1"/>
  <c r="AI88" i="1" s="1"/>
  <c r="AI82" i="1" s="1"/>
  <c r="AP131" i="1"/>
  <c r="AH75" i="15"/>
  <c r="AG74" i="15"/>
  <c r="C56" i="15"/>
  <c r="B56" i="15"/>
  <c r="A57" i="15"/>
  <c r="R72" i="15"/>
  <c r="S73" i="15"/>
  <c r="W74" i="15"/>
  <c r="V73" i="15"/>
  <c r="AP36" i="1"/>
  <c r="AP42" i="1" s="1"/>
  <c r="AP121" i="1"/>
  <c r="AP126" i="1" s="1"/>
  <c r="AP127" i="1" s="1"/>
  <c r="AO10" i="40"/>
  <c r="AO11" i="40" s="1"/>
  <c r="AP55" i="40"/>
  <c r="AP60" i="40"/>
  <c r="AP16" i="40"/>
  <c r="AP106" i="40" s="1"/>
  <c r="AP7" i="40"/>
  <c r="AP116" i="40"/>
  <c r="AP65" i="40"/>
  <c r="AP32" i="40"/>
  <c r="AP100" i="40"/>
  <c r="AP61" i="40"/>
  <c r="AP24" i="40"/>
  <c r="AP8" i="40"/>
  <c r="AP9" i="40"/>
  <c r="AP63" i="40"/>
  <c r="AP48" i="40"/>
  <c r="AQ40" i="40"/>
  <c r="AP90" i="40"/>
  <c r="AP94" i="40"/>
  <c r="AP26" i="40"/>
  <c r="AP110" i="40" s="1"/>
  <c r="AP15" i="40"/>
  <c r="AP107" i="40" s="1"/>
  <c r="AP92" i="40"/>
  <c r="AP38" i="40"/>
  <c r="AP41" i="40"/>
  <c r="AP98" i="40"/>
  <c r="AP58" i="40"/>
  <c r="AP59" i="40" s="1"/>
  <c r="AP97" i="40"/>
  <c r="AP115" i="40"/>
  <c r="AP51" i="40"/>
  <c r="AP22" i="40"/>
  <c r="AP20" i="40"/>
  <c r="AP52" i="40"/>
  <c r="AP13" i="40"/>
  <c r="AS4" i="40"/>
  <c r="AR35" i="40"/>
  <c r="AR14" i="40"/>
  <c r="AR91" i="40"/>
  <c r="AR57" i="40"/>
  <c r="AR96" i="40"/>
  <c r="AR2" i="40"/>
  <c r="AR34" i="40"/>
  <c r="AQ1" i="40"/>
  <c r="AQ21" i="40" s="1"/>
  <c r="AQ89" i="40"/>
  <c r="AQ140" i="40"/>
  <c r="AQ139" i="40"/>
  <c r="AQ93" i="40" s="1"/>
  <c r="AO17" i="40"/>
  <c r="AO108" i="40"/>
  <c r="AO39" i="40"/>
  <c r="AQ36" i="40"/>
  <c r="AQ37" i="40" s="1"/>
  <c r="AP47" i="1"/>
  <c r="AO43" i="1"/>
  <c r="AO42" i="1"/>
  <c r="AP13" i="1"/>
  <c r="AP111" i="1"/>
  <c r="AQ76" i="1"/>
  <c r="AQ102" i="1"/>
  <c r="AQ125" i="1"/>
  <c r="AQ120" i="1"/>
  <c r="AQ119" i="1"/>
  <c r="AQ123" i="1"/>
  <c r="AQ12" i="1"/>
  <c r="AQ109" i="1" s="1"/>
  <c r="AQ68" i="1"/>
  <c r="AQ59" i="1"/>
  <c r="AQ67" i="1"/>
  <c r="AQ94" i="1"/>
  <c r="AQ40" i="1"/>
  <c r="AQ101" i="1"/>
  <c r="AQ49" i="1"/>
  <c r="AQ62" i="1"/>
  <c r="AQ39" i="1"/>
  <c r="AQ9" i="1"/>
  <c r="AQ96" i="1"/>
  <c r="AQ98" i="1"/>
  <c r="AQ22" i="1"/>
  <c r="AQ113" i="1" s="1"/>
  <c r="AQ16" i="1"/>
  <c r="AQ55" i="1"/>
  <c r="AQ38" i="1"/>
  <c r="AQ104" i="1"/>
  <c r="AQ79" i="1"/>
  <c r="AQ28" i="1"/>
  <c r="AQ70" i="1"/>
  <c r="AQ65" i="1"/>
  <c r="AQ66" i="1" s="1"/>
  <c r="AQ34" i="1"/>
  <c r="AQ20" i="1"/>
  <c r="AQ87" i="1"/>
  <c r="AR48" i="1"/>
  <c r="AQ72" i="1"/>
  <c r="AQ84" i="1"/>
  <c r="AQ46" i="1"/>
  <c r="AQ18" i="1"/>
  <c r="AQ112" i="1" s="1"/>
  <c r="AQ11" i="1"/>
  <c r="AQ110" i="1" s="1"/>
  <c r="AQ58" i="1"/>
  <c r="AQ35" i="1"/>
  <c r="AQ7" i="1"/>
  <c r="AR32" i="1"/>
  <c r="AR93" i="1"/>
  <c r="AR154" i="1"/>
  <c r="AR153" i="1"/>
  <c r="AR97" i="1" s="1"/>
  <c r="AR1" i="1"/>
  <c r="AR17" i="1" s="1"/>
  <c r="AN75" i="1"/>
  <c r="AN77" i="1" s="1"/>
  <c r="AN83" i="1"/>
  <c r="AN85" i="1" s="1"/>
  <c r="AN108" i="1"/>
  <c r="AN56" i="15"/>
  <c r="AL55" i="15"/>
  <c r="D55" i="15" s="1"/>
  <c r="AS64" i="1"/>
  <c r="AS30" i="1"/>
  <c r="AS10" i="1"/>
  <c r="AS100" i="1"/>
  <c r="E100" i="1" s="1"/>
  <c r="D100" i="1" s="1"/>
  <c r="AS2" i="1"/>
  <c r="AS95" i="1"/>
  <c r="E95" i="1" s="1"/>
  <c r="AS31" i="1"/>
  <c r="E31" i="1" s="1"/>
  <c r="D31" i="1" s="1"/>
  <c r="D183" i="1" s="1"/>
  <c r="AP43" i="1"/>
  <c r="J78" i="1"/>
  <c r="J80" i="1" s="1"/>
  <c r="J74" i="1" s="1"/>
  <c r="R78" i="1"/>
  <c r="R80" i="1" s="1"/>
  <c r="R74" i="1" s="1"/>
  <c r="I86" i="1"/>
  <c r="I88" i="1" s="1"/>
  <c r="I82" i="1" s="1"/>
  <c r="AA86" i="1"/>
  <c r="AA88" i="1" s="1"/>
  <c r="AA82" i="1" s="1"/>
  <c r="AB86" i="1"/>
  <c r="AB88" i="1" s="1"/>
  <c r="AB82" i="1" s="1"/>
  <c r="AF86" i="1"/>
  <c r="AF88" i="1" s="1"/>
  <c r="AF82" i="1" s="1"/>
  <c r="AE86" i="1"/>
  <c r="AE88" i="1" s="1"/>
  <c r="AE82" i="1" s="1"/>
  <c r="L78" i="1"/>
  <c r="L80" i="1" s="1"/>
  <c r="L74" i="1" s="1"/>
  <c r="P86" i="1"/>
  <c r="P88" i="1" s="1"/>
  <c r="P82" i="1" s="1"/>
  <c r="AH78" i="1"/>
  <c r="AH80" i="1" s="1"/>
  <c r="AH74" i="1" s="1"/>
  <c r="AC78" i="1"/>
  <c r="AC80" i="1" s="1"/>
  <c r="AC74" i="1" s="1"/>
  <c r="AG78" i="1"/>
  <c r="AG80" i="1" s="1"/>
  <c r="AG74" i="1" s="1"/>
  <c r="AI78" i="1"/>
  <c r="AI80" i="1" s="1"/>
  <c r="AI74" i="1" s="1"/>
  <c r="G78" i="1"/>
  <c r="G80" i="1" s="1"/>
  <c r="G74" i="1" s="1"/>
  <c r="K86" i="1"/>
  <c r="K88" i="1" s="1"/>
  <c r="K82" i="1" s="1"/>
  <c r="N86" i="1"/>
  <c r="N88" i="1" s="1"/>
  <c r="N82" i="1" s="1"/>
  <c r="AB76" i="1"/>
  <c r="AF76" i="1"/>
  <c r="AC76" i="1"/>
  <c r="AA76" i="1"/>
  <c r="AE76" i="1"/>
  <c r="Z76" i="1"/>
  <c r="AD76" i="1"/>
  <c r="AG76" i="1"/>
  <c r="AH76" i="1"/>
  <c r="AI76" i="1"/>
  <c r="T86" i="1"/>
  <c r="T88" i="1" s="1"/>
  <c r="T82" i="1" s="1"/>
  <c r="G86" i="1"/>
  <c r="G88" i="1" s="1"/>
  <c r="G82" i="1" s="1"/>
  <c r="AB78" i="1"/>
  <c r="AB80" i="1" s="1"/>
  <c r="AB74" i="1" s="1"/>
  <c r="AA84" i="1"/>
  <c r="AE84" i="1"/>
  <c r="AF84" i="1"/>
  <c r="Z84" i="1"/>
  <c r="AD84" i="1"/>
  <c r="AC84" i="1"/>
  <c r="AG84" i="1"/>
  <c r="AB84" i="1"/>
  <c r="AI84" i="1"/>
  <c r="AH84" i="1"/>
  <c r="L86" i="1"/>
  <c r="L88" i="1" s="1"/>
  <c r="L82" i="1" s="1"/>
  <c r="AD86" i="1"/>
  <c r="AD88" i="1" s="1"/>
  <c r="AD82" i="1" s="1"/>
  <c r="AH86" i="1"/>
  <c r="AH88" i="1" s="1"/>
  <c r="AH82" i="1" s="1"/>
  <c r="AC86" i="1"/>
  <c r="AC88" i="1" s="1"/>
  <c r="AC82" i="1" s="1"/>
  <c r="AA78" i="1"/>
  <c r="AA80" i="1" s="1"/>
  <c r="AA74" i="1" s="1"/>
  <c r="R86" i="1"/>
  <c r="R88" i="1" s="1"/>
  <c r="R82" i="1" s="1"/>
  <c r="X78" i="1"/>
  <c r="X80" i="1" s="1"/>
  <c r="X74" i="1" s="1"/>
  <c r="AE78" i="1"/>
  <c r="AE80" i="1" s="1"/>
  <c r="AE74" i="1" s="1"/>
  <c r="AD78" i="1"/>
  <c r="AD80" i="1" s="1"/>
  <c r="AD74" i="1" s="1"/>
  <c r="AG86" i="1"/>
  <c r="AG88" i="1" s="1"/>
  <c r="AG82" i="1" s="1"/>
  <c r="AF78" i="1"/>
  <c r="AF80" i="1" s="1"/>
  <c r="AF74" i="1" s="1"/>
  <c r="W78" i="1"/>
  <c r="W80" i="1" s="1"/>
  <c r="W74" i="1" s="1"/>
  <c r="O86" i="1"/>
  <c r="O88" i="1" s="1"/>
  <c r="O82" i="1" s="1"/>
  <c r="S86" i="1"/>
  <c r="S88" i="1" s="1"/>
  <c r="S82" i="1" s="1"/>
  <c r="U78" i="1"/>
  <c r="U80" i="1" s="1"/>
  <c r="U74" i="1" s="1"/>
  <c r="T78" i="1"/>
  <c r="T80" i="1" s="1"/>
  <c r="T74" i="1" s="1"/>
  <c r="Q78" i="1"/>
  <c r="Q80" i="1" s="1"/>
  <c r="Q74" i="1" s="1"/>
  <c r="O78" i="1"/>
  <c r="O80" i="1" s="1"/>
  <c r="O74" i="1" s="1"/>
  <c r="V78" i="1"/>
  <c r="V80" i="1" s="1"/>
  <c r="V74" i="1" s="1"/>
  <c r="F78" i="1"/>
  <c r="F76" i="1"/>
  <c r="J76" i="1"/>
  <c r="U76" i="1"/>
  <c r="W76" i="1"/>
  <c r="K76" i="1"/>
  <c r="N76" i="1"/>
  <c r="F77" i="1"/>
  <c r="L76" i="1"/>
  <c r="T76" i="1"/>
  <c r="V76" i="1"/>
  <c r="O76" i="1"/>
  <c r="Y76" i="1"/>
  <c r="Q76" i="1"/>
  <c r="I76" i="1"/>
  <c r="H76" i="1"/>
  <c r="R76" i="1"/>
  <c r="X76" i="1"/>
  <c r="G76" i="1"/>
  <c r="P76" i="1"/>
  <c r="M76" i="1"/>
  <c r="S76" i="1"/>
  <c r="H78" i="1"/>
  <c r="H80" i="1" s="1"/>
  <c r="H74" i="1" s="1"/>
  <c r="N78" i="1"/>
  <c r="N80" i="1" s="1"/>
  <c r="N74" i="1" s="1"/>
  <c r="J86" i="1"/>
  <c r="J88" i="1" s="1"/>
  <c r="J82" i="1" s="1"/>
  <c r="S78" i="1"/>
  <c r="S80" i="1" s="1"/>
  <c r="S74" i="1" s="1"/>
  <c r="W86" i="1"/>
  <c r="W88" i="1" s="1"/>
  <c r="W82" i="1" s="1"/>
  <c r="H86" i="1"/>
  <c r="H88" i="1" s="1"/>
  <c r="H82" i="1" s="1"/>
  <c r="M78" i="1"/>
  <c r="M80" i="1" s="1"/>
  <c r="M74" i="1" s="1"/>
  <c r="Y78" i="1"/>
  <c r="Y80" i="1" s="1"/>
  <c r="Y74" i="1" s="1"/>
  <c r="P78" i="1"/>
  <c r="P80" i="1" s="1"/>
  <c r="P74" i="1" s="1"/>
  <c r="F86" i="1"/>
  <c r="F84" i="1"/>
  <c r="Q84" i="1"/>
  <c r="I84" i="1"/>
  <c r="V84" i="1"/>
  <c r="M84" i="1"/>
  <c r="Y84" i="1"/>
  <c r="N84" i="1"/>
  <c r="O84" i="1"/>
  <c r="L84" i="1"/>
  <c r="W84" i="1"/>
  <c r="J84" i="1"/>
  <c r="S84" i="1"/>
  <c r="X84" i="1"/>
  <c r="R84" i="1"/>
  <c r="K84" i="1"/>
  <c r="U84" i="1"/>
  <c r="H84" i="1"/>
  <c r="P84" i="1"/>
  <c r="G84" i="1"/>
  <c r="T84" i="1"/>
  <c r="F85" i="1"/>
  <c r="U86" i="1"/>
  <c r="U88" i="1" s="1"/>
  <c r="U82" i="1" s="1"/>
  <c r="K78" i="1"/>
  <c r="K80" i="1" s="1"/>
  <c r="K74" i="1" s="1"/>
  <c r="Q86" i="1"/>
  <c r="Q88" i="1" s="1"/>
  <c r="Q82" i="1" s="1"/>
  <c r="V86" i="1"/>
  <c r="V88" i="1" s="1"/>
  <c r="V82" i="1" s="1"/>
  <c r="M86" i="1"/>
  <c r="M88" i="1" s="1"/>
  <c r="M82" i="1" s="1"/>
  <c r="X86" i="1"/>
  <c r="X88" i="1" s="1"/>
  <c r="X82" i="1" s="1"/>
  <c r="Y86" i="1"/>
  <c r="Y88" i="1" s="1"/>
  <c r="Y82" i="1" s="1"/>
  <c r="I78" i="1"/>
  <c r="I80" i="1" s="1"/>
  <c r="I74" i="1" s="1"/>
  <c r="AN19" i="40"/>
  <c r="U19" i="40"/>
  <c r="T19" i="40"/>
  <c r="AI19" i="40"/>
  <c r="AP19" i="40"/>
  <c r="AH19" i="40"/>
  <c r="F19" i="40"/>
  <c r="L19" i="40"/>
  <c r="P19" i="40"/>
  <c r="AE19" i="40"/>
  <c r="AR19" i="40"/>
  <c r="R19" i="40"/>
  <c r="Z19" i="40"/>
  <c r="AC19" i="40"/>
  <c r="AM19" i="40"/>
  <c r="G19" i="40"/>
  <c r="W19" i="40"/>
  <c r="K19" i="40"/>
  <c r="AA19" i="40"/>
  <c r="M19" i="40"/>
  <c r="J19" i="40"/>
  <c r="Q19" i="40"/>
  <c r="AG19" i="40"/>
  <c r="AS19" i="40"/>
  <c r="AQ19" i="40"/>
  <c r="I19" i="40"/>
  <c r="AB19" i="40"/>
  <c r="O19" i="40"/>
  <c r="V19" i="40"/>
  <c r="AK19" i="40"/>
  <c r="AL19" i="40"/>
  <c r="AD19" i="40"/>
  <c r="AJ19" i="40"/>
  <c r="AF19" i="40"/>
  <c r="S19" i="40"/>
  <c r="H19" i="40"/>
  <c r="X19" i="40"/>
  <c r="N19" i="40"/>
  <c r="AO19" i="40"/>
  <c r="Y19" i="40"/>
  <c r="J15" i="1" l="1"/>
  <c r="J18" i="1" s="1"/>
  <c r="AP15" i="1"/>
  <c r="AJ15" i="1"/>
  <c r="X15" i="1"/>
  <c r="X16" i="1" s="1"/>
  <c r="AE15" i="1"/>
  <c r="AE16" i="1" s="1"/>
  <c r="AB15" i="1"/>
  <c r="AB18" i="1" s="1"/>
  <c r="R15" i="1"/>
  <c r="R16" i="1" s="1"/>
  <c r="AO15" i="1"/>
  <c r="W15" i="1"/>
  <c r="W18" i="1" s="1"/>
  <c r="P15" i="1"/>
  <c r="P16" i="1" s="1"/>
  <c r="AK15" i="1"/>
  <c r="I15" i="1"/>
  <c r="I18" i="1" s="1"/>
  <c r="AL15" i="1"/>
  <c r="G15" i="1"/>
  <c r="G18" i="1" s="1"/>
  <c r="AR15" i="1"/>
  <c r="M15" i="1"/>
  <c r="M16" i="1" s="1"/>
  <c r="V15" i="1"/>
  <c r="V16" i="1" s="1"/>
  <c r="U15" i="1"/>
  <c r="U18" i="1" s="1"/>
  <c r="O15" i="1"/>
  <c r="O18" i="1" s="1"/>
  <c r="AG15" i="1"/>
  <c r="AG16" i="1" s="1"/>
  <c r="Z15" i="1"/>
  <c r="Z18" i="1" s="1"/>
  <c r="H15" i="1"/>
  <c r="H16" i="1" s="1"/>
  <c r="Q15" i="1"/>
  <c r="Q18" i="1" s="1"/>
  <c r="L15" i="1"/>
  <c r="L16" i="1" s="1"/>
  <c r="K15" i="1"/>
  <c r="K16" i="1" s="1"/>
  <c r="T15" i="1"/>
  <c r="T16" i="1" s="1"/>
  <c r="AH15" i="1"/>
  <c r="AH18" i="1" s="1"/>
  <c r="AD15" i="1"/>
  <c r="AD18" i="1" s="1"/>
  <c r="Y15" i="1"/>
  <c r="Y18" i="1" s="1"/>
  <c r="AI15" i="1"/>
  <c r="AI18" i="1" s="1"/>
  <c r="N15" i="1"/>
  <c r="N18" i="1" s="1"/>
  <c r="AC15" i="1"/>
  <c r="AC16" i="1" s="1"/>
  <c r="AS15" i="1"/>
  <c r="AF15" i="1"/>
  <c r="AF16" i="1" s="1"/>
  <c r="AQ15" i="1"/>
  <c r="AA15" i="1"/>
  <c r="AA16" i="1" s="1"/>
  <c r="AN15" i="1"/>
  <c r="F15" i="1"/>
  <c r="F16" i="1" s="1"/>
  <c r="AM15" i="1"/>
  <c r="AQ47" i="1"/>
  <c r="W75" i="15"/>
  <c r="V74" i="15"/>
  <c r="S74" i="15"/>
  <c r="R73" i="15"/>
  <c r="C57" i="15"/>
  <c r="B57" i="15"/>
  <c r="F150" i="40" s="1" a="1"/>
  <c r="A58" i="15"/>
  <c r="AG75" i="15"/>
  <c r="AH76" i="15"/>
  <c r="AN78" i="1"/>
  <c r="AN80" i="1" s="1"/>
  <c r="AN74" i="1" s="1"/>
  <c r="AQ121" i="1"/>
  <c r="AQ126" i="1" s="1"/>
  <c r="AQ127" i="1" s="1"/>
  <c r="AN86" i="1"/>
  <c r="AN88" i="1" s="1"/>
  <c r="AN82" i="1" s="1"/>
  <c r="AP39" i="40"/>
  <c r="AS32" i="1"/>
  <c r="AS45" i="1" s="1"/>
  <c r="AQ131" i="1"/>
  <c r="AP10" i="40"/>
  <c r="AP11" i="40" s="1"/>
  <c r="AP117" i="40"/>
  <c r="AR36" i="40"/>
  <c r="AR37" i="40" s="1"/>
  <c r="AP17" i="40"/>
  <c r="AP108" i="40"/>
  <c r="AR139" i="40"/>
  <c r="AR93" i="40" s="1"/>
  <c r="AR89" i="40"/>
  <c r="AR1" i="40"/>
  <c r="AR21" i="40" s="1"/>
  <c r="AR140" i="40"/>
  <c r="AQ16" i="40"/>
  <c r="AQ106" i="40" s="1"/>
  <c r="AQ65" i="40"/>
  <c r="AQ90" i="40"/>
  <c r="AQ41" i="40"/>
  <c r="AQ98" i="40"/>
  <c r="AQ55" i="40"/>
  <c r="AQ48" i="40"/>
  <c r="AQ51" i="40"/>
  <c r="AQ94" i="40"/>
  <c r="AQ52" i="40"/>
  <c r="AQ116" i="40"/>
  <c r="AQ13" i="40"/>
  <c r="AQ15" i="40"/>
  <c r="AQ107" i="40" s="1"/>
  <c r="AQ32" i="40"/>
  <c r="AR40" i="40"/>
  <c r="AQ61" i="40"/>
  <c r="AQ38" i="40"/>
  <c r="AQ100" i="40"/>
  <c r="AQ24" i="40"/>
  <c r="AQ97" i="40"/>
  <c r="AQ60" i="40"/>
  <c r="AQ115" i="40"/>
  <c r="AQ7" i="40"/>
  <c r="AQ92" i="40"/>
  <c r="AQ26" i="40"/>
  <c r="AQ110" i="40" s="1"/>
  <c r="AQ63" i="40"/>
  <c r="AQ9" i="40"/>
  <c r="AQ22" i="40"/>
  <c r="AQ20" i="40"/>
  <c r="AQ58" i="40"/>
  <c r="AQ59" i="40" s="1"/>
  <c r="AQ8" i="40"/>
  <c r="AS57" i="40"/>
  <c r="AS91" i="40"/>
  <c r="E91" i="40" s="1"/>
  <c r="AS14" i="40"/>
  <c r="AS2" i="40"/>
  <c r="AS34" i="40"/>
  <c r="AS96" i="40"/>
  <c r="E96" i="40" s="1"/>
  <c r="D96" i="40" s="1"/>
  <c r="AS35" i="40"/>
  <c r="E35" i="40" s="1"/>
  <c r="D35" i="40" s="1"/>
  <c r="D178" i="40" s="1"/>
  <c r="E178" i="40" s="1"/>
  <c r="F19" i="1" a="1"/>
  <c r="F23" i="40" a="1"/>
  <c r="AR45" i="1"/>
  <c r="E32" i="1"/>
  <c r="D32" i="1" s="1"/>
  <c r="AO75" i="1"/>
  <c r="AO77" i="1" s="1"/>
  <c r="AO108" i="1"/>
  <c r="AO83" i="1"/>
  <c r="AO85" i="1" s="1"/>
  <c r="AP83" i="1"/>
  <c r="AP85" i="1" s="1"/>
  <c r="AP75" i="1"/>
  <c r="AP77" i="1" s="1"/>
  <c r="AP108" i="1"/>
  <c r="AS154" i="1"/>
  <c r="AS93" i="1"/>
  <c r="E93" i="1" s="1"/>
  <c r="AS153" i="1"/>
  <c r="AS97" i="1" s="1"/>
  <c r="E97" i="1" s="1"/>
  <c r="AS1" i="1"/>
  <c r="AS17" i="1" s="1"/>
  <c r="E17" i="1" s="1"/>
  <c r="D17" i="1" s="1"/>
  <c r="AR28" i="1"/>
  <c r="AR46" i="1"/>
  <c r="AR84" i="1"/>
  <c r="AR104" i="1"/>
  <c r="AR102" i="1"/>
  <c r="AR87" i="1"/>
  <c r="AR59" i="1"/>
  <c r="AR67" i="1"/>
  <c r="AR35" i="1"/>
  <c r="AR7" i="1"/>
  <c r="AR119" i="1"/>
  <c r="AR38" i="1"/>
  <c r="AR123" i="1"/>
  <c r="AR40" i="1"/>
  <c r="AR76" i="1"/>
  <c r="AR9" i="1"/>
  <c r="AR96" i="1"/>
  <c r="AR98" i="1"/>
  <c r="AR22" i="1"/>
  <c r="AR70" i="1"/>
  <c r="AR101" i="1"/>
  <c r="AS48" i="1"/>
  <c r="AR55" i="1"/>
  <c r="AR49" i="1"/>
  <c r="AR120" i="1"/>
  <c r="AR125" i="1"/>
  <c r="AR65" i="1"/>
  <c r="AR66" i="1" s="1"/>
  <c r="AR18" i="1"/>
  <c r="AR112" i="1" s="1"/>
  <c r="AR11" i="1"/>
  <c r="AR58" i="1"/>
  <c r="AR39" i="1"/>
  <c r="AR72" i="1"/>
  <c r="AR79" i="1"/>
  <c r="AR94" i="1"/>
  <c r="AR16" i="1"/>
  <c r="AR62" i="1"/>
  <c r="AR34" i="1"/>
  <c r="AR20" i="1"/>
  <c r="AR12" i="1"/>
  <c r="AR68" i="1"/>
  <c r="E30" i="1"/>
  <c r="D30" i="1" s="1"/>
  <c r="D191" i="1" s="1"/>
  <c r="D190" i="1"/>
  <c r="E183" i="1"/>
  <c r="AL56" i="15"/>
  <c r="D56" i="15" s="1"/>
  <c r="AN57" i="15"/>
  <c r="AQ111" i="1"/>
  <c r="AQ13" i="1"/>
  <c r="AQ36" i="1"/>
  <c r="AG87" i="1"/>
  <c r="AA87" i="1"/>
  <c r="AE87" i="1"/>
  <c r="AB87" i="1"/>
  <c r="Z87" i="1"/>
  <c r="AF87" i="1"/>
  <c r="AC87" i="1"/>
  <c r="AD87" i="1"/>
  <c r="AI87" i="1"/>
  <c r="AH87" i="1"/>
  <c r="AA79" i="1"/>
  <c r="Z79" i="1"/>
  <c r="AE79" i="1"/>
  <c r="AC79" i="1"/>
  <c r="AG79" i="1"/>
  <c r="AD79" i="1"/>
  <c r="AB79" i="1"/>
  <c r="AF79" i="1"/>
  <c r="AH79" i="1"/>
  <c r="AI79" i="1"/>
  <c r="G79" i="1"/>
  <c r="F79" i="1"/>
  <c r="F80" i="1"/>
  <c r="L79" i="1"/>
  <c r="V79" i="1"/>
  <c r="K79" i="1"/>
  <c r="S79" i="1"/>
  <c r="I79" i="1"/>
  <c r="P79" i="1"/>
  <c r="W79" i="1"/>
  <c r="Q79" i="1"/>
  <c r="N79" i="1"/>
  <c r="Y79" i="1"/>
  <c r="X79" i="1"/>
  <c r="O79" i="1"/>
  <c r="U79" i="1"/>
  <c r="J79" i="1"/>
  <c r="T79" i="1"/>
  <c r="R79" i="1"/>
  <c r="H79" i="1"/>
  <c r="M79" i="1"/>
  <c r="F87" i="1"/>
  <c r="F88" i="1"/>
  <c r="F82" i="1" s="1"/>
  <c r="J87" i="1"/>
  <c r="O87" i="1"/>
  <c r="I87" i="1"/>
  <c r="T87" i="1"/>
  <c r="X87" i="1"/>
  <c r="N87" i="1"/>
  <c r="Y87" i="1"/>
  <c r="V87" i="1"/>
  <c r="K87" i="1"/>
  <c r="R87" i="1"/>
  <c r="S87" i="1"/>
  <c r="P87" i="1"/>
  <c r="W87" i="1"/>
  <c r="M87" i="1"/>
  <c r="H87" i="1"/>
  <c r="G87" i="1"/>
  <c r="Q87" i="1"/>
  <c r="L87" i="1"/>
  <c r="U87" i="1"/>
  <c r="F74" i="1"/>
  <c r="AC18" i="1"/>
  <c r="S16" i="1"/>
  <c r="S18" i="1"/>
  <c r="X20" i="40"/>
  <c r="X22" i="40"/>
  <c r="V22" i="40"/>
  <c r="V20" i="40"/>
  <c r="J20" i="40"/>
  <c r="J22" i="40"/>
  <c r="W22" i="40"/>
  <c r="W20" i="40"/>
  <c r="Z20" i="40"/>
  <c r="Z22" i="40"/>
  <c r="P22" i="40"/>
  <c r="P20" i="40"/>
  <c r="N20" i="40"/>
  <c r="N22" i="40"/>
  <c r="AF20" i="40"/>
  <c r="AF22" i="40"/>
  <c r="I20" i="40"/>
  <c r="I22" i="40"/>
  <c r="Q22" i="40"/>
  <c r="Q20" i="40"/>
  <c r="K20" i="40"/>
  <c r="K22" i="40"/>
  <c r="AC22" i="40"/>
  <c r="AC20" i="40"/>
  <c r="AE22" i="40"/>
  <c r="AE20" i="40"/>
  <c r="AH20" i="40"/>
  <c r="AH22" i="40"/>
  <c r="U20" i="40"/>
  <c r="U22" i="40"/>
  <c r="S22" i="40"/>
  <c r="S20" i="40"/>
  <c r="AB20" i="40"/>
  <c r="AB22" i="40"/>
  <c r="AG22" i="40"/>
  <c r="AG20" i="40"/>
  <c r="AA20" i="40"/>
  <c r="AA22" i="40"/>
  <c r="F20" i="40"/>
  <c r="F22" i="40"/>
  <c r="T20" i="40"/>
  <c r="T22" i="40"/>
  <c r="W16" i="1"/>
  <c r="Y20" i="40"/>
  <c r="Y22" i="40"/>
  <c r="H20" i="40"/>
  <c r="H22" i="40"/>
  <c r="AD20" i="40"/>
  <c r="AD22" i="40"/>
  <c r="O20" i="40"/>
  <c r="O22" i="40"/>
  <c r="M22" i="40"/>
  <c r="M20" i="40"/>
  <c r="G20" i="40"/>
  <c r="G22" i="40"/>
  <c r="R22" i="40"/>
  <c r="R20" i="40"/>
  <c r="L22" i="40"/>
  <c r="L20" i="40"/>
  <c r="AI22" i="40"/>
  <c r="AI20" i="40"/>
  <c r="J16" i="1" l="1"/>
  <c r="AE18" i="1"/>
  <c r="AE112" i="1" s="1"/>
  <c r="Y16" i="1"/>
  <c r="K18" i="1"/>
  <c r="K112" i="1" s="1"/>
  <c r="AQ10" i="40"/>
  <c r="AQ11" i="40" s="1"/>
  <c r="AB16" i="1"/>
  <c r="X18" i="1"/>
  <c r="X112" i="1" s="1"/>
  <c r="P18" i="1"/>
  <c r="P112" i="1" s="1"/>
  <c r="I16" i="1"/>
  <c r="R18" i="1"/>
  <c r="R112" i="1" s="1"/>
  <c r="AG18" i="1"/>
  <c r="AG112" i="1" s="1"/>
  <c r="AA18" i="1"/>
  <c r="AA112" i="1" s="1"/>
  <c r="Z16" i="1"/>
  <c r="AH16" i="1"/>
  <c r="V18" i="1"/>
  <c r="V112" i="1" s="1"/>
  <c r="Q16" i="1"/>
  <c r="U16" i="1"/>
  <c r="AD16" i="1"/>
  <c r="L18" i="1"/>
  <c r="L112" i="1" s="1"/>
  <c r="AF18" i="1"/>
  <c r="AF112" i="1" s="1"/>
  <c r="M18" i="1"/>
  <c r="M112" i="1" s="1"/>
  <c r="F18" i="1"/>
  <c r="F112" i="1" s="1"/>
  <c r="O16" i="1"/>
  <c r="G16" i="1"/>
  <c r="N16" i="1"/>
  <c r="AI16" i="1"/>
  <c r="T18" i="1"/>
  <c r="T112" i="1" s="1"/>
  <c r="H18" i="1"/>
  <c r="A59" i="15"/>
  <c r="B58" i="15"/>
  <c r="C58" i="15"/>
  <c r="S75" i="15"/>
  <c r="R74" i="15"/>
  <c r="T150" i="40"/>
  <c r="R150" i="40"/>
  <c r="AP150" i="40"/>
  <c r="AJ150" i="40"/>
  <c r="Q150" i="40"/>
  <c r="P150" i="40"/>
  <c r="AS150" i="40"/>
  <c r="L150" i="40"/>
  <c r="AD150" i="40"/>
  <c r="S150" i="40"/>
  <c r="J150" i="40"/>
  <c r="AM150" i="40"/>
  <c r="F150" i="40"/>
  <c r="X150" i="40"/>
  <c r="N150" i="40"/>
  <c r="W150" i="40"/>
  <c r="AH150" i="40"/>
  <c r="AI150" i="40"/>
  <c r="Y150" i="40"/>
  <c r="AQ150" i="40"/>
  <c r="AK150" i="40"/>
  <c r="I150" i="40"/>
  <c r="AE150" i="40"/>
  <c r="AL150" i="40"/>
  <c r="AA150" i="40"/>
  <c r="AN150" i="40"/>
  <c r="K150" i="40"/>
  <c r="AR150" i="40"/>
  <c r="AC150" i="40"/>
  <c r="V150" i="40"/>
  <c r="AO150" i="40"/>
  <c r="AF150" i="40"/>
  <c r="U150" i="40"/>
  <c r="Z150" i="40"/>
  <c r="G150" i="40"/>
  <c r="AB150" i="40"/>
  <c r="M150" i="40"/>
  <c r="AG150" i="40"/>
  <c r="O150" i="40"/>
  <c r="H150" i="40"/>
  <c r="AH77" i="15"/>
  <c r="AG76" i="15"/>
  <c r="W76" i="15"/>
  <c r="V75" i="15"/>
  <c r="AO78" i="1"/>
  <c r="AO80" i="1" s="1"/>
  <c r="AO74" i="1" s="1"/>
  <c r="U56" i="20"/>
  <c r="U55" i="20"/>
  <c r="C51" i="21"/>
  <c r="AO86" i="1"/>
  <c r="AO88" i="1" s="1"/>
  <c r="AO82" i="1" s="1"/>
  <c r="AR121" i="1"/>
  <c r="AR126" i="1" s="1"/>
  <c r="AR127" i="1" s="1"/>
  <c r="AP86" i="1"/>
  <c r="AP88" i="1" s="1"/>
  <c r="AP82" i="1" s="1"/>
  <c r="E34" i="40"/>
  <c r="D34" i="40" s="1"/>
  <c r="AS36" i="40"/>
  <c r="AQ17" i="40"/>
  <c r="AQ108" i="40"/>
  <c r="AS89" i="40"/>
  <c r="E89" i="40" s="1"/>
  <c r="AS140" i="40"/>
  <c r="AS139" i="40"/>
  <c r="AS93" i="40" s="1"/>
  <c r="E93" i="40" s="1"/>
  <c r="AS1" i="40"/>
  <c r="AS21" i="40" s="1"/>
  <c r="E21" i="40" s="1"/>
  <c r="D21" i="40" s="1"/>
  <c r="AR8" i="40"/>
  <c r="AR9" i="40"/>
  <c r="AR16" i="40"/>
  <c r="AR100" i="40"/>
  <c r="AR13" i="40"/>
  <c r="AR41" i="40"/>
  <c r="AR52" i="40"/>
  <c r="AR58" i="40"/>
  <c r="AR59" i="40" s="1"/>
  <c r="AR90" i="40"/>
  <c r="AR22" i="40"/>
  <c r="AR38" i="40"/>
  <c r="AR26" i="40"/>
  <c r="AR110" i="40" s="1"/>
  <c r="AS40" i="40"/>
  <c r="AR115" i="40"/>
  <c r="AR32" i="40"/>
  <c r="AR15" i="40"/>
  <c r="AR107" i="40" s="1"/>
  <c r="AR116" i="40"/>
  <c r="AR60" i="40"/>
  <c r="AR55" i="40"/>
  <c r="AR92" i="40"/>
  <c r="AR24" i="40"/>
  <c r="AR94" i="40"/>
  <c r="AR7" i="40"/>
  <c r="AR98" i="40"/>
  <c r="AR97" i="40"/>
  <c r="AR63" i="40"/>
  <c r="AR65" i="40"/>
  <c r="AR48" i="40"/>
  <c r="AR61" i="40"/>
  <c r="AR20" i="40"/>
  <c r="AR51" i="40"/>
  <c r="AQ39" i="40"/>
  <c r="AQ117" i="40"/>
  <c r="AQ42" i="1"/>
  <c r="AQ43" i="1"/>
  <c r="Q19" i="1"/>
  <c r="Q21" i="1" s="1"/>
  <c r="Q23" i="1" s="1"/>
  <c r="Q26" i="1" s="1"/>
  <c r="AG19" i="1"/>
  <c r="AG21" i="1" s="1"/>
  <c r="L19" i="1"/>
  <c r="L21" i="1" s="1"/>
  <c r="AF19" i="1"/>
  <c r="AF21" i="1" s="1"/>
  <c r="V19" i="1"/>
  <c r="V21" i="1" s="1"/>
  <c r="X19" i="1"/>
  <c r="X21" i="1" s="1"/>
  <c r="AL19" i="1"/>
  <c r="AL21" i="1" s="1"/>
  <c r="AL23" i="1" s="1"/>
  <c r="AL26" i="1" s="1"/>
  <c r="S19" i="1"/>
  <c r="S21" i="1" s="1"/>
  <c r="S23" i="1" s="1"/>
  <c r="S26" i="1" s="1"/>
  <c r="AI19" i="1"/>
  <c r="AI21" i="1" s="1"/>
  <c r="AI23" i="1" s="1"/>
  <c r="AI26" i="1" s="1"/>
  <c r="AH19" i="1"/>
  <c r="AH21" i="1" s="1"/>
  <c r="AH23" i="1" s="1"/>
  <c r="AH26" i="1" s="1"/>
  <c r="M19" i="1"/>
  <c r="M21" i="1" s="1"/>
  <c r="AC19" i="1"/>
  <c r="AC21" i="1" s="1"/>
  <c r="AC23" i="1" s="1"/>
  <c r="AC26" i="1" s="1"/>
  <c r="AS19" i="1"/>
  <c r="AB19" i="1"/>
  <c r="AB21" i="1" s="1"/>
  <c r="AB23" i="1" s="1"/>
  <c r="AB26" i="1" s="1"/>
  <c r="F19" i="1"/>
  <c r="F21" i="1" s="1"/>
  <c r="F23" i="1" s="1"/>
  <c r="H19" i="1"/>
  <c r="H21" i="1" s="1"/>
  <c r="Z19" i="1"/>
  <c r="Z21" i="1" s="1"/>
  <c r="Z23" i="1" s="1"/>
  <c r="Z26" i="1" s="1"/>
  <c r="O19" i="1"/>
  <c r="O21" i="1" s="1"/>
  <c r="O23" i="1" s="1"/>
  <c r="O26" i="1" s="1"/>
  <c r="AE19" i="1"/>
  <c r="AE21" i="1" s="1"/>
  <c r="AE23" i="1" s="1"/>
  <c r="AE26" i="1" s="1"/>
  <c r="R19" i="1"/>
  <c r="R21" i="1" s="1"/>
  <c r="I19" i="1"/>
  <c r="I21" i="1" s="1"/>
  <c r="I23" i="1" s="1"/>
  <c r="I26" i="1" s="1"/>
  <c r="Y19" i="1"/>
  <c r="Y21" i="1" s="1"/>
  <c r="Y23" i="1" s="1"/>
  <c r="Y26" i="1" s="1"/>
  <c r="AO19" i="1"/>
  <c r="AO21" i="1" s="1"/>
  <c r="AO23" i="1" s="1"/>
  <c r="AO26" i="1" s="1"/>
  <c r="T19" i="1"/>
  <c r="T21" i="1" s="1"/>
  <c r="T23" i="1" s="1"/>
  <c r="T26" i="1" s="1"/>
  <c r="AR19" i="1"/>
  <c r="AR21" i="1" s="1"/>
  <c r="AR23" i="1" s="1"/>
  <c r="AP19" i="1"/>
  <c r="AP21" i="1" s="1"/>
  <c r="AP23" i="1" s="1"/>
  <c r="AP26" i="1" s="1"/>
  <c r="J19" i="1"/>
  <c r="J21" i="1" s="1"/>
  <c r="J23" i="1" s="1"/>
  <c r="J26" i="1" s="1"/>
  <c r="K19" i="1"/>
  <c r="K21" i="1" s="1"/>
  <c r="AA19" i="1"/>
  <c r="AA21" i="1" s="1"/>
  <c r="AA23" i="1" s="1"/>
  <c r="AA26" i="1" s="1"/>
  <c r="AQ19" i="1"/>
  <c r="AQ21" i="1" s="1"/>
  <c r="AQ23" i="1" s="1"/>
  <c r="AQ26" i="1" s="1"/>
  <c r="N19" i="1"/>
  <c r="N21" i="1" s="1"/>
  <c r="N23" i="1" s="1"/>
  <c r="N26" i="1" s="1"/>
  <c r="U19" i="1"/>
  <c r="U21" i="1" s="1"/>
  <c r="U23" i="1" s="1"/>
  <c r="U26" i="1" s="1"/>
  <c r="AK19" i="1"/>
  <c r="AK21" i="1" s="1"/>
  <c r="AK23" i="1" s="1"/>
  <c r="AK26" i="1" s="1"/>
  <c r="P19" i="1"/>
  <c r="P21" i="1" s="1"/>
  <c r="AN19" i="1"/>
  <c r="AN21" i="1" s="1"/>
  <c r="AN23" i="1" s="1"/>
  <c r="AN26" i="1" s="1"/>
  <c r="AD19" i="1"/>
  <c r="AD21" i="1" s="1"/>
  <c r="AD23" i="1" s="1"/>
  <c r="AD26" i="1" s="1"/>
  <c r="AJ19" i="1"/>
  <c r="AJ21" i="1" s="1"/>
  <c r="AJ23" i="1" s="1"/>
  <c r="AJ26" i="1" s="1"/>
  <c r="G19" i="1"/>
  <c r="G21" i="1" s="1"/>
  <c r="G23" i="1" s="1"/>
  <c r="G26" i="1" s="1"/>
  <c r="W19" i="1"/>
  <c r="W21" i="1" s="1"/>
  <c r="W23" i="1" s="1"/>
  <c r="W26" i="1" s="1"/>
  <c r="AM19" i="1"/>
  <c r="AM21" i="1" s="1"/>
  <c r="AM23" i="1" s="1"/>
  <c r="AM26" i="1" s="1"/>
  <c r="AR47" i="1"/>
  <c r="AN58" i="15"/>
  <c r="AL57" i="15"/>
  <c r="D57" i="15" s="1"/>
  <c r="AR109" i="1"/>
  <c r="AR113" i="1"/>
  <c r="W23" i="40"/>
  <c r="W25" i="40" s="1"/>
  <c r="W109" i="40" s="1"/>
  <c r="W116" i="40" s="1"/>
  <c r="U24" i="49" s="1"/>
  <c r="AN23" i="40"/>
  <c r="AN25" i="40" s="1"/>
  <c r="K23" i="40"/>
  <c r="K25" i="40" s="1"/>
  <c r="K27" i="40" s="1"/>
  <c r="AB23" i="40"/>
  <c r="AB25" i="40" s="1"/>
  <c r="AB109" i="40" s="1"/>
  <c r="AB116" i="40" s="1"/>
  <c r="F23" i="40"/>
  <c r="F25" i="40" s="1"/>
  <c r="F27" i="40" s="1"/>
  <c r="P23" i="40"/>
  <c r="P25" i="40" s="1"/>
  <c r="P27" i="40" s="1"/>
  <c r="AK23" i="40"/>
  <c r="AK25" i="40" s="1"/>
  <c r="R23" i="40"/>
  <c r="R25" i="40" s="1"/>
  <c r="R27" i="40" s="1"/>
  <c r="AI23" i="40"/>
  <c r="AI25" i="40" s="1"/>
  <c r="AI109" i="40" s="1"/>
  <c r="AI116" i="40" s="1"/>
  <c r="Q23" i="40"/>
  <c r="Q25" i="40" s="1"/>
  <c r="Q109" i="40" s="1"/>
  <c r="Q116" i="40" s="1"/>
  <c r="O24" i="49" s="1"/>
  <c r="M23" i="40"/>
  <c r="M25" i="40" s="1"/>
  <c r="M27" i="40" s="1"/>
  <c r="Z23" i="40"/>
  <c r="Z25" i="40" s="1"/>
  <c r="Z109" i="40" s="1"/>
  <c r="Z116" i="40" s="1"/>
  <c r="AJ23" i="40"/>
  <c r="AJ25" i="40" s="1"/>
  <c r="N23" i="40"/>
  <c r="N25" i="40" s="1"/>
  <c r="N109" i="40" s="1"/>
  <c r="N116" i="40" s="1"/>
  <c r="L24" i="49" s="1"/>
  <c r="AE23" i="40"/>
  <c r="AE25" i="40" s="1"/>
  <c r="AE27" i="40" s="1"/>
  <c r="AS23" i="40"/>
  <c r="S23" i="40"/>
  <c r="S25" i="40" s="1"/>
  <c r="S109" i="40" s="1"/>
  <c r="S116" i="40" s="1"/>
  <c r="Q24" i="49" s="1"/>
  <c r="AQ23" i="40"/>
  <c r="AQ25" i="40" s="1"/>
  <c r="Y23" i="40"/>
  <c r="Y25" i="40" s="1"/>
  <c r="Y27" i="40" s="1"/>
  <c r="AL23" i="40"/>
  <c r="AL25" i="40" s="1"/>
  <c r="AH23" i="40"/>
  <c r="AH25" i="40" s="1"/>
  <c r="AH27" i="40" s="1"/>
  <c r="L23" i="40"/>
  <c r="L25" i="40" s="1"/>
  <c r="L109" i="40" s="1"/>
  <c r="L116" i="40" s="1"/>
  <c r="J24" i="49" s="1"/>
  <c r="AG23" i="40"/>
  <c r="AG25" i="40" s="1"/>
  <c r="AG27" i="40" s="1"/>
  <c r="AM23" i="40"/>
  <c r="AM25" i="40" s="1"/>
  <c r="U23" i="40"/>
  <c r="U25" i="40" s="1"/>
  <c r="U109" i="40" s="1"/>
  <c r="U116" i="40" s="1"/>
  <c r="S24" i="49" s="1"/>
  <c r="AA23" i="40"/>
  <c r="AA25" i="40" s="1"/>
  <c r="AA109" i="40" s="1"/>
  <c r="AA116" i="40" s="1"/>
  <c r="AR23" i="40"/>
  <c r="V23" i="40"/>
  <c r="V25" i="40" s="1"/>
  <c r="V27" i="40" s="1"/>
  <c r="G23" i="40"/>
  <c r="G25" i="40" s="1"/>
  <c r="G27" i="40" s="1"/>
  <c r="X23" i="40"/>
  <c r="X25" i="40" s="1"/>
  <c r="X27" i="40" s="1"/>
  <c r="T23" i="40"/>
  <c r="T25" i="40" s="1"/>
  <c r="T27" i="40" s="1"/>
  <c r="AO23" i="40"/>
  <c r="AO25" i="40" s="1"/>
  <c r="O23" i="40"/>
  <c r="O25" i="40" s="1"/>
  <c r="O27" i="40" s="1"/>
  <c r="AC23" i="40"/>
  <c r="AC25" i="40" s="1"/>
  <c r="AC27" i="40" s="1"/>
  <c r="AP23" i="40"/>
  <c r="AP25" i="40" s="1"/>
  <c r="I23" i="40"/>
  <c r="I25" i="40" s="1"/>
  <c r="I27" i="40" s="1"/>
  <c r="AD23" i="40"/>
  <c r="AD25" i="40" s="1"/>
  <c r="AD27" i="40" s="1"/>
  <c r="H23" i="40"/>
  <c r="H25" i="40" s="1"/>
  <c r="H27" i="40" s="1"/>
  <c r="AF23" i="40"/>
  <c r="AF25" i="40" s="1"/>
  <c r="AF109" i="40" s="1"/>
  <c r="AF116" i="40" s="1"/>
  <c r="J23" i="40"/>
  <c r="J25" i="40" s="1"/>
  <c r="J109" i="40" s="1"/>
  <c r="J116" i="40" s="1"/>
  <c r="H24" i="49" s="1"/>
  <c r="AR13" i="1"/>
  <c r="AR111" i="1"/>
  <c r="AS59" i="1"/>
  <c r="E59" i="1" s="1"/>
  <c r="D59" i="1" s="1"/>
  <c r="AS12" i="1"/>
  <c r="AS109" i="1" s="1"/>
  <c r="AS39" i="1"/>
  <c r="AS102" i="1"/>
  <c r="E102" i="1" s="1"/>
  <c r="D102" i="1" s="1"/>
  <c r="AS67" i="1"/>
  <c r="E67" i="1" s="1"/>
  <c r="AS87" i="1"/>
  <c r="AS104" i="1"/>
  <c r="E104" i="1" s="1"/>
  <c r="D104" i="1" s="1"/>
  <c r="AS119" i="1"/>
  <c r="AS34" i="1"/>
  <c r="AS96" i="1"/>
  <c r="E96" i="1" s="1"/>
  <c r="D96" i="1" s="1"/>
  <c r="D184" i="1" s="1"/>
  <c r="AS55" i="1"/>
  <c r="AS62" i="1"/>
  <c r="AS11" i="1"/>
  <c r="AS110" i="1" s="1"/>
  <c r="AS65" i="1"/>
  <c r="AS66" i="1" s="1"/>
  <c r="E66" i="1" s="1"/>
  <c r="D66" i="1" s="1"/>
  <c r="AS70" i="1"/>
  <c r="E70" i="1" s="1"/>
  <c r="AS28" i="1"/>
  <c r="E28" i="1" s="1"/>
  <c r="D28" i="1" s="1"/>
  <c r="AS68" i="1"/>
  <c r="E68" i="1" s="1"/>
  <c r="AS76" i="1"/>
  <c r="AS94" i="1"/>
  <c r="E94" i="1" s="1"/>
  <c r="D94" i="1" s="1"/>
  <c r="AS58" i="1"/>
  <c r="E58" i="1" s="1"/>
  <c r="D58" i="1" s="1"/>
  <c r="AS98" i="1"/>
  <c r="E98" i="1" s="1"/>
  <c r="D98" i="1" s="1"/>
  <c r="E184" i="1" s="1"/>
  <c r="AS72" i="1"/>
  <c r="E72" i="1" s="1"/>
  <c r="D72" i="1" s="1"/>
  <c r="AT48" i="1"/>
  <c r="AS38" i="1"/>
  <c r="AS120" i="1"/>
  <c r="AS46" i="1"/>
  <c r="AS20" i="1"/>
  <c r="AS35" i="1"/>
  <c r="E35" i="1" s="1"/>
  <c r="D35" i="1" s="1"/>
  <c r="AS79" i="1"/>
  <c r="AS40" i="1"/>
  <c r="AS18" i="1"/>
  <c r="AS22" i="1"/>
  <c r="AS113" i="1" s="1"/>
  <c r="AS7" i="1"/>
  <c r="E7" i="1" s="1"/>
  <c r="D7" i="1" s="1"/>
  <c r="AS84" i="1"/>
  <c r="AS16" i="1"/>
  <c r="AS49" i="1"/>
  <c r="E49" i="1" s="1"/>
  <c r="D49" i="1" s="1"/>
  <c r="AS123" i="1"/>
  <c r="AS101" i="1"/>
  <c r="E101" i="1" s="1"/>
  <c r="D101" i="1" s="1"/>
  <c r="AS125" i="1"/>
  <c r="AS9" i="1"/>
  <c r="AP78" i="1"/>
  <c r="AP80" i="1" s="1"/>
  <c r="AP74" i="1" s="1"/>
  <c r="AR36" i="1"/>
  <c r="AR110" i="1"/>
  <c r="AR131" i="1"/>
  <c r="AB112" i="1"/>
  <c r="O112" i="1"/>
  <c r="G112" i="1"/>
  <c r="Z112" i="1"/>
  <c r="AC112" i="1"/>
  <c r="W112" i="1"/>
  <c r="J112" i="1"/>
  <c r="U112" i="1"/>
  <c r="Y112" i="1"/>
  <c r="S112" i="1"/>
  <c r="I112" i="1"/>
  <c r="N112" i="1"/>
  <c r="AH112" i="1"/>
  <c r="Q112" i="1"/>
  <c r="T57" i="20"/>
  <c r="AI112" i="1"/>
  <c r="AD112" i="1"/>
  <c r="K23" i="1" l="1"/>
  <c r="K26" i="1" s="1"/>
  <c r="X23" i="1"/>
  <c r="X26" i="1" s="1"/>
  <c r="AG23" i="1"/>
  <c r="AG26" i="1" s="1"/>
  <c r="P23" i="1"/>
  <c r="P26" i="1" s="1"/>
  <c r="S27" i="40"/>
  <c r="S9" i="40" s="1"/>
  <c r="R23" i="1"/>
  <c r="R26" i="1" s="1"/>
  <c r="G109" i="40"/>
  <c r="G116" i="40" s="1"/>
  <c r="E24" i="49" s="1"/>
  <c r="V23" i="1"/>
  <c r="V26" i="1" s="1"/>
  <c r="T109" i="40"/>
  <c r="T116" i="40" s="1"/>
  <c r="R24" i="49" s="1"/>
  <c r="H23" i="1"/>
  <c r="H26" i="1" s="1"/>
  <c r="H112" i="1"/>
  <c r="H120" i="1" s="1"/>
  <c r="M23" i="1"/>
  <c r="M26" i="1" s="1"/>
  <c r="L23" i="1"/>
  <c r="L26" i="1" s="1"/>
  <c r="AF23" i="1"/>
  <c r="AF26" i="1" s="1"/>
  <c r="E16" i="1"/>
  <c r="D16" i="1" s="1"/>
  <c r="U57" i="20" s="1"/>
  <c r="E18" i="1"/>
  <c r="D18" i="1" s="1"/>
  <c r="D178" i="1" s="1"/>
  <c r="AE109" i="40"/>
  <c r="AE116" i="40" s="1"/>
  <c r="V109" i="40"/>
  <c r="V116" i="40" s="1"/>
  <c r="T24" i="49" s="1"/>
  <c r="Z27" i="40"/>
  <c r="Z30" i="40" s="1"/>
  <c r="I109" i="40"/>
  <c r="I116" i="40" s="1"/>
  <c r="G24" i="49" s="1"/>
  <c r="Y109" i="40"/>
  <c r="Y116" i="40" s="1"/>
  <c r="W24" i="49" s="1"/>
  <c r="AR26" i="1"/>
  <c r="P109" i="40"/>
  <c r="P116" i="40" s="1"/>
  <c r="N24" i="49" s="1"/>
  <c r="AB27" i="40"/>
  <c r="AB9" i="40" s="1"/>
  <c r="AF27" i="40"/>
  <c r="AF9" i="40" s="1"/>
  <c r="K109" i="40"/>
  <c r="K116" i="40" s="1"/>
  <c r="I24" i="49" s="1"/>
  <c r="M109" i="40"/>
  <c r="M116" i="40" s="1"/>
  <c r="K24" i="49" s="1"/>
  <c r="AG109" i="40"/>
  <c r="AG116" i="40" s="1"/>
  <c r="V76" i="15"/>
  <c r="W77" i="15"/>
  <c r="S76" i="15"/>
  <c r="R75" i="15"/>
  <c r="AG77" i="15"/>
  <c r="AH78" i="15"/>
  <c r="AG78" i="15" s="1"/>
  <c r="C59" i="15"/>
  <c r="B59" i="15"/>
  <c r="A60" i="15"/>
  <c r="E12" i="1"/>
  <c r="D12" i="1" s="1"/>
  <c r="D109" i="1" s="1"/>
  <c r="D177" i="1" s="1"/>
  <c r="AS36" i="1"/>
  <c r="AS43" i="1" s="1"/>
  <c r="O109" i="40"/>
  <c r="O116" i="40" s="1"/>
  <c r="M24" i="49" s="1"/>
  <c r="U27" i="40"/>
  <c r="U9" i="40" s="1"/>
  <c r="AD109" i="40"/>
  <c r="AD116" i="40" s="1"/>
  <c r="AH109" i="40"/>
  <c r="AH116" i="40" s="1"/>
  <c r="AR10" i="40"/>
  <c r="AR11" i="40" s="1"/>
  <c r="F109" i="40"/>
  <c r="F116" i="40" s="1"/>
  <c r="D24" i="49" s="1"/>
  <c r="W27" i="40"/>
  <c r="W30" i="40" s="1"/>
  <c r="AI27" i="40"/>
  <c r="AI9" i="40" s="1"/>
  <c r="J27" i="40"/>
  <c r="J30" i="40" s="1"/>
  <c r="R109" i="40"/>
  <c r="R116" i="40" s="1"/>
  <c r="P24" i="49" s="1"/>
  <c r="AS37" i="40"/>
  <c r="E36" i="40"/>
  <c r="D36" i="40" s="1"/>
  <c r="D191" i="40" s="1"/>
  <c r="AR25" i="40"/>
  <c r="AR27" i="40" s="1"/>
  <c r="AR117" i="40"/>
  <c r="AR17" i="40"/>
  <c r="AR108" i="40"/>
  <c r="AR106" i="40"/>
  <c r="AR39" i="40"/>
  <c r="AS32" i="40"/>
  <c r="E32" i="40" s="1"/>
  <c r="D32" i="40" s="1"/>
  <c r="AS97" i="40"/>
  <c r="E97" i="40" s="1"/>
  <c r="D97" i="40" s="1"/>
  <c r="AS41" i="40"/>
  <c r="E41" i="40" s="1"/>
  <c r="D41" i="40" s="1"/>
  <c r="AS115" i="40"/>
  <c r="AS60" i="40"/>
  <c r="E60" i="40" s="1"/>
  <c r="AS92" i="40"/>
  <c r="AS15" i="40"/>
  <c r="AS51" i="40"/>
  <c r="E51" i="40" s="1"/>
  <c r="D51" i="40" s="1"/>
  <c r="AS8" i="40"/>
  <c r="AS9" i="40"/>
  <c r="AS58" i="40"/>
  <c r="AS59" i="40" s="1"/>
  <c r="E59" i="40" s="1"/>
  <c r="D59" i="40" s="1"/>
  <c r="AS24" i="40"/>
  <c r="AS20" i="40"/>
  <c r="E20" i="40" s="1"/>
  <c r="D20" i="40" s="1"/>
  <c r="AS52" i="40"/>
  <c r="E52" i="40" s="1"/>
  <c r="D52" i="40" s="1"/>
  <c r="AS22" i="40"/>
  <c r="E22" i="40" s="1"/>
  <c r="D22" i="40" s="1"/>
  <c r="D168" i="40" s="1"/>
  <c r="AT40" i="40"/>
  <c r="AS65" i="40"/>
  <c r="E65" i="40" s="1"/>
  <c r="D65" i="40" s="1"/>
  <c r="C67" i="40" s="1"/>
  <c r="AS7" i="40"/>
  <c r="E7" i="40" s="1"/>
  <c r="D7" i="40" s="1"/>
  <c r="AS100" i="40"/>
  <c r="E100" i="40" s="1"/>
  <c r="D100" i="40" s="1"/>
  <c r="AS94" i="40"/>
  <c r="E94" i="40" s="1"/>
  <c r="D94" i="40" s="1"/>
  <c r="E179" i="40" s="1"/>
  <c r="AS38" i="40"/>
  <c r="AS13" i="40"/>
  <c r="AS55" i="40"/>
  <c r="AS16" i="40"/>
  <c r="AS106" i="40" s="1"/>
  <c r="AS48" i="40"/>
  <c r="AS61" i="40"/>
  <c r="E61" i="40" s="1"/>
  <c r="AS90" i="40"/>
  <c r="E90" i="40" s="1"/>
  <c r="D90" i="40" s="1"/>
  <c r="AS98" i="40"/>
  <c r="E98" i="40" s="1"/>
  <c r="D98" i="40" s="1"/>
  <c r="AS26" i="40"/>
  <c r="AS63" i="40"/>
  <c r="E63" i="40" s="1"/>
  <c r="AS116" i="40"/>
  <c r="AC109" i="40"/>
  <c r="AC116" i="40" s="1"/>
  <c r="Q27" i="40"/>
  <c r="Q9" i="40" s="1"/>
  <c r="AA27" i="40"/>
  <c r="AA30" i="40" s="1"/>
  <c r="I9" i="40"/>
  <c r="I30" i="40"/>
  <c r="AQ27" i="40"/>
  <c r="AQ30" i="40" s="1"/>
  <c r="AQ109" i="40"/>
  <c r="AN109" i="40"/>
  <c r="AN27" i="40"/>
  <c r="AN30" i="40" s="1"/>
  <c r="AN31" i="40" s="1"/>
  <c r="AN44" i="40" s="1"/>
  <c r="AN6" i="40" s="1"/>
  <c r="AS112" i="1"/>
  <c r="D70" i="1"/>
  <c r="AU70" i="1"/>
  <c r="AO109" i="40"/>
  <c r="AO27" i="40"/>
  <c r="AO30" i="40" s="1"/>
  <c r="AO31" i="40" s="1"/>
  <c r="AO44" i="40" s="1"/>
  <c r="AO6" i="40" s="1"/>
  <c r="AM27" i="40"/>
  <c r="AM30" i="40" s="1"/>
  <c r="AM109" i="40"/>
  <c r="AL109" i="40"/>
  <c r="AL27" i="40"/>
  <c r="AL30" i="40" s="1"/>
  <c r="AL31" i="40" s="1"/>
  <c r="AL44" i="40" s="1"/>
  <c r="AL47" i="40" s="1"/>
  <c r="AL49" i="40" s="1"/>
  <c r="N27" i="40"/>
  <c r="N9" i="40" s="1"/>
  <c r="H109" i="40"/>
  <c r="H116" i="40" s="1"/>
  <c r="F24" i="49" s="1"/>
  <c r="L27" i="40"/>
  <c r="L30" i="40" s="1"/>
  <c r="X109" i="40"/>
  <c r="X116" i="40" s="1"/>
  <c r="V24" i="49" s="1"/>
  <c r="E22" i="1"/>
  <c r="D22" i="1" s="1"/>
  <c r="AU67" i="1"/>
  <c r="D67" i="1"/>
  <c r="D185" i="1" s="1"/>
  <c r="AS13" i="1"/>
  <c r="AS111" i="1"/>
  <c r="AJ27" i="40"/>
  <c r="AJ30" i="40" s="1"/>
  <c r="AJ109" i="40"/>
  <c r="AL58" i="15"/>
  <c r="D58" i="15" s="1"/>
  <c r="AN59" i="15"/>
  <c r="AQ83" i="1"/>
  <c r="AQ85" i="1" s="1"/>
  <c r="AQ108" i="1"/>
  <c r="AQ75" i="1"/>
  <c r="AQ77" i="1" s="1"/>
  <c r="E11" i="1"/>
  <c r="D11" i="1" s="1"/>
  <c r="D110" i="1" s="1"/>
  <c r="D176" i="1" s="1"/>
  <c r="E185" i="1"/>
  <c r="AS121" i="1"/>
  <c r="AS126" i="1" s="1"/>
  <c r="AS127" i="1" s="1"/>
  <c r="E9" i="1"/>
  <c r="D9" i="1" s="1"/>
  <c r="D111" i="1" s="1"/>
  <c r="D175" i="1" s="1"/>
  <c r="AR42" i="1"/>
  <c r="AR43" i="1"/>
  <c r="AU68" i="1"/>
  <c r="D68" i="1"/>
  <c r="AP109" i="40"/>
  <c r="AP27" i="40"/>
  <c r="AP30" i="40" s="1"/>
  <c r="AP31" i="40" s="1"/>
  <c r="AP44" i="40" s="1"/>
  <c r="AP6" i="40" s="1"/>
  <c r="AK27" i="40"/>
  <c r="AK30" i="40" s="1"/>
  <c r="AK109" i="40"/>
  <c r="E34" i="1"/>
  <c r="D34" i="1" s="1"/>
  <c r="AS47" i="1"/>
  <c r="AS131" i="1"/>
  <c r="E131" i="1" s="1"/>
  <c r="D131" i="1" s="1"/>
  <c r="AS21" i="1"/>
  <c r="AS23" i="1" s="1"/>
  <c r="P120" i="1"/>
  <c r="AE120" i="1"/>
  <c r="G9" i="40"/>
  <c r="G30" i="40"/>
  <c r="AA120" i="1"/>
  <c r="L120" i="1"/>
  <c r="AG9" i="40"/>
  <c r="AG30" i="40"/>
  <c r="AD9" i="40"/>
  <c r="AD30" i="40"/>
  <c r="S120" i="1"/>
  <c r="K9" i="40"/>
  <c r="K30" i="40"/>
  <c r="U120" i="1"/>
  <c r="Y9" i="40"/>
  <c r="Y30" i="40"/>
  <c r="AC120" i="1"/>
  <c r="AH9" i="40"/>
  <c r="AH30" i="40"/>
  <c r="O9" i="40"/>
  <c r="O30" i="40"/>
  <c r="AF120" i="1"/>
  <c r="AD120" i="1"/>
  <c r="I120" i="1"/>
  <c r="AE9" i="40"/>
  <c r="AE30" i="40"/>
  <c r="J120" i="1"/>
  <c r="T120" i="1"/>
  <c r="O120" i="1"/>
  <c r="AB120" i="1"/>
  <c r="M120" i="1"/>
  <c r="F9" i="40"/>
  <c r="F30" i="40"/>
  <c r="H9" i="40"/>
  <c r="H30" i="40"/>
  <c r="M9" i="40"/>
  <c r="M30" i="40"/>
  <c r="P9" i="40"/>
  <c r="P30" i="40"/>
  <c r="AH120" i="1"/>
  <c r="N120" i="1"/>
  <c r="F26" i="1"/>
  <c r="V9" i="40"/>
  <c r="V30" i="40"/>
  <c r="Y120" i="1"/>
  <c r="W120" i="1"/>
  <c r="X9" i="40"/>
  <c r="X30" i="40"/>
  <c r="Z120" i="1"/>
  <c r="G120" i="1"/>
  <c r="R120" i="1"/>
  <c r="R9" i="40"/>
  <c r="R30" i="40"/>
  <c r="AI120" i="1"/>
  <c r="AC9" i="40"/>
  <c r="AC30" i="40"/>
  <c r="V120" i="1"/>
  <c r="X120" i="1"/>
  <c r="Q120" i="1"/>
  <c r="T9" i="40"/>
  <c r="T30" i="40"/>
  <c r="F120" i="1"/>
  <c r="K120" i="1"/>
  <c r="AG120" i="1"/>
  <c r="S30" i="40" l="1"/>
  <c r="E23" i="1"/>
  <c r="D23" i="1" s="1"/>
  <c r="Z9" i="40"/>
  <c r="AI30" i="40"/>
  <c r="Q30" i="40"/>
  <c r="AR109" i="40"/>
  <c r="L9" i="40"/>
  <c r="E36" i="1"/>
  <c r="D36" i="1" s="1"/>
  <c r="AS42" i="1"/>
  <c r="AS108" i="1" s="1"/>
  <c r="AB30" i="40"/>
  <c r="U30" i="40"/>
  <c r="AF30" i="40"/>
  <c r="J9" i="40"/>
  <c r="S77" i="15"/>
  <c r="R76" i="15"/>
  <c r="V77" i="15"/>
  <c r="W78" i="15"/>
  <c r="V78" i="15" s="1"/>
  <c r="C60" i="15"/>
  <c r="A61" i="15"/>
  <c r="B60" i="15"/>
  <c r="AO47" i="40"/>
  <c r="AO49" i="40" s="1"/>
  <c r="AL6" i="40"/>
  <c r="AL119" i="40"/>
  <c r="AS25" i="40"/>
  <c r="AS27" i="40" s="1"/>
  <c r="W9" i="40"/>
  <c r="AP47" i="40"/>
  <c r="AP49" i="40" s="1"/>
  <c r="AO119" i="40"/>
  <c r="E116" i="40"/>
  <c r="C24" i="49" s="1"/>
  <c r="AP119" i="40"/>
  <c r="D61" i="40"/>
  <c r="AU61" i="40"/>
  <c r="AS17" i="40"/>
  <c r="E17" i="40" s="1"/>
  <c r="D17" i="40" s="1"/>
  <c r="AS108" i="40"/>
  <c r="E15" i="40"/>
  <c r="D15" i="40" s="1"/>
  <c r="AS107" i="40"/>
  <c r="AR30" i="40"/>
  <c r="AR31" i="40" s="1"/>
  <c r="AR44" i="40" s="1"/>
  <c r="AU63" i="40"/>
  <c r="D63" i="40"/>
  <c r="B77" i="40"/>
  <c r="B184" i="40" s="1"/>
  <c r="E13" i="40"/>
  <c r="D13" i="40" s="1"/>
  <c r="D165" i="40" s="1"/>
  <c r="N30" i="40"/>
  <c r="AA9" i="40"/>
  <c r="E180" i="40"/>
  <c r="AS117" i="40"/>
  <c r="AS110" i="40"/>
  <c r="E26" i="40"/>
  <c r="D26" i="40" s="1"/>
  <c r="D60" i="40"/>
  <c r="D180" i="40" s="1"/>
  <c r="AU60" i="40"/>
  <c r="AS39" i="40"/>
  <c r="AS10" i="40"/>
  <c r="AS11" i="40" s="1"/>
  <c r="E16" i="40"/>
  <c r="D16" i="40" s="1"/>
  <c r="AN119" i="40"/>
  <c r="AN47" i="40"/>
  <c r="AN49" i="40" s="1"/>
  <c r="E13" i="1"/>
  <c r="D13" i="1" s="1"/>
  <c r="AS26" i="1"/>
  <c r="E26" i="1" s="1"/>
  <c r="D26" i="1" s="1"/>
  <c r="D113" i="1"/>
  <c r="D179" i="1"/>
  <c r="AM31" i="40"/>
  <c r="AM44" i="40" s="1"/>
  <c r="E21" i="1"/>
  <c r="D21" i="1" s="1"/>
  <c r="D112" i="1" s="1"/>
  <c r="AR75" i="1"/>
  <c r="AR77" i="1" s="1"/>
  <c r="AR108" i="1"/>
  <c r="AR83" i="1"/>
  <c r="AR85" i="1" s="1"/>
  <c r="AL59" i="15"/>
  <c r="D59" i="15" s="1"/>
  <c r="AN60" i="15"/>
  <c r="AQ86" i="1"/>
  <c r="AQ88" i="1" s="1"/>
  <c r="AQ82" i="1" s="1"/>
  <c r="AK31" i="40"/>
  <c r="AK44" i="40" s="1"/>
  <c r="AK6" i="40" s="1"/>
  <c r="AJ31" i="40"/>
  <c r="AJ44" i="40" s="1"/>
  <c r="AQ31" i="40"/>
  <c r="AQ44" i="40" s="1"/>
  <c r="AQ78" i="1"/>
  <c r="AQ80" i="1" s="1"/>
  <c r="AQ74" i="1" s="1"/>
  <c r="E43" i="1"/>
  <c r="D43" i="1" s="1"/>
  <c r="E120" i="1"/>
  <c r="D120" i="1" s="1"/>
  <c r="AS75" i="1" l="1"/>
  <c r="AS77" i="1" s="1"/>
  <c r="E42" i="1"/>
  <c r="D42" i="1" s="1"/>
  <c r="D108" i="1" s="1"/>
  <c r="AS83" i="1"/>
  <c r="AS86" i="1" s="1"/>
  <c r="AS88" i="1" s="1"/>
  <c r="AS109" i="40"/>
  <c r="D116" i="40"/>
  <c r="B24" i="49" s="1"/>
  <c r="E9" i="40"/>
  <c r="D9" i="40" s="1"/>
  <c r="E25" i="40"/>
  <c r="D25" i="40" s="1"/>
  <c r="D169" i="40" s="1"/>
  <c r="C61" i="15"/>
  <c r="B61" i="15"/>
  <c r="A62" i="15"/>
  <c r="R77" i="15"/>
  <c r="S78" i="15"/>
  <c r="R78" i="15" s="1"/>
  <c r="AR78" i="1"/>
  <c r="AR80" i="1" s="1"/>
  <c r="AR74" i="1" s="1"/>
  <c r="D108" i="40"/>
  <c r="T11" i="20" s="1"/>
  <c r="U11" i="20" s="1"/>
  <c r="AS30" i="40"/>
  <c r="AS31" i="40" s="1"/>
  <c r="AS44" i="40" s="1"/>
  <c r="D166" i="40"/>
  <c r="D107" i="40"/>
  <c r="T10" i="20" s="1"/>
  <c r="D167" i="40"/>
  <c r="D106" i="40"/>
  <c r="T9" i="20" s="1"/>
  <c r="O20" i="12"/>
  <c r="J20" i="12"/>
  <c r="E21" i="12"/>
  <c r="E20" i="12"/>
  <c r="B64" i="40"/>
  <c r="O21" i="12"/>
  <c r="J21" i="12"/>
  <c r="D110" i="40"/>
  <c r="T15" i="20" s="1"/>
  <c r="U15" i="20" s="1"/>
  <c r="V33" i="20" s="1"/>
  <c r="D170" i="40"/>
  <c r="E27" i="40"/>
  <c r="D27" i="40" s="1"/>
  <c r="AQ47" i="40"/>
  <c r="AQ49" i="40" s="1"/>
  <c r="AQ119" i="40"/>
  <c r="AJ47" i="40"/>
  <c r="AJ49" i="40" s="1"/>
  <c r="AJ119" i="40"/>
  <c r="AR47" i="40"/>
  <c r="AR49" i="40" s="1"/>
  <c r="AR119" i="40"/>
  <c r="AM47" i="40"/>
  <c r="AM49" i="40" s="1"/>
  <c r="AM119" i="40"/>
  <c r="AN61" i="15"/>
  <c r="AL60" i="15"/>
  <c r="D60" i="15" s="1"/>
  <c r="AQ6" i="40"/>
  <c r="AJ6" i="40"/>
  <c r="AR6" i="40"/>
  <c r="AM6" i="40"/>
  <c r="AK119" i="40"/>
  <c r="AK47" i="40"/>
  <c r="AK49" i="40" s="1"/>
  <c r="AR86" i="1"/>
  <c r="AS85" i="1" l="1"/>
  <c r="D109" i="40"/>
  <c r="T14" i="20" s="1"/>
  <c r="T16" i="20" s="1"/>
  <c r="AS78" i="1"/>
  <c r="AS80" i="1" s="1"/>
  <c r="E30" i="40"/>
  <c r="D30" i="40" s="1"/>
  <c r="C171" i="40" s="1"/>
  <c r="C62" i="15"/>
  <c r="A63" i="15"/>
  <c r="V32" i="20"/>
  <c r="E7" i="12"/>
  <c r="AS82" i="1"/>
  <c r="D171" i="40"/>
  <c r="U10" i="20"/>
  <c r="V37" i="20"/>
  <c r="AM64" i="40"/>
  <c r="AM54" i="40" s="1"/>
  <c r="AM56" i="40" s="1"/>
  <c r="AM66" i="40" s="1"/>
  <c r="W64" i="40"/>
  <c r="AP64" i="40"/>
  <c r="AP54" i="40" s="1"/>
  <c r="AP56" i="40" s="1"/>
  <c r="AP66" i="40" s="1"/>
  <c r="P92" i="40"/>
  <c r="N92" i="40"/>
  <c r="G64" i="40"/>
  <c r="AR64" i="40"/>
  <c r="AR54" i="40" s="1"/>
  <c r="AR56" i="40" s="1"/>
  <c r="AR66" i="40" s="1"/>
  <c r="AC92" i="40"/>
  <c r="AD92" i="40"/>
  <c r="AD64" i="40"/>
  <c r="AN64" i="40"/>
  <c r="AN54" i="40" s="1"/>
  <c r="AN56" i="40" s="1"/>
  <c r="AN66" i="40" s="1"/>
  <c r="AN79" i="40" s="1"/>
  <c r="V64" i="40"/>
  <c r="AA92" i="40"/>
  <c r="AF92" i="40"/>
  <c r="AK64" i="40"/>
  <c r="AK54" i="40" s="1"/>
  <c r="AK56" i="40" s="1"/>
  <c r="AK66" i="40" s="1"/>
  <c r="AK112" i="40" s="1"/>
  <c r="K64" i="40"/>
  <c r="J92" i="40"/>
  <c r="H92" i="40"/>
  <c r="AC64" i="40"/>
  <c r="X92" i="40"/>
  <c r="W92" i="40"/>
  <c r="M64" i="40"/>
  <c r="N64" i="40"/>
  <c r="M92" i="40"/>
  <c r="AS64" i="40"/>
  <c r="U64" i="40"/>
  <c r="Z92" i="40"/>
  <c r="AF64" i="40"/>
  <c r="X64" i="40"/>
  <c r="I64" i="40"/>
  <c r="AH64" i="40"/>
  <c r="AO64" i="40"/>
  <c r="AO54" i="40" s="1"/>
  <c r="AO56" i="40" s="1"/>
  <c r="AO66" i="40" s="1"/>
  <c r="T92" i="40"/>
  <c r="H64" i="40"/>
  <c r="G92" i="40"/>
  <c r="AB92" i="40"/>
  <c r="J64" i="40"/>
  <c r="AJ64" i="40"/>
  <c r="AJ54" i="40" s="1"/>
  <c r="AJ56" i="40" s="1"/>
  <c r="AJ66" i="40" s="1"/>
  <c r="AJ112" i="40" s="1"/>
  <c r="AI64" i="40"/>
  <c r="AA64" i="40"/>
  <c r="Y64" i="40"/>
  <c r="T64" i="40"/>
  <c r="AG92" i="40"/>
  <c r="F64" i="40"/>
  <c r="P64" i="40"/>
  <c r="Z64" i="40"/>
  <c r="I92" i="40"/>
  <c r="O92" i="40"/>
  <c r="AB64" i="40"/>
  <c r="S64" i="40"/>
  <c r="AH92" i="40"/>
  <c r="K92" i="40"/>
  <c r="AE64" i="40"/>
  <c r="AG64" i="40"/>
  <c r="R64" i="40"/>
  <c r="V92" i="40"/>
  <c r="Y92" i="40"/>
  <c r="AE92" i="40"/>
  <c r="S92" i="40"/>
  <c r="L92" i="40"/>
  <c r="Q64" i="40"/>
  <c r="F92" i="40"/>
  <c r="AL64" i="40"/>
  <c r="AL54" i="40" s="1"/>
  <c r="AL56" i="40" s="1"/>
  <c r="AL66" i="40" s="1"/>
  <c r="R92" i="40"/>
  <c r="O64" i="40"/>
  <c r="AQ64" i="40"/>
  <c r="AQ54" i="40" s="1"/>
  <c r="AQ56" i="40" s="1"/>
  <c r="AQ66" i="40" s="1"/>
  <c r="AQ112" i="40" s="1"/>
  <c r="AI92" i="40"/>
  <c r="Q92" i="40"/>
  <c r="L64" i="40"/>
  <c r="U92" i="40"/>
  <c r="AS119" i="40"/>
  <c r="AS47" i="40"/>
  <c r="AS49" i="40" s="1"/>
  <c r="AS6" i="40"/>
  <c r="U9" i="20"/>
  <c r="V36" i="20"/>
  <c r="AL61" i="15"/>
  <c r="D61" i="15" s="1"/>
  <c r="AN62" i="15"/>
  <c r="AR88" i="1"/>
  <c r="E86" i="1"/>
  <c r="D86" i="1" s="1"/>
  <c r="E78" i="1" l="1"/>
  <c r="D78" i="1" s="1"/>
  <c r="B8" i="51"/>
  <c r="U14" i="20"/>
  <c r="U16" i="20" s="1"/>
  <c r="B7" i="51" s="1"/>
  <c r="AN80" i="40"/>
  <c r="AN85" i="40" s="1"/>
  <c r="AN84" i="40"/>
  <c r="C63" i="15"/>
  <c r="A64" i="15"/>
  <c r="AN112" i="40"/>
  <c r="F171" i="40"/>
  <c r="D174" i="40"/>
  <c r="AN105" i="40"/>
  <c r="AR112" i="40"/>
  <c r="AR79" i="40"/>
  <c r="AM112" i="40"/>
  <c r="AM79" i="40"/>
  <c r="AM84" i="40" s="1"/>
  <c r="E92" i="40"/>
  <c r="D92" i="40" s="1"/>
  <c r="D179" i="40" s="1"/>
  <c r="AP79" i="40"/>
  <c r="AP84" i="40" s="1"/>
  <c r="AP112" i="40"/>
  <c r="AJ79" i="40"/>
  <c r="AK79" i="40"/>
  <c r="AL79" i="40"/>
  <c r="AL84" i="40" s="1"/>
  <c r="AL112" i="40"/>
  <c r="AO79" i="40"/>
  <c r="AO84" i="40" s="1"/>
  <c r="AO112" i="40"/>
  <c r="AQ79" i="40"/>
  <c r="AS54" i="40"/>
  <c r="AS56" i="40" s="1"/>
  <c r="AS66" i="40" s="1"/>
  <c r="E64" i="40"/>
  <c r="D64" i="40" s="1"/>
  <c r="D184" i="40" s="1"/>
  <c r="AR82" i="1"/>
  <c r="E82" i="1" s="1"/>
  <c r="D82" i="1" s="1"/>
  <c r="E88" i="1"/>
  <c r="D88" i="1" s="1"/>
  <c r="AL62" i="15"/>
  <c r="D62" i="15" s="1"/>
  <c r="AN63" i="15"/>
  <c r="AS74" i="1"/>
  <c r="E74" i="1" s="1"/>
  <c r="E80" i="1"/>
  <c r="D80" i="1" s="1"/>
  <c r="AJ105" i="40" l="1"/>
  <c r="AJ84" i="40"/>
  <c r="AQ105" i="40"/>
  <c r="AQ84" i="40"/>
  <c r="AR105" i="40"/>
  <c r="AR84" i="40"/>
  <c r="AK105" i="40"/>
  <c r="AK84" i="40"/>
  <c r="AK80" i="40"/>
  <c r="AK85" i="40" s="1"/>
  <c r="AR80" i="40"/>
  <c r="AR85" i="40" s="1"/>
  <c r="C64" i="15"/>
  <c r="A65" i="15"/>
  <c r="AJ80" i="40"/>
  <c r="AJ85" i="40" s="1"/>
  <c r="AQ80" i="40"/>
  <c r="AQ85" i="40" s="1"/>
  <c r="AS112" i="40"/>
  <c r="AS79" i="40"/>
  <c r="AS84" i="40" s="1"/>
  <c r="AL80" i="40"/>
  <c r="AL85" i="40" s="1"/>
  <c r="AL105" i="40"/>
  <c r="AP80" i="40"/>
  <c r="AP85" i="40" s="1"/>
  <c r="AP105" i="40"/>
  <c r="AO80" i="40"/>
  <c r="AO85" i="40" s="1"/>
  <c r="AO105" i="40"/>
  <c r="AM105" i="40"/>
  <c r="AM80" i="40"/>
  <c r="AM85" i="40" s="1"/>
  <c r="B90" i="1"/>
  <c r="B71" i="1" s="1"/>
  <c r="D74" i="1"/>
  <c r="AN64" i="15"/>
  <c r="AL63" i="15"/>
  <c r="D63" i="15" s="1"/>
  <c r="C65" i="15" l="1"/>
  <c r="A66" i="15"/>
  <c r="AS80" i="40"/>
  <c r="AS85" i="40" s="1"/>
  <c r="AS105" i="40"/>
  <c r="T71" i="1"/>
  <c r="T61" i="1" s="1"/>
  <c r="AQ71" i="1"/>
  <c r="AQ61" i="1" s="1"/>
  <c r="X71" i="1"/>
  <c r="X61" i="1" s="1"/>
  <c r="AP132" i="1"/>
  <c r="K71" i="1"/>
  <c r="K61" i="1" s="1"/>
  <c r="AE132" i="1"/>
  <c r="G71" i="1"/>
  <c r="G61" i="1" s="1"/>
  <c r="AC71" i="1"/>
  <c r="AC61" i="1" s="1"/>
  <c r="AM132" i="1"/>
  <c r="Q71" i="1"/>
  <c r="Q61" i="1" s="1"/>
  <c r="AQ132" i="1"/>
  <c r="K132" i="1"/>
  <c r="AD71" i="1"/>
  <c r="AD61" i="1" s="1"/>
  <c r="H71" i="1"/>
  <c r="H61" i="1" s="1"/>
  <c r="G132" i="1"/>
  <c r="R132" i="1"/>
  <c r="I132" i="1"/>
  <c r="V132" i="1"/>
  <c r="AA71" i="1"/>
  <c r="AA61" i="1" s="1"/>
  <c r="S71" i="1"/>
  <c r="S61" i="1" s="1"/>
  <c r="AC132" i="1"/>
  <c r="AL71" i="1"/>
  <c r="AL61" i="1" s="1"/>
  <c r="Z71" i="1"/>
  <c r="Z61" i="1" s="1"/>
  <c r="J71" i="1"/>
  <c r="J61" i="1" s="1"/>
  <c r="F71" i="1"/>
  <c r="O71" i="1"/>
  <c r="O61" i="1" s="1"/>
  <c r="R71" i="1"/>
  <c r="R61" i="1" s="1"/>
  <c r="AK132" i="1"/>
  <c r="V71" i="1"/>
  <c r="V61" i="1" s="1"/>
  <c r="AM71" i="1"/>
  <c r="AM61" i="1" s="1"/>
  <c r="AN132" i="1"/>
  <c r="Q132" i="1"/>
  <c r="AR132" i="1"/>
  <c r="L132" i="1"/>
  <c r="AJ71" i="1"/>
  <c r="AJ61" i="1" s="1"/>
  <c r="AF132" i="1"/>
  <c r="AH71" i="1"/>
  <c r="AH61" i="1" s="1"/>
  <c r="W132" i="1"/>
  <c r="W71" i="1"/>
  <c r="W61" i="1" s="1"/>
  <c r="AA132" i="1"/>
  <c r="Y132" i="1"/>
  <c r="AE71" i="1"/>
  <c r="AE61" i="1" s="1"/>
  <c r="N71" i="1"/>
  <c r="N61" i="1" s="1"/>
  <c r="O132" i="1"/>
  <c r="AG132" i="1"/>
  <c r="S132" i="1"/>
  <c r="U132" i="1"/>
  <c r="M71" i="1"/>
  <c r="M61" i="1" s="1"/>
  <c r="AK71" i="1"/>
  <c r="AK61" i="1" s="1"/>
  <c r="AD132" i="1"/>
  <c r="AS132" i="1"/>
  <c r="AG71" i="1"/>
  <c r="AG61" i="1" s="1"/>
  <c r="L71" i="1"/>
  <c r="L61" i="1" s="1"/>
  <c r="AS71" i="1"/>
  <c r="AS61" i="1" s="1"/>
  <c r="AO71" i="1"/>
  <c r="AO61" i="1" s="1"/>
  <c r="AI71" i="1"/>
  <c r="AI61" i="1" s="1"/>
  <c r="N132" i="1"/>
  <c r="X132" i="1"/>
  <c r="J132" i="1"/>
  <c r="AB132" i="1"/>
  <c r="H132" i="1"/>
  <c r="U71" i="1"/>
  <c r="U61" i="1" s="1"/>
  <c r="M132" i="1"/>
  <c r="P132" i="1"/>
  <c r="F132" i="1"/>
  <c r="T132" i="1"/>
  <c r="AN71" i="1"/>
  <c r="AN61" i="1" s="1"/>
  <c r="Y71" i="1"/>
  <c r="Y61" i="1" s="1"/>
  <c r="Z132" i="1"/>
  <c r="AO132" i="1"/>
  <c r="I71" i="1"/>
  <c r="I61" i="1" s="1"/>
  <c r="AH132" i="1"/>
  <c r="P71" i="1"/>
  <c r="P61" i="1" s="1"/>
  <c r="AL132" i="1"/>
  <c r="AP71" i="1"/>
  <c r="AP61" i="1" s="1"/>
  <c r="AI132" i="1"/>
  <c r="AJ132" i="1"/>
  <c r="AB71" i="1"/>
  <c r="AB61" i="1" s="1"/>
  <c r="AF71" i="1"/>
  <c r="AF61" i="1" s="1"/>
  <c r="AR71" i="1"/>
  <c r="AR61" i="1" s="1"/>
  <c r="AN65" i="15"/>
  <c r="AL64" i="15"/>
  <c r="D64" i="15" s="1"/>
  <c r="A67" i="15" l="1"/>
  <c r="C66" i="15"/>
  <c r="AN66" i="15"/>
  <c r="AL65" i="15"/>
  <c r="D65" i="15" s="1"/>
  <c r="P63" i="1"/>
  <c r="P54" i="1"/>
  <c r="AI62" i="1"/>
  <c r="AE62" i="1"/>
  <c r="L63" i="1"/>
  <c r="L54" i="1"/>
  <c r="AK63" i="1"/>
  <c r="AK167" i="1" s="1"/>
  <c r="AK54" i="1"/>
  <c r="AK56" i="1" s="1"/>
  <c r="AH63" i="1"/>
  <c r="AH54" i="1"/>
  <c r="AH56" i="1" s="1"/>
  <c r="V54" i="1"/>
  <c r="V56" i="1" s="1"/>
  <c r="V63" i="1"/>
  <c r="F61" i="1"/>
  <c r="E71" i="1"/>
  <c r="D71" i="1" s="1"/>
  <c r="AD54" i="1"/>
  <c r="AD56" i="1" s="1"/>
  <c r="AD63" i="1"/>
  <c r="K54" i="1"/>
  <c r="AD62" i="1"/>
  <c r="K63" i="1"/>
  <c r="T54" i="1"/>
  <c r="T56" i="1" s="1"/>
  <c r="T63" i="1"/>
  <c r="E132" i="1"/>
  <c r="D132" i="1" s="1"/>
  <c r="AB63" i="1"/>
  <c r="AB54" i="1"/>
  <c r="AB56" i="1" s="1"/>
  <c r="U54" i="1"/>
  <c r="U56" i="1" s="1"/>
  <c r="U63" i="1"/>
  <c r="AS54" i="1"/>
  <c r="AS56" i="1" s="1"/>
  <c r="AS63" i="1"/>
  <c r="AS167" i="1" s="1"/>
  <c r="AE63" i="1"/>
  <c r="AE54" i="1"/>
  <c r="AE56" i="1" s="1"/>
  <c r="AM63" i="1"/>
  <c r="AM167" i="1" s="1"/>
  <c r="AM54" i="1"/>
  <c r="AM56" i="1" s="1"/>
  <c r="O54" i="1"/>
  <c r="AH62" i="1"/>
  <c r="O63" i="1"/>
  <c r="AL54" i="1"/>
  <c r="AL56" i="1" s="1"/>
  <c r="AL63" i="1"/>
  <c r="AL167" i="1" s="1"/>
  <c r="H54" i="1"/>
  <c r="H63" i="1"/>
  <c r="AA62" i="1"/>
  <c r="Q54" i="1"/>
  <c r="Q56" i="1" s="1"/>
  <c r="Q63" i="1"/>
  <c r="AQ54" i="1"/>
  <c r="AQ56" i="1" s="1"/>
  <c r="AQ63" i="1"/>
  <c r="AQ167" i="1" s="1"/>
  <c r="AF54" i="1"/>
  <c r="AF56" i="1" s="1"/>
  <c r="AF63" i="1"/>
  <c r="AP54" i="1"/>
  <c r="AP56" i="1" s="1"/>
  <c r="AP63" i="1"/>
  <c r="AP167" i="1" s="1"/>
  <c r="AB62" i="1"/>
  <c r="I63" i="1"/>
  <c r="I54" i="1"/>
  <c r="AN63" i="1"/>
  <c r="AN167" i="1" s="1"/>
  <c r="AN54" i="1"/>
  <c r="AN56" i="1" s="1"/>
  <c r="AO54" i="1"/>
  <c r="AO56" i="1" s="1"/>
  <c r="AO63" i="1"/>
  <c r="AO167" i="1" s="1"/>
  <c r="AG62" i="1"/>
  <c r="N63" i="1"/>
  <c r="N54" i="1"/>
  <c r="W54" i="1"/>
  <c r="W56" i="1" s="1"/>
  <c r="W63" i="1"/>
  <c r="AJ54" i="1"/>
  <c r="AJ56" i="1" s="1"/>
  <c r="AJ63" i="1"/>
  <c r="AJ167" i="1" s="1"/>
  <c r="R63" i="1"/>
  <c r="R54" i="1"/>
  <c r="R56" i="1" s="1"/>
  <c r="Z54" i="1"/>
  <c r="Z56" i="1" s="1"/>
  <c r="Z63" i="1"/>
  <c r="AA63" i="1"/>
  <c r="AA54" i="1"/>
  <c r="AA56" i="1" s="1"/>
  <c r="Z62" i="1"/>
  <c r="G63" i="1"/>
  <c r="G54" i="1"/>
  <c r="X63" i="1"/>
  <c r="X54" i="1"/>
  <c r="X56" i="1" s="1"/>
  <c r="AR54" i="1"/>
  <c r="AR56" i="1" s="1"/>
  <c r="AR63" i="1"/>
  <c r="AR167" i="1" s="1"/>
  <c r="Y54" i="1"/>
  <c r="Y56" i="1" s="1"/>
  <c r="Y63" i="1"/>
  <c r="AI54" i="1"/>
  <c r="AI56" i="1" s="1"/>
  <c r="AI63" i="1"/>
  <c r="AG54" i="1"/>
  <c r="AG56" i="1" s="1"/>
  <c r="AG63" i="1"/>
  <c r="M54" i="1"/>
  <c r="AF62" i="1"/>
  <c r="M63" i="1"/>
  <c r="AC62" i="1"/>
  <c r="J63" i="1"/>
  <c r="J54" i="1"/>
  <c r="S54" i="1"/>
  <c r="S56" i="1" s="1"/>
  <c r="S63" i="1"/>
  <c r="AC54" i="1"/>
  <c r="AC56" i="1" s="1"/>
  <c r="AC63" i="1"/>
  <c r="C67" i="15" l="1"/>
  <c r="A68" i="15"/>
  <c r="AC55" i="1"/>
  <c r="J56" i="1"/>
  <c r="Z55" i="1"/>
  <c r="G56" i="1"/>
  <c r="W51" i="1"/>
  <c r="W73" i="1"/>
  <c r="I56" i="1"/>
  <c r="AB55" i="1"/>
  <c r="AP51" i="1"/>
  <c r="AP73" i="1"/>
  <c r="AQ51" i="1"/>
  <c r="AQ73" i="1"/>
  <c r="AS51" i="1"/>
  <c r="AS73" i="1"/>
  <c r="AD73" i="1"/>
  <c r="AD51" i="1"/>
  <c r="AD45" i="1" s="1"/>
  <c r="V51" i="1"/>
  <c r="V73" i="1"/>
  <c r="AL66" i="15"/>
  <c r="D66" i="15" s="1"/>
  <c r="AN67" i="15"/>
  <c r="S51" i="1"/>
  <c r="S73" i="1"/>
  <c r="AG51" i="1"/>
  <c r="AG73" i="1"/>
  <c r="Y73" i="1"/>
  <c r="Y51" i="1"/>
  <c r="AA51" i="1"/>
  <c r="AA45" i="1" s="1"/>
  <c r="AA73" i="1"/>
  <c r="R51" i="1"/>
  <c r="R73" i="1"/>
  <c r="AL51" i="1"/>
  <c r="AL73" i="1"/>
  <c r="AM51" i="1"/>
  <c r="AM73" i="1"/>
  <c r="AB73" i="1"/>
  <c r="AB51" i="1"/>
  <c r="AB45" i="1" s="1"/>
  <c r="T51" i="1"/>
  <c r="T73" i="1"/>
  <c r="AK73" i="1"/>
  <c r="AK51" i="1"/>
  <c r="X73" i="1"/>
  <c r="X51" i="1"/>
  <c r="Z51" i="1"/>
  <c r="Z45" i="1" s="1"/>
  <c r="Z73" i="1"/>
  <c r="AJ51" i="1"/>
  <c r="AJ73" i="1"/>
  <c r="AN73" i="1"/>
  <c r="AN51" i="1"/>
  <c r="AF51" i="1"/>
  <c r="AF73" i="1"/>
  <c r="Q73" i="1"/>
  <c r="Q51" i="1"/>
  <c r="AH55" i="1"/>
  <c r="O56" i="1"/>
  <c r="U51" i="1"/>
  <c r="U73" i="1"/>
  <c r="AD55" i="1"/>
  <c r="K56" i="1"/>
  <c r="S62" i="1"/>
  <c r="Y62" i="1"/>
  <c r="T62" i="1"/>
  <c r="Q62" i="1"/>
  <c r="R62" i="1"/>
  <c r="F54" i="1"/>
  <c r="X62" i="1"/>
  <c r="V62" i="1"/>
  <c r="F62" i="1"/>
  <c r="K62" i="1"/>
  <c r="H62" i="1"/>
  <c r="F63" i="1"/>
  <c r="E63" i="1" s="1"/>
  <c r="D63" i="1" s="1"/>
  <c r="L62" i="1"/>
  <c r="M62" i="1"/>
  <c r="N62" i="1"/>
  <c r="O62" i="1"/>
  <c r="W62" i="1"/>
  <c r="P62" i="1"/>
  <c r="U62" i="1"/>
  <c r="J62" i="1"/>
  <c r="E61" i="1"/>
  <c r="D61" i="1" s="1"/>
  <c r="G62" i="1"/>
  <c r="I62" i="1"/>
  <c r="AC51" i="1"/>
  <c r="AC45" i="1" s="1"/>
  <c r="AC73" i="1"/>
  <c r="AF55" i="1"/>
  <c r="M56" i="1"/>
  <c r="AI51" i="1"/>
  <c r="AI73" i="1"/>
  <c r="AR51" i="1"/>
  <c r="AR73" i="1"/>
  <c r="AG55" i="1"/>
  <c r="N56" i="1"/>
  <c r="AO51" i="1"/>
  <c r="AO73" i="1"/>
  <c r="AA55" i="1"/>
  <c r="H56" i="1"/>
  <c r="AE51" i="1"/>
  <c r="AE73" i="1"/>
  <c r="AH51" i="1"/>
  <c r="AH73" i="1"/>
  <c r="AE55" i="1"/>
  <c r="L56" i="1"/>
  <c r="AI55" i="1"/>
  <c r="P56" i="1"/>
  <c r="C68" i="15" l="1"/>
  <c r="A69" i="15"/>
  <c r="K51" i="1"/>
  <c r="K73" i="1"/>
  <c r="AF6" i="1"/>
  <c r="AF46" i="1" s="1"/>
  <c r="AF47" i="1" s="1"/>
  <c r="AF115" i="1"/>
  <c r="AF41" i="1"/>
  <c r="AF40" i="1" s="1"/>
  <c r="X45" i="1"/>
  <c r="X53" i="1"/>
  <c r="X166" i="1" s="1"/>
  <c r="X91" i="1"/>
  <c r="X165" i="1" s="1"/>
  <c r="R41" i="1"/>
  <c r="R40" i="1" s="1"/>
  <c r="R115" i="1"/>
  <c r="R6" i="1"/>
  <c r="R46" i="1" s="1"/>
  <c r="R47" i="1" s="1"/>
  <c r="Y53" i="1"/>
  <c r="Y166" i="1" s="1"/>
  <c r="Y45" i="1"/>
  <c r="Y91" i="1"/>
  <c r="Y165" i="1" s="1"/>
  <c r="S6" i="1"/>
  <c r="S46" i="1" s="1"/>
  <c r="S47" i="1" s="1"/>
  <c r="S41" i="1"/>
  <c r="S40" i="1" s="1"/>
  <c r="S115" i="1"/>
  <c r="V41" i="1"/>
  <c r="V40" i="1" s="1"/>
  <c r="V115" i="1"/>
  <c r="V6" i="1"/>
  <c r="V46" i="1" s="1"/>
  <c r="V47" i="1" s="1"/>
  <c r="AS115" i="1"/>
  <c r="AS116" i="1" s="1"/>
  <c r="AS6" i="1"/>
  <c r="AS41" i="1"/>
  <c r="AP115" i="1"/>
  <c r="AP116" i="1" s="1"/>
  <c r="AP6" i="1"/>
  <c r="AP41" i="1"/>
  <c r="W115" i="1"/>
  <c r="W6" i="1"/>
  <c r="W46" i="1" s="1"/>
  <c r="W47" i="1" s="1"/>
  <c r="W41" i="1"/>
  <c r="W40" i="1" s="1"/>
  <c r="L51" i="1"/>
  <c r="L73" i="1"/>
  <c r="AE6" i="1"/>
  <c r="AE46" i="1" s="1"/>
  <c r="AE47" i="1" s="1"/>
  <c r="AE41" i="1"/>
  <c r="AE40" i="1" s="1"/>
  <c r="AE115" i="1"/>
  <c r="AO41" i="1"/>
  <c r="AO115" i="1"/>
  <c r="AO116" i="1" s="1"/>
  <c r="AO6" i="1"/>
  <c r="AR115" i="1"/>
  <c r="AR116" i="1" s="1"/>
  <c r="AR6" i="1"/>
  <c r="AR41" i="1"/>
  <c r="M51" i="1"/>
  <c r="M73" i="1"/>
  <c r="AF53" i="1"/>
  <c r="AF166" i="1" s="1"/>
  <c r="AF91" i="1"/>
  <c r="AF165" i="1" s="1"/>
  <c r="AJ91" i="1"/>
  <c r="AJ165" i="1" s="1"/>
  <c r="AJ53" i="1"/>
  <c r="AJ166" i="1" s="1"/>
  <c r="X115" i="1"/>
  <c r="X6" i="1"/>
  <c r="X46" i="1" s="1"/>
  <c r="X47" i="1" s="1"/>
  <c r="X41" i="1"/>
  <c r="X40" i="1" s="1"/>
  <c r="T91" i="1"/>
  <c r="T165" i="1" s="1"/>
  <c r="T45" i="1"/>
  <c r="T53" i="1"/>
  <c r="T166" i="1" s="1"/>
  <c r="AM53" i="1"/>
  <c r="AM166" i="1" s="1"/>
  <c r="AM91" i="1"/>
  <c r="AM165" i="1" s="1"/>
  <c r="R45" i="1"/>
  <c r="R91" i="1"/>
  <c r="R165" i="1" s="1"/>
  <c r="R53" i="1"/>
  <c r="R166" i="1" s="1"/>
  <c r="Y41" i="1"/>
  <c r="Y40" i="1" s="1"/>
  <c r="Y6" i="1"/>
  <c r="Y46" i="1" s="1"/>
  <c r="Y47" i="1" s="1"/>
  <c r="Y115" i="1"/>
  <c r="S45" i="1"/>
  <c r="S91" i="1"/>
  <c r="S165" i="1" s="1"/>
  <c r="S53" i="1"/>
  <c r="S166" i="1" s="1"/>
  <c r="V45" i="1"/>
  <c r="V91" i="1"/>
  <c r="V165" i="1" s="1"/>
  <c r="V53" i="1"/>
  <c r="V166" i="1" s="1"/>
  <c r="AS53" i="1"/>
  <c r="AS166" i="1" s="1"/>
  <c r="AS91" i="1"/>
  <c r="AS165" i="1" s="1"/>
  <c r="AP53" i="1"/>
  <c r="AP166" i="1" s="1"/>
  <c r="AP91" i="1"/>
  <c r="AP165" i="1" s="1"/>
  <c r="W53" i="1"/>
  <c r="W166" i="1" s="1"/>
  <c r="W91" i="1"/>
  <c r="W165" i="1" s="1"/>
  <c r="W45" i="1"/>
  <c r="AH53" i="1"/>
  <c r="AH166" i="1" s="1"/>
  <c r="AH91" i="1"/>
  <c r="AH165" i="1" s="1"/>
  <c r="AI53" i="1"/>
  <c r="AI166" i="1" s="1"/>
  <c r="AI91" i="1"/>
  <c r="AI165" i="1" s="1"/>
  <c r="T6" i="1"/>
  <c r="T46" i="1" s="1"/>
  <c r="T47" i="1" s="1"/>
  <c r="T41" i="1"/>
  <c r="T40" i="1" s="1"/>
  <c r="T115" i="1"/>
  <c r="P73" i="1"/>
  <c r="P51" i="1"/>
  <c r="AH115" i="1"/>
  <c r="AH41" i="1"/>
  <c r="AH40" i="1" s="1"/>
  <c r="AH6" i="1"/>
  <c r="AH46" i="1" s="1"/>
  <c r="AH47" i="1" s="1"/>
  <c r="H51" i="1"/>
  <c r="H73" i="1"/>
  <c r="N51" i="1"/>
  <c r="N73" i="1"/>
  <c r="AI6" i="1"/>
  <c r="AI46" i="1" s="1"/>
  <c r="AI47" i="1" s="1"/>
  <c r="AI41" i="1"/>
  <c r="AI40" i="1" s="1"/>
  <c r="AI115" i="1"/>
  <c r="AC115" i="1"/>
  <c r="AC41" i="1"/>
  <c r="AC40" i="1" s="1"/>
  <c r="AC6" i="1"/>
  <c r="AC46" i="1" s="1"/>
  <c r="AC47" i="1" s="1"/>
  <c r="U45" i="1"/>
  <c r="U53" i="1"/>
  <c r="U166" i="1" s="1"/>
  <c r="U91" i="1"/>
  <c r="U165" i="1" s="1"/>
  <c r="Q115" i="1"/>
  <c r="Q6" i="1"/>
  <c r="Q46" i="1" s="1"/>
  <c r="Q47" i="1" s="1"/>
  <c r="Q41" i="1"/>
  <c r="Q40" i="1" s="1"/>
  <c r="AN6" i="1"/>
  <c r="AN41" i="1"/>
  <c r="AN115" i="1"/>
  <c r="AN116" i="1" s="1"/>
  <c r="Z91" i="1"/>
  <c r="Z165" i="1" s="1"/>
  <c r="Z53" i="1"/>
  <c r="Z166" i="1" s="1"/>
  <c r="AK6" i="1"/>
  <c r="AK41" i="1"/>
  <c r="AK115" i="1"/>
  <c r="AK116" i="1" s="1"/>
  <c r="AB41" i="1"/>
  <c r="AB40" i="1" s="1"/>
  <c r="AB115" i="1"/>
  <c r="AB6" i="1"/>
  <c r="AB46" i="1" s="1"/>
  <c r="AB47" i="1" s="1"/>
  <c r="AL91" i="1"/>
  <c r="AL165" i="1" s="1"/>
  <c r="AL53" i="1"/>
  <c r="AL166" i="1" s="1"/>
  <c r="AA91" i="1"/>
  <c r="AA165" i="1" s="1"/>
  <c r="AA53" i="1"/>
  <c r="AA166" i="1" s="1"/>
  <c r="AG91" i="1"/>
  <c r="AG165" i="1" s="1"/>
  <c r="AG53" i="1"/>
  <c r="AG166" i="1" s="1"/>
  <c r="AD6" i="1"/>
  <c r="AD46" i="1" s="1"/>
  <c r="AD47" i="1" s="1"/>
  <c r="AD41" i="1"/>
  <c r="AD40" i="1" s="1"/>
  <c r="AD115" i="1"/>
  <c r="AQ91" i="1"/>
  <c r="AQ165" i="1" s="1"/>
  <c r="AQ53" i="1"/>
  <c r="AQ166" i="1" s="1"/>
  <c r="I73" i="1"/>
  <c r="I51" i="1"/>
  <c r="AC53" i="1"/>
  <c r="AC166" i="1" s="1"/>
  <c r="AC91" i="1"/>
  <c r="AC165" i="1" s="1"/>
  <c r="O51" i="1"/>
  <c r="O73" i="1"/>
  <c r="AJ6" i="1"/>
  <c r="AJ41" i="1"/>
  <c r="AJ115" i="1"/>
  <c r="AJ116" i="1" s="1"/>
  <c r="AM115" i="1"/>
  <c r="AM116" i="1" s="1"/>
  <c r="AM6" i="1"/>
  <c r="AM41" i="1"/>
  <c r="J51" i="1"/>
  <c r="J73" i="1"/>
  <c r="AE91" i="1"/>
  <c r="AE165" i="1" s="1"/>
  <c r="AE53" i="1"/>
  <c r="AE166" i="1" s="1"/>
  <c r="AO91" i="1"/>
  <c r="AO165" i="1" s="1"/>
  <c r="AO53" i="1"/>
  <c r="AO166" i="1" s="1"/>
  <c r="AR53" i="1"/>
  <c r="AR166" i="1" s="1"/>
  <c r="AR91" i="1"/>
  <c r="AR165" i="1" s="1"/>
  <c r="Q55" i="1"/>
  <c r="F55" i="1"/>
  <c r="W55" i="1"/>
  <c r="L55" i="1"/>
  <c r="I55" i="1"/>
  <c r="F51" i="1"/>
  <c r="N55" i="1"/>
  <c r="M55" i="1"/>
  <c r="S55" i="1"/>
  <c r="K55" i="1"/>
  <c r="O55" i="1"/>
  <c r="F56" i="1"/>
  <c r="J55" i="1"/>
  <c r="T55" i="1"/>
  <c r="H55" i="1"/>
  <c r="U55" i="1"/>
  <c r="G55" i="1"/>
  <c r="Y55" i="1"/>
  <c r="P55" i="1"/>
  <c r="R55" i="1"/>
  <c r="X55" i="1"/>
  <c r="V55" i="1"/>
  <c r="E54" i="1"/>
  <c r="D54" i="1" s="1"/>
  <c r="U6" i="1"/>
  <c r="U46" i="1" s="1"/>
  <c r="U47" i="1" s="1"/>
  <c r="U41" i="1"/>
  <c r="U40" i="1" s="1"/>
  <c r="U115" i="1"/>
  <c r="Q45" i="1"/>
  <c r="Q53" i="1"/>
  <c r="Q166" i="1" s="1"/>
  <c r="Q91" i="1"/>
  <c r="Q165" i="1" s="1"/>
  <c r="AN53" i="1"/>
  <c r="AN166" i="1" s="1"/>
  <c r="AN91" i="1"/>
  <c r="AN165" i="1" s="1"/>
  <c r="Z6" i="1"/>
  <c r="Z46" i="1" s="1"/>
  <c r="Z47" i="1" s="1"/>
  <c r="Z41" i="1"/>
  <c r="Z40" i="1" s="1"/>
  <c r="Z115" i="1"/>
  <c r="AK53" i="1"/>
  <c r="AK166" i="1" s="1"/>
  <c r="AK91" i="1"/>
  <c r="AK165" i="1" s="1"/>
  <c r="AB91" i="1"/>
  <c r="AB165" i="1" s="1"/>
  <c r="AB53" i="1"/>
  <c r="AB166" i="1" s="1"/>
  <c r="AL6" i="1"/>
  <c r="AL41" i="1"/>
  <c r="AL115" i="1"/>
  <c r="AL116" i="1" s="1"/>
  <c r="AA6" i="1"/>
  <c r="AA46" i="1" s="1"/>
  <c r="AA47" i="1" s="1"/>
  <c r="AA115" i="1"/>
  <c r="AA41" i="1"/>
  <c r="AA40" i="1" s="1"/>
  <c r="AG41" i="1"/>
  <c r="AG40" i="1" s="1"/>
  <c r="AG115" i="1"/>
  <c r="AG6" i="1"/>
  <c r="AG46" i="1" s="1"/>
  <c r="AG47" i="1" s="1"/>
  <c r="AN68" i="15"/>
  <c r="AL67" i="15"/>
  <c r="D67" i="15" s="1"/>
  <c r="AD91" i="1"/>
  <c r="AD165" i="1" s="1"/>
  <c r="AD53" i="1"/>
  <c r="AD166" i="1" s="1"/>
  <c r="AQ41" i="1"/>
  <c r="AQ115" i="1"/>
  <c r="AQ116" i="1" s="1"/>
  <c r="AQ6" i="1"/>
  <c r="G51" i="1"/>
  <c r="G73" i="1"/>
  <c r="A70" i="15" l="1"/>
  <c r="C69" i="15"/>
  <c r="AQ50" i="1"/>
  <c r="AQ103" i="40"/>
  <c r="AG116" i="1"/>
  <c r="AG50" i="1" s="1"/>
  <c r="AG119" i="1"/>
  <c r="AG121" i="1" s="1"/>
  <c r="AG123" i="1"/>
  <c r="Z119" i="1"/>
  <c r="Z121" i="1" s="1"/>
  <c r="Z116" i="1"/>
  <c r="Z50" i="1" s="1"/>
  <c r="Z123" i="1"/>
  <c r="U119" i="1"/>
  <c r="U121" i="1" s="1"/>
  <c r="U116" i="1"/>
  <c r="U106" i="1" s="1"/>
  <c r="U123" i="1"/>
  <c r="F53" i="1"/>
  <c r="E51" i="1"/>
  <c r="D51" i="1" s="1"/>
  <c r="D180" i="1" s="1"/>
  <c r="F45" i="1"/>
  <c r="J6" i="1"/>
  <c r="J46" i="1" s="1"/>
  <c r="J47" i="1" s="1"/>
  <c r="J41" i="1"/>
  <c r="J40" i="1" s="1"/>
  <c r="J115" i="1"/>
  <c r="O41" i="1"/>
  <c r="O40" i="1" s="1"/>
  <c r="O115" i="1"/>
  <c r="O6" i="1"/>
  <c r="O46" i="1" s="1"/>
  <c r="O47" i="1" s="1"/>
  <c r="I53" i="1"/>
  <c r="I166" i="1" s="1"/>
  <c r="I45" i="1"/>
  <c r="I91" i="1"/>
  <c r="I165" i="1" s="1"/>
  <c r="AD116" i="1"/>
  <c r="AD50" i="1" s="1"/>
  <c r="AD123" i="1"/>
  <c r="AD119" i="1"/>
  <c r="AD121" i="1" s="1"/>
  <c r="AC116" i="1"/>
  <c r="AC50" i="1" s="1"/>
  <c r="AC119" i="1"/>
  <c r="AC121" i="1" s="1"/>
  <c r="AC123" i="1"/>
  <c r="N115" i="1"/>
  <c r="N6" i="1"/>
  <c r="N46" i="1" s="1"/>
  <c r="N47" i="1" s="1"/>
  <c r="N41" i="1"/>
  <c r="N40" i="1" s="1"/>
  <c r="P115" i="1"/>
  <c r="P6" i="1"/>
  <c r="P46" i="1" s="1"/>
  <c r="P47" i="1" s="1"/>
  <c r="P41" i="1"/>
  <c r="P40" i="1" s="1"/>
  <c r="M91" i="1"/>
  <c r="M165" i="1" s="1"/>
  <c r="M53" i="1"/>
  <c r="M166" i="1" s="1"/>
  <c r="M45" i="1"/>
  <c r="AO50" i="1"/>
  <c r="AO103" i="40"/>
  <c r="AP103" i="40"/>
  <c r="AP50" i="1"/>
  <c r="S119" i="1"/>
  <c r="S121" i="1" s="1"/>
  <c r="S123" i="1"/>
  <c r="S116" i="1"/>
  <c r="K53" i="1"/>
  <c r="K166" i="1" s="1"/>
  <c r="K91" i="1"/>
  <c r="K165" i="1" s="1"/>
  <c r="K45" i="1"/>
  <c r="G53" i="1"/>
  <c r="G166" i="1" s="1"/>
  <c r="G45" i="1"/>
  <c r="G91" i="1"/>
  <c r="G165" i="1" s="1"/>
  <c r="AA119" i="1"/>
  <c r="AA121" i="1" s="1"/>
  <c r="AA123" i="1"/>
  <c r="AA116" i="1"/>
  <c r="AA50" i="1" s="1"/>
  <c r="AL103" i="40"/>
  <c r="AL50" i="1"/>
  <c r="AM50" i="1"/>
  <c r="AM103" i="40"/>
  <c r="AJ103" i="40"/>
  <c r="AJ50" i="1"/>
  <c r="AN103" i="40"/>
  <c r="AN50" i="1"/>
  <c r="H45" i="1"/>
  <c r="H91" i="1"/>
  <c r="H165" i="1" s="1"/>
  <c r="H53" i="1"/>
  <c r="H166" i="1" s="1"/>
  <c r="P45" i="1"/>
  <c r="P91" i="1"/>
  <c r="P165" i="1" s="1"/>
  <c r="P53" i="1"/>
  <c r="P166" i="1" s="1"/>
  <c r="M41" i="1"/>
  <c r="M40" i="1" s="1"/>
  <c r="M115" i="1"/>
  <c r="M6" i="1"/>
  <c r="M46" i="1" s="1"/>
  <c r="M47" i="1" s="1"/>
  <c r="AE123" i="1"/>
  <c r="AE116" i="1"/>
  <c r="AE50" i="1" s="1"/>
  <c r="AE119" i="1"/>
  <c r="AE121" i="1" s="1"/>
  <c r="L91" i="1"/>
  <c r="L165" i="1" s="1"/>
  <c r="L45" i="1"/>
  <c r="L53" i="1"/>
  <c r="L166" i="1" s="1"/>
  <c r="AS103" i="40"/>
  <c r="AS50" i="1"/>
  <c r="R119" i="1"/>
  <c r="R121" i="1" s="1"/>
  <c r="R123" i="1"/>
  <c r="R116" i="1"/>
  <c r="K115" i="1"/>
  <c r="K6" i="1"/>
  <c r="K46" i="1" s="1"/>
  <c r="K47" i="1" s="1"/>
  <c r="K41" i="1"/>
  <c r="K40" i="1" s="1"/>
  <c r="G6" i="1"/>
  <c r="G46" i="1" s="1"/>
  <c r="G47" i="1" s="1"/>
  <c r="G115" i="1"/>
  <c r="G41" i="1"/>
  <c r="G40" i="1" s="1"/>
  <c r="AN69" i="15"/>
  <c r="AL68" i="15"/>
  <c r="D68" i="15" s="1"/>
  <c r="E56" i="1"/>
  <c r="D56" i="1" s="1"/>
  <c r="D186" i="1" s="1"/>
  <c r="F73" i="1"/>
  <c r="AB116" i="1"/>
  <c r="AB50" i="1" s="1"/>
  <c r="AB123" i="1"/>
  <c r="AB119" i="1"/>
  <c r="AB121" i="1" s="1"/>
  <c r="AK103" i="40"/>
  <c r="AK50" i="1"/>
  <c r="Q116" i="1"/>
  <c r="Q119" i="1"/>
  <c r="Q121" i="1" s="1"/>
  <c r="Q123" i="1"/>
  <c r="H41" i="1"/>
  <c r="H40" i="1" s="1"/>
  <c r="H115" i="1"/>
  <c r="H6" i="1"/>
  <c r="H46" i="1" s="1"/>
  <c r="H47" i="1" s="1"/>
  <c r="AH119" i="1"/>
  <c r="AH121" i="1" s="1"/>
  <c r="AH116" i="1"/>
  <c r="AH50" i="1" s="1"/>
  <c r="AH123" i="1"/>
  <c r="X116" i="1"/>
  <c r="X119" i="1"/>
  <c r="X121" i="1" s="1"/>
  <c r="X123" i="1"/>
  <c r="AR50" i="1"/>
  <c r="AR103" i="40"/>
  <c r="L6" i="1"/>
  <c r="L46" i="1" s="1"/>
  <c r="L47" i="1" s="1"/>
  <c r="L115" i="1"/>
  <c r="L41" i="1"/>
  <c r="L40" i="1" s="1"/>
  <c r="W123" i="1"/>
  <c r="W116" i="1"/>
  <c r="W119" i="1"/>
  <c r="W121" i="1" s="1"/>
  <c r="V116" i="1"/>
  <c r="V123" i="1"/>
  <c r="V119" i="1"/>
  <c r="V121" i="1" s="1"/>
  <c r="J91" i="1"/>
  <c r="J165" i="1" s="1"/>
  <c r="J53" i="1"/>
  <c r="J166" i="1" s="1"/>
  <c r="J45" i="1"/>
  <c r="O45" i="1"/>
  <c r="O53" i="1"/>
  <c r="O166" i="1" s="1"/>
  <c r="O91" i="1"/>
  <c r="O165" i="1" s="1"/>
  <c r="I115" i="1"/>
  <c r="I6" i="1"/>
  <c r="I46" i="1" s="1"/>
  <c r="I47" i="1" s="1"/>
  <c r="I41" i="1"/>
  <c r="I40" i="1" s="1"/>
  <c r="AI116" i="1"/>
  <c r="AI50" i="1" s="1"/>
  <c r="AI119" i="1"/>
  <c r="AI121" i="1" s="1"/>
  <c r="AI123" i="1"/>
  <c r="N53" i="1"/>
  <c r="N166" i="1" s="1"/>
  <c r="N91" i="1"/>
  <c r="N165" i="1" s="1"/>
  <c r="N45" i="1"/>
  <c r="T119" i="1"/>
  <c r="T121" i="1" s="1"/>
  <c r="T116" i="1"/>
  <c r="T123" i="1"/>
  <c r="Y119" i="1"/>
  <c r="Y121" i="1" s="1"/>
  <c r="Y116" i="1"/>
  <c r="Y123" i="1"/>
  <c r="AF119" i="1"/>
  <c r="AF121" i="1" s="1"/>
  <c r="AF123" i="1"/>
  <c r="AF116" i="1"/>
  <c r="AF50" i="1" s="1"/>
  <c r="W126" i="1" l="1"/>
  <c r="U30" i="49" s="1"/>
  <c r="U50" i="1"/>
  <c r="C70" i="15"/>
  <c r="A71" i="15"/>
  <c r="C71" i="15" s="1"/>
  <c r="T126" i="1"/>
  <c r="R30" i="49" s="1"/>
  <c r="U126" i="1"/>
  <c r="S30" i="49" s="1"/>
  <c r="V126" i="1"/>
  <c r="T30" i="49" s="1"/>
  <c r="L116" i="1"/>
  <c r="L123" i="1"/>
  <c r="L119" i="1"/>
  <c r="L121" i="1" s="1"/>
  <c r="AN70" i="15"/>
  <c r="AL69" i="15"/>
  <c r="D69" i="15" s="1"/>
  <c r="S106" i="1"/>
  <c r="S50" i="1"/>
  <c r="P116" i="1"/>
  <c r="P119" i="1"/>
  <c r="P121" i="1" s="1"/>
  <c r="P123" i="1"/>
  <c r="J116" i="1"/>
  <c r="J119" i="1"/>
  <c r="J121" i="1" s="1"/>
  <c r="J123" i="1"/>
  <c r="E182" i="1"/>
  <c r="E187" i="1" s="1"/>
  <c r="D182" i="1"/>
  <c r="D174" i="1"/>
  <c r="Y106" i="1"/>
  <c r="Y50" i="1"/>
  <c r="T106" i="1"/>
  <c r="T50" i="1"/>
  <c r="V106" i="1"/>
  <c r="V50" i="1"/>
  <c r="H119" i="1"/>
  <c r="H121" i="1" s="1"/>
  <c r="H123" i="1"/>
  <c r="H116" i="1"/>
  <c r="Q106" i="1"/>
  <c r="Q50" i="1"/>
  <c r="R106" i="1"/>
  <c r="R50" i="1"/>
  <c r="M119" i="1"/>
  <c r="M121" i="1" s="1"/>
  <c r="M116" i="1"/>
  <c r="M123" i="1"/>
  <c r="N123" i="1"/>
  <c r="N116" i="1"/>
  <c r="N119" i="1"/>
  <c r="N121" i="1" s="1"/>
  <c r="E45" i="1"/>
  <c r="D45" i="1"/>
  <c r="AE126" i="1"/>
  <c r="AD126" i="1"/>
  <c r="Z126" i="1"/>
  <c r="X106" i="1"/>
  <c r="X50" i="1"/>
  <c r="G116" i="1"/>
  <c r="G119" i="1"/>
  <c r="G121" i="1" s="1"/>
  <c r="G123" i="1"/>
  <c r="K116" i="1"/>
  <c r="K119" i="1"/>
  <c r="K121" i="1" s="1"/>
  <c r="K123" i="1"/>
  <c r="O119" i="1"/>
  <c r="O121" i="1" s="1"/>
  <c r="O123" i="1"/>
  <c r="O116" i="1"/>
  <c r="AF126" i="1"/>
  <c r="Q126" i="1"/>
  <c r="O30" i="49" s="1"/>
  <c r="AB126" i="1"/>
  <c r="S126" i="1"/>
  <c r="Q30" i="49" s="1"/>
  <c r="I123" i="1"/>
  <c r="I116" i="1"/>
  <c r="I106" i="1" s="1"/>
  <c r="I119" i="1"/>
  <c r="I121" i="1" s="1"/>
  <c r="W106" i="1"/>
  <c r="W50" i="1"/>
  <c r="F91" i="1"/>
  <c r="F6" i="1"/>
  <c r="F41" i="1"/>
  <c r="F115" i="1"/>
  <c r="E73" i="1"/>
  <c r="D73" i="1" s="1"/>
  <c r="E53" i="1"/>
  <c r="D53" i="1" s="1"/>
  <c r="F166" i="1"/>
  <c r="Y126" i="1"/>
  <c r="W30" i="49" s="1"/>
  <c r="AI126" i="1"/>
  <c r="X126" i="1"/>
  <c r="V30" i="49" s="1"/>
  <c r="AH126" i="1"/>
  <c r="R126" i="1"/>
  <c r="P30" i="49" s="1"/>
  <c r="AA126" i="1"/>
  <c r="AC126" i="1"/>
  <c r="AG126" i="1"/>
  <c r="P126" i="1" l="1"/>
  <c r="N30" i="49" s="1"/>
  <c r="L126" i="1"/>
  <c r="J30" i="49" s="1"/>
  <c r="O126" i="1"/>
  <c r="M30" i="49" s="1"/>
  <c r="E6" i="1"/>
  <c r="D6" i="1" s="1"/>
  <c r="F46" i="1"/>
  <c r="F47" i="1" s="1"/>
  <c r="E47" i="1" s="1"/>
  <c r="D47" i="1" s="1"/>
  <c r="F119" i="1"/>
  <c r="F123" i="1"/>
  <c r="E123" i="1" s="1"/>
  <c r="F116" i="1"/>
  <c r="P106" i="1"/>
  <c r="P50" i="1"/>
  <c r="AL70" i="15"/>
  <c r="D70" i="15" s="1"/>
  <c r="AN71" i="15"/>
  <c r="G126" i="1"/>
  <c r="E30" i="49" s="1"/>
  <c r="J126" i="1"/>
  <c r="H30" i="49" s="1"/>
  <c r="I50" i="1"/>
  <c r="D115" i="1"/>
  <c r="D116" i="1" s="1"/>
  <c r="D192" i="1"/>
  <c r="C192" i="1" s="1"/>
  <c r="D37" i="1"/>
  <c r="F165" i="1"/>
  <c r="E91" i="1"/>
  <c r="D91" i="1" s="1"/>
  <c r="H106" i="1"/>
  <c r="H50" i="1"/>
  <c r="L106" i="1"/>
  <c r="L50" i="1"/>
  <c r="C74" i="1"/>
  <c r="B53" i="1"/>
  <c r="K106" i="1"/>
  <c r="K50" i="1"/>
  <c r="N106" i="1"/>
  <c r="N50" i="1"/>
  <c r="I126" i="1"/>
  <c r="G30" i="49" s="1"/>
  <c r="M126" i="1"/>
  <c r="K30" i="49" s="1"/>
  <c r="E41" i="1"/>
  <c r="D41" i="1" s="1"/>
  <c r="D40" i="1" s="1"/>
  <c r="F40" i="1"/>
  <c r="O106" i="1"/>
  <c r="O50" i="1"/>
  <c r="G106" i="1"/>
  <c r="G50" i="1"/>
  <c r="M106" i="1"/>
  <c r="M50" i="1"/>
  <c r="D189" i="1"/>
  <c r="D193" i="1" s="1"/>
  <c r="C193" i="1" s="1"/>
  <c r="C194" i="1" s="1"/>
  <c r="D187" i="1"/>
  <c r="J106" i="1"/>
  <c r="J50" i="1"/>
  <c r="K126" i="1"/>
  <c r="I30" i="49" s="1"/>
  <c r="N126" i="1"/>
  <c r="L30" i="49" s="1"/>
  <c r="H126" i="1"/>
  <c r="F30" i="49" s="1"/>
  <c r="T20" i="20" l="1"/>
  <c r="U20" i="20" s="1"/>
  <c r="C174" i="1"/>
  <c r="E119" i="1"/>
  <c r="D119" i="1" s="1"/>
  <c r="F121" i="1"/>
  <c r="J125" i="1"/>
  <c r="U125" i="1"/>
  <c r="M125" i="1"/>
  <c r="AD125" i="1"/>
  <c r="AD127" i="1" s="1"/>
  <c r="W125" i="1"/>
  <c r="S125" i="1"/>
  <c r="AA125" i="1"/>
  <c r="AA127" i="1" s="1"/>
  <c r="V125" i="1"/>
  <c r="AC125" i="1"/>
  <c r="AC127" i="1" s="1"/>
  <c r="P125" i="1"/>
  <c r="AF125" i="1"/>
  <c r="AF127" i="1" s="1"/>
  <c r="L125" i="1"/>
  <c r="T125" i="1"/>
  <c r="I125" i="1"/>
  <c r="N125" i="1"/>
  <c r="H125" i="1"/>
  <c r="AH125" i="1"/>
  <c r="AH127" i="1" s="1"/>
  <c r="Q125" i="1"/>
  <c r="Y125" i="1"/>
  <c r="AE125" i="1"/>
  <c r="AE127" i="1" s="1"/>
  <c r="K125" i="1"/>
  <c r="R125" i="1"/>
  <c r="F125" i="1"/>
  <c r="Z125" i="1"/>
  <c r="Z127" i="1" s="1"/>
  <c r="X125" i="1"/>
  <c r="G125" i="1"/>
  <c r="AB125" i="1"/>
  <c r="AB127" i="1" s="1"/>
  <c r="AI125" i="1"/>
  <c r="AI127" i="1" s="1"/>
  <c r="O125" i="1"/>
  <c r="AG125" i="1"/>
  <c r="AG127" i="1" s="1"/>
  <c r="D117" i="1"/>
  <c r="D50" i="1"/>
  <c r="AN72" i="15"/>
  <c r="AL71" i="15"/>
  <c r="D71" i="15" s="1"/>
  <c r="F50" i="1"/>
  <c r="F106" i="1"/>
  <c r="E106" i="1" s="1"/>
  <c r="D106" i="1" s="1"/>
  <c r="E116" i="1"/>
  <c r="E50" i="1" s="1"/>
  <c r="E269" i="40" l="1"/>
  <c r="E214" i="40"/>
  <c r="E219" i="40"/>
  <c r="E213" i="40"/>
  <c r="E276" i="40"/>
  <c r="E272" i="40"/>
  <c r="E267" i="40"/>
  <c r="E292" i="40"/>
  <c r="E297" i="40"/>
  <c r="E293" i="40"/>
  <c r="E217" i="40"/>
  <c r="E247" i="40"/>
  <c r="E290" i="40"/>
  <c r="E227" i="40"/>
  <c r="E279" i="40"/>
  <c r="E282" i="40"/>
  <c r="E265" i="40"/>
  <c r="E244" i="40"/>
  <c r="E270" i="40"/>
  <c r="H270" i="40" s="1"/>
  <c r="E226" i="40"/>
  <c r="E278" i="40"/>
  <c r="E263" i="40"/>
  <c r="E229" i="40"/>
  <c r="E289" i="40"/>
  <c r="E298" i="40"/>
  <c r="E224" i="40"/>
  <c r="E232" i="40"/>
  <c r="E302" i="40"/>
  <c r="E236" i="40"/>
  <c r="E233" i="40"/>
  <c r="E245" i="40"/>
  <c r="E264" i="40"/>
  <c r="E215" i="40"/>
  <c r="E239" i="40"/>
  <c r="E220" i="40"/>
  <c r="E294" i="40"/>
  <c r="E303" i="40"/>
  <c r="E277" i="40"/>
  <c r="E207" i="40"/>
  <c r="E212" i="40"/>
  <c r="E280" i="40"/>
  <c r="E225" i="40"/>
  <c r="E300" i="40"/>
  <c r="E238" i="40"/>
  <c r="E249" i="40"/>
  <c r="E208" i="40"/>
  <c r="E228" i="40"/>
  <c r="E216" i="40"/>
  <c r="E251" i="40"/>
  <c r="E284" i="40"/>
  <c r="E295" i="40"/>
  <c r="E299" i="40"/>
  <c r="E304" i="40"/>
  <c r="E296" i="40"/>
  <c r="E230" i="40"/>
  <c r="H230" i="40" s="1"/>
  <c r="E231" i="40"/>
  <c r="H231" i="40" s="1"/>
  <c r="E281" i="40"/>
  <c r="E258" i="40"/>
  <c r="E253" i="40"/>
  <c r="H253" i="40" s="1"/>
  <c r="E275" i="40"/>
  <c r="E240" i="40"/>
  <c r="E283" i="40"/>
  <c r="E291" i="40"/>
  <c r="E273" i="40"/>
  <c r="E242" i="40"/>
  <c r="E205" i="40"/>
  <c r="E260" i="40"/>
  <c r="E274" i="40"/>
  <c r="E218" i="40"/>
  <c r="E209" i="40"/>
  <c r="E234" i="40"/>
  <c r="H234" i="40" s="1"/>
  <c r="E301" i="40"/>
  <c r="E222" i="40"/>
  <c r="E252" i="40"/>
  <c r="H252" i="40" s="1"/>
  <c r="E268" i="40"/>
  <c r="H268" i="40" s="1"/>
  <c r="E221" i="40"/>
  <c r="E223" i="40"/>
  <c r="E266" i="40"/>
  <c r="E262" i="40"/>
  <c r="E288" i="40"/>
  <c r="E250" i="40"/>
  <c r="E254" i="40"/>
  <c r="E261" i="40"/>
  <c r="E241" i="40"/>
  <c r="E256" i="40"/>
  <c r="H256" i="40" s="1"/>
  <c r="E259" i="40"/>
  <c r="H259" i="40" s="1"/>
  <c r="E237" i="40"/>
  <c r="H237" i="40" s="1"/>
  <c r="E287" i="40"/>
  <c r="E248" i="40"/>
  <c r="E246" i="40"/>
  <c r="E211" i="40"/>
  <c r="E271" i="40"/>
  <c r="E286" i="40"/>
  <c r="E255" i="40"/>
  <c r="E210" i="40"/>
  <c r="E206" i="40"/>
  <c r="E285" i="40"/>
  <c r="E235" i="40"/>
  <c r="H235" i="40" s="1"/>
  <c r="E243" i="40"/>
  <c r="H243" i="40" s="1"/>
  <c r="E257" i="40"/>
  <c r="H257" i="40" s="1"/>
  <c r="E125" i="1"/>
  <c r="D29" i="49"/>
  <c r="Y127" i="1"/>
  <c r="W31" i="49" s="1"/>
  <c r="W29" i="49"/>
  <c r="N127" i="1"/>
  <c r="L31" i="49" s="1"/>
  <c r="L29" i="49"/>
  <c r="M127" i="1"/>
  <c r="K31" i="49" s="1"/>
  <c r="K29" i="49"/>
  <c r="H127" i="1"/>
  <c r="F31" i="49" s="1"/>
  <c r="F29" i="49"/>
  <c r="L127" i="1"/>
  <c r="J31" i="49" s="1"/>
  <c r="J29" i="49"/>
  <c r="T29" i="49"/>
  <c r="V127" i="1"/>
  <c r="T31" i="49" s="1"/>
  <c r="F126" i="1"/>
  <c r="E121" i="1"/>
  <c r="D121" i="1" s="1"/>
  <c r="AL72" i="15"/>
  <c r="AN73" i="15"/>
  <c r="O127" i="1"/>
  <c r="M31" i="49" s="1"/>
  <c r="M29" i="49"/>
  <c r="X127" i="1"/>
  <c r="V31" i="49" s="1"/>
  <c r="V29" i="49"/>
  <c r="I29" i="49"/>
  <c r="K127" i="1"/>
  <c r="I31" i="49" s="1"/>
  <c r="R29" i="49"/>
  <c r="T127" i="1"/>
  <c r="R31" i="49" s="1"/>
  <c r="U29" i="49"/>
  <c r="W127" i="1"/>
  <c r="U31" i="49" s="1"/>
  <c r="H29" i="49"/>
  <c r="J127" i="1"/>
  <c r="H31" i="49" s="1"/>
  <c r="E29" i="49"/>
  <c r="G127" i="1"/>
  <c r="E31" i="49" s="1"/>
  <c r="P29" i="49"/>
  <c r="R127" i="1"/>
  <c r="P31" i="49" s="1"/>
  <c r="O29" i="49"/>
  <c r="Q127" i="1"/>
  <c r="O31" i="49" s="1"/>
  <c r="G29" i="49"/>
  <c r="I127" i="1"/>
  <c r="G31" i="49" s="1"/>
  <c r="N29" i="49"/>
  <c r="P127" i="1"/>
  <c r="N31" i="49" s="1"/>
  <c r="S127" i="1"/>
  <c r="Q31" i="49" s="1"/>
  <c r="Q29" i="49"/>
  <c r="U127" i="1"/>
  <c r="S31" i="49" s="1"/>
  <c r="S29" i="49"/>
  <c r="H233" i="40" l="1"/>
  <c r="H269" i="40"/>
  <c r="H266" i="40"/>
  <c r="H248" i="40"/>
  <c r="H229" i="40"/>
  <c r="H246" i="40"/>
  <c r="H245" i="40"/>
  <c r="H236" i="40"/>
  <c r="H247" i="40"/>
  <c r="H262" i="40"/>
  <c r="H260" i="40"/>
  <c r="H249" i="40"/>
  <c r="H251" i="40"/>
  <c r="F305" i="40"/>
  <c r="H244" i="40"/>
  <c r="C29" i="49"/>
  <c r="D125" i="1"/>
  <c r="B29" i="49" s="1"/>
  <c r="AN74" i="15"/>
  <c r="AL73" i="15"/>
  <c r="D30" i="49"/>
  <c r="E126" i="1"/>
  <c r="F127" i="1"/>
  <c r="H202" i="40" l="1"/>
  <c r="F202" i="40" s="1"/>
  <c r="C30" i="49"/>
  <c r="D126" i="1"/>
  <c r="B30" i="49" s="1"/>
  <c r="E127" i="1"/>
  <c r="D31" i="49"/>
  <c r="AN75" i="15"/>
  <c r="AL74" i="15"/>
  <c r="F8" i="40" l="1"/>
  <c r="AN76" i="15"/>
  <c r="AL75" i="15"/>
  <c r="C31" i="49"/>
  <c r="D127" i="1"/>
  <c r="B31" i="49" s="1"/>
  <c r="G8" i="40" l="1"/>
  <c r="G10" i="40" s="1"/>
  <c r="G11" i="40" s="1"/>
  <c r="G31" i="40" s="1"/>
  <c r="G44" i="40" s="1"/>
  <c r="G119" i="40" s="1"/>
  <c r="F10" i="40"/>
  <c r="F11" i="40" s="1"/>
  <c r="F31" i="40" s="1"/>
  <c r="F44" i="40" s="1"/>
  <c r="AL76" i="15"/>
  <c r="AN77" i="15"/>
  <c r="F38" i="40" l="1"/>
  <c r="F39" i="40" s="1"/>
  <c r="G38" i="40"/>
  <c r="G39" i="40" s="1"/>
  <c r="G47" i="40"/>
  <c r="G6" i="40"/>
  <c r="G103" i="40" s="1"/>
  <c r="H8" i="40"/>
  <c r="H10" i="40" s="1"/>
  <c r="H11" i="40" s="1"/>
  <c r="H38" i="40" s="1"/>
  <c r="H39" i="40" s="1"/>
  <c r="F119" i="40"/>
  <c r="F47" i="40"/>
  <c r="F48" i="40" s="1"/>
  <c r="F6" i="40"/>
  <c r="F103" i="40" s="1"/>
  <c r="AN78" i="15"/>
  <c r="AL78" i="15" s="1"/>
  <c r="AL77" i="15"/>
  <c r="I8" i="40" l="1"/>
  <c r="J8" i="40" s="1"/>
  <c r="J10" i="40" s="1"/>
  <c r="J11" i="40" s="1"/>
  <c r="H31" i="40"/>
  <c r="H44" i="40" s="1"/>
  <c r="H47" i="40" s="1"/>
  <c r="F49" i="40"/>
  <c r="F68" i="40" s="1"/>
  <c r="F69" i="40" s="1"/>
  <c r="G48" i="40"/>
  <c r="K8" i="40" l="1"/>
  <c r="L8" i="40" s="1"/>
  <c r="F73" i="40"/>
  <c r="F75" i="40" s="1"/>
  <c r="F72" i="40" s="1"/>
  <c r="I10" i="40"/>
  <c r="I11" i="40" s="1"/>
  <c r="H6" i="40"/>
  <c r="H103" i="40" s="1"/>
  <c r="H119" i="40"/>
  <c r="F102" i="40"/>
  <c r="F54" i="40"/>
  <c r="F56" i="40" s="1"/>
  <c r="F37" i="40" s="1"/>
  <c r="J38" i="40"/>
  <c r="J39" i="40" s="1"/>
  <c r="J31" i="40"/>
  <c r="J44" i="40" s="1"/>
  <c r="F70" i="40"/>
  <c r="F67" i="40" s="1"/>
  <c r="F101" i="40"/>
  <c r="G49" i="40"/>
  <c r="G102" i="40" s="1"/>
  <c r="K10" i="40"/>
  <c r="K11" i="40" s="1"/>
  <c r="H48" i="40"/>
  <c r="I31" i="40" l="1"/>
  <c r="I44" i="40" s="1"/>
  <c r="I47" i="40" s="1"/>
  <c r="I48" i="40" s="1"/>
  <c r="I49" i="40" s="1"/>
  <c r="I73" i="40" s="1"/>
  <c r="I75" i="40" s="1"/>
  <c r="I72" i="40" s="1"/>
  <c r="I38" i="40"/>
  <c r="I39" i="40" s="1"/>
  <c r="F74" i="40"/>
  <c r="G73" i="40"/>
  <c r="G75" i="40" s="1"/>
  <c r="G72" i="40" s="1"/>
  <c r="I119" i="40"/>
  <c r="G54" i="40"/>
  <c r="G56" i="40" s="1"/>
  <c r="G66" i="40" s="1"/>
  <c r="G112" i="40" s="1"/>
  <c r="F66" i="40"/>
  <c r="F79" i="40" s="1"/>
  <c r="G68" i="40"/>
  <c r="G69" i="40" s="1"/>
  <c r="G101" i="40"/>
  <c r="H49" i="40"/>
  <c r="H102" i="40" s="1"/>
  <c r="K38" i="40"/>
  <c r="K39" i="40" s="1"/>
  <c r="K31" i="40"/>
  <c r="K44" i="40" s="1"/>
  <c r="M8" i="40"/>
  <c r="L10" i="40"/>
  <c r="L11" i="40" s="1"/>
  <c r="L38" i="40" s="1"/>
  <c r="L39" i="40" s="1"/>
  <c r="J119" i="40"/>
  <c r="J47" i="40"/>
  <c r="J6" i="40"/>
  <c r="I6" i="40" l="1"/>
  <c r="I103" i="40" s="1"/>
  <c r="G70" i="40"/>
  <c r="G67" i="40" s="1"/>
  <c r="F105" i="40"/>
  <c r="F84" i="40"/>
  <c r="G74" i="40"/>
  <c r="F112" i="40"/>
  <c r="G79" i="40"/>
  <c r="G37" i="40"/>
  <c r="F80" i="40"/>
  <c r="H73" i="40"/>
  <c r="I74" i="40" s="1"/>
  <c r="H101" i="40"/>
  <c r="H68" i="40"/>
  <c r="H70" i="40" s="1"/>
  <c r="H54" i="40"/>
  <c r="H56" i="40" s="1"/>
  <c r="L31" i="40"/>
  <c r="L44" i="40" s="1"/>
  <c r="M10" i="40"/>
  <c r="M11" i="40" s="1"/>
  <c r="N8" i="40"/>
  <c r="K119" i="40"/>
  <c r="K47" i="40"/>
  <c r="K48" i="40" s="1"/>
  <c r="K6" i="40"/>
  <c r="K103" i="40" s="1"/>
  <c r="I54" i="40"/>
  <c r="I56" i="40" s="1"/>
  <c r="I37" i="40" s="1"/>
  <c r="I101" i="40"/>
  <c r="I68" i="40"/>
  <c r="I70" i="40" s="1"/>
  <c r="I102" i="40"/>
  <c r="J48" i="40"/>
  <c r="J103" i="40"/>
  <c r="F85" i="40" l="1"/>
  <c r="F115" i="40"/>
  <c r="D23" i="49" s="1"/>
  <c r="G80" i="40"/>
  <c r="G85" i="40" s="1"/>
  <c r="G84" i="40"/>
  <c r="H75" i="40"/>
  <c r="H72" i="40" s="1"/>
  <c r="G105" i="40"/>
  <c r="G115" i="40" s="1"/>
  <c r="E23" i="49" s="1"/>
  <c r="H74" i="40"/>
  <c r="H69" i="40"/>
  <c r="J49" i="40"/>
  <c r="J54" i="40" s="1"/>
  <c r="H67" i="40"/>
  <c r="I67" i="40"/>
  <c r="M38" i="40"/>
  <c r="M39" i="40" s="1"/>
  <c r="M31" i="40"/>
  <c r="M44" i="40" s="1"/>
  <c r="O8" i="40"/>
  <c r="N10" i="40"/>
  <c r="N11" i="40" s="1"/>
  <c r="I69" i="40"/>
  <c r="I66" i="40"/>
  <c r="I112" i="40" s="1"/>
  <c r="K49" i="40"/>
  <c r="K68" i="40" s="1"/>
  <c r="K70" i="40" s="1"/>
  <c r="K67" i="40" s="1"/>
  <c r="L119" i="40"/>
  <c r="L47" i="40"/>
  <c r="L6" i="40"/>
  <c r="H37" i="40"/>
  <c r="H66" i="40"/>
  <c r="F117" i="40" l="1"/>
  <c r="D25" i="49" s="1"/>
  <c r="G117" i="40"/>
  <c r="E25" i="49" s="1"/>
  <c r="J101" i="40"/>
  <c r="J73" i="40"/>
  <c r="J75" i="40" s="1"/>
  <c r="J72" i="40" s="1"/>
  <c r="J102" i="40"/>
  <c r="J68" i="40"/>
  <c r="K69" i="40" s="1"/>
  <c r="O10" i="40"/>
  <c r="O11" i="40" s="1"/>
  <c r="P8" i="40"/>
  <c r="N31" i="40"/>
  <c r="N44" i="40" s="1"/>
  <c r="N38" i="40"/>
  <c r="N39" i="40" s="1"/>
  <c r="M47" i="40"/>
  <c r="M48" i="40" s="1"/>
  <c r="M6" i="40"/>
  <c r="M103" i="40" s="1"/>
  <c r="M119" i="40"/>
  <c r="I79" i="40"/>
  <c r="K54" i="40"/>
  <c r="K56" i="40" s="1"/>
  <c r="K66" i="40" s="1"/>
  <c r="K112" i="40" s="1"/>
  <c r="K102" i="40"/>
  <c r="K101" i="40"/>
  <c r="K73" i="40"/>
  <c r="K75" i="40" s="1"/>
  <c r="K72" i="40" s="1"/>
  <c r="L103" i="40"/>
  <c r="L48" i="40"/>
  <c r="H112" i="40"/>
  <c r="H79" i="40"/>
  <c r="H84" i="40" s="1"/>
  <c r="J56" i="40"/>
  <c r="I80" i="40" l="1"/>
  <c r="I85" i="40" s="1"/>
  <c r="I84" i="40"/>
  <c r="J70" i="40"/>
  <c r="J67" i="40" s="1"/>
  <c r="J74" i="40"/>
  <c r="J69" i="40"/>
  <c r="L49" i="40"/>
  <c r="L101" i="40" s="1"/>
  <c r="N47" i="40"/>
  <c r="N48" i="40" s="1"/>
  <c r="N49" i="40" s="1"/>
  <c r="N73" i="40" s="1"/>
  <c r="N75" i="40" s="1"/>
  <c r="N72" i="40" s="1"/>
  <c r="N119" i="40"/>
  <c r="N6" i="40"/>
  <c r="N103" i="40" s="1"/>
  <c r="O38" i="40"/>
  <c r="O39" i="40" s="1"/>
  <c r="O31" i="40"/>
  <c r="O44" i="40" s="1"/>
  <c r="O6" i="40" s="1"/>
  <c r="Q8" i="40"/>
  <c r="P10" i="40"/>
  <c r="P11" i="40" s="1"/>
  <c r="I105" i="40"/>
  <c r="I115" i="40" s="1"/>
  <c r="I117" i="40" s="1"/>
  <c r="G25" i="49" s="1"/>
  <c r="M49" i="40"/>
  <c r="M102" i="40" s="1"/>
  <c r="K79" i="40"/>
  <c r="K74" i="40"/>
  <c r="K37" i="40"/>
  <c r="J37" i="40"/>
  <c r="J66" i="40"/>
  <c r="H105" i="40"/>
  <c r="H80" i="40"/>
  <c r="H85" i="40" l="1"/>
  <c r="K80" i="40"/>
  <c r="K85" i="40" s="1"/>
  <c r="K84" i="40"/>
  <c r="L73" i="40"/>
  <c r="L74" i="40" s="1"/>
  <c r="L102" i="40"/>
  <c r="L68" i="40"/>
  <c r="L70" i="40" s="1"/>
  <c r="L54" i="40"/>
  <c r="L56" i="40" s="1"/>
  <c r="O47" i="40"/>
  <c r="O48" i="40" s="1"/>
  <c r="O119" i="40"/>
  <c r="P31" i="40"/>
  <c r="P44" i="40" s="1"/>
  <c r="P38" i="40"/>
  <c r="P39" i="40" s="1"/>
  <c r="Q10" i="40"/>
  <c r="Q11" i="40" s="1"/>
  <c r="R8" i="40"/>
  <c r="M54" i="40"/>
  <c r="M56" i="40" s="1"/>
  <c r="M37" i="40" s="1"/>
  <c r="G23" i="49"/>
  <c r="K105" i="40"/>
  <c r="K115" i="40" s="1"/>
  <c r="I23" i="49" s="1"/>
  <c r="N54" i="40"/>
  <c r="N56" i="40" s="1"/>
  <c r="N37" i="40" s="1"/>
  <c r="M101" i="40"/>
  <c r="M68" i="40"/>
  <c r="M70" i="40" s="1"/>
  <c r="M73" i="40"/>
  <c r="M75" i="40" s="1"/>
  <c r="M72" i="40" s="1"/>
  <c r="N101" i="40"/>
  <c r="N68" i="40"/>
  <c r="N70" i="40" s="1"/>
  <c r="N67" i="40" s="1"/>
  <c r="N102" i="40"/>
  <c r="J112" i="40"/>
  <c r="J79" i="40"/>
  <c r="J84" i="40" s="1"/>
  <c r="H115" i="40"/>
  <c r="O103" i="40"/>
  <c r="L75" i="40" l="1"/>
  <c r="L72" i="40" s="1"/>
  <c r="L69" i="40"/>
  <c r="L67" i="40"/>
  <c r="M67" i="40"/>
  <c r="O49" i="40"/>
  <c r="O54" i="40" s="1"/>
  <c r="Q38" i="40"/>
  <c r="Q39" i="40" s="1"/>
  <c r="Q31" i="40"/>
  <c r="Q44" i="40" s="1"/>
  <c r="Q47" i="40" s="1"/>
  <c r="P119" i="40"/>
  <c r="P47" i="40"/>
  <c r="P48" i="40" s="1"/>
  <c r="P49" i="40" s="1"/>
  <c r="P102" i="40" s="1"/>
  <c r="P6" i="40"/>
  <c r="P103" i="40" s="1"/>
  <c r="R10" i="40"/>
  <c r="R11" i="40" s="1"/>
  <c r="S8" i="40"/>
  <c r="M66" i="40"/>
  <c r="M112" i="40" s="1"/>
  <c r="K117" i="40"/>
  <c r="I25" i="49" s="1"/>
  <c r="M69" i="40"/>
  <c r="N66" i="40"/>
  <c r="N79" i="40" s="1"/>
  <c r="N84" i="40" s="1"/>
  <c r="M74" i="40"/>
  <c r="N74" i="40"/>
  <c r="N69" i="40"/>
  <c r="J80" i="40"/>
  <c r="J105" i="40"/>
  <c r="H117" i="40"/>
  <c r="F25" i="49" s="1"/>
  <c r="F23" i="49"/>
  <c r="L66" i="40"/>
  <c r="L37" i="40"/>
  <c r="J85" i="40" l="1"/>
  <c r="O101" i="40"/>
  <c r="Q119" i="40"/>
  <c r="O102" i="40"/>
  <c r="O73" i="40"/>
  <c r="O75" i="40" s="1"/>
  <c r="O72" i="40" s="1"/>
  <c r="O68" i="40"/>
  <c r="O69" i="40" s="1"/>
  <c r="Q6" i="40"/>
  <c r="Q103" i="40" s="1"/>
  <c r="S10" i="40"/>
  <c r="S11" i="40" s="1"/>
  <c r="T8" i="40"/>
  <c r="R38" i="40"/>
  <c r="R39" i="40" s="1"/>
  <c r="R31" i="40"/>
  <c r="R44" i="40" s="1"/>
  <c r="M79" i="40"/>
  <c r="N112" i="40"/>
  <c r="P54" i="40"/>
  <c r="P56" i="40" s="1"/>
  <c r="P66" i="40" s="1"/>
  <c r="P112" i="40" s="1"/>
  <c r="P73" i="40"/>
  <c r="P75" i="40" s="1"/>
  <c r="P72" i="40" s="1"/>
  <c r="P68" i="40"/>
  <c r="P70" i="40" s="1"/>
  <c r="P67" i="40" s="1"/>
  <c r="P101" i="40"/>
  <c r="Q48" i="40"/>
  <c r="L112" i="40"/>
  <c r="L79" i="40"/>
  <c r="L84" i="40" s="1"/>
  <c r="O56" i="40"/>
  <c r="N105" i="40"/>
  <c r="N80" i="40"/>
  <c r="N85" i="40" s="1"/>
  <c r="J115" i="40"/>
  <c r="M105" i="40" l="1"/>
  <c r="M115" i="40" s="1"/>
  <c r="K23" i="49" s="1"/>
  <c r="M84" i="40"/>
  <c r="O74" i="40"/>
  <c r="O70" i="40"/>
  <c r="O67" i="40" s="1"/>
  <c r="Q49" i="40"/>
  <c r="Q101" i="40" s="1"/>
  <c r="N115" i="40"/>
  <c r="N117" i="40" s="1"/>
  <c r="L25" i="49" s="1"/>
  <c r="S31" i="40"/>
  <c r="S44" i="40" s="1"/>
  <c r="S38" i="40"/>
  <c r="S39" i="40" s="1"/>
  <c r="R47" i="40"/>
  <c r="R119" i="40"/>
  <c r="R6" i="40"/>
  <c r="R103" i="40" s="1"/>
  <c r="U8" i="40"/>
  <c r="T10" i="40"/>
  <c r="T11" i="40" s="1"/>
  <c r="M80" i="40"/>
  <c r="M85" i="40" s="1"/>
  <c r="P69" i="40"/>
  <c r="P79" i="40"/>
  <c r="P37" i="40"/>
  <c r="P74" i="40"/>
  <c r="H23" i="49"/>
  <c r="J117" i="40"/>
  <c r="H25" i="49" s="1"/>
  <c r="O37" i="40"/>
  <c r="O66" i="40"/>
  <c r="L105" i="40"/>
  <c r="L80" i="40"/>
  <c r="M117" i="40"/>
  <c r="K25" i="49" s="1"/>
  <c r="L85" i="40" l="1"/>
  <c r="P80" i="40"/>
  <c r="P85" i="40" s="1"/>
  <c r="P84" i="40"/>
  <c r="Q73" i="40"/>
  <c r="Q74" i="40" s="1"/>
  <c r="Q54" i="40"/>
  <c r="Q56" i="40" s="1"/>
  <c r="Q102" i="40"/>
  <c r="Q68" i="40"/>
  <c r="Q70" i="40" s="1"/>
  <c r="L23" i="49"/>
  <c r="T38" i="40"/>
  <c r="T39" i="40" s="1"/>
  <c r="T31" i="40"/>
  <c r="T44" i="40" s="1"/>
  <c r="R48" i="40"/>
  <c r="S119" i="40"/>
  <c r="S6" i="40"/>
  <c r="S103" i="40" s="1"/>
  <c r="S47" i="40"/>
  <c r="S48" i="40" s="1"/>
  <c r="V8" i="40"/>
  <c r="U10" i="40"/>
  <c r="U11" i="40" s="1"/>
  <c r="P105" i="40"/>
  <c r="P115" i="40" s="1"/>
  <c r="P117" i="40" s="1"/>
  <c r="N25" i="49" s="1"/>
  <c r="L115" i="40"/>
  <c r="O112" i="40"/>
  <c r="O79" i="40"/>
  <c r="O84" i="40" s="1"/>
  <c r="Q75" i="40" l="1"/>
  <c r="Q72" i="40" s="1"/>
  <c r="Q69" i="40"/>
  <c r="Q67" i="40"/>
  <c r="R49" i="40"/>
  <c r="R73" i="40" s="1"/>
  <c r="R74" i="40" s="1"/>
  <c r="S49" i="40"/>
  <c r="S102" i="40" s="1"/>
  <c r="U31" i="40"/>
  <c r="U44" i="40" s="1"/>
  <c r="U38" i="40"/>
  <c r="U39" i="40" s="1"/>
  <c r="W8" i="40"/>
  <c r="V10" i="40"/>
  <c r="V11" i="40" s="1"/>
  <c r="T47" i="40"/>
  <c r="T48" i="40" s="1"/>
  <c r="T6" i="40"/>
  <c r="T103" i="40" s="1"/>
  <c r="T119" i="40"/>
  <c r="N23" i="49"/>
  <c r="L117" i="40"/>
  <c r="J25" i="49" s="1"/>
  <c r="J23" i="49"/>
  <c r="O105" i="40"/>
  <c r="O80" i="40"/>
  <c r="O85" i="40" s="1"/>
  <c r="Q66" i="40"/>
  <c r="Q37" i="40"/>
  <c r="R75" i="40" l="1"/>
  <c r="R72" i="40" s="1"/>
  <c r="R68" i="40"/>
  <c r="R70" i="40" s="1"/>
  <c r="R102" i="40"/>
  <c r="T49" i="40"/>
  <c r="T68" i="40" s="1"/>
  <c r="T70" i="40" s="1"/>
  <c r="T67" i="40" s="1"/>
  <c r="R54" i="40"/>
  <c r="R56" i="40" s="1"/>
  <c r="R66" i="40" s="1"/>
  <c r="R101" i="40"/>
  <c r="S73" i="40"/>
  <c r="S101" i="40"/>
  <c r="S68" i="40"/>
  <c r="S54" i="40"/>
  <c r="S56" i="40" s="1"/>
  <c r="V31" i="40"/>
  <c r="V44" i="40" s="1"/>
  <c r="V38" i="40"/>
  <c r="V39" i="40" s="1"/>
  <c r="X8" i="40"/>
  <c r="W10" i="40"/>
  <c r="W11" i="40" s="1"/>
  <c r="U47" i="40"/>
  <c r="U48" i="40" s="1"/>
  <c r="U119" i="40"/>
  <c r="U6" i="40"/>
  <c r="U103" i="40" s="1"/>
  <c r="Q112" i="40"/>
  <c r="Q79" i="40"/>
  <c r="Q84" i="40" s="1"/>
  <c r="O115" i="40"/>
  <c r="R69" i="40" l="1"/>
  <c r="T73" i="40"/>
  <c r="T74" i="40" s="1"/>
  <c r="T69" i="40"/>
  <c r="T102" i="40"/>
  <c r="T54" i="40"/>
  <c r="T56" i="40" s="1"/>
  <c r="T66" i="40" s="1"/>
  <c r="T79" i="40" s="1"/>
  <c r="R37" i="40"/>
  <c r="T101" i="40"/>
  <c r="R112" i="40"/>
  <c r="R79" i="40"/>
  <c r="R84" i="40" s="1"/>
  <c r="R67" i="40"/>
  <c r="U49" i="40"/>
  <c r="U73" i="40" s="1"/>
  <c r="U75" i="40" s="1"/>
  <c r="U72" i="40" s="1"/>
  <c r="S74" i="40"/>
  <c r="S75" i="40"/>
  <c r="S72" i="40" s="1"/>
  <c r="S66" i="40"/>
  <c r="S112" i="40" s="1"/>
  <c r="S37" i="40"/>
  <c r="S70" i="40"/>
  <c r="S69" i="40"/>
  <c r="Y8" i="40"/>
  <c r="X10" i="40"/>
  <c r="X11" i="40" s="1"/>
  <c r="W38" i="40"/>
  <c r="W39" i="40" s="1"/>
  <c r="W31" i="40"/>
  <c r="W44" i="40" s="1"/>
  <c r="V119" i="40"/>
  <c r="V6" i="40"/>
  <c r="V103" i="40" s="1"/>
  <c r="V47" i="40"/>
  <c r="V48" i="40" s="1"/>
  <c r="Q105" i="40"/>
  <c r="Q80" i="40"/>
  <c r="Q85" i="40" s="1"/>
  <c r="O117" i="40"/>
  <c r="M25" i="49" s="1"/>
  <c r="M23" i="49"/>
  <c r="T75" i="40" l="1"/>
  <c r="T72" i="40" s="1"/>
  <c r="T105" i="40"/>
  <c r="T84" i="40"/>
  <c r="U102" i="40"/>
  <c r="T80" i="40"/>
  <c r="T85" i="40" s="1"/>
  <c r="U54" i="40"/>
  <c r="U56" i="40" s="1"/>
  <c r="U66" i="40" s="1"/>
  <c r="U112" i="40" s="1"/>
  <c r="T112" i="40"/>
  <c r="U68" i="40"/>
  <c r="U69" i="40" s="1"/>
  <c r="U101" i="40"/>
  <c r="T37" i="40"/>
  <c r="S79" i="40"/>
  <c r="U74" i="40"/>
  <c r="S67" i="40"/>
  <c r="V49" i="40"/>
  <c r="V102" i="40" s="1"/>
  <c r="R80" i="40"/>
  <c r="R85" i="40" s="1"/>
  <c r="R105" i="40"/>
  <c r="R115" i="40" s="1"/>
  <c r="Y10" i="40"/>
  <c r="Y11" i="40" s="1"/>
  <c r="Z8" i="40"/>
  <c r="W6" i="40"/>
  <c r="W103" i="40" s="1"/>
  <c r="W119" i="40"/>
  <c r="W47" i="40"/>
  <c r="W48" i="40" s="1"/>
  <c r="X38" i="40"/>
  <c r="X39" i="40" s="1"/>
  <c r="X31" i="40"/>
  <c r="X44" i="40" s="1"/>
  <c r="Q115" i="40"/>
  <c r="T115" i="40" l="1"/>
  <c r="R23" i="49" s="1"/>
  <c r="S105" i="40"/>
  <c r="S115" i="40" s="1"/>
  <c r="Q23" i="49" s="1"/>
  <c r="S84" i="40"/>
  <c r="U37" i="40"/>
  <c r="V101" i="40"/>
  <c r="U79" i="40"/>
  <c r="S80" i="40"/>
  <c r="S85" i="40" s="1"/>
  <c r="U70" i="40"/>
  <c r="V68" i="40"/>
  <c r="V70" i="40" s="1"/>
  <c r="V73" i="40"/>
  <c r="V75" i="40" s="1"/>
  <c r="V72" i="40" s="1"/>
  <c r="V54" i="40"/>
  <c r="V56" i="40" s="1"/>
  <c r="V37" i="40" s="1"/>
  <c r="W49" i="40"/>
  <c r="W73" i="40" s="1"/>
  <c r="P23" i="49"/>
  <c r="R117" i="40"/>
  <c r="P25" i="49" s="1"/>
  <c r="Y38" i="40"/>
  <c r="Y39" i="40" s="1"/>
  <c r="Y31" i="40"/>
  <c r="Y44" i="40" s="1"/>
  <c r="AA8" i="40"/>
  <c r="Z10" i="40"/>
  <c r="Z11" i="40" s="1"/>
  <c r="X47" i="40"/>
  <c r="X48" i="40" s="1"/>
  <c r="X6" i="40"/>
  <c r="X103" i="40" s="1"/>
  <c r="X119" i="40"/>
  <c r="Q117" i="40"/>
  <c r="O25" i="49" s="1"/>
  <c r="O23" i="49"/>
  <c r="T117" i="40" l="1"/>
  <c r="R25" i="49" s="1"/>
  <c r="V69" i="40"/>
  <c r="S117" i="40"/>
  <c r="Q25" i="49" s="1"/>
  <c r="U80" i="40"/>
  <c r="U85" i="40" s="1"/>
  <c r="U84" i="40"/>
  <c r="V74" i="40"/>
  <c r="W74" i="40"/>
  <c r="U105" i="40"/>
  <c r="U115" i="40" s="1"/>
  <c r="S23" i="49" s="1"/>
  <c r="U67" i="40"/>
  <c r="V66" i="40"/>
  <c r="V112" i="40" s="1"/>
  <c r="W68" i="40"/>
  <c r="W70" i="40" s="1"/>
  <c r="W67" i="40" s="1"/>
  <c r="W54" i="40"/>
  <c r="W56" i="40" s="1"/>
  <c r="W66" i="40" s="1"/>
  <c r="W79" i="40" s="1"/>
  <c r="W84" i="40" s="1"/>
  <c r="W102" i="40"/>
  <c r="W75" i="40"/>
  <c r="W72" i="40" s="1"/>
  <c r="X49" i="40"/>
  <c r="X68" i="40" s="1"/>
  <c r="X70" i="40" s="1"/>
  <c r="X67" i="40" s="1"/>
  <c r="W101" i="40"/>
  <c r="V67" i="40"/>
  <c r="AB8" i="40"/>
  <c r="AA10" i="40"/>
  <c r="AA11" i="40" s="1"/>
  <c r="Z31" i="40"/>
  <c r="Z44" i="40" s="1"/>
  <c r="Z38" i="40"/>
  <c r="Z39" i="40" s="1"/>
  <c r="Y6" i="40"/>
  <c r="Y103" i="40" s="1"/>
  <c r="Y119" i="40"/>
  <c r="Y47" i="40"/>
  <c r="Y48" i="40" s="1"/>
  <c r="W112" i="40" l="1"/>
  <c r="U117" i="40"/>
  <c r="S25" i="49" s="1"/>
  <c r="X54" i="40"/>
  <c r="X56" i="40" s="1"/>
  <c r="X66" i="40" s="1"/>
  <c r="X112" i="40" s="1"/>
  <c r="V79" i="40"/>
  <c r="V84" i="40" s="1"/>
  <c r="W69" i="40"/>
  <c r="W37" i="40"/>
  <c r="X73" i="40"/>
  <c r="X75" i="40" s="1"/>
  <c r="X72" i="40" s="1"/>
  <c r="X102" i="40"/>
  <c r="Y49" i="40"/>
  <c r="Y102" i="40" s="1"/>
  <c r="X101" i="40"/>
  <c r="X69" i="40"/>
  <c r="Z119" i="40"/>
  <c r="Z6" i="40"/>
  <c r="Z103" i="40" s="1"/>
  <c r="Z47" i="40"/>
  <c r="Z48" i="40" s="1"/>
  <c r="AC8" i="40"/>
  <c r="AB10" i="40"/>
  <c r="AB11" i="40" s="1"/>
  <c r="AA38" i="40"/>
  <c r="AA39" i="40" s="1"/>
  <c r="AA31" i="40"/>
  <c r="AA44" i="40" s="1"/>
  <c r="W105" i="40"/>
  <c r="W80" i="40"/>
  <c r="W85" i="40" s="1"/>
  <c r="W115" i="40" l="1"/>
  <c r="U23" i="49" s="1"/>
  <c r="X79" i="40"/>
  <c r="X37" i="40"/>
  <c r="Y101" i="40"/>
  <c r="V80" i="40"/>
  <c r="V85" i="40" s="1"/>
  <c r="V105" i="40"/>
  <c r="V115" i="40" s="1"/>
  <c r="X74" i="40"/>
  <c r="Y54" i="40"/>
  <c r="Y56" i="40" s="1"/>
  <c r="Y66" i="40" s="1"/>
  <c r="Y79" i="40" s="1"/>
  <c r="Y73" i="40"/>
  <c r="Y75" i="40" s="1"/>
  <c r="Y72" i="40" s="1"/>
  <c r="Y68" i="40"/>
  <c r="Z49" i="40"/>
  <c r="Z68" i="40" s="1"/>
  <c r="Z70" i="40" s="1"/>
  <c r="Z67" i="40" s="1"/>
  <c r="AA47" i="40"/>
  <c r="AA48" i="40" s="1"/>
  <c r="AA119" i="40"/>
  <c r="AA6" i="40"/>
  <c r="AA103" i="40" s="1"/>
  <c r="AB31" i="40"/>
  <c r="AB44" i="40" s="1"/>
  <c r="AB38" i="40"/>
  <c r="AB39" i="40" s="1"/>
  <c r="AC10" i="40"/>
  <c r="AC11" i="40" s="1"/>
  <c r="AD8" i="40"/>
  <c r="W117" i="40" l="1"/>
  <c r="U25" i="49" s="1"/>
  <c r="Y105" i="40"/>
  <c r="Y84" i="40"/>
  <c r="X105" i="40"/>
  <c r="X115" i="40" s="1"/>
  <c r="V23" i="49" s="1"/>
  <c r="X84" i="40"/>
  <c r="X80" i="40"/>
  <c r="X85" i="40" s="1"/>
  <c r="Y80" i="40"/>
  <c r="Y85" i="40" s="1"/>
  <c r="Z54" i="40"/>
  <c r="Z56" i="40" s="1"/>
  <c r="Z66" i="40" s="1"/>
  <c r="Z79" i="40" s="1"/>
  <c r="Z69" i="40"/>
  <c r="Z73" i="40"/>
  <c r="Z75" i="40" s="1"/>
  <c r="Z72" i="40" s="1"/>
  <c r="Z101" i="40"/>
  <c r="Y112" i="40"/>
  <c r="T23" i="49"/>
  <c r="V117" i="40"/>
  <c r="T25" i="49" s="1"/>
  <c r="Y37" i="40"/>
  <c r="Z102" i="40"/>
  <c r="Y69" i="40"/>
  <c r="Y70" i="40"/>
  <c r="Y74" i="40"/>
  <c r="AA49" i="40"/>
  <c r="AA73" i="40" s="1"/>
  <c r="AA75" i="40" s="1"/>
  <c r="AA72" i="40" s="1"/>
  <c r="AC31" i="40"/>
  <c r="AC44" i="40" s="1"/>
  <c r="AC38" i="40"/>
  <c r="AC39" i="40" s="1"/>
  <c r="AD10" i="40"/>
  <c r="AD11" i="40" s="1"/>
  <c r="AE8" i="40"/>
  <c r="AB119" i="40"/>
  <c r="AB6" i="40"/>
  <c r="AB103" i="40" s="1"/>
  <c r="AB47" i="40"/>
  <c r="AB48" i="40" s="1"/>
  <c r="Z74" i="40" l="1"/>
  <c r="Y115" i="40"/>
  <c r="W23" i="49" s="1"/>
  <c r="Z105" i="40"/>
  <c r="Z84" i="40"/>
  <c r="X117" i="40"/>
  <c r="V25" i="49" s="1"/>
  <c r="AA54" i="40"/>
  <c r="AA56" i="40" s="1"/>
  <c r="AA66" i="40" s="1"/>
  <c r="AA112" i="40" s="1"/>
  <c r="Z80" i="40"/>
  <c r="Z85" i="40" s="1"/>
  <c r="Z37" i="40"/>
  <c r="Z112" i="40"/>
  <c r="AA101" i="40"/>
  <c r="AA102" i="40"/>
  <c r="AA68" i="40"/>
  <c r="Y67" i="40"/>
  <c r="AA74" i="40"/>
  <c r="AB49" i="40"/>
  <c r="AB68" i="40" s="1"/>
  <c r="AD38" i="40"/>
  <c r="AD39" i="40" s="1"/>
  <c r="AD31" i="40"/>
  <c r="AD44" i="40" s="1"/>
  <c r="AC119" i="40"/>
  <c r="AC6" i="40"/>
  <c r="AC103" i="40" s="1"/>
  <c r="AC47" i="40"/>
  <c r="AC48" i="40" s="1"/>
  <c r="AE10" i="40"/>
  <c r="AE11" i="40" s="1"/>
  <c r="AF8" i="40"/>
  <c r="Y117" i="40" l="1"/>
  <c r="W25" i="49" s="1"/>
  <c r="Z115" i="40"/>
  <c r="Z117" i="40" s="1"/>
  <c r="AB101" i="40"/>
  <c r="AA37" i="40"/>
  <c r="AA79" i="40"/>
  <c r="AA69" i="40"/>
  <c r="AA70" i="40"/>
  <c r="AB69" i="40"/>
  <c r="AA105" i="40"/>
  <c r="AA115" i="40" s="1"/>
  <c r="AA117" i="40" s="1"/>
  <c r="AB73" i="40"/>
  <c r="AB75" i="40" s="1"/>
  <c r="AB72" i="40" s="1"/>
  <c r="AB102" i="40"/>
  <c r="AB70" i="40"/>
  <c r="AC49" i="40"/>
  <c r="AC68" i="40" s="1"/>
  <c r="AC70" i="40" s="1"/>
  <c r="AC67" i="40" s="1"/>
  <c r="AB54" i="40"/>
  <c r="AB56" i="40" s="1"/>
  <c r="AB37" i="40" s="1"/>
  <c r="AE31" i="40"/>
  <c r="AE44" i="40" s="1"/>
  <c r="AE38" i="40"/>
  <c r="AE39" i="40" s="1"/>
  <c r="AD119" i="40"/>
  <c r="AD6" i="40"/>
  <c r="AD103" i="40" s="1"/>
  <c r="AD47" i="40"/>
  <c r="AD48" i="40" s="1"/>
  <c r="AF10" i="40"/>
  <c r="AF11" i="40" s="1"/>
  <c r="AG8" i="40"/>
  <c r="AA80" i="40" l="1"/>
  <c r="AA85" i="40" s="1"/>
  <c r="AA84" i="40"/>
  <c r="AC101" i="40"/>
  <c r="AC69" i="40"/>
  <c r="AC54" i="40"/>
  <c r="AC56" i="40" s="1"/>
  <c r="AC66" i="40" s="1"/>
  <c r="AC112" i="40" s="1"/>
  <c r="AA67" i="40"/>
  <c r="AB74" i="40"/>
  <c r="AC73" i="40"/>
  <c r="AC75" i="40" s="1"/>
  <c r="AC72" i="40" s="1"/>
  <c r="AC102" i="40"/>
  <c r="AB66" i="40"/>
  <c r="AB79" i="40" s="1"/>
  <c r="AD49" i="40"/>
  <c r="AD73" i="40" s="1"/>
  <c r="AD75" i="40" s="1"/>
  <c r="AD72" i="40" s="1"/>
  <c r="AB67" i="40"/>
  <c r="AG10" i="40"/>
  <c r="AG11" i="40" s="1"/>
  <c r="AH8" i="40"/>
  <c r="AE47" i="40"/>
  <c r="AE48" i="40" s="1"/>
  <c r="AE119" i="40"/>
  <c r="AE6" i="40"/>
  <c r="AE103" i="40" s="1"/>
  <c r="AF38" i="40"/>
  <c r="AF39" i="40" s="1"/>
  <c r="AF31" i="40"/>
  <c r="AF44" i="40" s="1"/>
  <c r="AD54" i="40" l="1"/>
  <c r="AD56" i="40" s="1"/>
  <c r="AD66" i="40" s="1"/>
  <c r="AD112" i="40" s="1"/>
  <c r="AB80" i="40"/>
  <c r="AB85" i="40" s="1"/>
  <c r="AB84" i="40"/>
  <c r="AC79" i="40"/>
  <c r="AC105" i="40" s="1"/>
  <c r="AC115" i="40" s="1"/>
  <c r="AC117" i="40" s="1"/>
  <c r="AC37" i="40"/>
  <c r="AD68" i="40"/>
  <c r="AD69" i="40" s="1"/>
  <c r="AD102" i="40"/>
  <c r="AC74" i="40"/>
  <c r="AB105" i="40"/>
  <c r="AD101" i="40"/>
  <c r="AB112" i="40"/>
  <c r="AD74" i="40"/>
  <c r="AE49" i="40"/>
  <c r="AE73" i="40" s="1"/>
  <c r="AE75" i="40" s="1"/>
  <c r="AE72" i="40" s="1"/>
  <c r="AF47" i="40"/>
  <c r="AF48" i="40" s="1"/>
  <c r="AF119" i="40"/>
  <c r="AF6" i="40"/>
  <c r="AF103" i="40" s="1"/>
  <c r="AG38" i="40"/>
  <c r="AG39" i="40" s="1"/>
  <c r="AG31" i="40"/>
  <c r="AG44" i="40" s="1"/>
  <c r="AH10" i="40"/>
  <c r="AH11" i="40" s="1"/>
  <c r="AI8" i="40"/>
  <c r="AD79" i="40" l="1"/>
  <c r="AD84" i="40" s="1"/>
  <c r="AD37" i="40"/>
  <c r="D37" i="40" s="1"/>
  <c r="AC80" i="40"/>
  <c r="AC85" i="40" s="1"/>
  <c r="AC84" i="40"/>
  <c r="AD70" i="40"/>
  <c r="AD67" i="40" s="1"/>
  <c r="AE102" i="40"/>
  <c r="AE68" i="40"/>
  <c r="AE70" i="40" s="1"/>
  <c r="AE67" i="40" s="1"/>
  <c r="AB115" i="40"/>
  <c r="AB117" i="40" s="1"/>
  <c r="AD105" i="40"/>
  <c r="AD115" i="40" s="1"/>
  <c r="AD117" i="40" s="1"/>
  <c r="AE54" i="40"/>
  <c r="AE56" i="40" s="1"/>
  <c r="AE66" i="40" s="1"/>
  <c r="AE79" i="40" s="1"/>
  <c r="AE101" i="40"/>
  <c r="AE74" i="40"/>
  <c r="AF49" i="40"/>
  <c r="AF68" i="40" s="1"/>
  <c r="AF70" i="40" s="1"/>
  <c r="AF67" i="40" s="1"/>
  <c r="AH38" i="40"/>
  <c r="AH39" i="40" s="1"/>
  <c r="AH31" i="40"/>
  <c r="AH44" i="40" s="1"/>
  <c r="E8" i="40"/>
  <c r="D8" i="40" s="1"/>
  <c r="AI10" i="40"/>
  <c r="AG6" i="40"/>
  <c r="AG103" i="40" s="1"/>
  <c r="AG47" i="40"/>
  <c r="AG48" i="40" s="1"/>
  <c r="AG119" i="40"/>
  <c r="AD80" i="40" l="1"/>
  <c r="AD85" i="40" s="1"/>
  <c r="E37" i="40"/>
  <c r="D24" i="51" s="1"/>
  <c r="E24" i="51" s="1"/>
  <c r="T86" i="20"/>
  <c r="D23" i="51"/>
  <c r="E23" i="51" s="1"/>
  <c r="AE80" i="40"/>
  <c r="AE85" i="40" s="1"/>
  <c r="AE84" i="40"/>
  <c r="AE105" i="40"/>
  <c r="AE112" i="40"/>
  <c r="AE69" i="40"/>
  <c r="AF102" i="40"/>
  <c r="AF69" i="40"/>
  <c r="AF73" i="40"/>
  <c r="AF74" i="40" s="1"/>
  <c r="AF54" i="40"/>
  <c r="AF56" i="40" s="1"/>
  <c r="AF66" i="40" s="1"/>
  <c r="AF112" i="40" s="1"/>
  <c r="AF101" i="40"/>
  <c r="AG49" i="40"/>
  <c r="AG73" i="40" s="1"/>
  <c r="AG75" i="40" s="1"/>
  <c r="AG72" i="40" s="1"/>
  <c r="E10" i="40"/>
  <c r="D10" i="40" s="1"/>
  <c r="AI11" i="40"/>
  <c r="AH119" i="40"/>
  <c r="AH6" i="40"/>
  <c r="AH103" i="40" s="1"/>
  <c r="AH47" i="40"/>
  <c r="AH48" i="40" s="1"/>
  <c r="T87" i="20" l="1"/>
  <c r="AE115" i="40"/>
  <c r="AE117" i="40" s="1"/>
  <c r="AF75" i="40"/>
  <c r="AF72" i="40" s="1"/>
  <c r="AG68" i="40"/>
  <c r="AG69" i="40" s="1"/>
  <c r="AG101" i="40"/>
  <c r="AG74" i="40"/>
  <c r="AG54" i="40"/>
  <c r="AG56" i="40" s="1"/>
  <c r="AG66" i="40" s="1"/>
  <c r="AG112" i="40" s="1"/>
  <c r="AG102" i="40"/>
  <c r="AF79" i="40"/>
  <c r="AH49" i="40"/>
  <c r="AH68" i="40" s="1"/>
  <c r="AH70" i="40" s="1"/>
  <c r="AH67" i="40" s="1"/>
  <c r="AI38" i="40"/>
  <c r="AI39" i="40" s="1"/>
  <c r="E39" i="40" s="1"/>
  <c r="D39" i="40" s="1"/>
  <c r="AI31" i="40"/>
  <c r="E11" i="40"/>
  <c r="D11" i="40" s="1"/>
  <c r="AF105" i="40" l="1"/>
  <c r="AF115" i="40" s="1"/>
  <c r="AF117" i="40" s="1"/>
  <c r="AF84" i="40"/>
  <c r="AH101" i="40"/>
  <c r="AG70" i="40"/>
  <c r="AG67" i="40" s="1"/>
  <c r="AF80" i="40"/>
  <c r="AF85" i="40" s="1"/>
  <c r="AH69" i="40"/>
  <c r="AH102" i="40"/>
  <c r="AH73" i="40"/>
  <c r="AH74" i="40" s="1"/>
  <c r="AG79" i="40"/>
  <c r="AH54" i="40"/>
  <c r="AH56" i="40" s="1"/>
  <c r="AH66" i="40" s="1"/>
  <c r="AH112" i="40" s="1"/>
  <c r="AI44" i="40"/>
  <c r="E31" i="40"/>
  <c r="D31" i="40" s="1"/>
  <c r="AG80" i="40" l="1"/>
  <c r="AG85" i="40" s="1"/>
  <c r="AG84" i="40"/>
  <c r="AH75" i="40"/>
  <c r="AH72" i="40" s="1"/>
  <c r="AG105" i="40"/>
  <c r="AG115" i="40" s="1"/>
  <c r="AG117" i="40" s="1"/>
  <c r="AH79" i="40"/>
  <c r="AI6" i="40"/>
  <c r="E44" i="40"/>
  <c r="D44" i="40" s="1"/>
  <c r="C175" i="40" s="1"/>
  <c r="AI119" i="40"/>
  <c r="E119" i="40" s="1"/>
  <c r="D119" i="40" s="1"/>
  <c r="AI47" i="40"/>
  <c r="AH105" i="40" l="1"/>
  <c r="AH115" i="40" s="1"/>
  <c r="AH117" i="40" s="1"/>
  <c r="AH84" i="40"/>
  <c r="AH80" i="40"/>
  <c r="AH85" i="40" s="1"/>
  <c r="E6" i="40"/>
  <c r="D6" i="40" s="1"/>
  <c r="D163" i="40" s="1"/>
  <c r="D173" i="40" s="1"/>
  <c r="D175" i="40" s="1"/>
  <c r="AI103" i="40"/>
  <c r="E103" i="40" s="1"/>
  <c r="D103" i="40" s="1"/>
  <c r="AI48" i="40"/>
  <c r="E47" i="40"/>
  <c r="D47" i="40" s="1"/>
  <c r="AI49" i="40" l="1"/>
  <c r="E49" i="40" s="1"/>
  <c r="D49" i="40" s="1"/>
  <c r="E177" i="40"/>
  <c r="D187" i="40"/>
  <c r="D177" i="40"/>
  <c r="AI101" i="40" l="1"/>
  <c r="E101" i="40" s="1"/>
  <c r="D101" i="40" s="1"/>
  <c r="AI73" i="40"/>
  <c r="AI75" i="40" s="1"/>
  <c r="AI72" i="40" s="1"/>
  <c r="E72" i="40" s="1"/>
  <c r="D72" i="40" s="1"/>
  <c r="AI68" i="40"/>
  <c r="AI70" i="40" s="1"/>
  <c r="AI102" i="40"/>
  <c r="E102" i="40" s="1"/>
  <c r="D102" i="40" s="1"/>
  <c r="AI54" i="40"/>
  <c r="E54" i="40" s="1"/>
  <c r="D54" i="40" s="1"/>
  <c r="E183" i="40"/>
  <c r="E185" i="40" s="1"/>
  <c r="D181" i="40"/>
  <c r="D182" i="40" s="1"/>
  <c r="D183" i="40" s="1"/>
  <c r="D185" i="40" s="1"/>
  <c r="AI74" i="40" l="1"/>
  <c r="AI69" i="40"/>
  <c r="AI56" i="40"/>
  <c r="AI66" i="40" s="1"/>
  <c r="AI67" i="40"/>
  <c r="E67" i="40" s="1"/>
  <c r="D67" i="40" s="1"/>
  <c r="D188" i="40"/>
  <c r="D189" i="40" s="1"/>
  <c r="E56" i="40" l="1"/>
  <c r="D56" i="40" s="1"/>
  <c r="E66" i="40"/>
  <c r="D66" i="40" s="1"/>
  <c r="C188" i="40" s="1"/>
  <c r="AI112" i="40"/>
  <c r="AI79" i="40"/>
  <c r="AI84" i="40" s="1"/>
  <c r="E84" i="40" s="1"/>
  <c r="D84" i="40" s="1"/>
  <c r="D112" i="40" l="1"/>
  <c r="T12" i="20" s="1"/>
  <c r="U12" i="20" s="1"/>
  <c r="AI105" i="40"/>
  <c r="E79" i="40"/>
  <c r="D79" i="40" s="1"/>
  <c r="AI80" i="40"/>
  <c r="E80" i="40" l="1"/>
  <c r="D80" i="40" s="1"/>
  <c r="F192" i="40"/>
  <c r="AI85" i="40"/>
  <c r="E85" i="40" s="1"/>
  <c r="AI115" i="40"/>
  <c r="E105" i="40"/>
  <c r="D105" i="40" s="1"/>
  <c r="D192" i="40" l="1"/>
  <c r="D193" i="40" s="1"/>
  <c r="C193" i="40" s="1"/>
  <c r="E86" i="40"/>
  <c r="D86" i="40" s="1"/>
  <c r="I201" i="40"/>
  <c r="F201" i="40" s="1"/>
  <c r="E204" i="40" s="1"/>
  <c r="T8" i="20"/>
  <c r="C189" i="40"/>
  <c r="AI117" i="40"/>
  <c r="E117" i="40" s="1"/>
  <c r="E115" i="40"/>
  <c r="C25" i="49" l="1"/>
  <c r="D117" i="40"/>
  <c r="B25" i="49" s="1"/>
  <c r="U8" i="20"/>
  <c r="U13" i="20" s="1"/>
  <c r="B6" i="51" s="1"/>
  <c r="B9" i="51" s="1"/>
  <c r="T13" i="20"/>
  <c r="D115" i="40"/>
  <c r="B23" i="49" s="1"/>
  <c r="C23" i="49"/>
  <c r="U19" i="20" l="1"/>
  <c r="V9" i="20" s="1"/>
  <c r="U17" i="20"/>
  <c r="T19" i="20"/>
  <c r="T17" i="20"/>
  <c r="V18" i="20" l="1"/>
  <c r="F180" i="1"/>
  <c r="V8" i="20"/>
  <c r="V14" i="20"/>
  <c r="F184" i="1"/>
  <c r="V11" i="20"/>
  <c r="V12" i="20"/>
  <c r="V10" i="20"/>
  <c r="F178" i="1"/>
  <c r="F179" i="1"/>
  <c r="V15" i="20"/>
  <c r="F177" i="1"/>
  <c r="F176" i="1"/>
  <c r="F189" i="1"/>
  <c r="F183" i="1"/>
  <c r="F187" i="1"/>
  <c r="F193" i="1"/>
  <c r="G187" i="1"/>
  <c r="G182" i="1"/>
  <c r="F182" i="1"/>
  <c r="F191" i="1"/>
  <c r="F192" i="1"/>
  <c r="F190" i="1"/>
  <c r="F175" i="1"/>
  <c r="G184" i="1"/>
  <c r="F186" i="1"/>
  <c r="F174" i="1"/>
  <c r="G183" i="1"/>
  <c r="V13" i="20" l="1"/>
  <c r="V16" i="20"/>
  <c r="V17" i="20" l="1"/>
  <c r="V19" i="20"/>
</calcChain>
</file>

<file path=xl/comments1.xml><?xml version="1.0" encoding="utf-8"?>
<comments xmlns="http://schemas.openxmlformats.org/spreadsheetml/2006/main">
  <authors>
    <author>Richard McCann</author>
    <author>Eric Cutter</author>
    <author>Joel Klein</author>
    <author>CEC</author>
    <author>RMcCann</author>
    <author>jklein</author>
  </authors>
  <commentList>
    <comment ref="C8" authorId="0">
      <text>
        <r>
          <rPr>
            <b/>
            <sz val="8"/>
            <color indexed="81"/>
            <rFont val="Tahoma"/>
            <family val="2"/>
          </rPr>
          <t>The Year that project is expected to come on line.</t>
        </r>
        <r>
          <rPr>
            <sz val="8"/>
            <color indexed="81"/>
            <rFont val="Tahoma"/>
            <family val="2"/>
          </rPr>
          <t xml:space="preserve">
</t>
        </r>
      </text>
    </comment>
    <comment ref="S8" authorId="1">
      <text>
        <r>
          <rPr>
            <sz val="9"/>
            <color indexed="81"/>
            <rFont val="Tahoma"/>
            <family val="2"/>
          </rPr>
          <t>Capital (debt and equity) required for construction, plus interest  on debt and return on equity.</t>
        </r>
      </text>
    </comment>
    <comment ref="C9" authorId="1">
      <text>
        <r>
          <rPr>
            <sz val="9"/>
            <color indexed="81"/>
            <rFont val="Tahoma"/>
            <family val="2"/>
          </rPr>
          <t xml:space="preserve">Select Technology here.
</t>
        </r>
        <r>
          <rPr>
            <b/>
            <sz val="9"/>
            <color indexed="10"/>
            <rFont val="Tahoma"/>
            <family val="2"/>
          </rPr>
          <t>Repeat this selection again after the other selections to ensure that the Model has stablized.</t>
        </r>
      </text>
    </comment>
    <comment ref="G9" authorId="1">
      <text>
        <r>
          <rPr>
            <sz val="9"/>
            <color indexed="81"/>
            <rFont val="Tahoma"/>
            <family val="2"/>
          </rPr>
          <t>Capital (debt and equity) required for construction, plus interest  on debt and return on equity.</t>
        </r>
      </text>
    </comment>
    <comment ref="C16" authorId="2">
      <text>
        <r>
          <rPr>
            <sz val="8"/>
            <color indexed="81"/>
            <rFont val="Tahoma"/>
            <family val="2"/>
          </rPr>
          <t xml:space="preserve">This affects the selection for gas fired units (CTs and CCs) only. Fuel Type option overrides all other fuel selections.
</t>
        </r>
      </text>
    </comment>
    <comment ref="C18" authorId="3">
      <text>
        <r>
          <rPr>
            <sz val="10"/>
            <color indexed="81"/>
            <rFont val="Tahoma"/>
            <family val="2"/>
          </rPr>
          <t>Set this value to equal the total number of CTs that are in the configuration, regardless of what the configuration is.</t>
        </r>
        <r>
          <rPr>
            <sz val="10"/>
            <color indexed="81"/>
            <rFont val="Tahoma"/>
            <family val="2"/>
          </rPr>
          <t xml:space="preserve">
</t>
        </r>
      </text>
    </comment>
    <comment ref="T20" authorId="4">
      <text>
        <r>
          <rPr>
            <b/>
            <sz val="8"/>
            <color indexed="81"/>
            <rFont val="Tahoma"/>
            <family val="2"/>
          </rPr>
          <t>Levelized Inc_RevReq for comparison - $/kW-Yr</t>
        </r>
      </text>
    </comment>
    <comment ref="H21" authorId="4">
      <text>
        <r>
          <rPr>
            <b/>
            <sz val="8"/>
            <color indexed="81"/>
            <rFont val="Tahoma"/>
            <family val="2"/>
          </rPr>
          <t>Levelized Inc_RevReq for comparison - $/kW-Yr</t>
        </r>
      </text>
    </comment>
    <comment ref="J21" authorId="4">
      <text>
        <r>
          <rPr>
            <b/>
            <sz val="8"/>
            <color indexed="81"/>
            <rFont val="Tahoma"/>
            <family val="2"/>
          </rPr>
          <t>Levelized Inc_RevReq for comparison - $/kW-Yr</t>
        </r>
      </text>
    </comment>
    <comment ref="L21" authorId="4">
      <text>
        <r>
          <rPr>
            <b/>
            <sz val="8"/>
            <color indexed="81"/>
            <rFont val="Tahoma"/>
            <family val="2"/>
          </rPr>
          <t>Levelized Inc_RevReq for comparison - $/kW-Yr</t>
        </r>
      </text>
    </comment>
    <comment ref="T33" authorId="5">
      <text>
        <r>
          <rPr>
            <b/>
            <sz val="8"/>
            <color indexed="81"/>
            <rFont val="Tahoma"/>
            <family val="2"/>
          </rPr>
          <t xml:space="preserve">jklein (1-23-09): </t>
        </r>
        <r>
          <rPr>
            <sz val="8"/>
            <color indexed="81"/>
            <rFont val="Tahoma"/>
            <family val="2"/>
          </rPr>
          <t>This estimate is based on Net Energy, and does not match the estimate in Data 2 or the Income Statement, as those values ares based on Load Center Energy and further adjusted to acoount for capcity degrdation. The two values become identical when to Model is used in the Net Energy Mode - no transformer or transmission losses - and capacity degradation (Data1, Cell C26) is set to zero.</t>
        </r>
      </text>
    </comment>
    <comment ref="U33" authorId="5">
      <text>
        <r>
          <rPr>
            <b/>
            <sz val="8"/>
            <color indexed="81"/>
            <rFont val="Tahoma"/>
            <family val="2"/>
          </rPr>
          <t xml:space="preserve">jklein (1-23-09): </t>
        </r>
        <r>
          <rPr>
            <sz val="8"/>
            <color indexed="81"/>
            <rFont val="Tahoma"/>
            <family val="2"/>
          </rPr>
          <t>This estimate is based on Net Energy, and does not match the estimate in Data 2 or the Income Statement, as those values ares based on Load Center Energy and further adjusted to acoount for capcity degrdation. The two values become identical when to Model is used in the Net Energy Mode - no transformer or transmission losses - and capacity degradation (Data1, Cell C26) is set to zero.</t>
        </r>
        <r>
          <rPr>
            <sz val="8"/>
            <color indexed="81"/>
            <rFont val="Tahoma"/>
            <family val="2"/>
          </rPr>
          <t xml:space="preserve">
</t>
        </r>
      </text>
    </comment>
    <comment ref="C39" authorId="2">
      <text>
        <r>
          <rPr>
            <sz val="8"/>
            <color indexed="81"/>
            <rFont val="Tahoma"/>
            <family val="2"/>
          </rPr>
          <t>This is seet by Model, whick also selects the fuel cost for all technologies except gas-fired units (CTs and CCs)</t>
        </r>
        <r>
          <rPr>
            <sz val="8"/>
            <color indexed="81"/>
            <rFont val="Tahoma"/>
            <family val="2"/>
          </rPr>
          <t xml:space="preserve">
</t>
        </r>
      </text>
    </comment>
    <comment ref="C41" authorId="3">
      <text>
        <r>
          <rPr>
            <sz val="10"/>
            <color indexed="81"/>
            <rFont val="Tahoma"/>
            <family val="2"/>
          </rPr>
          <t xml:space="preserve">Jklein, 1-23-09; The user of this model must determine the applicable point of analysis for an estimate of levelized cost:
1) At Busbar - Plant Side: Llow side of the transformer, which sets the transformer and transmission losses to zero, 
2) At Busbar - Transmission Side: At the high side of the transforrmer, includes transformer losses (Data 1, Cell C22), or
2) At Interconnection Point: Includes transformer and transmission losses to the Exsiting Transmsiion, most often the transmission/subtransmission interface substation.
</t>
        </r>
      </text>
    </comment>
    <comment ref="G41" authorId="1">
      <text>
        <r>
          <rPr>
            <sz val="9"/>
            <color indexed="81"/>
            <rFont val="Tahoma"/>
            <family val="2"/>
          </rPr>
          <t>Result of either hours or percentage input above</t>
        </r>
      </text>
    </comment>
    <comment ref="C42" authorId="3">
      <text>
        <r>
          <rPr>
            <sz val="10"/>
            <color indexed="81"/>
            <rFont val="Tahoma"/>
            <family val="2"/>
          </rPr>
          <t>Select Installed for CCs &amp; CTs. Select Instant for all others.</t>
        </r>
        <r>
          <rPr>
            <sz val="10"/>
            <color indexed="81"/>
            <rFont val="Tahoma"/>
            <family val="2"/>
          </rPr>
          <t xml:space="preserve">
</t>
        </r>
      </text>
    </comment>
    <comment ref="G42" authorId="1">
      <text>
        <r>
          <rPr>
            <sz val="9"/>
            <color indexed="81"/>
            <rFont val="Tahoma"/>
            <family val="2"/>
          </rPr>
          <t xml:space="preserve">Include all unplanned outages. 
Forced Outage Rate (FOR) = 
           </t>
        </r>
        <r>
          <rPr>
            <u/>
            <sz val="9"/>
            <color indexed="81"/>
            <rFont val="Tahoma"/>
            <family val="2"/>
          </rPr>
          <t xml:space="preserve">    Forced Outage Hours</t>
        </r>
        <r>
          <rPr>
            <sz val="9"/>
            <color indexed="81"/>
            <rFont val="Tahoma"/>
            <family val="2"/>
          </rPr>
          <t xml:space="preserve">
Forced Outage Hours + Service Hours
IMPORTANT:  Forced Outage Rate based on Operational (Service) hours, not 8,760 hours in year.  Forced Outage hours will occur DURING planned operational hours.  For example, if planned percent of year operational is 90% and the forced outage rate is 5%, the model assumes the plant will operate 85% of the year. </t>
        </r>
      </text>
    </comment>
    <comment ref="G44" authorId="1">
      <text>
        <r>
          <rPr>
            <sz val="9"/>
            <color indexed="81"/>
            <rFont val="Tahoma"/>
            <family val="2"/>
          </rPr>
          <t>This model does not deal with the hours a unit is available but not operating, that is it assumes plant is operating during all hours it is available.  Technically, the GADS Equivalent Availability Factor would generally be somewhat higher than the factor calculated here.</t>
        </r>
      </text>
    </comment>
    <comment ref="G45" authorId="1">
      <text>
        <r>
          <rPr>
            <sz val="9"/>
            <color indexed="81"/>
            <rFont val="Tahoma"/>
            <family val="2"/>
          </rPr>
          <t xml:space="preserve">NCF =    </t>
        </r>
        <r>
          <rPr>
            <u/>
            <sz val="9"/>
            <color indexed="81"/>
            <rFont val="Tahoma"/>
            <family val="2"/>
          </rPr>
          <t xml:space="preserve">  Net Actual Generation</t>
        </r>
        <r>
          <rPr>
            <sz val="9"/>
            <color indexed="81"/>
            <rFont val="Tahoma"/>
            <family val="2"/>
          </rPr>
          <t xml:space="preserve">
           8,760 Hrs/Year*Net Capacity</t>
        </r>
      </text>
    </comment>
    <comment ref="S48" authorId="1">
      <text>
        <r>
          <rPr>
            <sz val="9"/>
            <color indexed="81"/>
            <rFont val="Tahoma"/>
            <family val="2"/>
          </rPr>
          <t>Result of either hours or percentage input above</t>
        </r>
      </text>
    </comment>
    <comment ref="S49" authorId="1">
      <text>
        <r>
          <rPr>
            <sz val="9"/>
            <color indexed="81"/>
            <rFont val="Tahoma"/>
            <family val="2"/>
          </rPr>
          <t xml:space="preserve">Include all unplanned outages. 
Forced Outage Rate (FOR) = 
           </t>
        </r>
        <r>
          <rPr>
            <u/>
            <sz val="9"/>
            <color indexed="81"/>
            <rFont val="Tahoma"/>
            <family val="2"/>
          </rPr>
          <t xml:space="preserve">    Forced Outage Hours</t>
        </r>
        <r>
          <rPr>
            <sz val="9"/>
            <color indexed="81"/>
            <rFont val="Tahoma"/>
            <family val="2"/>
          </rPr>
          <t xml:space="preserve">
Forced Outage Hours + Service Hours
IMPORTANT:  Forced Outage Rate based on Operational (Service) hours, not 8,760 hours in year.  Forced Outage hours will occur DURING planned operational hours.  For example, if planned percent of year operational is 90% and the forced outage rate is 5%, the model assumes the plant will operate 85% of the year. </t>
        </r>
      </text>
    </comment>
    <comment ref="S51" authorId="1">
      <text>
        <r>
          <rPr>
            <sz val="9"/>
            <color indexed="81"/>
            <rFont val="Tahoma"/>
            <family val="2"/>
          </rPr>
          <t>This model does not deal with the hours a unit is available but not operating, that is it assumes plant is operating during all hours it is available.  Technically, the GADS Equivalent Availability Factor would generally be somewhat higher than the factor calculated here.</t>
        </r>
      </text>
    </comment>
    <comment ref="S52" authorId="1">
      <text>
        <r>
          <rPr>
            <sz val="9"/>
            <color indexed="81"/>
            <rFont val="Tahoma"/>
            <family val="2"/>
          </rPr>
          <t xml:space="preserve">NCF =    </t>
        </r>
        <r>
          <rPr>
            <u/>
            <sz val="9"/>
            <color indexed="81"/>
            <rFont val="Tahoma"/>
            <family val="2"/>
          </rPr>
          <t xml:space="preserve">  Net Actual Generation</t>
        </r>
        <r>
          <rPr>
            <sz val="9"/>
            <color indexed="81"/>
            <rFont val="Tahoma"/>
            <family val="2"/>
          </rPr>
          <t xml:space="preserve">
           8,760 Hrs/Year*Net Capacity</t>
        </r>
      </text>
    </comment>
    <comment ref="B104" authorId="0">
      <text>
        <r>
          <rPr>
            <b/>
            <sz val="8"/>
            <color indexed="81"/>
            <rFont val="Tahoma"/>
            <family val="2"/>
          </rPr>
          <t>Edit with Data / Validation menu option</t>
        </r>
      </text>
    </comment>
  </commentList>
</comments>
</file>

<file path=xl/comments2.xml><?xml version="1.0" encoding="utf-8"?>
<comments xmlns="http://schemas.openxmlformats.org/spreadsheetml/2006/main">
  <authors>
    <author>Richard McCann</author>
  </authors>
  <commentList>
    <comment ref="A29" authorId="0">
      <text>
        <r>
          <rPr>
            <b/>
            <sz val="8"/>
            <color indexed="81"/>
            <rFont val="Tahoma"/>
            <family val="2"/>
          </rPr>
          <t>Equivalent to Real Economic Carry Charge (RECC) cost calculation.  Calculated per Carlton &amp; Perloff, Modern Industrial Organization, 1990, App. 3A.</t>
        </r>
        <r>
          <rPr>
            <sz val="8"/>
            <color indexed="81"/>
            <rFont val="Tahoma"/>
            <family val="2"/>
          </rPr>
          <t xml:space="preserve">
</t>
        </r>
      </text>
    </comment>
  </commentList>
</comments>
</file>

<file path=xl/comments3.xml><?xml version="1.0" encoding="utf-8"?>
<comments xmlns="http://schemas.openxmlformats.org/spreadsheetml/2006/main">
  <authors>
    <author>Joel Klein</author>
    <author>Richard McCann</author>
    <author>Eric Cutter</author>
    <author xml:space="preserve"> </author>
  </authors>
  <commentList>
    <comment ref="C19" authorId="0">
      <text>
        <r>
          <rPr>
            <sz val="8"/>
            <color indexed="81"/>
            <rFont val="Tahoma"/>
            <family val="2"/>
          </rPr>
          <t>Gross dependable capacity.</t>
        </r>
      </text>
    </comment>
    <comment ref="E19" authorId="0">
      <text>
        <r>
          <rPr>
            <sz val="9"/>
            <color indexed="81"/>
            <rFont val="Tahoma"/>
            <family val="2"/>
          </rPr>
          <t xml:space="preserve">Energy is adjusted/levelized for Capacity degredation. Capacity is not levelized; it is assumed to be at installed capacity. See User's Guide for details.
</t>
        </r>
      </text>
    </comment>
    <comment ref="C20" authorId="1">
      <text>
        <r>
          <rPr>
            <sz val="8"/>
            <color indexed="81"/>
            <rFont val="Tahoma"/>
            <family val="2"/>
          </rPr>
          <t>The capacity lost due to the power used at the power plant (station service).</t>
        </r>
        <r>
          <rPr>
            <sz val="8"/>
            <color indexed="81"/>
            <rFont val="Tahoma"/>
            <family val="2"/>
          </rPr>
          <t xml:space="preserve">
</t>
        </r>
      </text>
    </comment>
    <comment ref="C21" authorId="0">
      <text>
        <r>
          <rPr>
            <sz val="8"/>
            <color indexed="81"/>
            <rFont val="Tahoma"/>
            <family val="2"/>
          </rPr>
          <t>The capacity net of the plant site losses: gross capacity - plant use.</t>
        </r>
        <r>
          <rPr>
            <sz val="8"/>
            <color indexed="81"/>
            <rFont val="Tahoma"/>
            <family val="2"/>
          </rPr>
          <t xml:space="preserve">
</t>
        </r>
      </text>
    </comment>
    <comment ref="D21" authorId="0">
      <text>
        <r>
          <rPr>
            <sz val="8"/>
            <color indexed="81"/>
            <rFont val="Tahoma"/>
            <family val="2"/>
          </rPr>
          <t>Average MW. That is, the Net Capacity adjusted for the Average Percent Output - such as for a solar plant.</t>
        </r>
      </text>
    </comment>
    <comment ref="E21" authorId="2">
      <text>
        <r>
          <rPr>
            <sz val="9"/>
            <color indexed="81"/>
            <rFont val="Tahoma"/>
            <family val="2"/>
          </rPr>
          <t>Energy at the low side of the transformer. Energy is adjusted/levelized to account for capacity degradation.</t>
        </r>
      </text>
    </comment>
    <comment ref="B22" authorId="1">
      <text>
        <r>
          <rPr>
            <b/>
            <sz val="10"/>
            <color indexed="81"/>
            <rFont val="Tahoma"/>
            <family val="2"/>
          </rPr>
          <t>Added ancillary services or reserves required to support energy delivery from this resource.  Not used for standard busbar cost comparisons.</t>
        </r>
      </text>
    </comment>
    <comment ref="C22" authorId="1">
      <text>
        <r>
          <rPr>
            <sz val="10"/>
            <color indexed="81"/>
            <rFont val="Tahoma"/>
            <family val="2"/>
          </rPr>
          <t xml:space="preserve">The losses due to the uplift transformer at the power plant. If the levelized cost is being calculated at the busbar, low side of the transformer, this value should be - and will be - set to zero by the Study Perspective selection in cell C16 on the Input-Output worksheet
</t>
        </r>
      </text>
    </comment>
    <comment ref="C23" authorId="0">
      <text>
        <r>
          <rPr>
            <sz val="8"/>
            <color indexed="81"/>
            <rFont val="Tahoma"/>
            <family val="2"/>
          </rPr>
          <t>The capacity at the high side of the power plant uplift transformer.</t>
        </r>
      </text>
    </comment>
    <comment ref="D23" authorId="0">
      <text>
        <r>
          <rPr>
            <sz val="8"/>
            <color indexed="81"/>
            <rFont val="Tahoma"/>
            <family val="2"/>
          </rPr>
          <t>Average MW. That is, the Net Capacity adjusted for the Average Percent Output - such as for a solar plant.</t>
        </r>
      </text>
    </comment>
    <comment ref="E23" authorId="2">
      <text>
        <r>
          <rPr>
            <sz val="9"/>
            <color indexed="81"/>
            <rFont val="Tahoma"/>
            <family val="2"/>
          </rPr>
          <t>Energy at the low side of the transformer. Energy is adjusted/levelized to account for capacity degradation.</t>
        </r>
      </text>
    </comment>
    <comment ref="C24" authorId="1">
      <text>
        <r>
          <rPr>
            <b/>
            <sz val="9"/>
            <color indexed="81"/>
            <rFont val="Tahoma"/>
            <family val="2"/>
          </rPr>
          <t>Richard McCann:</t>
        </r>
        <r>
          <rPr>
            <sz val="9"/>
            <color indexed="81"/>
            <rFont val="Tahoma"/>
            <family val="2"/>
          </rPr>
          <t xml:space="preserve">
Losses from transformer to substation.</t>
        </r>
      </text>
    </comment>
    <comment ref="C25" authorId="1">
      <text>
        <r>
          <rPr>
            <sz val="8"/>
            <color indexed="81"/>
            <rFont val="Tahoma"/>
            <family val="2"/>
          </rPr>
          <t xml:space="preserve">
</t>
        </r>
      </text>
    </comment>
    <comment ref="D25" authorId="1">
      <text>
        <r>
          <rPr>
            <sz val="8"/>
            <color indexed="81"/>
            <rFont val="Tahoma"/>
            <family val="2"/>
          </rPr>
          <t xml:space="preserve">Effective capacity net of transmission losses and reserves for retail meter cost studies at the load center.
</t>
        </r>
      </text>
    </comment>
    <comment ref="E25" authorId="0">
      <text>
        <r>
          <rPr>
            <sz val="9"/>
            <color indexed="81"/>
            <rFont val="Tahoma"/>
            <family val="2"/>
          </rPr>
          <t>Energy at Interconnection Point -levelized to account for capacity degradation.</t>
        </r>
      </text>
    </comment>
    <comment ref="C26" authorId="1">
      <text>
        <r>
          <rPr>
            <sz val="8"/>
            <color indexed="81"/>
            <rFont val="Tahoma"/>
            <family val="2"/>
          </rPr>
          <t>Estimated average annual capacity loss due to degradation of equipment.  Note:  results in declining output, but does not affect heat rate  (unless annuall heat rate degredation rate is entered below)</t>
        </r>
        <r>
          <rPr>
            <sz val="8"/>
            <color indexed="81"/>
            <rFont val="Tahoma"/>
            <family val="2"/>
          </rPr>
          <t xml:space="preserve">
</t>
        </r>
      </text>
    </comment>
    <comment ref="B30" authorId="2">
      <text>
        <r>
          <rPr>
            <sz val="9"/>
            <color indexed="81"/>
            <rFont val="Arial"/>
            <family val="2"/>
          </rPr>
          <t xml:space="preserve">Expected average available capacity during hours of operation
(e.g. 100% for combustion turbine even if unit is operated only during peak summer hours)
Include any periods of derated operation in this factor.
Equivalent to GADS Net Output Factor
NOF =           </t>
        </r>
        <r>
          <rPr>
            <u/>
            <sz val="9"/>
            <color indexed="81"/>
            <rFont val="Arial"/>
            <family val="2"/>
          </rPr>
          <t xml:space="preserve">Actual Net Generation
</t>
        </r>
        <r>
          <rPr>
            <sz val="9"/>
            <color indexed="81"/>
            <rFont val="Arial"/>
            <family val="2"/>
          </rPr>
          <t xml:space="preserve">              Service Hours* Max Net Capacity
</t>
        </r>
      </text>
    </comment>
    <comment ref="B31" authorId="2">
      <text>
        <r>
          <rPr>
            <sz val="9"/>
            <color indexed="81"/>
            <rFont val="Tahoma"/>
            <family val="2"/>
          </rPr>
          <t xml:space="preserve">Expected percent of year that unit is </t>
        </r>
        <r>
          <rPr>
            <u/>
            <sz val="9"/>
            <color indexed="81"/>
            <rFont val="Tahoma"/>
            <family val="2"/>
          </rPr>
          <t>planned</t>
        </r>
        <r>
          <rPr>
            <sz val="9"/>
            <color indexed="81"/>
            <rFont val="Tahoma"/>
            <family val="2"/>
          </rPr>
          <t xml:space="preserve"> to be operating, net of economic curtailment (i.e., dispatch) and physical availability (i.e., intermittency).
This percentage times the Average Output (above) will be the primary factors determining annual generation.  
For Example:
a solar plant may be operational 100% of the year with a 25% average output
a peaking unit will have a 100% average output with a 10% planned percent of year operational.  </t>
        </r>
      </text>
    </comment>
    <comment ref="B32" authorId="1">
      <text>
        <r>
          <rPr>
            <b/>
            <sz val="8"/>
            <color indexed="81"/>
            <rFont val="Tahoma"/>
            <family val="2"/>
          </rPr>
          <t>Based on equivalent cold starts from all types of starts</t>
        </r>
        <r>
          <rPr>
            <sz val="8"/>
            <color indexed="81"/>
            <rFont val="Tahoma"/>
            <family val="2"/>
          </rPr>
          <t xml:space="preserve">
</t>
        </r>
      </text>
    </comment>
    <comment ref="B33" authorId="2">
      <text>
        <r>
          <rPr>
            <sz val="9"/>
            <color indexed="81"/>
            <rFont val="Tahoma"/>
            <family val="2"/>
          </rPr>
          <t>Include all Scheduled (Planned and Maintenance) outage hours (i.e. all Non-Forced outage hours)</t>
        </r>
      </text>
    </comment>
    <comment ref="B34" authorId="2">
      <text>
        <r>
          <rPr>
            <sz val="9"/>
            <color indexed="81"/>
            <rFont val="Tahoma"/>
            <family val="2"/>
          </rPr>
          <t xml:space="preserve">Include all Scheduled (Planned and Maintenance) outages 
SOF = </t>
        </r>
        <r>
          <rPr>
            <u/>
            <sz val="9"/>
            <color indexed="81"/>
            <rFont val="Tahoma"/>
            <family val="2"/>
          </rPr>
          <t>Scheduled Outage Hours</t>
        </r>
        <r>
          <rPr>
            <sz val="9"/>
            <color indexed="81"/>
            <rFont val="Tahoma"/>
            <family val="2"/>
          </rPr>
          <t xml:space="preserve">
                 8760 Hours Per Year
IMPORTANT:  The Scheduled Outage Factor is multiplied by the total hours in the year, not the operational hours.  The model assumes, that to the extent possible, scheduled outages will occur when the plant is not planned to be operational. For example, if the Planned Percent of Year Operational is 95% and the Scheduled Outage Factor is 7%, the Scheduled Outages would only reduce the operation of the plant by 2%.  </t>
        </r>
      </text>
    </comment>
    <comment ref="C34" authorId="2">
      <text>
        <r>
          <rPr>
            <b/>
            <sz val="9"/>
            <color indexed="10"/>
            <rFont val="Tahoma"/>
            <family val="2"/>
          </rPr>
          <t>Caution:  A non-blank value in this cell will override above inputs.
Changing FOR will NOT change plant NCF, generation or LCOE.  These changes must be done directly in the NCF in cell 42.</t>
        </r>
      </text>
    </comment>
    <comment ref="B35" authorId="2">
      <text>
        <r>
          <rPr>
            <sz val="9"/>
            <color indexed="81"/>
            <rFont val="Tahoma"/>
            <family val="2"/>
          </rPr>
          <t>Result of either hours or percentage input above</t>
        </r>
      </text>
    </comment>
    <comment ref="B36" authorId="2">
      <text>
        <r>
          <rPr>
            <sz val="9"/>
            <color indexed="81"/>
            <rFont val="Tahoma"/>
            <family val="2"/>
          </rPr>
          <t xml:space="preserve">Minimum of Planned Percent of Year Operational or 8,760 hours per year - Scheduled Outage Hours.
The model assumes, that to the extent possible, scheduled outages will occur when the plant is not planned to be operational. For example, if the Planned Percent of Year Operational is 95% and the Scheduled Outage Factor is 7%, the Scheduled Outages would only reduce the operation of the plant by 2%.  </t>
        </r>
      </text>
    </comment>
    <comment ref="B37" authorId="2">
      <text>
        <r>
          <rPr>
            <sz val="9"/>
            <color indexed="81"/>
            <rFont val="Tahoma"/>
            <family val="2"/>
          </rPr>
          <t xml:space="preserve">Forced Outage Rate (FOR) = 
           </t>
        </r>
        <r>
          <rPr>
            <u/>
            <sz val="9"/>
            <color indexed="81"/>
            <rFont val="Tahoma"/>
            <family val="2"/>
          </rPr>
          <t xml:space="preserve">    Forced Outage Hours</t>
        </r>
        <r>
          <rPr>
            <sz val="9"/>
            <color indexed="81"/>
            <rFont val="Tahoma"/>
            <family val="2"/>
          </rPr>
          <t xml:space="preserve">
Forced Outage Hours + Service Hours
IMPORTANT:  Forced Outage Rate based on Operational (Service) hours, not 8,760 hours in year.  Forced Outage hours will occur DURING planned operational hours.  For example, if planned percent of year operational is 90% and the forced outage rate is 5%, the model assumes the plant will operate 85% of the year. 
FOR is used for simplification. Strictly speaking this is EFOR, Equivalent FOR.</t>
        </r>
      </text>
    </comment>
    <comment ref="C37" authorId="1">
      <text>
        <r>
          <rPr>
            <b/>
            <sz val="9"/>
            <color indexed="10"/>
            <rFont val="Tahoma"/>
            <family val="2"/>
          </rPr>
          <t>Changing FOR will NOT change plant NCF, generation or LCOE.  These changes must be done directly in the NCF in cell 42.</t>
        </r>
        <r>
          <rPr>
            <sz val="9"/>
            <color indexed="81"/>
            <rFont val="Tahoma"/>
            <family val="2"/>
          </rPr>
          <t xml:space="preserve">
</t>
        </r>
      </text>
    </comment>
    <comment ref="B40" authorId="2">
      <text>
        <r>
          <rPr>
            <sz val="9"/>
            <color indexed="81"/>
            <rFont val="Tahoma"/>
            <family val="2"/>
          </rPr>
          <t>This model does not deal with the hours a unit is available but not operating, that is it assumes plant is operating during all hours it is available.  Technically, the GADS Equivalent Availability Factor would generally be somewhat higher than the factor calculated here.</t>
        </r>
      </text>
    </comment>
    <comment ref="B41" authorId="2">
      <text>
        <r>
          <rPr>
            <sz val="9"/>
            <color indexed="81"/>
            <rFont val="Tahoma"/>
            <family val="2"/>
          </rPr>
          <t xml:space="preserve">NCF =    </t>
        </r>
        <r>
          <rPr>
            <u/>
            <sz val="9"/>
            <color indexed="81"/>
            <rFont val="Tahoma"/>
            <family val="2"/>
          </rPr>
          <t xml:space="preserve">  Net Actual Generation</t>
        </r>
        <r>
          <rPr>
            <sz val="9"/>
            <color indexed="81"/>
            <rFont val="Tahoma"/>
            <family val="2"/>
          </rPr>
          <t xml:space="preserve">
           8,760 Hrs/Year*Net Capacity
</t>
        </r>
      </text>
    </comment>
    <comment ref="B43" authorId="2">
      <text>
        <r>
          <rPr>
            <b/>
            <sz val="8"/>
            <color indexed="81"/>
            <rFont val="Tahoma"/>
            <family val="2"/>
          </rPr>
          <t>If information in Fuel Cost sheet has been updated, be sure to update links by opening the source workbook
Edit/Links…
Open Source
(or Update Links button, if available)</t>
        </r>
      </text>
    </comment>
    <comment ref="B44" authorId="1">
      <text>
        <r>
          <rPr>
            <sz val="8"/>
            <color indexed="81"/>
            <rFont val="Tahoma"/>
            <family val="2"/>
          </rPr>
          <t>Average Annual Gross Plant Heat Rate.  Includes fuel used for startup, no-load, ramping and load following.</t>
        </r>
      </text>
    </comment>
    <comment ref="D45" authorId="2">
      <text>
        <r>
          <rPr>
            <b/>
            <sz val="9"/>
            <color indexed="81"/>
            <rFont val="Tahoma"/>
            <family val="2"/>
          </rPr>
          <t>Gas only, no Biomass info</t>
        </r>
      </text>
    </comment>
    <comment ref="C46" authorId="1">
      <text>
        <r>
          <rPr>
            <sz val="8"/>
            <color indexed="81"/>
            <rFont val="Tahoma"/>
            <family val="2"/>
          </rPr>
          <t>((AvgHeatRate*GrossMW/1000)*OpHrsPerYr-StartUpFuel*AnnualStarts)/(OpHrsPerYr*GrossMW/1000)</t>
        </r>
        <r>
          <rPr>
            <sz val="8"/>
            <color indexed="81"/>
            <rFont val="Tahoma"/>
            <family val="2"/>
          </rPr>
          <t xml:space="preserve">
</t>
        </r>
      </text>
    </comment>
    <comment ref="D46" authorId="2">
      <text>
        <r>
          <rPr>
            <b/>
            <sz val="9"/>
            <color indexed="81"/>
            <rFont val="Tahoma"/>
            <family val="2"/>
          </rPr>
          <t>Gas only, no Biomass info</t>
        </r>
      </text>
    </comment>
    <comment ref="C48" authorId="3">
      <text>
        <r>
          <rPr>
            <sz val="8"/>
            <color indexed="81"/>
            <rFont val="Tahoma"/>
            <family val="2"/>
          </rPr>
          <t>Annual increase (or degradation) in heat rate with aging of the plant.  Note:  heat rate and fuel consumption increase over time, but this does not affect output, which remains constant as does total capacity (unless annual capacity degredation rate is entered above).</t>
        </r>
      </text>
    </comment>
    <comment ref="C50" authorId="1">
      <text>
        <r>
          <rPr>
            <sz val="8"/>
            <color indexed="81"/>
            <rFont val="Tahoma"/>
            <family val="2"/>
          </rPr>
          <t xml:space="preserve">Expressed as a function of plant size and technology. </t>
        </r>
      </text>
    </comment>
  </commentList>
</comments>
</file>

<file path=xl/comments4.xml><?xml version="1.0" encoding="utf-8"?>
<comments xmlns="http://schemas.openxmlformats.org/spreadsheetml/2006/main">
  <authors>
    <author xml:space="preserve"> </author>
    <author>Richard McCann</author>
    <author>Eric Cutter</author>
    <author>Joel Klein</author>
  </authors>
  <commentList>
    <comment ref="A2" authorId="0">
      <text>
        <r>
          <rPr>
            <sz val="8"/>
            <color indexed="81"/>
            <rFont val="Tahoma"/>
            <family val="2"/>
          </rPr>
          <t>This cell will be filled in based on the Financial Assumptions.  Change this cell only if you wish to define a new Financial Scenario with a different Ownership Type</t>
        </r>
      </text>
    </comment>
    <comment ref="B3" authorId="1">
      <text>
        <r>
          <rPr>
            <b/>
            <sz val="8"/>
            <color indexed="81"/>
            <rFont val="Tahoma"/>
            <family val="2"/>
          </rPr>
          <t>Year of cost data collection (currently from the 2003 IEPR).</t>
        </r>
        <r>
          <rPr>
            <sz val="8"/>
            <color indexed="81"/>
            <rFont val="Tahoma"/>
            <family val="2"/>
          </rPr>
          <t xml:space="preserve">
</t>
        </r>
      </text>
    </comment>
    <comment ref="A12" authorId="1">
      <text>
        <r>
          <rPr>
            <b/>
            <sz val="8"/>
            <color indexed="81"/>
            <rFont val="Tahoma"/>
            <family val="2"/>
          </rPr>
          <t>Equivalent to inservice cost in CEC TAM (1983).</t>
        </r>
        <r>
          <rPr>
            <sz val="8"/>
            <color indexed="81"/>
            <rFont val="Tahoma"/>
            <family val="2"/>
          </rPr>
          <t xml:space="preserve">
</t>
        </r>
      </text>
    </comment>
    <comment ref="C17" authorId="2">
      <text>
        <r>
          <rPr>
            <b/>
            <sz val="8"/>
            <color indexed="81"/>
            <rFont val="Tahoma"/>
            <family val="2"/>
          </rPr>
          <t>If information in Finance Cost sheet has been updated, be sure to update links by opening the source workbook
Edit/Links…
Open Source
(or Update Links button, if available)</t>
        </r>
      </text>
    </comment>
    <comment ref="C19" authorId="2">
      <text>
        <r>
          <rPr>
            <b/>
            <sz val="8"/>
            <color indexed="81"/>
            <rFont val="Tahoma"/>
            <family val="2"/>
          </rPr>
          <t>If information in Finance Cost sheet has been updated, be sure to update links by opening the source workbook
Edit/Links…
Open Source
(or Update Links button, if available)</t>
        </r>
      </text>
    </comment>
    <comment ref="A20" authorId="2">
      <text>
        <r>
          <rPr>
            <sz val="9"/>
            <color indexed="81"/>
            <rFont val="Tahoma"/>
            <family val="2"/>
          </rPr>
          <t>Weighted Average Cost of Capital (WACC)</t>
        </r>
      </text>
    </comment>
    <comment ref="B20" authorId="1">
      <text>
        <r>
          <rPr>
            <b/>
            <sz val="8"/>
            <color indexed="81"/>
            <rFont val="Tahoma"/>
            <family val="2"/>
          </rPr>
          <t>Nominal Discount Rate</t>
        </r>
        <r>
          <rPr>
            <sz val="8"/>
            <color indexed="81"/>
            <rFont val="Tahoma"/>
            <family val="2"/>
          </rPr>
          <t xml:space="preserve">
</t>
        </r>
      </text>
    </comment>
    <comment ref="C20" authorId="1">
      <text>
        <r>
          <rPr>
            <b/>
            <sz val="8"/>
            <color indexed="81"/>
            <rFont val="Tahoma"/>
            <family val="2"/>
          </rPr>
          <t>Real Discount Rate = (1+Nom DR)/(1+Inflation) - 1</t>
        </r>
      </text>
    </comment>
    <comment ref="A22" authorId="1">
      <text>
        <r>
          <rPr>
            <b/>
            <sz val="8"/>
            <color indexed="81"/>
            <rFont val="Tahoma"/>
            <family val="2"/>
          </rPr>
          <t>Annual 2005-2020 forecast from Economy.com, Sep 2004, computed over the analysis time horizon.</t>
        </r>
      </text>
    </comment>
    <comment ref="A24" authorId="1">
      <text>
        <r>
          <rPr>
            <b/>
            <sz val="8"/>
            <color indexed="81"/>
            <rFont val="Tahoma"/>
            <family val="2"/>
          </rPr>
          <t>Debt coverage ratio is fixed.  Not yet implemented in the model.</t>
        </r>
        <r>
          <rPr>
            <sz val="8"/>
            <color indexed="81"/>
            <rFont val="Tahoma"/>
            <family val="2"/>
          </rPr>
          <t xml:space="preserve">
</t>
        </r>
      </text>
    </comment>
    <comment ref="A25" authorId="1">
      <text>
        <r>
          <rPr>
            <b/>
            <sz val="9"/>
            <color indexed="81"/>
            <rFont val="Tahoma"/>
            <family val="2"/>
          </rPr>
          <t>Richard McCann:</t>
        </r>
        <r>
          <rPr>
            <sz val="9"/>
            <color indexed="81"/>
            <rFont val="Tahoma"/>
            <family val="2"/>
          </rPr>
          <t xml:space="preserve">
From Financial Assumptions for IOU/POU, from PTA for Merchant</t>
        </r>
      </text>
    </comment>
    <comment ref="A32" authorId="1">
      <text>
        <r>
          <rPr>
            <b/>
            <sz val="8"/>
            <color indexed="81"/>
            <rFont val="Tahoma"/>
            <family val="2"/>
          </rPr>
          <t>Federal marginal corporate income tax</t>
        </r>
        <r>
          <rPr>
            <sz val="8"/>
            <color indexed="81"/>
            <rFont val="Tahoma"/>
            <family val="2"/>
          </rPr>
          <t xml:space="preserve">
</t>
        </r>
      </text>
    </comment>
    <comment ref="A33" authorId="1">
      <text>
        <r>
          <rPr>
            <b/>
            <sz val="8"/>
            <color indexed="81"/>
            <rFont val="Tahoma"/>
            <family val="2"/>
          </rPr>
          <t>State of California marginal corporate income tax rate.</t>
        </r>
        <r>
          <rPr>
            <sz val="8"/>
            <color indexed="81"/>
            <rFont val="Tahoma"/>
            <family val="2"/>
          </rPr>
          <t xml:space="preserve">
</t>
        </r>
      </text>
    </comment>
    <comment ref="B34" authorId="3">
      <text>
        <r>
          <rPr>
            <b/>
            <sz val="8"/>
            <color indexed="81"/>
            <rFont val="Tahoma"/>
            <family val="2"/>
          </rPr>
          <t>Joel Klein:</t>
        </r>
        <r>
          <rPr>
            <sz val="8"/>
            <color indexed="81"/>
            <rFont val="Tahoma"/>
            <family val="2"/>
          </rPr>
          <t xml:space="preserve">
Formula modified to set Total Tax Rate to zero for Munis.</t>
        </r>
      </text>
    </comment>
    <comment ref="A35" authorId="1">
      <text>
        <r>
          <rPr>
            <b/>
            <sz val="8"/>
            <color indexed="81"/>
            <rFont val="Tahoma"/>
            <family val="2"/>
          </rPr>
          <t>Statewide average</t>
        </r>
        <r>
          <rPr>
            <sz val="8"/>
            <color indexed="81"/>
            <rFont val="Tahoma"/>
            <family val="2"/>
          </rPr>
          <t xml:space="preserve">
per Legislative Analysts Office 2003.  Assumes that municipal utility does NOT pay in-lieu taxes, and instead these are in the financial costs of the plant.</t>
        </r>
      </text>
    </comment>
    <comment ref="A37" authorId="1">
      <text>
        <r>
          <rPr>
            <b/>
            <sz val="8"/>
            <color indexed="81"/>
            <rFont val="Tahoma"/>
            <family val="2"/>
          </rPr>
          <t>Statewide average 7.67%</t>
        </r>
        <r>
          <rPr>
            <sz val="8"/>
            <color indexed="81"/>
            <rFont val="Tahoma"/>
            <family val="2"/>
          </rPr>
          <t xml:space="preserve">
per Legislative Analysts Office 2003</t>
        </r>
      </text>
    </comment>
    <comment ref="A40" authorId="1">
      <text>
        <r>
          <rPr>
            <sz val="8"/>
            <color indexed="81"/>
            <rFont val="Tahoma"/>
            <family val="2"/>
          </rPr>
          <t>Note:  Based on 2005 Energy Policy Act.  Check for changes to these programs.</t>
        </r>
        <r>
          <rPr>
            <sz val="8"/>
            <color indexed="81"/>
            <rFont val="Tahoma"/>
            <family val="2"/>
          </rPr>
          <t xml:space="preserve">
</t>
        </r>
      </text>
    </comment>
    <comment ref="B40" authorId="1">
      <text>
        <r>
          <rPr>
            <sz val="8"/>
            <color indexed="81"/>
            <rFont val="Tahoma"/>
            <family val="2"/>
          </rPr>
          <t>Note:  Tax Credit fields that are technology specific are saved in Plant Type Scenario (turquoise).   Tax Credit Fields that are not technology specific are saved in General Assumption Scenario (yellow)</t>
        </r>
      </text>
    </comment>
    <comment ref="A41" authorId="0">
      <text>
        <r>
          <rPr>
            <sz val="8"/>
            <color indexed="81"/>
            <rFont val="Tahoma"/>
            <family val="2"/>
          </rPr>
          <t>Business Energy Tax Credit
Merchant, IOU Eligible
10% Tax Credit for solar or geothermal energy property.  Limited to $25,000 per year plus 25% of total remaining tax after credit is taken.
Owners cannot claim both SGBETC and Renewable Energy PTC
http://www.dsireusa.org</t>
        </r>
      </text>
    </comment>
    <comment ref="A44" authorId="0">
      <text>
        <r>
          <rPr>
            <sz val="8"/>
            <color indexed="81"/>
            <rFont val="Tahoma"/>
            <family val="2"/>
          </rPr>
          <t>Geothermal Depletion Allowance
see IRS Tax Code Section 613
http://frwebgate.access.gpo.gov/cgi-bin/getdoc.cgi?dbname=browse_usc&amp;docid=Cite:+26USC613
or
USC TITLE 26, Subtitle A, CHAPTER 1, Subchapter I, PART I, Sec. 613</t>
        </r>
      </text>
    </comment>
    <comment ref="A45" authorId="0">
      <text>
        <r>
          <rPr>
            <sz val="8"/>
            <color indexed="81"/>
            <rFont val="Tahoma"/>
            <family val="2"/>
          </rPr>
          <t>Renewable Energy Production Tax Credit
Merchant, IOU Eligible
$0.0150/kWh over 10 years for Wind, Closed-Loop Biomass, Geothermal, Solar, 
$0.0075/kWh over  5 years for Open-Loop Biomass, Small Irrigation, Municipal Solid Waste
1993 indexed for inflation
Owners cannot claim both SGBETC and Renewable Energy PTC
http://www.dsireusa.org</t>
        </r>
      </text>
    </comment>
    <comment ref="A47" authorId="2">
      <text>
        <r>
          <rPr>
            <sz val="9"/>
            <color indexed="81"/>
            <rFont val="Tahoma"/>
            <family val="2"/>
          </rPr>
          <t>Renewable Energy Production Incentive
Eligible electric production facilities include publicly-owned electric utilities, rural electric cooperatives, and local or state governments that sell the project's electricity to someone else.  
In this model, Muni is assumed to be eligible.</t>
        </r>
      </text>
    </comment>
  </commentList>
</comments>
</file>

<file path=xl/comments5.xml><?xml version="1.0" encoding="utf-8"?>
<comments xmlns="http://schemas.openxmlformats.org/spreadsheetml/2006/main">
  <authors>
    <author>Richard McCann</author>
    <author>jklein</author>
    <author>Joel Klein</author>
    <author>Eric Cutter</author>
  </authors>
  <commentList>
    <comment ref="E23" authorId="0">
      <text>
        <r>
          <rPr>
            <b/>
            <sz val="8"/>
            <color indexed="81"/>
            <rFont val="Tahoma"/>
            <family val="2"/>
          </rPr>
          <t>Or inservice cost</t>
        </r>
        <r>
          <rPr>
            <sz val="8"/>
            <color indexed="81"/>
            <rFont val="Tahoma"/>
            <family val="2"/>
          </rPr>
          <t xml:space="preserve">
</t>
        </r>
      </text>
    </comment>
    <comment ref="B25" authorId="0">
      <text>
        <r>
          <rPr>
            <sz val="8"/>
            <color indexed="81"/>
            <rFont val="Tahoma"/>
            <family val="2"/>
          </rPr>
          <t>Urban industrial zoned land (Broker inquiry)</t>
        </r>
      </text>
    </comment>
    <comment ref="E25" authorId="0">
      <text>
        <r>
          <rPr>
            <b/>
            <sz val="8"/>
            <color indexed="81"/>
            <rFont val="Tahoma"/>
            <family val="2"/>
          </rPr>
          <t>Equivalent to inservice cost in CEC TAM (1983).</t>
        </r>
        <r>
          <rPr>
            <sz val="8"/>
            <color indexed="81"/>
            <rFont val="Tahoma"/>
            <family val="2"/>
          </rPr>
          <t xml:space="preserve">
</t>
        </r>
      </text>
    </comment>
    <comment ref="H25" authorId="1">
      <text>
        <r>
          <rPr>
            <b/>
            <sz val="10"/>
            <color indexed="81"/>
            <rFont val="Tahoma"/>
            <family val="2"/>
          </rPr>
          <t>jklein 12-2-12: Ratio of Installed Cost to Instant Cost (Total Capital Cost in Cell C50). Ratio is used to calculate the Instant Cost for a known Installed Cost.</t>
        </r>
        <r>
          <rPr>
            <sz val="8"/>
            <color indexed="81"/>
            <rFont val="Tahoma"/>
            <family val="2"/>
          </rPr>
          <t xml:space="preserve">
</t>
        </r>
      </text>
    </comment>
    <comment ref="I25" authorId="1">
      <text>
        <r>
          <rPr>
            <b/>
            <sz val="8"/>
            <color indexed="81"/>
            <rFont val="Tahoma"/>
            <family val="2"/>
          </rPr>
          <t>jklein 12-2-12: Ratio of Installed Cost to Instant Cost (Total Component Cost in Cell C48). Ratio is used to calculate the Instant Cost for a known Installed Cost.</t>
        </r>
        <r>
          <rPr>
            <sz val="8"/>
            <color indexed="81"/>
            <rFont val="Tahoma"/>
            <family val="2"/>
          </rPr>
          <t xml:space="preserve">
</t>
        </r>
      </text>
    </comment>
    <comment ref="B29" authorId="2">
      <text>
        <r>
          <rPr>
            <sz val="8"/>
            <color indexed="81"/>
            <rFont val="Tahoma"/>
            <family val="2"/>
          </rPr>
          <t>A zero value here implies that the cost is captured in the Total Component Cost above.</t>
        </r>
        <r>
          <rPr>
            <sz val="8"/>
            <color indexed="81"/>
            <rFont val="Tahoma"/>
            <family val="2"/>
          </rPr>
          <t xml:space="preserve">
</t>
        </r>
      </text>
    </comment>
    <comment ref="B33" authorId="3">
      <text>
        <r>
          <rPr>
            <b/>
            <sz val="8"/>
            <color indexed="81"/>
            <rFont val="Tahoma"/>
            <family val="2"/>
          </rPr>
          <t>Source</t>
        </r>
        <r>
          <rPr>
            <sz val="8"/>
            <color indexed="81"/>
            <rFont val="Tahoma"/>
            <family val="2"/>
          </rPr>
          <t>: Aspen, Regional Cost Differences, Dec 2002, Table 5-1.</t>
        </r>
      </text>
    </comment>
    <comment ref="F35" authorId="0">
      <text>
        <r>
          <rPr>
            <b/>
            <sz val="12"/>
            <color indexed="81"/>
            <rFont val="Tahoma"/>
            <family val="2"/>
          </rPr>
          <t>Year of cost data collection (2007 IEPR Survey - update with 2009 KEMA &amp; Aspen data).</t>
        </r>
        <r>
          <rPr>
            <sz val="8"/>
            <color indexed="81"/>
            <rFont val="Tahoma"/>
            <family val="2"/>
          </rPr>
          <t xml:space="preserve">
</t>
        </r>
      </text>
    </comment>
    <comment ref="E45" authorId="2">
      <text>
        <r>
          <rPr>
            <sz val="8"/>
            <color indexed="81"/>
            <rFont val="Tahoma"/>
            <family val="2"/>
          </rPr>
          <t xml:space="preserve">A zero value here implies that the cost is captured in the Total Component Cost above.
</t>
        </r>
      </text>
    </comment>
    <comment ref="B46" authorId="2">
      <text>
        <r>
          <rPr>
            <sz val="8"/>
            <color indexed="81"/>
            <rFont val="Tahoma"/>
            <family val="2"/>
          </rPr>
          <t>A zero value here implies that the cost is captured in the Total Component Cost above.</t>
        </r>
        <r>
          <rPr>
            <sz val="8"/>
            <color indexed="81"/>
            <rFont val="Tahoma"/>
            <family val="2"/>
          </rPr>
          <t xml:space="preserve">
</t>
        </r>
      </text>
    </comment>
    <comment ref="B47" authorId="3">
      <text>
        <r>
          <rPr>
            <b/>
            <sz val="9"/>
            <color indexed="81"/>
            <rFont val="Tahoma"/>
            <family val="2"/>
          </rPr>
          <t>From info sheet</t>
        </r>
      </text>
    </comment>
    <comment ref="B48" authorId="2">
      <text>
        <r>
          <rPr>
            <sz val="8"/>
            <color indexed="81"/>
            <rFont val="Tahoma"/>
            <family val="2"/>
          </rPr>
          <t>A value place here overrides all the above costs. This is useful for the case when the user has new costs. The "Installed" or "Instant" as the case may be reflects the 
"Reported Construction Cost Bases" selected in the Input table of the Input-Output worksheet.</t>
        </r>
      </text>
    </comment>
  </commentList>
</comments>
</file>

<file path=xl/comments6.xml><?xml version="1.0" encoding="utf-8"?>
<comments xmlns="http://schemas.openxmlformats.org/spreadsheetml/2006/main">
  <authors>
    <author>Richard McCann</author>
    <author>Joel Klein</author>
    <author xml:space="preserve"> </author>
    <author>Eric Cutter</author>
  </authors>
  <commentList>
    <comment ref="C5" authorId="0">
      <text>
        <r>
          <rPr>
            <b/>
            <sz val="8"/>
            <color indexed="81"/>
            <rFont val="Tahoma"/>
            <family val="2"/>
          </rPr>
          <t xml:space="preserve">Full Time Equivalent employees at 40 hrs per week.  Derived from CEC AFCs 1999-2005, </t>
        </r>
        <r>
          <rPr>
            <b/>
            <i/>
            <sz val="8"/>
            <color indexed="81"/>
            <rFont val="Tahoma"/>
            <family val="2"/>
          </rPr>
          <t>CEC Siting Case GasPlantCharacteristics-Updated2005.xls</t>
        </r>
      </text>
    </comment>
    <comment ref="D5" authorId="0">
      <text>
        <r>
          <rPr>
            <b/>
            <sz val="8"/>
            <color indexed="81"/>
            <rFont val="Tahoma"/>
            <family val="2"/>
          </rPr>
          <t>BLS - Electric Power Generation, Transmission and Distribution May 2005 http://www.bls.gov/oes/current/naics4_221100.htm</t>
        </r>
      </text>
    </comment>
    <comment ref="E5" authorId="0">
      <text>
        <r>
          <rPr>
            <sz val="8"/>
            <color indexed="81"/>
            <rFont val="Tahoma"/>
            <family val="2"/>
          </rPr>
          <t>Adjusted for Pacific Region, &gt;500 workers, union characteristics from 
USBLS, Employer Costs for Employee Compensation, Historical Listing (Quarterly), September 22, 2006.</t>
        </r>
      </text>
    </comment>
    <comment ref="E6" authorId="0">
      <text>
        <r>
          <rPr>
            <sz val="8"/>
            <color indexed="81"/>
            <rFont val="Tahoma"/>
            <family val="2"/>
          </rPr>
          <t>BLS, May 2005 National Industry-Specific Occupational Employment and Wage Estimates NAICS 221100, Electric Power Generation, Transmission and Distribution May 2005, http://www.bls.gov/oes/current/naics4_221100.htm, Industrial Production Managers, 11-3051</t>
        </r>
      </text>
    </comment>
    <comment ref="E7" authorId="0">
      <text>
        <r>
          <rPr>
            <sz val="8"/>
            <color indexed="81"/>
            <rFont val="Tahoma"/>
            <family val="2"/>
          </rPr>
          <t>BLS, May 2005 National Industry-Specific Occupational Employment and Wage Estimates NAICS 221100 - Electric Power Generation, Transmission and Distribution, http://www.bls.gov/oes/current/naics4_221100.htm,  Power Plant Operators, 51-8013.</t>
        </r>
      </text>
    </comment>
    <comment ref="J7" authorId="1">
      <text>
        <r>
          <rPr>
            <sz val="8"/>
            <color indexed="81"/>
            <rFont val="Tahoma"/>
            <family val="2"/>
          </rPr>
          <t>`</t>
        </r>
      </text>
    </comment>
    <comment ref="E8" authorId="0">
      <text>
        <r>
          <rPr>
            <sz val="8"/>
            <color indexed="81"/>
            <rFont val="Tahoma"/>
            <family val="2"/>
          </rPr>
          <t>BLS, May 2005 National Industry-Specific Occupational Employment and Wage Estimates NAICS 221100 - Electric Power Generation, Transmission and Distribution, http://www.bls.gov/oes/current/naics4_221100.htm, Electrical and Electronics Repairers, Powerhouse, Substation, and Relay</t>
        </r>
        <r>
          <rPr>
            <sz val="8"/>
            <color indexed="81"/>
            <rFont val="Tahoma"/>
            <family val="2"/>
          </rPr>
          <t xml:space="preserve">
49-2095.</t>
        </r>
      </text>
    </comment>
    <comment ref="J8" authorId="0">
      <text>
        <r>
          <rPr>
            <b/>
            <sz val="8"/>
            <color indexed="81"/>
            <rFont val="Tahoma"/>
            <family val="2"/>
          </rPr>
          <t>Survey of SCR manufacturers-Badr</t>
        </r>
        <r>
          <rPr>
            <sz val="8"/>
            <color indexed="81"/>
            <rFont val="Tahoma"/>
            <family val="2"/>
          </rPr>
          <t xml:space="preserve">
</t>
        </r>
      </text>
    </comment>
    <comment ref="E9" authorId="0">
      <text>
        <r>
          <rPr>
            <sz val="8"/>
            <color indexed="81"/>
            <rFont val="Tahoma"/>
            <family val="2"/>
          </rPr>
          <t xml:space="preserve">BLS, May 2005 National Industry-Specific Occupational Employment and Wage Estimates NAICS 221100 - Electric Power Generation, Transmission and Distribution, http://www.bls.gov/oes/current/naics4_221100.htm, Maintenance and Repair Workers, General 49-9042 </t>
        </r>
      </text>
    </comment>
    <comment ref="E10" authorId="0">
      <text>
        <r>
          <rPr>
            <sz val="8"/>
            <color indexed="81"/>
            <rFont val="Tahoma"/>
            <family val="2"/>
          </rPr>
          <t xml:space="preserve">BLS, May 2005 National Industry-Specific Occupational Employment and Wage Estimates NAICS 221100 - Electric Power Generation, Transmission and Distribution, http://www.bls.gov/oes/current/naics4_221100.htm, General Office, 43-9199  </t>
        </r>
      </text>
    </comment>
    <comment ref="C13" authorId="0">
      <text>
        <r>
          <rPr>
            <sz val="8"/>
            <color indexed="81"/>
            <rFont val="Tahoma"/>
            <family val="2"/>
          </rPr>
          <t>Adjusted for Pacific Region, &gt;500 workers, union characteristics from 
USBLS, Employer Costs for Employee Compensation, Historical Listing (Quarterly), September 22, 2006.</t>
        </r>
      </text>
    </comment>
    <comment ref="K13" authorId="2">
      <text>
        <r>
          <rPr>
            <sz val="8"/>
            <color indexed="81"/>
            <rFont val="Tahoma"/>
            <family val="2"/>
          </rPr>
          <t>Levlizes capital cost over minimum of plant or equipment life for the life of the plant</t>
        </r>
      </text>
    </comment>
    <comment ref="C16" authorId="0">
      <text>
        <r>
          <rPr>
            <b/>
            <sz val="8"/>
            <color indexed="81"/>
            <rFont val="Tahoma"/>
            <family val="2"/>
          </rPr>
          <t>Based on 2006 CEC survey avg.</t>
        </r>
        <r>
          <rPr>
            <sz val="8"/>
            <color indexed="81"/>
            <rFont val="Tahoma"/>
            <family val="2"/>
          </rPr>
          <t xml:space="preserve">
</t>
        </r>
      </text>
    </comment>
    <comment ref="H16" authorId="3">
      <text>
        <r>
          <rPr>
            <sz val="9"/>
            <color indexed="81"/>
            <rFont val="Tahoma"/>
            <family val="2"/>
          </rPr>
          <t>Caution:  A non-blank value in this cell will override above inputs.</t>
        </r>
      </text>
    </comment>
    <comment ref="C18" authorId="2">
      <text>
        <r>
          <rPr>
            <sz val="8"/>
            <color indexed="81"/>
            <rFont val="Tahoma"/>
            <family val="2"/>
          </rPr>
          <t>Caution: a non-blank value in this cell will override above inputs</t>
        </r>
      </text>
    </comment>
    <comment ref="G18" authorId="0">
      <text>
        <r>
          <rPr>
            <b/>
            <sz val="8"/>
            <color indexed="81"/>
            <rFont val="Tahoma"/>
            <family val="2"/>
          </rPr>
          <t>Routine Maintenance that occurs on a non-yearly time cycle</t>
        </r>
        <r>
          <rPr>
            <sz val="8"/>
            <color indexed="81"/>
            <rFont val="Tahoma"/>
            <family val="2"/>
          </rPr>
          <t xml:space="preserve">
</t>
        </r>
      </text>
    </comment>
    <comment ref="J18" authorId="1">
      <text>
        <r>
          <rPr>
            <b/>
            <sz val="8"/>
            <color indexed="81"/>
            <rFont val="Tahoma"/>
            <family val="2"/>
          </rPr>
          <t>Capital cost calculation for
Instant Costs. Not used as of 2</t>
        </r>
        <r>
          <rPr>
            <sz val="8"/>
            <color indexed="81"/>
            <rFont val="Tahoma"/>
            <family val="2"/>
          </rPr>
          <t xml:space="preserve">007 as Component Cost value in Col B includes this estimate. But is kept here for possible future use.
</t>
        </r>
      </text>
    </comment>
    <comment ref="B23" authorId="0">
      <text>
        <r>
          <rPr>
            <sz val="8"/>
            <color indexed="81"/>
            <rFont val="Tahoma"/>
            <family val="2"/>
          </rPr>
          <t>Aspen, "Reg Cost Differences", Dec 2002, Table 2-3.</t>
        </r>
      </text>
    </comment>
    <comment ref="B24" authorId="0">
      <text>
        <r>
          <rPr>
            <sz val="8"/>
            <color indexed="81"/>
            <rFont val="Tahoma"/>
            <family val="2"/>
          </rPr>
          <t>Based on 95% wet/5% dry consumption at Consumes PP (01-AFC-19)</t>
        </r>
      </text>
    </comment>
    <comment ref="C24" authorId="0">
      <text>
        <r>
          <rPr>
            <b/>
            <sz val="8"/>
            <color indexed="81"/>
            <rFont val="Tahoma"/>
            <family val="2"/>
          </rPr>
          <t>This should be updated to adjust for different cooling technologies</t>
        </r>
        <r>
          <rPr>
            <sz val="8"/>
            <color indexed="81"/>
            <rFont val="Tahoma"/>
            <family val="2"/>
          </rPr>
          <t xml:space="preserve">
</t>
        </r>
      </text>
    </comment>
    <comment ref="K24" authorId="2">
      <text>
        <r>
          <rPr>
            <sz val="8"/>
            <color indexed="81"/>
            <rFont val="Tahoma"/>
            <family val="2"/>
          </rPr>
          <t>Levlizes capital cost over minimum of plant or equipment life for the life of the plant</t>
        </r>
      </text>
    </comment>
    <comment ref="B26" authorId="3">
      <text>
        <r>
          <rPr>
            <b/>
            <sz val="9"/>
            <color indexed="81"/>
            <rFont val="Tahoma"/>
            <family val="2"/>
          </rPr>
          <t>Used for steam boiler and geothermal operations.</t>
        </r>
      </text>
    </comment>
    <comment ref="B29" authorId="0">
      <text>
        <r>
          <rPr>
            <sz val="8"/>
            <color indexed="81"/>
            <rFont val="Tahoma"/>
            <family val="2"/>
          </rPr>
          <t>Variable O&amp;M may be incorporated into Maintenance costs as Fixed O&amp;M (see cells M79-80).</t>
        </r>
      </text>
    </comment>
    <comment ref="G29" authorId="3">
      <text>
        <r>
          <rPr>
            <sz val="9"/>
            <color indexed="81"/>
            <rFont val="Tahoma"/>
            <family val="2"/>
          </rPr>
          <t>Enter any costs not included in Consumable or Rountine Maintenance Costs direclty here.</t>
        </r>
      </text>
    </comment>
    <comment ref="C32" authorId="2">
      <text>
        <r>
          <rPr>
            <sz val="8"/>
            <color indexed="81"/>
            <rFont val="Tahoma"/>
            <family val="2"/>
          </rPr>
          <t>Caution: a non-blank value in this cell will override above inputs</t>
        </r>
      </text>
    </comment>
    <comment ref="G40" authorId="2">
      <text>
        <r>
          <rPr>
            <b/>
            <sz val="8"/>
            <color indexed="81"/>
            <rFont val="Tahoma"/>
            <family val="2"/>
          </rPr>
          <t xml:space="preserve">Royalties       10% of net energy revenue
"Net energy revenue" is energy revenue (but not "capacity" revenue or any 
other revenue) less wellfield O&amp;M costs.  This model uses total after-tax net return as an approximation of this amount.
Lori Knox,  the geothermal development expert that Aspen used in compiling the original cost data, 
September, 2001.
</t>
        </r>
      </text>
    </comment>
    <comment ref="K49" authorId="2">
      <text>
        <r>
          <rPr>
            <b/>
            <sz val="8"/>
            <color indexed="81"/>
            <rFont val="Tahoma"/>
            <family val="2"/>
          </rPr>
          <t>NetMW</t>
        </r>
      </text>
    </comment>
    <comment ref="H57" authorId="0">
      <text>
        <r>
          <rPr>
            <sz val="8"/>
            <color indexed="81"/>
            <rFont val="Tahoma"/>
            <family val="2"/>
          </rPr>
          <t xml:space="preserve">Labor=$300,000
Parts = $900,000
</t>
        </r>
      </text>
    </comment>
    <comment ref="H58" authorId="0">
      <text>
        <r>
          <rPr>
            <sz val="8"/>
            <color indexed="81"/>
            <rFont val="Tahoma"/>
            <family val="2"/>
          </rPr>
          <t xml:space="preserve">Currently adjusted to equal annually recurring maintenance.
</t>
        </r>
      </text>
    </comment>
  </commentList>
</comments>
</file>

<file path=xl/comments7.xml><?xml version="1.0" encoding="utf-8"?>
<comments xmlns="http://schemas.openxmlformats.org/spreadsheetml/2006/main">
  <authors>
    <author>Eric Cutter</author>
    <author>Richard McCann</author>
    <author>CEC</author>
    <author>RMcCann</author>
    <author>Paul Douglas</author>
    <author xml:space="preserve"> </author>
    <author>Ashley Spalding</author>
  </authors>
  <commentList>
    <comment ref="F13" authorId="0">
      <text>
        <r>
          <rPr>
            <sz val="9"/>
            <color indexed="81"/>
            <rFont val="Tahoma"/>
            <family val="2"/>
          </rPr>
          <t>FixedO&amp;M from base year data, escalated to start year using historical inflation rate, then escalation from Start Year forward using forward looking inflation rate</t>
        </r>
      </text>
    </comment>
    <comment ref="B15" authorId="0">
      <text>
        <r>
          <rPr>
            <sz val="9"/>
            <color indexed="81"/>
            <rFont val="Tahoma"/>
            <family val="2"/>
          </rPr>
          <t>For IOU, based on net plant (after depreciation).
For Merchant, based on initial book value, escalated at inflation rate, and depreciated at the BOE Condition Good Factor rate.</t>
        </r>
      </text>
    </comment>
    <comment ref="F15" authorId="0">
      <text>
        <r>
          <rPr>
            <sz val="9"/>
            <color indexed="81"/>
            <rFont val="Tahoma"/>
            <family val="2"/>
          </rPr>
          <t>Ad Valorem is based on Installed Cost, which is already escalated from Base Year to Start Year.
Merchant-owned: installed cost escalated at Prop 13 limit=2% * BOE Condition Good Factor.
IOU: Depreciated book value basis
Muni: basis=0, in-lieu payments chosen on Data 1, set = to IOU tax basis.</t>
        </r>
      </text>
    </comment>
    <comment ref="F16" authorId="0">
      <text>
        <r>
          <rPr>
            <sz val="9"/>
            <color indexed="81"/>
            <rFont val="Tahoma"/>
            <family val="2"/>
          </rPr>
          <t>Insurance is based on Installed Cost, which is already escalated from Base Year to Start Year.</t>
        </r>
      </text>
    </comment>
    <comment ref="B30" authorId="0">
      <text>
        <r>
          <rPr>
            <sz val="9"/>
            <color indexed="81"/>
            <rFont val="Tahoma"/>
            <family val="2"/>
          </rPr>
          <t>Total Operating Expense in an Income Statement reflects costs directly related to production as opposed to depreciation, financing and tax costs, which are shown below.</t>
        </r>
      </text>
    </comment>
    <comment ref="B36" authorId="1">
      <text>
        <r>
          <rPr>
            <b/>
            <sz val="9"/>
            <color indexed="81"/>
            <rFont val="Tahoma"/>
            <family val="2"/>
          </rPr>
          <t>Pre-tax debt payment</t>
        </r>
        <r>
          <rPr>
            <sz val="9"/>
            <color indexed="81"/>
            <rFont val="Tahoma"/>
            <family val="2"/>
          </rPr>
          <t xml:space="preserve">
</t>
        </r>
      </text>
    </comment>
    <comment ref="B37" authorId="0">
      <text>
        <r>
          <rPr>
            <b/>
            <sz val="9"/>
            <color indexed="81"/>
            <rFont val="Tahoma"/>
            <family val="2"/>
          </rPr>
          <t xml:space="preserve">DSCR =  </t>
        </r>
        <r>
          <rPr>
            <b/>
            <u/>
            <sz val="9"/>
            <color indexed="81"/>
            <rFont val="Tahoma"/>
            <family val="2"/>
          </rPr>
          <t>Net Profit + non-cash expenses + tax incentives</t>
        </r>
        <r>
          <rPr>
            <b/>
            <sz val="9"/>
            <color indexed="81"/>
            <rFont val="Tahoma"/>
            <family val="2"/>
          </rPr>
          <t xml:space="preserve">
                           Debt Service (Principal + Interest)
</t>
        </r>
        <r>
          <rPr>
            <sz val="9"/>
            <color indexed="81"/>
            <rFont val="Tahoma"/>
            <family val="2"/>
          </rPr>
          <t xml:space="preserve">
NREL: https://financere.nrel.gov/finance/content/staying-cash-flow-positive-investor-requirements-re-project-financing
http://www.readyratios.com/reference/debt/debt_service_coverage_ratio.html
http://www.navigatorpf.com/tutorials/dscr-debt-service-coverage-ratio
http://en.wikipedia.org/wiki/Debt_service_coverage_ratio
</t>
        </r>
      </text>
    </comment>
    <comment ref="B38" authorId="1">
      <text>
        <r>
          <rPr>
            <b/>
            <sz val="10"/>
            <color indexed="81"/>
            <rFont val="Tahoma"/>
            <family val="2"/>
          </rPr>
          <t>=(Income requirement w/levelized returns  net of fuel costs)/ Fuel Price</t>
        </r>
        <r>
          <rPr>
            <sz val="8"/>
            <color indexed="81"/>
            <rFont val="Tahoma"/>
            <family val="2"/>
          </rPr>
          <t xml:space="preserve">
</t>
        </r>
      </text>
    </comment>
    <comment ref="B44" authorId="2">
      <text>
        <r>
          <rPr>
            <sz val="10"/>
            <color indexed="81"/>
            <rFont val="Tahoma"/>
            <family val="2"/>
          </rPr>
          <t>Revenue minus Operating Costs. Also known as Operating Income or EBITDA</t>
        </r>
        <r>
          <rPr>
            <sz val="10"/>
            <color indexed="81"/>
            <rFont val="Tahoma"/>
            <family val="2"/>
          </rPr>
          <t xml:space="preserve">
</t>
        </r>
      </text>
    </comment>
    <comment ref="B48" authorId="3">
      <text>
        <r>
          <rPr>
            <sz val="8"/>
            <color indexed="81"/>
            <rFont val="Tahoma"/>
            <family val="2"/>
          </rPr>
          <t xml:space="preserve">Internal Revenue Code Section 45  - 20 year loss carryforward limit
</t>
        </r>
      </text>
    </comment>
    <comment ref="B50" authorId="3">
      <text>
        <r>
          <rPr>
            <sz val="8"/>
            <color indexed="81"/>
            <rFont val="Tahoma"/>
            <family val="2"/>
          </rPr>
          <t>Assumed embedded into CA-specific project installed cost estimate</t>
        </r>
      </text>
    </comment>
    <comment ref="B51" authorId="1">
      <text>
        <r>
          <rPr>
            <b/>
            <sz val="9"/>
            <color indexed="81"/>
            <rFont val="Tahoma"/>
            <family val="2"/>
          </rPr>
          <t>Removed per Sandy Miller on 8-10-07
California Solar Initiative</t>
        </r>
        <r>
          <rPr>
            <sz val="9"/>
            <color indexed="81"/>
            <rFont val="Tahoma"/>
            <family val="2"/>
          </rPr>
          <t xml:space="preserve">
Presumed federally taxable</t>
        </r>
      </text>
    </comment>
    <comment ref="B52" authorId="1">
      <text>
        <r>
          <rPr>
            <b/>
            <sz val="9"/>
            <color indexed="81"/>
            <rFont val="Tahoma"/>
            <family val="2"/>
          </rPr>
          <t>Removed per Sandy Miller on 8-10-07
Self Generation Initiative Program
Presumed federally taxable</t>
        </r>
        <r>
          <rPr>
            <sz val="9"/>
            <color indexed="81"/>
            <rFont val="Tahoma"/>
            <family val="2"/>
          </rPr>
          <t xml:space="preserve">
</t>
        </r>
      </text>
    </comment>
    <comment ref="B55" authorId="3">
      <text>
        <r>
          <rPr>
            <sz val="8"/>
            <color indexed="81"/>
            <rFont val="Tahoma"/>
            <family val="2"/>
          </rPr>
          <t xml:space="preserve">Internal Revenue Code Section 45  - 20 year loss carryforward limit
</t>
        </r>
      </text>
    </comment>
    <comment ref="B57" authorId="4">
      <text>
        <r>
          <rPr>
            <sz val="8"/>
            <color indexed="81"/>
            <rFont val="Tahoma"/>
            <family val="2"/>
          </rPr>
          <t>TDMA, 2004 Jobs Creation Act, http://www.treas.gov/press/releases/js2201.htm</t>
        </r>
      </text>
    </comment>
    <comment ref="B59" authorId="1">
      <text>
        <r>
          <rPr>
            <b/>
            <sz val="9"/>
            <color indexed="81"/>
            <rFont val="Tahoma"/>
            <family val="2"/>
          </rPr>
          <t>Tax Deduction for Manufacturing Activities</t>
        </r>
        <r>
          <rPr>
            <sz val="9"/>
            <color indexed="81"/>
            <rFont val="Tahoma"/>
            <family val="2"/>
          </rPr>
          <t xml:space="preserve">
</t>
        </r>
      </text>
    </comment>
    <comment ref="B60" authorId="1">
      <text>
        <r>
          <rPr>
            <b/>
            <sz val="9"/>
            <color indexed="81"/>
            <rFont val="Tahoma"/>
            <family val="2"/>
          </rPr>
          <t>Tax deduction</t>
        </r>
        <r>
          <rPr>
            <sz val="9"/>
            <color indexed="81"/>
            <rFont val="Tahoma"/>
            <family val="2"/>
          </rPr>
          <t xml:space="preserve">
Read this website for details:
http://www.irs.gov/publications/p535/ch09.html#en_US_2011_publink1000209078</t>
        </r>
      </text>
    </comment>
    <comment ref="B61" authorId="5">
      <text>
        <r>
          <rPr>
            <sz val="8"/>
            <color indexed="81"/>
            <rFont val="Tahoma"/>
            <family val="2"/>
          </rPr>
          <t>Business Energy Tax Credit.
Merchant, IOU Eligible
10% Tax Credit for solar, fuel cell or geothermal energy property.  Limited to $25,000 per year plus 25% of total remaining tax after credit is taken.
Owners cannot claim both SGBETC and Renewable Energy PTC
http://www.dsireusa.org</t>
        </r>
      </text>
    </comment>
    <comment ref="B63" authorId="5">
      <text>
        <r>
          <rPr>
            <sz val="8"/>
            <color indexed="81"/>
            <rFont val="Tahoma"/>
            <family val="2"/>
          </rPr>
          <t xml:space="preserve">Renewable Energy Production Tax Credit
Merchant, IOU Eligible
$0.0150/kWh over 10 years for Wind, Closed-Loop Biomass, Geothermal, Solar, 
$0.0075/kWh over  5 years for Open-Loop Biomass, Small Irrigation, Municipal Solid Waste
1993 indexed for inflation
Owners cannot claim both SGBETC and Renewable Energy PTC
http://www.dsireusa.org
</t>
        </r>
      </text>
    </comment>
    <comment ref="B65" authorId="5">
      <text>
        <r>
          <rPr>
            <sz val="8"/>
            <color indexed="81"/>
            <rFont val="Tahoma"/>
            <family val="2"/>
          </rPr>
          <t>Renewable Energy Production Incentive
Muni, rural electric cooperatives, local or state governments Eligible.
$0.015/kWh in 1993 indexed for inflation.
Tier 1:  Solar Thermal Electric, Wind, Biomass, Geothermal,  Closed-Loop Biomass
Tier II:  Landfill methange, Open-Loop Biomass Anaerobic Digestion
http://www.dsireusa.org</t>
        </r>
      </text>
    </comment>
    <comment ref="B67" authorId="6">
      <text>
        <r>
          <rPr>
            <b/>
            <sz val="9"/>
            <color indexed="81"/>
            <rFont val="Tahoma"/>
            <family val="2"/>
          </rPr>
          <t>Ashley Spalding:</t>
        </r>
        <r>
          <rPr>
            <sz val="9"/>
            <color indexed="81"/>
            <rFont val="Tahoma"/>
            <family val="2"/>
          </rPr>
          <t xml:space="preserve">
compare 8 between the two diff tax credits in place and choose the one that minimizes line 68</t>
        </r>
      </text>
    </comment>
    <comment ref="C67" authorId="6">
      <text>
        <r>
          <rPr>
            <b/>
            <sz val="9"/>
            <color indexed="81"/>
            <rFont val="Tahoma"/>
            <family val="2"/>
          </rPr>
          <t>Ashley Spalding:</t>
        </r>
        <r>
          <rPr>
            <sz val="9"/>
            <color indexed="81"/>
            <rFont val="Tahoma"/>
            <family val="2"/>
          </rPr>
          <t xml:space="preserve">
I moved this cell one to the left
</t>
        </r>
      </text>
    </comment>
    <comment ref="B72" authorId="6">
      <text>
        <r>
          <rPr>
            <b/>
            <sz val="9"/>
            <color indexed="81"/>
            <rFont val="Tahoma"/>
            <family val="2"/>
          </rPr>
          <t>Ashley Spalding:</t>
        </r>
        <r>
          <rPr>
            <sz val="9"/>
            <color indexed="81"/>
            <rFont val="Tahoma"/>
            <family val="2"/>
          </rPr>
          <t xml:space="preserve">
compare 8 between the two diff tax credits in place and choose the one that minimizes line 68</t>
        </r>
      </text>
    </comment>
    <comment ref="B77" authorId="6">
      <text>
        <r>
          <rPr>
            <b/>
            <sz val="9"/>
            <color indexed="81"/>
            <rFont val="Tahoma"/>
            <family val="2"/>
          </rPr>
          <t>Ashley Spalding:</t>
        </r>
        <r>
          <rPr>
            <sz val="9"/>
            <color indexed="81"/>
            <rFont val="Tahoma"/>
            <family val="2"/>
          </rPr>
          <t xml:space="preserve">
compare between the two diff tax credits in place and choose the one that minimizes line 69 (Total Taxes)
</t>
        </r>
        <r>
          <rPr>
            <b/>
            <sz val="9"/>
            <color indexed="81"/>
            <rFont val="Tahoma"/>
            <family val="2"/>
          </rPr>
          <t xml:space="preserve">
Problem:</t>
        </r>
        <r>
          <rPr>
            <sz val="9"/>
            <color indexed="81"/>
            <rFont val="Tahoma"/>
            <family val="2"/>
          </rPr>
          <t xml:space="preserve"> Level of debt financing is dependent on tax equity financing, which is dependent relative tax burden between ITC and PTC, which is dependent on the interest paid on debt financing.  </t>
        </r>
        <r>
          <rPr>
            <b/>
            <sz val="9"/>
            <color indexed="81"/>
            <rFont val="Tahoma"/>
            <family val="2"/>
          </rPr>
          <t xml:space="preserve">Temporary solution: Ignore TaxMin = 0 situation as having a second order effect on the tax credit choice to avoid endogeneity/circulatority. May not choose the optimum tax credit, but close approximation.
AND(F$1,TaxLossTreatment=TaxMinZero,EligibleREPTC="Y",E70&lt;E75),B66 </t>
        </r>
      </text>
    </comment>
    <comment ref="B89" authorId="1">
      <text>
        <r>
          <rPr>
            <b/>
            <sz val="8"/>
            <color indexed="81"/>
            <rFont val="Tahoma"/>
            <family val="2"/>
          </rPr>
          <t>Used straight line depreciation (SLN)</t>
        </r>
        <r>
          <rPr>
            <sz val="8"/>
            <color indexed="81"/>
            <rFont val="Tahoma"/>
            <family val="2"/>
          </rPr>
          <t xml:space="preserve">
</t>
        </r>
      </text>
    </comment>
    <comment ref="B91" authorId="0">
      <text>
        <r>
          <rPr>
            <sz val="9"/>
            <color indexed="81"/>
            <rFont val="Tahoma"/>
            <family val="2"/>
          </rPr>
          <t>Based on MACRS Tax Tables for Booklife</t>
        </r>
      </text>
    </comment>
    <comment ref="B92" authorId="0">
      <text>
        <r>
          <rPr>
            <sz val="9"/>
            <color indexed="81"/>
            <rFont val="Tahoma"/>
            <family val="2"/>
          </rPr>
          <t>Based on MACRS Tax Tables for Booklife</t>
        </r>
      </text>
    </comment>
    <comment ref="B93" authorId="0">
      <text>
        <r>
          <rPr>
            <sz val="9"/>
            <color indexed="81"/>
            <rFont val="Tahoma"/>
            <family val="2"/>
          </rPr>
          <t>Max of 150% declining balance or straighline depreciation of remaining balance</t>
        </r>
      </text>
    </comment>
    <comment ref="B94" authorId="0">
      <text>
        <r>
          <rPr>
            <sz val="9"/>
            <color indexed="81"/>
            <rFont val="Tahoma"/>
            <family val="2"/>
          </rPr>
          <t>Max of 150% declining balance or straighline depreciation of remaining balance</t>
        </r>
      </text>
    </comment>
    <comment ref="B100" authorId="0">
      <text>
        <r>
          <rPr>
            <sz val="9"/>
            <color indexed="81"/>
            <rFont val="Tahoma"/>
            <family val="2"/>
          </rPr>
          <t xml:space="preserve">independent calculation of tax on return on equity to avoid risk of circular reference - used for Geothermal Depletion Allowance
</t>
        </r>
      </text>
    </comment>
    <comment ref="B121" authorId="1">
      <text>
        <r>
          <rPr>
            <sz val="8"/>
            <color indexed="81"/>
            <rFont val="Tahoma"/>
            <family val="2"/>
          </rPr>
          <t xml:space="preserve">IRS Publication 946 (2005) Appendix B
</t>
        </r>
      </text>
    </comment>
    <comment ref="B122" authorId="1">
      <text>
        <r>
          <rPr>
            <sz val="8"/>
            <color indexed="81"/>
            <rFont val="Tahoma"/>
            <family val="2"/>
          </rPr>
          <t xml:space="preserve">Calculates tax depreciation adjusted for full year from initial inservice date.
</t>
        </r>
      </text>
    </comment>
    <comment ref="B129" authorId="1">
      <text>
        <r>
          <rPr>
            <sz val="8"/>
            <color indexed="81"/>
            <rFont val="Tahoma"/>
            <family val="2"/>
          </rPr>
          <t xml:space="preserve">IRS Publication 946 (2005) Appendix B
</t>
        </r>
      </text>
    </comment>
    <comment ref="B137" authorId="4">
      <text>
        <r>
          <rPr>
            <sz val="8"/>
            <color indexed="81"/>
            <rFont val="Tahoma"/>
            <family val="2"/>
          </rPr>
          <t>TDMA, 2004 Jobs Creation Act, http://www.treas.gov/press/releases/js2201.htm</t>
        </r>
      </text>
    </comment>
    <comment ref="B143" authorId="1">
      <text>
        <r>
          <rPr>
            <sz val="8"/>
            <color indexed="81"/>
            <rFont val="Tahoma"/>
            <family val="2"/>
          </rPr>
          <t xml:space="preserve">CC Updated April 2009: Donald L Jackson, BOE To Condition Percent Good Factor Recipients, January 8, 2009.
</t>
        </r>
        <r>
          <rPr>
            <sz val="8"/>
            <color indexed="81"/>
            <rFont val="Tahoma"/>
            <family val="2"/>
          </rPr>
          <t xml:space="preserve">
</t>
        </r>
      </text>
    </comment>
    <comment ref="B150" authorId="3">
      <text>
        <r>
          <rPr>
            <b/>
            <sz val="8"/>
            <color indexed="81"/>
            <rFont val="Tahoma"/>
            <family val="2"/>
          </rPr>
          <t>Relies on CEC GDP deflator</t>
        </r>
      </text>
    </comment>
    <comment ref="F203" authorId="3">
      <text>
        <r>
          <rPr>
            <b/>
            <sz val="8"/>
            <color indexed="81"/>
            <rFont val="Tahoma"/>
            <family val="2"/>
          </rPr>
          <t>Blank target cell for TABLE Fn. = net NPV()</t>
        </r>
        <r>
          <rPr>
            <sz val="8"/>
            <color indexed="81"/>
            <rFont val="Tahoma"/>
            <family val="2"/>
          </rPr>
          <t xml:space="preserve">
</t>
        </r>
      </text>
    </comment>
  </commentList>
</comments>
</file>

<file path=xl/comments8.xml><?xml version="1.0" encoding="utf-8"?>
<comments xmlns="http://schemas.openxmlformats.org/spreadsheetml/2006/main">
  <authors>
    <author>Eric Cutter</author>
    <author>Richard McCann</author>
    <author>CEC</author>
    <author>RMcCann</author>
    <author>Paul Douglas</author>
    <author xml:space="preserve"> </author>
    <author>Ashley Spalding</author>
  </authors>
  <commentList>
    <comment ref="F9" authorId="0">
      <text>
        <r>
          <rPr>
            <sz val="9"/>
            <color indexed="81"/>
            <rFont val="Tahoma"/>
            <family val="2"/>
          </rPr>
          <t>FixedO&amp;M from base year data, escalated to start year using historical inflation rate, then escalation from Start Year forward using forward looking inflation rate</t>
        </r>
      </text>
    </comment>
    <comment ref="B11" authorId="0">
      <text>
        <r>
          <rPr>
            <sz val="9"/>
            <color indexed="81"/>
            <rFont val="Tahoma"/>
            <family val="2"/>
          </rPr>
          <t>For IOU, based on net plant (after depreciation).
For Merchant, based on initial book value, escalated at inflation rate, and depreciated at the BOE Condition Good Factor rate.</t>
        </r>
      </text>
    </comment>
    <comment ref="F11" authorId="0">
      <text>
        <r>
          <rPr>
            <sz val="9"/>
            <color indexed="81"/>
            <rFont val="Tahoma"/>
            <family val="2"/>
          </rPr>
          <t>Ad Valorem is based on Installed Cost, which is already escalated from Base Year to Start Year.
Merchant-owned: installed cost escalated at Prop 13 limit=2% * BOE Condition Good Factor.
IOU: Depreciated book value basis
Muni: basis=0, in-lieu payments chosen on Data 1, set = to IOU tax basis.</t>
        </r>
      </text>
    </comment>
    <comment ref="F12" authorId="0">
      <text>
        <r>
          <rPr>
            <sz val="9"/>
            <color indexed="81"/>
            <rFont val="Tahoma"/>
            <family val="2"/>
          </rPr>
          <t>Insurance is based on Installed Cost, which is already escalated from Base Year to Start Year.</t>
        </r>
      </text>
    </comment>
    <comment ref="B26" authorId="0">
      <text>
        <r>
          <rPr>
            <sz val="9"/>
            <color indexed="81"/>
            <rFont val="Tahoma"/>
            <family val="2"/>
          </rPr>
          <t>Total Operating Expense in an Income Statement reflects costs directly related to production as opposed to depreciation, financing and tax costs, which are shown below.</t>
        </r>
      </text>
    </comment>
    <comment ref="B32" authorId="1">
      <text>
        <r>
          <rPr>
            <b/>
            <sz val="9"/>
            <color indexed="81"/>
            <rFont val="Tahoma"/>
            <family val="2"/>
          </rPr>
          <t>Pre-tax debt payment</t>
        </r>
        <r>
          <rPr>
            <sz val="9"/>
            <color indexed="81"/>
            <rFont val="Tahoma"/>
            <family val="2"/>
          </rPr>
          <t xml:space="preserve">
</t>
        </r>
      </text>
    </comment>
    <comment ref="B34" authorId="1">
      <text>
        <r>
          <rPr>
            <b/>
            <sz val="9"/>
            <color indexed="81"/>
            <rFont val="Tahoma"/>
            <family val="2"/>
          </rPr>
          <t>After-tax return as reported to shareholders after payment of corporate taxes</t>
        </r>
        <r>
          <rPr>
            <sz val="9"/>
            <color indexed="81"/>
            <rFont val="Tahoma"/>
            <family val="2"/>
          </rPr>
          <t xml:space="preserve">
</t>
        </r>
      </text>
    </comment>
    <comment ref="B36" authorId="1">
      <text>
        <r>
          <rPr>
            <b/>
            <sz val="9"/>
            <color indexed="81"/>
            <rFont val="Tahoma"/>
            <family val="2"/>
          </rPr>
          <t>After-tax return as reported to shareholders after payment of corporate taxes</t>
        </r>
        <r>
          <rPr>
            <sz val="9"/>
            <color indexed="81"/>
            <rFont val="Tahoma"/>
            <family val="2"/>
          </rPr>
          <t xml:space="preserve">
</t>
        </r>
      </text>
    </comment>
    <comment ref="B38" authorId="2">
      <text>
        <r>
          <rPr>
            <b/>
            <sz val="8"/>
            <color indexed="81"/>
            <rFont val="Tahoma"/>
            <family val="2"/>
          </rPr>
          <t>CEC:</t>
        </r>
        <r>
          <rPr>
            <sz val="8"/>
            <color indexed="81"/>
            <rFont val="Tahoma"/>
            <family val="2"/>
          </rPr>
          <t xml:space="preserve">
Return On The Initial Total Investment.</t>
        </r>
      </text>
    </comment>
    <comment ref="B39" authorId="2">
      <text>
        <r>
          <rPr>
            <b/>
            <sz val="8"/>
            <color indexed="81"/>
            <rFont val="Tahoma"/>
            <family val="2"/>
          </rPr>
          <t>CEC:</t>
        </r>
        <r>
          <rPr>
            <sz val="8"/>
            <color indexed="81"/>
            <rFont val="Tahoma"/>
            <family val="2"/>
          </rPr>
          <t xml:space="preserve">
Return On The Depreciating Annual Book Value Of The Asset.
This is the relevant value for ratemaking purposes.</t>
        </r>
      </text>
    </comment>
    <comment ref="B40" authorId="2">
      <text>
        <r>
          <rPr>
            <b/>
            <sz val="8"/>
            <color indexed="81"/>
            <rFont val="Tahoma"/>
            <family val="2"/>
          </rPr>
          <t>CEC:</t>
        </r>
        <r>
          <rPr>
            <sz val="8"/>
            <color indexed="81"/>
            <rFont val="Tahoma"/>
            <family val="2"/>
          </rPr>
          <t xml:space="preserve">
Return On The Initial Total Investment.</t>
        </r>
      </text>
    </comment>
    <comment ref="B41" authorId="1">
      <text>
        <r>
          <rPr>
            <b/>
            <sz val="9"/>
            <color indexed="81"/>
            <rFont val="Tahoma"/>
            <family val="2"/>
          </rPr>
          <t>Assumes levelized return on debt and equity for Merchants.  Includes taxes.</t>
        </r>
        <r>
          <rPr>
            <sz val="9"/>
            <color indexed="81"/>
            <rFont val="Tahoma"/>
            <family val="2"/>
          </rPr>
          <t xml:space="preserve">
</t>
        </r>
      </text>
    </comment>
    <comment ref="B42" authorId="1">
      <text>
        <r>
          <rPr>
            <sz val="9"/>
            <color indexed="81"/>
            <rFont val="Tahoma"/>
            <family val="2"/>
          </rPr>
          <t xml:space="preserve">Based on after-tax equity return and full debt payment.  Interest deduction in tax calculation below.
</t>
        </r>
      </text>
    </comment>
    <comment ref="B43" authorId="1">
      <text>
        <r>
          <rPr>
            <sz val="9"/>
            <color indexed="81"/>
            <rFont val="Tahoma"/>
            <family val="2"/>
          </rPr>
          <t xml:space="preserve">Consistent with After-tax WACC in Data 1 H17
</t>
        </r>
      </text>
    </comment>
    <comment ref="B45" authorId="0">
      <text>
        <r>
          <rPr>
            <b/>
            <sz val="9"/>
            <color indexed="81"/>
            <rFont val="Tahoma"/>
            <family val="2"/>
          </rPr>
          <t xml:space="preserve">DCR =  </t>
        </r>
        <r>
          <rPr>
            <b/>
            <u/>
            <sz val="9"/>
            <color indexed="81"/>
            <rFont val="Tahoma"/>
            <family val="2"/>
          </rPr>
          <t>Net Profit + non-cash expenses</t>
        </r>
        <r>
          <rPr>
            <b/>
            <sz val="9"/>
            <color indexed="81"/>
            <rFont val="Tahoma"/>
            <family val="2"/>
          </rPr>
          <t xml:space="preserve">
                           Debt
</t>
        </r>
      </text>
    </comment>
    <comment ref="B46" authorId="1">
      <text>
        <r>
          <rPr>
            <b/>
            <sz val="10"/>
            <color indexed="81"/>
            <rFont val="Tahoma"/>
            <family val="2"/>
          </rPr>
          <t>=(Income requirement w/levelized returns  net of fuel costs)/ Fuel Price</t>
        </r>
        <r>
          <rPr>
            <sz val="8"/>
            <color indexed="81"/>
            <rFont val="Tahoma"/>
            <family val="2"/>
          </rPr>
          <t xml:space="preserve">
</t>
        </r>
      </text>
    </comment>
    <comment ref="B51" authorId="2">
      <text>
        <r>
          <rPr>
            <sz val="10"/>
            <color indexed="81"/>
            <rFont val="Tahoma"/>
            <family val="2"/>
          </rPr>
          <t>Revenue minus Operating Costs. Also known as Operating Income or EBITDA</t>
        </r>
        <r>
          <rPr>
            <sz val="10"/>
            <color indexed="81"/>
            <rFont val="Tahoma"/>
            <family val="2"/>
          </rPr>
          <t xml:space="preserve">
</t>
        </r>
      </text>
    </comment>
    <comment ref="B55" authorId="3">
      <text>
        <r>
          <rPr>
            <sz val="8"/>
            <color indexed="81"/>
            <rFont val="Tahoma"/>
            <family val="2"/>
          </rPr>
          <t xml:space="preserve">Internal Revenue Code Section 45  - 20 year loss carryforward limit
</t>
        </r>
      </text>
    </comment>
    <comment ref="B58" authorId="1">
      <text>
        <r>
          <rPr>
            <b/>
            <sz val="9"/>
            <color indexed="81"/>
            <rFont val="Tahoma"/>
            <family val="2"/>
          </rPr>
          <t>Removed per Sandy Miller on 8-10-07
California Solar Initiative</t>
        </r>
        <r>
          <rPr>
            <sz val="9"/>
            <color indexed="81"/>
            <rFont val="Tahoma"/>
            <family val="2"/>
          </rPr>
          <t xml:space="preserve">
Presumed federally taxable</t>
        </r>
      </text>
    </comment>
    <comment ref="B59" authorId="1">
      <text>
        <r>
          <rPr>
            <b/>
            <sz val="9"/>
            <color indexed="81"/>
            <rFont val="Tahoma"/>
            <family val="2"/>
          </rPr>
          <t>Removed per Sandy Miller on 8-10-07
Self Generation Initiative Program
Presumed federally taxable</t>
        </r>
        <r>
          <rPr>
            <sz val="9"/>
            <color indexed="81"/>
            <rFont val="Tahoma"/>
            <family val="2"/>
          </rPr>
          <t xml:space="preserve">
</t>
        </r>
      </text>
    </comment>
    <comment ref="B62" authorId="3">
      <text>
        <r>
          <rPr>
            <sz val="8"/>
            <color indexed="81"/>
            <rFont val="Tahoma"/>
            <family val="2"/>
          </rPr>
          <t xml:space="preserve">Internal Revenue Code Section 45  - 20 year loss carryforward limit
</t>
        </r>
      </text>
    </comment>
    <comment ref="B64" authorId="4">
      <text>
        <r>
          <rPr>
            <sz val="8"/>
            <color indexed="81"/>
            <rFont val="Tahoma"/>
            <family val="2"/>
          </rPr>
          <t>TDMA, 2004 Jobs Creation Act, http://www.treas.gov/press/releases/js2201.htm</t>
        </r>
      </text>
    </comment>
    <comment ref="B66" authorId="1">
      <text>
        <r>
          <rPr>
            <b/>
            <sz val="9"/>
            <color indexed="81"/>
            <rFont val="Tahoma"/>
            <family val="2"/>
          </rPr>
          <t>Tax Deduction for Manufacturing Activities</t>
        </r>
        <r>
          <rPr>
            <sz val="9"/>
            <color indexed="81"/>
            <rFont val="Tahoma"/>
            <family val="2"/>
          </rPr>
          <t xml:space="preserve">
</t>
        </r>
      </text>
    </comment>
    <comment ref="B67" authorId="1">
      <text>
        <r>
          <rPr>
            <b/>
            <sz val="9"/>
            <color indexed="81"/>
            <rFont val="Tahoma"/>
            <family val="2"/>
          </rPr>
          <t>Tax deduction</t>
        </r>
        <r>
          <rPr>
            <sz val="9"/>
            <color indexed="81"/>
            <rFont val="Tahoma"/>
            <family val="2"/>
          </rPr>
          <t xml:space="preserve">
</t>
        </r>
      </text>
    </comment>
    <comment ref="B68" authorId="5">
      <text>
        <r>
          <rPr>
            <sz val="8"/>
            <color indexed="81"/>
            <rFont val="Tahoma"/>
            <family val="2"/>
          </rPr>
          <t>Business Energy Tax Credit.
Merchant, IOU Eligible
10% Tax Credit for solar, fuel cell or geothermal energy property.  Limited to $25,000 per year plus 25% of total remaining tax after credit is taken.
Owners cannot claim both SGBETC and Renewable Energy PTC
http://www.dsireusa.org</t>
        </r>
      </text>
    </comment>
    <comment ref="B70" authorId="5">
      <text>
        <r>
          <rPr>
            <sz val="8"/>
            <color indexed="81"/>
            <rFont val="Tahoma"/>
            <family val="2"/>
          </rPr>
          <t xml:space="preserve">Renewable Energy Production Tax Credit
Merchant, IOU Eligible
$0.0150/kWh over 10 years for Wind, Closed-Loop Biomass, Geothermal, Solar, 
$0.0075/kWh over  5 years for Open-Loop Biomass, Small Irrigation, Municipal Solid Waste
1993 indexed for inflation
Owners cannot claim both SGBETC and Renewable Energy PTC
http://www.dsireusa.org
</t>
        </r>
      </text>
    </comment>
    <comment ref="B72" authorId="5">
      <text>
        <r>
          <rPr>
            <sz val="8"/>
            <color indexed="81"/>
            <rFont val="Tahoma"/>
            <family val="2"/>
          </rPr>
          <t>Renewable Energy Production Incentive
Muni, rural electric cooperatives, local or state governments Eligible.
$0.015/kWh in 1993 indexed for inflation.
Tier 1:  Solar Thermal Electric, Wind, Biomass, Geothermal,  Closed-Loop Biomass
Tier II:  Landfill methange, Open-Loop Biomass Anaerobic Digestion
http://www.dsireusa.org</t>
        </r>
      </text>
    </comment>
    <comment ref="B74" authorId="6">
      <text>
        <r>
          <rPr>
            <b/>
            <sz val="9"/>
            <color indexed="81"/>
            <rFont val="Tahoma"/>
            <family val="2"/>
          </rPr>
          <t>Ashley Spalding:</t>
        </r>
        <r>
          <rPr>
            <sz val="9"/>
            <color indexed="81"/>
            <rFont val="Tahoma"/>
            <family val="2"/>
          </rPr>
          <t xml:space="preserve">
compare 8 between the two diff tax credits in place and choose the one that minimizes line 68</t>
        </r>
      </text>
    </comment>
    <comment ref="C74" authorId="6">
      <text>
        <r>
          <rPr>
            <b/>
            <sz val="9"/>
            <color indexed="81"/>
            <rFont val="Tahoma"/>
            <family val="2"/>
          </rPr>
          <t>Ashley Spalding:</t>
        </r>
        <r>
          <rPr>
            <sz val="9"/>
            <color indexed="81"/>
            <rFont val="Tahoma"/>
            <family val="2"/>
          </rPr>
          <t xml:space="preserve">
I moved this cell one to the left
</t>
        </r>
      </text>
    </comment>
    <comment ref="B82" authorId="6">
      <text>
        <r>
          <rPr>
            <b/>
            <sz val="9"/>
            <color indexed="81"/>
            <rFont val="Tahoma"/>
            <family val="2"/>
          </rPr>
          <t>Ashley Spalding:</t>
        </r>
        <r>
          <rPr>
            <sz val="9"/>
            <color indexed="81"/>
            <rFont val="Tahoma"/>
            <family val="2"/>
          </rPr>
          <t xml:space="preserve">
compare 8 between the two diff tax credits in place and choose the one that minimizes line 68</t>
        </r>
      </text>
    </comment>
    <comment ref="B90" authorId="6">
      <text>
        <r>
          <rPr>
            <b/>
            <sz val="9"/>
            <color indexed="81"/>
            <rFont val="Tahoma"/>
            <family val="2"/>
          </rPr>
          <t>Ashley Spalding:</t>
        </r>
        <r>
          <rPr>
            <sz val="9"/>
            <color indexed="81"/>
            <rFont val="Tahoma"/>
            <family val="2"/>
          </rPr>
          <t xml:space="preserve">
compare 8 between the two diff tax credits in place and choose the one that minimizes line 68</t>
        </r>
      </text>
    </comment>
    <comment ref="B93" authorId="1">
      <text>
        <r>
          <rPr>
            <b/>
            <sz val="8"/>
            <color indexed="81"/>
            <rFont val="Tahoma"/>
            <family val="2"/>
          </rPr>
          <t>Used straight line depreciation (SLN)</t>
        </r>
        <r>
          <rPr>
            <sz val="8"/>
            <color indexed="81"/>
            <rFont val="Tahoma"/>
            <family val="2"/>
          </rPr>
          <t xml:space="preserve">
</t>
        </r>
      </text>
    </comment>
    <comment ref="B95" authorId="0">
      <text>
        <r>
          <rPr>
            <sz val="9"/>
            <color indexed="81"/>
            <rFont val="Tahoma"/>
            <family val="2"/>
          </rPr>
          <t>Based on MACRS Tax Tables for Booklife</t>
        </r>
      </text>
    </comment>
    <comment ref="B96" authorId="0">
      <text>
        <r>
          <rPr>
            <sz val="9"/>
            <color indexed="81"/>
            <rFont val="Tahoma"/>
            <family val="2"/>
          </rPr>
          <t>Based on MACRS Tax Tables for Booklife</t>
        </r>
      </text>
    </comment>
    <comment ref="B97" authorId="0">
      <text>
        <r>
          <rPr>
            <sz val="9"/>
            <color indexed="81"/>
            <rFont val="Tahoma"/>
            <family val="2"/>
          </rPr>
          <t>Max of 150% declining balance or straighline depreciation of remaining balance</t>
        </r>
      </text>
    </comment>
    <comment ref="B98" authorId="0">
      <text>
        <r>
          <rPr>
            <sz val="9"/>
            <color indexed="81"/>
            <rFont val="Tahoma"/>
            <family val="2"/>
          </rPr>
          <t>Max of 150% declining balance or straighline depreciation of remaining balance</t>
        </r>
      </text>
    </comment>
    <comment ref="B104" authorId="0">
      <text>
        <r>
          <rPr>
            <sz val="9"/>
            <color indexed="81"/>
            <rFont val="Tahoma"/>
            <family val="2"/>
          </rPr>
          <t xml:space="preserve">independent calculation of tax on return on equity to avoid risk of circular reference - used for Geothermal Depletion Allowance
</t>
        </r>
      </text>
    </comment>
    <comment ref="B125" authorId="1">
      <text>
        <r>
          <rPr>
            <sz val="8"/>
            <color indexed="81"/>
            <rFont val="Tahoma"/>
            <family val="2"/>
          </rPr>
          <t xml:space="preserve">Carlton &amp; Perloff, "Modern IO," 1990, App. 3A, p. 56.
</t>
        </r>
      </text>
    </comment>
    <comment ref="B126" authorId="1">
      <text>
        <r>
          <rPr>
            <b/>
            <sz val="8"/>
            <color indexed="81"/>
            <rFont val="Tahoma"/>
            <family val="2"/>
          </rPr>
          <t>The residual after calculating the direct annual fixed costs.</t>
        </r>
        <r>
          <rPr>
            <sz val="8"/>
            <color indexed="81"/>
            <rFont val="Tahoma"/>
            <family val="2"/>
          </rPr>
          <t xml:space="preserve">
</t>
        </r>
      </text>
    </comment>
    <comment ref="B135" authorId="1">
      <text>
        <r>
          <rPr>
            <sz val="8"/>
            <color indexed="81"/>
            <rFont val="Tahoma"/>
            <family val="2"/>
          </rPr>
          <t xml:space="preserve">IRS Publication 946 (2005) Appendix B
</t>
        </r>
      </text>
    </comment>
    <comment ref="B136" authorId="1">
      <text>
        <r>
          <rPr>
            <sz val="8"/>
            <color indexed="81"/>
            <rFont val="Tahoma"/>
            <family val="2"/>
          </rPr>
          <t xml:space="preserve">Calculates tax depreciation adjusted for full year from initial inservice date.
</t>
        </r>
      </text>
    </comment>
    <comment ref="B143" authorId="1">
      <text>
        <r>
          <rPr>
            <sz val="8"/>
            <color indexed="81"/>
            <rFont val="Tahoma"/>
            <family val="2"/>
          </rPr>
          <t xml:space="preserve">IRS Publication 946 (2005) Appendix B
</t>
        </r>
      </text>
    </comment>
    <comment ref="B151" authorId="4">
      <text>
        <r>
          <rPr>
            <sz val="8"/>
            <color indexed="81"/>
            <rFont val="Tahoma"/>
            <family val="2"/>
          </rPr>
          <t>TDMA, 2004 Jobs Creation Act, http://www.treas.gov/press/releases/js2201.htm</t>
        </r>
      </text>
    </comment>
    <comment ref="B157" authorId="1">
      <text>
        <r>
          <rPr>
            <sz val="8"/>
            <color indexed="81"/>
            <rFont val="Tahoma"/>
            <family val="2"/>
          </rPr>
          <t xml:space="preserve">Donald L Jackson, BOE To Condition Percent Good Factor Recipients, January 8, 2009.
</t>
        </r>
        <r>
          <rPr>
            <sz val="8"/>
            <color indexed="81"/>
            <rFont val="Tahoma"/>
            <family val="2"/>
          </rPr>
          <t xml:space="preserve">
</t>
        </r>
      </text>
    </comment>
  </commentList>
</comments>
</file>

<file path=xl/comments9.xml><?xml version="1.0" encoding="utf-8"?>
<comments xmlns="http://schemas.openxmlformats.org/spreadsheetml/2006/main">
  <authors>
    <author>Richard McCann</author>
  </authors>
  <commentList>
    <comment ref="B28" authorId="0">
      <text>
        <r>
          <rPr>
            <b/>
            <sz val="8"/>
            <color indexed="81"/>
            <rFont val="Tahoma"/>
            <family val="2"/>
          </rPr>
          <t>Extrapolated at 2019 rate</t>
        </r>
        <r>
          <rPr>
            <sz val="8"/>
            <color indexed="81"/>
            <rFont val="Tahoma"/>
            <family val="2"/>
          </rPr>
          <t xml:space="preserve">
</t>
        </r>
      </text>
    </comment>
  </commentList>
</comments>
</file>

<file path=xl/comments10.xml><?xml version="1.0" encoding="utf-8"?>
<comments xmlns="http://schemas.openxmlformats.org/spreadsheetml/2006/main">
  <authors>
    <author xml:space="preserve"> </author>
    <author>Richard McCann</author>
    <author>Ashley Spalding</author>
    <author>RMcCann</author>
    <author>Eric Cutter</author>
    <author>Ashley</author>
    <author>Preferred Customer</author>
  </authors>
  <commentList>
    <comment ref="B4" authorId="0">
      <text>
        <r>
          <rPr>
            <b/>
            <sz val="8"/>
            <color indexed="81"/>
            <rFont val="Tahoma"/>
            <family val="2"/>
          </rPr>
          <t>Blank Rows are not permitted</t>
        </r>
      </text>
    </comment>
    <comment ref="K4" authorId="1">
      <text>
        <r>
          <rPr>
            <b/>
            <sz val="8"/>
            <color indexed="81"/>
            <rFont val="Tahoma"/>
            <family val="2"/>
          </rPr>
          <t>Source: BOE, Capitalization Rate Study, March 2006, pp. 66-67</t>
        </r>
        <r>
          <rPr>
            <sz val="8"/>
            <color indexed="81"/>
            <rFont val="Tahoma"/>
            <family val="2"/>
          </rPr>
          <t xml:space="preserve">
</t>
        </r>
      </text>
    </comment>
    <comment ref="M4" authorId="2">
      <text>
        <r>
          <rPr>
            <b/>
            <sz val="9"/>
            <color indexed="81"/>
            <rFont val="Tahoma"/>
            <family val="2"/>
          </rPr>
          <t>Ashley Spalding:</t>
        </r>
        <r>
          <rPr>
            <sz val="9"/>
            <color indexed="81"/>
            <rFont val="Tahoma"/>
            <family val="2"/>
          </rPr>
          <t xml:space="preserve">
New column. added M2:M4 4/26/12</t>
        </r>
      </text>
    </comment>
    <comment ref="K5" authorId="1">
      <text>
        <r>
          <rPr>
            <b/>
            <sz val="8"/>
            <color indexed="81"/>
            <rFont val="Tahoma"/>
            <family val="2"/>
          </rPr>
          <t>Source: BOE, Capitalization Rate Study, March 2006, pp. 66-67</t>
        </r>
        <r>
          <rPr>
            <sz val="8"/>
            <color indexed="81"/>
            <rFont val="Tahoma"/>
            <family val="2"/>
          </rPr>
          <t xml:space="preserve">
</t>
        </r>
      </text>
    </comment>
    <comment ref="K6" authorId="1">
      <text>
        <r>
          <rPr>
            <b/>
            <sz val="8"/>
            <color indexed="81"/>
            <rFont val="Tahoma"/>
            <family val="2"/>
          </rPr>
          <t>Source: BOE, Capitalization Rate Study, March 2006, pp. 66-67</t>
        </r>
        <r>
          <rPr>
            <sz val="8"/>
            <color indexed="81"/>
            <rFont val="Tahoma"/>
            <family val="2"/>
          </rPr>
          <t xml:space="preserve">
</t>
        </r>
      </text>
    </comment>
    <comment ref="F11" authorId="3">
      <text>
        <r>
          <rPr>
            <b/>
            <sz val="8"/>
            <color indexed="81"/>
            <rFont val="Tahoma"/>
            <family val="2"/>
          </rPr>
          <t>While not directly prohibited, PTC requires sale to third party.</t>
        </r>
        <r>
          <rPr>
            <sz val="8"/>
            <color indexed="81"/>
            <rFont val="Tahoma"/>
            <family val="2"/>
          </rPr>
          <t xml:space="preserve">
</t>
        </r>
      </text>
    </comment>
    <comment ref="G11" authorId="3">
      <text>
        <r>
          <rPr>
            <b/>
            <sz val="8"/>
            <color indexed="81"/>
            <rFont val="Tahoma"/>
            <family val="2"/>
          </rPr>
          <t>While not directly prohibited, PTC requires sale to third party.</t>
        </r>
        <r>
          <rPr>
            <sz val="8"/>
            <color indexed="81"/>
            <rFont val="Tahoma"/>
            <family val="2"/>
          </rPr>
          <t xml:space="preserve">
</t>
        </r>
      </text>
    </comment>
    <comment ref="B17" authorId="0">
      <text>
        <r>
          <rPr>
            <b/>
            <sz val="8"/>
            <color indexed="81"/>
            <rFont val="Tahoma"/>
            <family val="2"/>
          </rPr>
          <t>Blank Rows are not permitted</t>
        </r>
      </text>
    </comment>
    <comment ref="F17" authorId="1">
      <text>
        <r>
          <rPr>
            <b/>
            <sz val="8"/>
            <color indexed="81"/>
            <rFont val="Tahoma"/>
            <family val="2"/>
          </rPr>
          <t>Average for common + preferred equity for 3 IOUs in D.12-12-034.</t>
        </r>
      </text>
    </comment>
    <comment ref="G17" authorId="1">
      <text>
        <r>
          <rPr>
            <b/>
            <sz val="8"/>
            <color indexed="81"/>
            <rFont val="Tahoma"/>
            <family val="2"/>
          </rPr>
          <t>NEED TO UPDATE</t>
        </r>
        <r>
          <rPr>
            <sz val="8"/>
            <color indexed="81"/>
            <rFont val="Tahoma"/>
            <family val="2"/>
          </rPr>
          <t xml:space="preserve">
</t>
        </r>
      </text>
    </comment>
    <comment ref="K17" authorId="1">
      <text>
        <r>
          <rPr>
            <b/>
            <sz val="8"/>
            <color indexed="81"/>
            <rFont val="Tahoma"/>
            <family val="2"/>
          </rPr>
          <t>Source: BOE, Capitalization Rate Study, March 2012, p. 60 - highest equity share.</t>
        </r>
        <r>
          <rPr>
            <sz val="8"/>
            <color indexed="81"/>
            <rFont val="Tahoma"/>
            <family val="2"/>
          </rPr>
          <t xml:space="preserve">
www.boetaxes.ca.gov/proptaxes/pdf/2012capratestudy.pdf</t>
        </r>
      </text>
    </comment>
    <comment ref="L17" authorId="1">
      <text>
        <r>
          <rPr>
            <b/>
            <sz val="8"/>
            <color indexed="81"/>
            <rFont val="Tahoma"/>
            <family val="2"/>
          </rPr>
          <t>Source: BOE, Capitalization Rate Study, March 2012, p. 60 - highest equity share.</t>
        </r>
        <r>
          <rPr>
            <sz val="8"/>
            <color indexed="81"/>
            <rFont val="Tahoma"/>
            <family val="2"/>
          </rPr>
          <t xml:space="preserve">
www.boetaxes.ca.gov/proptaxes/pdf/2012capratestudy.pdf</t>
        </r>
      </text>
    </comment>
    <comment ref="P17" authorId="1">
      <text>
        <r>
          <rPr>
            <b/>
            <sz val="8"/>
            <color indexed="81"/>
            <rFont val="Tahoma"/>
            <family val="2"/>
          </rPr>
          <t>Source: BOE, Capitalization Rate Study, March 2012, p. 60 - Value Line Electric Utility (West) average</t>
        </r>
        <r>
          <rPr>
            <sz val="8"/>
            <color indexed="81"/>
            <rFont val="Tahoma"/>
            <family val="2"/>
          </rPr>
          <t xml:space="preserve">
www.boetaxes.ca.gov/proptaxes/pdf/2012capratestudy.pdf</t>
        </r>
      </text>
    </comment>
    <comment ref="Q17" authorId="1">
      <text>
        <r>
          <rPr>
            <b/>
            <sz val="8"/>
            <color indexed="81"/>
            <rFont val="Tahoma"/>
            <family val="2"/>
          </rPr>
          <t>Source: BOE, Capitalization Rate Study, March 2012, p. 60 - Value Line Electric Utility (West) average</t>
        </r>
        <r>
          <rPr>
            <sz val="8"/>
            <color indexed="81"/>
            <rFont val="Tahoma"/>
            <family val="2"/>
          </rPr>
          <t xml:space="preserve">
www.boetaxes.ca.gov/proptaxes/pdf/2012capratestudy.pdf</t>
        </r>
      </text>
    </comment>
    <comment ref="I18" authorId="1">
      <text>
        <r>
          <rPr>
            <b/>
            <sz val="9"/>
            <color indexed="81"/>
            <rFont val="Tahoma"/>
            <family val="2"/>
          </rPr>
          <t>Richard McCann:</t>
        </r>
        <r>
          <rPr>
            <sz val="9"/>
            <color indexed="81"/>
            <rFont val="Tahoma"/>
            <family val="2"/>
          </rPr>
          <t xml:space="preserve">
Per NREL assumptions</t>
        </r>
      </text>
    </comment>
    <comment ref="N18" authorId="1">
      <text>
        <r>
          <rPr>
            <b/>
            <sz val="8"/>
            <color indexed="81"/>
            <rFont val="Tahoma"/>
            <family val="2"/>
          </rPr>
          <t>Source: BOE, Capitalization Rate Study, March 2012, Electric Generation Facilities, p.57 adjusted for Treasury rate</t>
        </r>
        <r>
          <rPr>
            <sz val="8"/>
            <color indexed="81"/>
            <rFont val="Tahoma"/>
            <family val="2"/>
          </rPr>
          <t xml:space="preserve">
</t>
        </r>
      </text>
    </comment>
    <comment ref="O18" authorId="1">
      <text>
        <r>
          <rPr>
            <b/>
            <sz val="8"/>
            <color indexed="81"/>
            <rFont val="Tahoma"/>
            <family val="2"/>
          </rPr>
          <t>Source: BOE, Capitalization Rate Study, March 2012, Electric Generation Facilities, p.57 adjusted for Treasury rate</t>
        </r>
        <r>
          <rPr>
            <sz val="8"/>
            <color indexed="81"/>
            <rFont val="Tahoma"/>
            <family val="2"/>
          </rPr>
          <t xml:space="preserve">
</t>
        </r>
      </text>
    </comment>
    <comment ref="D19" authorId="1">
      <text>
        <r>
          <rPr>
            <b/>
            <sz val="9"/>
            <color indexed="81"/>
            <rFont val="Tahoma"/>
            <family val="2"/>
          </rPr>
          <t>Richard McCann:</t>
        </r>
        <r>
          <rPr>
            <sz val="9"/>
            <color indexed="81"/>
            <rFont val="Tahoma"/>
            <family val="2"/>
          </rPr>
          <t xml:space="preserve">
Based on premium over LIBOR per MRW (2012), which equals BB+/BB</t>
        </r>
      </text>
    </comment>
    <comment ref="I19" authorId="1">
      <text>
        <r>
          <rPr>
            <b/>
            <sz val="9"/>
            <color indexed="81"/>
            <rFont val="Tahoma"/>
            <family val="2"/>
          </rPr>
          <t>Richard McCann:</t>
        </r>
        <r>
          <rPr>
            <sz val="9"/>
            <color indexed="81"/>
            <rFont val="Tahoma"/>
            <family val="2"/>
          </rPr>
          <t xml:space="preserve">
Based on non-investment grade rating</t>
        </r>
      </text>
    </comment>
    <comment ref="N19" authorId="1">
      <text>
        <r>
          <rPr>
            <b/>
            <sz val="9"/>
            <color indexed="81"/>
            <rFont val="Tahoma"/>
            <family val="2"/>
          </rPr>
          <t>Richard McCann:</t>
        </r>
        <r>
          <rPr>
            <sz val="9"/>
            <color indexed="81"/>
            <rFont val="Tahoma"/>
            <family val="2"/>
          </rPr>
          <t xml:space="preserve">
Based on A rating</t>
        </r>
      </text>
    </comment>
    <comment ref="C20" authorId="1">
      <text>
        <r>
          <rPr>
            <b/>
            <sz val="9"/>
            <color indexed="81"/>
            <rFont val="Tahoma"/>
            <family val="2"/>
          </rPr>
          <t>Richard McCann:</t>
        </r>
        <r>
          <rPr>
            <sz val="9"/>
            <color indexed="81"/>
            <rFont val="Tahoma"/>
            <family val="2"/>
          </rPr>
          <t xml:space="preserve">
From PTA page for Merchant Equity Share.
Model reads either Fossil or Alternative, so are set equal on this page.</t>
        </r>
      </text>
    </comment>
    <comment ref="E22" authorId="2">
      <text>
        <r>
          <rPr>
            <b/>
            <sz val="9"/>
            <color indexed="81"/>
            <rFont val="Tahoma"/>
            <family val="2"/>
          </rPr>
          <t>Ashley Spalding:</t>
        </r>
        <r>
          <rPr>
            <sz val="9"/>
            <color indexed="81"/>
            <rFont val="Tahoma"/>
            <family val="2"/>
          </rPr>
          <t xml:space="preserve">
Chadbourne &amp; Parke LLP 1/7/2013 webinar</t>
        </r>
      </text>
    </comment>
    <comment ref="J22" authorId="2">
      <text>
        <r>
          <rPr>
            <b/>
            <sz val="9"/>
            <color indexed="81"/>
            <rFont val="Tahoma"/>
            <family val="2"/>
          </rPr>
          <t>Ashley Spalding:</t>
        </r>
        <r>
          <rPr>
            <sz val="9"/>
            <color indexed="81"/>
            <rFont val="Tahoma"/>
            <family val="2"/>
          </rPr>
          <t xml:space="preserve">
Chadbourne &amp; Parke LLP 1/7/2013 webinar
(tied to range of IOU capital costs as proxy)</t>
        </r>
      </text>
    </comment>
    <comment ref="O22" authorId="2">
      <text>
        <r>
          <rPr>
            <b/>
            <sz val="9"/>
            <color indexed="81"/>
            <rFont val="Tahoma"/>
            <family val="2"/>
          </rPr>
          <t>Ashley Spalding:</t>
        </r>
        <r>
          <rPr>
            <sz val="9"/>
            <color indexed="81"/>
            <rFont val="Tahoma"/>
            <family val="2"/>
          </rPr>
          <t xml:space="preserve">
Chadbourne &amp; Parke LLP 1/7/2013 webinar</t>
        </r>
      </text>
    </comment>
    <comment ref="D30" authorId="1">
      <text>
        <r>
          <rPr>
            <b/>
            <sz val="8"/>
            <color indexed="81"/>
            <rFont val="Tahoma"/>
            <family val="2"/>
          </rPr>
          <t>Source: BOE, Capitalization Rate Study, March 2012, Electric Generation Facilities</t>
        </r>
        <r>
          <rPr>
            <sz val="8"/>
            <color indexed="81"/>
            <rFont val="Tahoma"/>
            <family val="2"/>
          </rPr>
          <t xml:space="preserve">
</t>
        </r>
      </text>
    </comment>
    <comment ref="F30" authorId="1">
      <text>
        <r>
          <rPr>
            <b/>
            <sz val="9"/>
            <color indexed="81"/>
            <rFont val="Tahoma"/>
            <family val="2"/>
          </rPr>
          <t>Richard McCann:</t>
        </r>
        <r>
          <rPr>
            <sz val="9"/>
            <color indexed="81"/>
            <rFont val="Tahoma"/>
            <family val="2"/>
          </rPr>
          <t xml:space="preserve">
BOE method was: 
=$H$27-($H$48-F$48)</t>
        </r>
      </text>
    </comment>
    <comment ref="G30" authorId="1">
      <text>
        <r>
          <rPr>
            <b/>
            <sz val="9"/>
            <color indexed="81"/>
            <rFont val="Tahoma"/>
            <family val="2"/>
          </rPr>
          <t>Richard McCann:</t>
        </r>
        <r>
          <rPr>
            <sz val="9"/>
            <color indexed="81"/>
            <rFont val="Tahoma"/>
            <family val="2"/>
          </rPr>
          <t xml:space="preserve">
BOE method was:
=$H$27-($H$48-G$48)</t>
        </r>
      </text>
    </comment>
    <comment ref="I30" authorId="1">
      <text>
        <r>
          <rPr>
            <b/>
            <sz val="9"/>
            <color indexed="81"/>
            <rFont val="Tahoma"/>
            <family val="2"/>
          </rPr>
          <t>Richard McCann:</t>
        </r>
        <r>
          <rPr>
            <sz val="9"/>
            <color indexed="81"/>
            <rFont val="Tahoma"/>
            <family val="2"/>
          </rPr>
          <t xml:space="preserve">
BOE method was:
=($H$27-$H$30)+I30</t>
        </r>
      </text>
    </comment>
    <comment ref="C31" authorId="1">
      <text>
        <r>
          <rPr>
            <b/>
            <sz val="8"/>
            <color indexed="81"/>
            <rFont val="Tahoma"/>
            <family val="2"/>
          </rPr>
          <t>Source: BOE, Capitalization Rate Study, March 2008</t>
        </r>
      </text>
    </comment>
    <comment ref="I31" authorId="0">
      <text>
        <r>
          <rPr>
            <b/>
            <sz val="8"/>
            <color indexed="81"/>
            <rFont val="Tahoma"/>
            <family val="2"/>
          </rPr>
          <t>CA IOU Avg</t>
        </r>
      </text>
    </comment>
    <comment ref="C32" authorId="3">
      <text>
        <r>
          <rPr>
            <b/>
            <sz val="8"/>
            <color indexed="81"/>
            <rFont val="Tahoma"/>
            <family val="2"/>
          </rPr>
          <t>Based on National AAA rated bonds, www.fmsbonds.com</t>
        </r>
        <r>
          <rPr>
            <sz val="8"/>
            <color indexed="81"/>
            <rFont val="Tahoma"/>
            <family val="2"/>
          </rPr>
          <t xml:space="preserve">
</t>
        </r>
      </text>
    </comment>
    <comment ref="D32" authorId="1">
      <text>
        <r>
          <rPr>
            <sz val="8"/>
            <color indexed="81"/>
            <rFont val="Tahoma"/>
            <family val="2"/>
          </rPr>
          <t>Assume 100% debt financed</t>
        </r>
      </text>
    </comment>
    <comment ref="D33" authorId="1">
      <text>
        <r>
          <rPr>
            <b/>
            <sz val="8"/>
            <color indexed="81"/>
            <rFont val="Tahoma"/>
            <family val="2"/>
          </rPr>
          <t>Updated to 4/25/12</t>
        </r>
      </text>
    </comment>
    <comment ref="I33" authorId="4">
      <text>
        <r>
          <rPr>
            <b/>
            <sz val="9"/>
            <color indexed="81"/>
            <rFont val="Tahoma"/>
            <family val="2"/>
          </rPr>
          <t>U.S. Treasury Daily Long-Term Rates: Extrapolation Factor</t>
        </r>
      </text>
    </comment>
    <comment ref="C34" authorId="5">
      <text>
        <r>
          <rPr>
            <b/>
            <sz val="9"/>
            <color indexed="81"/>
            <rFont val="Tahoma"/>
            <family val="2"/>
          </rPr>
          <t>Ashley:</t>
        </r>
        <r>
          <rPr>
            <sz val="9"/>
            <color indexed="81"/>
            <rFont val="Tahoma"/>
            <family val="2"/>
          </rPr>
          <t xml:space="preserve">
Updated to 4/25/12
</t>
        </r>
      </text>
    </comment>
    <comment ref="C38" authorId="1">
      <text>
        <r>
          <rPr>
            <b/>
            <sz val="9"/>
            <color indexed="81"/>
            <rFont val="Tahoma"/>
            <family val="2"/>
          </rPr>
          <t>Richard McCann:</t>
        </r>
        <r>
          <rPr>
            <sz val="9"/>
            <color indexed="81"/>
            <rFont val="Tahoma"/>
            <family val="2"/>
          </rPr>
          <t xml:space="preserve">
From PTA page by technology for Merchant Debt</t>
        </r>
      </text>
    </comment>
    <comment ref="C41" authorId="1">
      <text>
        <r>
          <rPr>
            <b/>
            <sz val="8"/>
            <color indexed="81"/>
            <rFont val="Tahoma"/>
            <family val="2"/>
          </rPr>
          <t>Source: BOE, Capitalization Rate Study, March 2012. P. 1</t>
        </r>
      </text>
    </comment>
    <comment ref="H42" authorId="2">
      <text>
        <r>
          <rPr>
            <b/>
            <sz val="9"/>
            <color indexed="81"/>
            <rFont val="Tahoma"/>
            <family val="2"/>
          </rPr>
          <t>Weighted average of common and preferred equity returns</t>
        </r>
      </text>
    </comment>
    <comment ref="M42" authorId="2">
      <text>
        <r>
          <rPr>
            <b/>
            <sz val="9"/>
            <color indexed="81"/>
            <rFont val="Tahoma"/>
            <family val="2"/>
          </rPr>
          <t>CPUC D.12-12-034</t>
        </r>
      </text>
    </comment>
    <comment ref="N42" authorId="2">
      <text>
        <r>
          <rPr>
            <b/>
            <sz val="9"/>
            <color indexed="81"/>
            <rFont val="Tahoma"/>
            <family val="2"/>
          </rPr>
          <t>CPUC D.12-12-034</t>
        </r>
      </text>
    </comment>
    <comment ref="O42" authorId="2">
      <text>
        <r>
          <rPr>
            <b/>
            <sz val="9"/>
            <color indexed="81"/>
            <rFont val="Tahoma"/>
            <family val="2"/>
          </rPr>
          <t>CPUC D.12-12-034</t>
        </r>
      </text>
    </comment>
    <comment ref="Q42" authorId="2">
      <text>
        <r>
          <rPr>
            <b/>
            <sz val="9"/>
            <color indexed="81"/>
            <rFont val="Tahoma"/>
            <family val="2"/>
          </rPr>
          <t>CPUC D.12-12-034</t>
        </r>
      </text>
    </comment>
    <comment ref="R42" authorId="2">
      <text>
        <r>
          <rPr>
            <b/>
            <sz val="9"/>
            <color indexed="81"/>
            <rFont val="Tahoma"/>
            <family val="2"/>
          </rPr>
          <t>CPUC D.12-12-034</t>
        </r>
      </text>
    </comment>
    <comment ref="S42" authorId="2">
      <text>
        <r>
          <rPr>
            <b/>
            <sz val="9"/>
            <color indexed="81"/>
            <rFont val="Tahoma"/>
            <family val="2"/>
          </rPr>
          <t>CPUC D.12-12-034</t>
        </r>
      </text>
    </comment>
    <comment ref="H43" authorId="2">
      <text>
        <r>
          <rPr>
            <b/>
            <sz val="9"/>
            <color indexed="81"/>
            <rFont val="Tahoma"/>
            <family val="2"/>
          </rPr>
          <t>Weighted average of common and preferred equity returns</t>
        </r>
      </text>
    </comment>
    <comment ref="M43" authorId="2">
      <text>
        <r>
          <rPr>
            <b/>
            <sz val="9"/>
            <color indexed="81"/>
            <rFont val="Tahoma"/>
            <family val="2"/>
          </rPr>
          <t>CPUC D.12-12-034</t>
        </r>
      </text>
    </comment>
    <comment ref="N43" authorId="2">
      <text>
        <r>
          <rPr>
            <b/>
            <sz val="9"/>
            <color indexed="81"/>
            <rFont val="Tahoma"/>
            <family val="2"/>
          </rPr>
          <t>CPUC D.12-12-034</t>
        </r>
      </text>
    </comment>
    <comment ref="O43" authorId="2">
      <text>
        <r>
          <rPr>
            <b/>
            <sz val="9"/>
            <color indexed="81"/>
            <rFont val="Tahoma"/>
            <family val="2"/>
          </rPr>
          <t>CPUC D.12-12-034</t>
        </r>
      </text>
    </comment>
    <comment ref="Q43" authorId="2">
      <text>
        <r>
          <rPr>
            <b/>
            <sz val="9"/>
            <color indexed="81"/>
            <rFont val="Tahoma"/>
            <family val="2"/>
          </rPr>
          <t>CPUC D.12-12-034</t>
        </r>
      </text>
    </comment>
    <comment ref="R43" authorId="2">
      <text>
        <r>
          <rPr>
            <b/>
            <sz val="9"/>
            <color indexed="81"/>
            <rFont val="Tahoma"/>
            <family val="2"/>
          </rPr>
          <t>CPUC D.12-12-034</t>
        </r>
      </text>
    </comment>
    <comment ref="S43" authorId="2">
      <text>
        <r>
          <rPr>
            <b/>
            <sz val="9"/>
            <color indexed="81"/>
            <rFont val="Tahoma"/>
            <family val="2"/>
          </rPr>
          <t>CPUC D.12-12-034</t>
        </r>
      </text>
    </comment>
    <comment ref="H44" authorId="2">
      <text>
        <r>
          <rPr>
            <b/>
            <sz val="9"/>
            <color indexed="81"/>
            <rFont val="Tahoma"/>
            <family val="2"/>
          </rPr>
          <t>Weighted average of common and preferred equity returns</t>
        </r>
      </text>
    </comment>
    <comment ref="M44" authorId="2">
      <text>
        <r>
          <rPr>
            <b/>
            <sz val="9"/>
            <color indexed="81"/>
            <rFont val="Tahoma"/>
            <family val="2"/>
          </rPr>
          <t>CPUC D.12-12-034</t>
        </r>
      </text>
    </comment>
    <comment ref="N44" authorId="2">
      <text>
        <r>
          <rPr>
            <b/>
            <sz val="9"/>
            <color indexed="81"/>
            <rFont val="Tahoma"/>
            <family val="2"/>
          </rPr>
          <t>CPUC D.12-12-034</t>
        </r>
      </text>
    </comment>
    <comment ref="O44" authorId="2">
      <text>
        <r>
          <rPr>
            <b/>
            <sz val="9"/>
            <color indexed="81"/>
            <rFont val="Tahoma"/>
            <family val="2"/>
          </rPr>
          <t>CPUC D.12-12-034</t>
        </r>
      </text>
    </comment>
    <comment ref="Q44" authorId="2">
      <text>
        <r>
          <rPr>
            <b/>
            <sz val="9"/>
            <color indexed="81"/>
            <rFont val="Tahoma"/>
            <family val="2"/>
          </rPr>
          <t>CPUC D.12-12-034</t>
        </r>
      </text>
    </comment>
    <comment ref="R44" authorId="2">
      <text>
        <r>
          <rPr>
            <b/>
            <sz val="9"/>
            <color indexed="81"/>
            <rFont val="Tahoma"/>
            <family val="2"/>
          </rPr>
          <t>CPUC D.12-12-034</t>
        </r>
      </text>
    </comment>
    <comment ref="S44" authorId="2">
      <text>
        <r>
          <rPr>
            <b/>
            <sz val="9"/>
            <color indexed="81"/>
            <rFont val="Tahoma"/>
            <family val="2"/>
          </rPr>
          <t>CPUC D.12-12-034</t>
        </r>
      </text>
    </comment>
    <comment ref="C46" authorId="1">
      <text>
        <r>
          <rPr>
            <b/>
            <sz val="8"/>
            <color indexed="81"/>
            <rFont val="Tahoma"/>
            <family val="2"/>
          </rPr>
          <t>Source: BOE, Capitalization Rate Study, March 2008 - Recent Constructed Facilities, p.55</t>
        </r>
        <r>
          <rPr>
            <sz val="8"/>
            <color indexed="81"/>
            <rFont val="Tahoma"/>
            <family val="2"/>
          </rPr>
          <t xml:space="preserve">
</t>
        </r>
      </text>
    </comment>
    <comment ref="G47" authorId="1">
      <text>
        <r>
          <rPr>
            <b/>
            <sz val="8"/>
            <color indexed="81"/>
            <rFont val="Tahoma"/>
            <family val="2"/>
          </rPr>
          <t>adjusted for Moody's risk premia from BOE Capitalization Rate Study, March 2012.</t>
        </r>
        <r>
          <rPr>
            <sz val="8"/>
            <color indexed="81"/>
            <rFont val="Tahoma"/>
            <family val="2"/>
          </rPr>
          <t xml:space="preserve">
</t>
        </r>
      </text>
    </comment>
    <comment ref="H47" authorId="1">
      <text>
        <r>
          <rPr>
            <b/>
            <sz val="8"/>
            <color indexed="81"/>
            <rFont val="Tahoma"/>
            <family val="2"/>
          </rPr>
          <t>BOE computed equity rate  (e.g., March 2008=14.60%)</t>
        </r>
        <r>
          <rPr>
            <sz val="8"/>
            <color indexed="81"/>
            <rFont val="Tahoma"/>
            <family val="2"/>
          </rPr>
          <t xml:space="preserve">
=(US Treasury 30 yr%*(Risk Premium * Beta))
/(1-Flotation Rate)</t>
        </r>
      </text>
    </comment>
    <comment ref="C48" authorId="1">
      <text>
        <r>
          <rPr>
            <b/>
            <sz val="8"/>
            <color indexed="81"/>
            <rFont val="Tahoma"/>
            <family val="2"/>
          </rPr>
          <t>Yahoo! Finance Composite Bond Rates, 4/25/12</t>
        </r>
        <r>
          <rPr>
            <sz val="8"/>
            <color indexed="81"/>
            <rFont val="Tahoma"/>
            <family val="2"/>
          </rPr>
          <t xml:space="preserve">
</t>
        </r>
      </text>
    </comment>
    <comment ref="C55" authorId="3">
      <text>
        <r>
          <rPr>
            <b/>
            <sz val="8"/>
            <color indexed="81"/>
            <rFont val="Tahoma"/>
            <family val="2"/>
          </rPr>
          <t>Rates as of 9/6/12</t>
        </r>
        <r>
          <rPr>
            <sz val="8"/>
            <color indexed="81"/>
            <rFont val="Tahoma"/>
            <family val="2"/>
          </rPr>
          <t xml:space="preserve">
</t>
        </r>
      </text>
    </comment>
    <comment ref="C56" authorId="3">
      <text>
        <r>
          <rPr>
            <sz val="8"/>
            <color indexed="81"/>
            <rFont val="Tahoma"/>
            <family val="2"/>
          </rPr>
          <t xml:space="preserve">Rates as of 9/6/12
</t>
        </r>
      </text>
    </comment>
    <comment ref="D59" authorId="3">
      <text>
        <r>
          <rPr>
            <sz val="10"/>
            <color indexed="81"/>
            <rFont val="Tahoma"/>
            <family val="2"/>
          </rPr>
          <t>http://pages.stern.nyu.edu/~adamodar/New_Home_Page/datafile/ratings.htm</t>
        </r>
        <r>
          <rPr>
            <sz val="8"/>
            <color indexed="81"/>
            <rFont val="Tahoma"/>
            <family val="2"/>
          </rPr>
          <t xml:space="preserve">
</t>
        </r>
      </text>
    </comment>
    <comment ref="E59" authorId="3">
      <text>
        <r>
          <rPr>
            <sz val="10"/>
            <color indexed="81"/>
            <rFont val="Tahoma"/>
            <family val="2"/>
          </rPr>
          <t>http://pages.stern.nyu.edu/~adamodar/New_Home_Page/datafile/ratings.htm</t>
        </r>
        <r>
          <rPr>
            <sz val="8"/>
            <color indexed="81"/>
            <rFont val="Tahoma"/>
            <family val="2"/>
          </rPr>
          <t xml:space="preserve">
</t>
        </r>
      </text>
    </comment>
    <comment ref="G59" authorId="3">
      <text>
        <r>
          <rPr>
            <b/>
            <sz val="8"/>
            <color indexed="81"/>
            <rFont val="Tahoma"/>
            <family val="2"/>
          </rPr>
          <t>BOE, Capitalization Study, Mar 2008</t>
        </r>
        <r>
          <rPr>
            <sz val="8"/>
            <color indexed="81"/>
            <rFont val="Tahoma"/>
            <family val="2"/>
          </rPr>
          <t xml:space="preserve">
</t>
        </r>
      </text>
    </comment>
    <comment ref="H60" authorId="2">
      <text>
        <r>
          <rPr>
            <b/>
            <sz val="9"/>
            <color indexed="81"/>
            <rFont val="Tahoma"/>
            <family val="2"/>
          </rPr>
          <t>Ashley Spalding:</t>
        </r>
        <r>
          <rPr>
            <sz val="9"/>
            <color indexed="81"/>
            <rFont val="Tahoma"/>
            <family val="2"/>
          </rPr>
          <t xml:space="preserve">
p.10
http://www.boe.ca.gov/proptaxes/pdf/2012capratestudy.pdf</t>
        </r>
      </text>
    </comment>
    <comment ref="G96" authorId="1">
      <text>
        <r>
          <rPr>
            <b/>
            <sz val="8"/>
            <color indexed="81"/>
            <rFont val="Tahoma"/>
            <family val="2"/>
          </rPr>
          <t>2012 BOE Capitalization Rate Study p. iv</t>
        </r>
        <r>
          <rPr>
            <sz val="8"/>
            <color indexed="81"/>
            <rFont val="Tahoma"/>
            <family val="2"/>
          </rPr>
          <t xml:space="preserve">
</t>
        </r>
      </text>
    </comment>
    <comment ref="H96" authorId="2">
      <text>
        <r>
          <rPr>
            <b/>
            <sz val="9"/>
            <color indexed="81"/>
            <rFont val="Tahoma"/>
            <family val="2"/>
          </rPr>
          <t>Ashley Spalding:</t>
        </r>
        <r>
          <rPr>
            <sz val="9"/>
            <color indexed="81"/>
            <rFont val="Tahoma"/>
            <family val="2"/>
          </rPr>
          <t xml:space="preserve">
2012 BOE Capitalization Rate Study p. iv
</t>
        </r>
      </text>
    </comment>
    <comment ref="J96" authorId="2">
      <text>
        <r>
          <rPr>
            <b/>
            <sz val="9"/>
            <color indexed="81"/>
            <rFont val="Tahoma"/>
            <family val="2"/>
          </rPr>
          <t>Ashley Spalding:</t>
        </r>
        <r>
          <rPr>
            <sz val="9"/>
            <color indexed="81"/>
            <rFont val="Tahoma"/>
            <family val="2"/>
          </rPr>
          <t xml:space="preserve">
2012 BOE Capitalization Rate Study p. 20. Average Beta for PG&amp;E Corp.</t>
        </r>
      </text>
    </comment>
    <comment ref="G97" authorId="1">
      <text>
        <r>
          <rPr>
            <b/>
            <sz val="8"/>
            <color indexed="81"/>
            <rFont val="Tahoma"/>
            <family val="2"/>
          </rPr>
          <t xml:space="preserve">2012 BOE Capitalization Rate Study p. iv
</t>
        </r>
        <r>
          <rPr>
            <sz val="8"/>
            <color indexed="81"/>
            <rFont val="Tahoma"/>
            <family val="2"/>
          </rPr>
          <t xml:space="preserve">
</t>
        </r>
      </text>
    </comment>
    <comment ref="H97" authorId="2">
      <text>
        <r>
          <rPr>
            <b/>
            <sz val="9"/>
            <color indexed="81"/>
            <rFont val="Tahoma"/>
            <family val="2"/>
          </rPr>
          <t>Ashley Spalding:</t>
        </r>
        <r>
          <rPr>
            <sz val="9"/>
            <color indexed="81"/>
            <rFont val="Tahoma"/>
            <family val="2"/>
          </rPr>
          <t xml:space="preserve">
2012 BOE Capitalization Rate Study p. iv</t>
        </r>
      </text>
    </comment>
    <comment ref="J97" authorId="2">
      <text>
        <r>
          <rPr>
            <b/>
            <sz val="9"/>
            <color indexed="81"/>
            <rFont val="Tahoma"/>
            <family val="2"/>
          </rPr>
          <t>Ashley Spalding:</t>
        </r>
        <r>
          <rPr>
            <sz val="9"/>
            <color indexed="81"/>
            <rFont val="Tahoma"/>
            <family val="2"/>
          </rPr>
          <t xml:space="preserve">
2012 BOE Capitalization Rate Study p. 20. Average Beta for Edison International</t>
        </r>
      </text>
    </comment>
    <comment ref="G98" authorId="1">
      <text>
        <r>
          <rPr>
            <b/>
            <sz val="8"/>
            <color indexed="81"/>
            <rFont val="Tahoma"/>
            <family val="2"/>
          </rPr>
          <t xml:space="preserve">2012 BOE Capitalization Rate Study p. iv
</t>
        </r>
        <r>
          <rPr>
            <sz val="8"/>
            <color indexed="81"/>
            <rFont val="Tahoma"/>
            <family val="2"/>
          </rPr>
          <t xml:space="preserve">
</t>
        </r>
      </text>
    </comment>
    <comment ref="H98" authorId="2">
      <text>
        <r>
          <rPr>
            <b/>
            <sz val="9"/>
            <color indexed="81"/>
            <rFont val="Tahoma"/>
            <family val="2"/>
          </rPr>
          <t>Ashley Spalding:</t>
        </r>
        <r>
          <rPr>
            <sz val="9"/>
            <color indexed="81"/>
            <rFont val="Tahoma"/>
            <family val="2"/>
          </rPr>
          <t xml:space="preserve">
2012 BOE Capitalization Rate Study p. iv</t>
        </r>
      </text>
    </comment>
    <comment ref="J98" authorId="2">
      <text>
        <r>
          <rPr>
            <b/>
            <sz val="9"/>
            <color indexed="81"/>
            <rFont val="Tahoma"/>
            <family val="2"/>
          </rPr>
          <t>Ashley Spalding:</t>
        </r>
        <r>
          <rPr>
            <sz val="9"/>
            <color indexed="81"/>
            <rFont val="Tahoma"/>
            <family val="2"/>
          </rPr>
          <t xml:space="preserve">
2012 BOE Capitalization Rate Study p. 19. Average Beta for Sempra Energy</t>
        </r>
      </text>
    </comment>
    <comment ref="C100" authorId="1">
      <text>
        <r>
          <rPr>
            <b/>
            <sz val="8"/>
            <color indexed="81"/>
            <rFont val="Tahoma"/>
            <family val="2"/>
          </rPr>
          <t>Eric Cutter, Prepared by E3 for CPUC MPR, 2005</t>
        </r>
        <r>
          <rPr>
            <sz val="8"/>
            <color indexed="81"/>
            <rFont val="Tahoma"/>
            <family val="2"/>
          </rPr>
          <t xml:space="preserve">
</t>
        </r>
      </text>
    </comment>
    <comment ref="E100" authorId="6">
      <text>
        <r>
          <rPr>
            <sz val="8"/>
            <color indexed="81"/>
            <rFont val="Tahoma"/>
            <family val="2"/>
          </rPr>
          <t xml:space="preserve">May 17, 2005: Standard and Poor's has Calpine (NYSE: CPN) rated at a negative outlook with a "B" rating. S&amp;P is a business unit of McGraw-Hill Companies Inc. (NYSE: MHP). </t>
        </r>
      </text>
    </comment>
    <comment ref="F100" authorId="6">
      <text>
        <r>
          <rPr>
            <sz val="8"/>
            <color indexed="81"/>
            <rFont val="Tahoma"/>
            <family val="2"/>
          </rPr>
          <t xml:space="preserve">May 17, 2005: Standard and Poor's has Calpine (NYSE: CPN) rated at a negative outlook with a "B" rating. S&amp;P is a business unit of McGraw-Hill Companies Inc. (NYSE: MHP). </t>
        </r>
      </text>
    </comment>
    <comment ref="C101" authorId="1">
      <text>
        <r>
          <rPr>
            <b/>
            <sz val="8"/>
            <color indexed="81"/>
            <rFont val="Tahoma"/>
            <family val="2"/>
          </rPr>
          <t>Eric Cutter, Prepared by E3 for CPUC MPR, 2005</t>
        </r>
        <r>
          <rPr>
            <sz val="8"/>
            <color indexed="81"/>
            <rFont val="Tahoma"/>
            <family val="2"/>
          </rPr>
          <t xml:space="preserve">
</t>
        </r>
      </text>
    </comment>
    <comment ref="E101" authorId="6">
      <text>
        <r>
          <rPr>
            <b/>
            <sz val="8"/>
            <color indexed="81"/>
            <rFont val="Tahoma"/>
            <family val="2"/>
          </rPr>
          <t>Preferred Customer:</t>
        </r>
        <r>
          <rPr>
            <sz val="8"/>
            <color indexed="81"/>
            <rFont val="Tahoma"/>
            <family val="2"/>
          </rPr>
          <t xml:space="preserve">
June 28, 2002
AES junk rating cut further
Jeff Clabaugh 
Staff Reporter
Arlington, Va.-based AES, which owns or operates power plants around the world, has had its junk credit rating cut another two levels at Moody's Investor Service. The ratings service cited concerns about AES debt and liquidity in cutting the grade on its senior debt to "Ba3," now three levels below investment grade. 
Moody's also said ratings on about $20 billion in AES debt may be cut again. 
</t>
        </r>
      </text>
    </comment>
    <comment ref="F101" authorId="6">
      <text>
        <r>
          <rPr>
            <b/>
            <sz val="8"/>
            <color indexed="81"/>
            <rFont val="Tahoma"/>
            <family val="2"/>
          </rPr>
          <t>Preferred Customer:</t>
        </r>
        <r>
          <rPr>
            <sz val="8"/>
            <color indexed="81"/>
            <rFont val="Tahoma"/>
            <family val="2"/>
          </rPr>
          <t xml:space="preserve">
June 28, 2002
AES junk rating cut further
Jeff Clabaugh 
Staff Reporter
Arlington, Va.-based AES, which owns or operates power plants around the world, has had its junk credit rating cut another two levels at Moody's Investor Service. The ratings service cited concerns about AES debt and liquidity in cutting the grade on its senior debt to "Ba3," now three levels below investment grade. 
Moody's also said ratings on about $20 billion in AES debt may be cut again. 
</t>
        </r>
      </text>
    </comment>
    <comment ref="J101" authorId="2">
      <text>
        <r>
          <rPr>
            <b/>
            <sz val="9"/>
            <color indexed="81"/>
            <rFont val="Tahoma"/>
            <family val="2"/>
          </rPr>
          <t>Ashley Spalding:</t>
        </r>
        <r>
          <rPr>
            <sz val="9"/>
            <color indexed="81"/>
            <rFont val="Tahoma"/>
            <family val="2"/>
          </rPr>
          <t xml:space="preserve">
p. 61 of BOE CRS has an average beta for AES of 1.37 (2012)
</t>
        </r>
      </text>
    </comment>
    <comment ref="C102" authorId="1">
      <text>
        <r>
          <rPr>
            <b/>
            <sz val="8"/>
            <color indexed="81"/>
            <rFont val="Tahoma"/>
            <family val="2"/>
          </rPr>
          <t>Eric Cutter, Prepared by E3 for CPUC MPR, 2005</t>
        </r>
        <r>
          <rPr>
            <sz val="8"/>
            <color indexed="81"/>
            <rFont val="Tahoma"/>
            <family val="2"/>
          </rPr>
          <t xml:space="preserve">
</t>
        </r>
      </text>
    </comment>
    <comment ref="E102" authorId="6">
      <text>
        <r>
          <rPr>
            <sz val="8"/>
            <color indexed="81"/>
            <rFont val="Tahoma"/>
            <family val="2"/>
          </rPr>
          <t>S&amp;P: Reliant Energy Inc.  Long term is a            B+/Stable      Short term is rated: B-2    Utilities (April 20, 2005) This is a new short term speculative rating.</t>
        </r>
      </text>
    </comment>
    <comment ref="F102" authorId="6">
      <text>
        <r>
          <rPr>
            <sz val="8"/>
            <color indexed="81"/>
            <rFont val="Tahoma"/>
            <family val="2"/>
          </rPr>
          <t>S&amp;P: Reliant Energy Inc.  Long term is a            B+/Stable      Short term is rated: B-2    Utilities (April 20, 2005) This is a new short term speculative rating.</t>
        </r>
      </text>
    </comment>
    <comment ref="J103" authorId="4">
      <text>
        <r>
          <rPr>
            <b/>
            <sz val="9"/>
            <color indexed="81"/>
            <rFont val="Tahoma"/>
            <family val="2"/>
          </rPr>
          <t>Geometric mean of market risk premium 1928 to 2004 (see Damodaran 2005)</t>
        </r>
      </text>
    </comment>
  </commentList>
</comments>
</file>

<file path=xl/comments11.xml><?xml version="1.0" encoding="utf-8"?>
<comments xmlns="http://schemas.openxmlformats.org/spreadsheetml/2006/main">
  <authors>
    <author>Richard McCann</author>
  </authors>
  <commentList>
    <comment ref="A3" authorId="0">
      <text>
        <r>
          <rPr>
            <b/>
            <sz val="9"/>
            <color indexed="81"/>
            <rFont val="Tahoma"/>
            <family val="2"/>
          </rPr>
          <t>Richard McCann:
"</t>
        </r>
        <r>
          <rPr>
            <sz val="9"/>
            <color indexed="81"/>
            <rFont val="Tahoma"/>
            <family val="2"/>
          </rPr>
          <t xml:space="preserve">Investment In Alternative Energy After The End Of Cash Grants," 19 September 2011, www.mondaq.com/unitedstates/x/145170/IRS+HRMC/Investment+In+Alternative+Energy+After+The+End+Of+Cash+Grants, retrieved January 18, 2013.
Tax equity investor: 99% ownership to end of PTC (10 years); flip to developer owning 95%.
</t>
        </r>
      </text>
    </comment>
    <comment ref="A9" authorId="0">
      <text>
        <r>
          <rPr>
            <b/>
            <sz val="9"/>
            <color indexed="81"/>
            <rFont val="Tahoma"/>
            <family val="2"/>
          </rPr>
          <t>Richard McCann:
"</t>
        </r>
        <r>
          <rPr>
            <sz val="9"/>
            <color indexed="81"/>
            <rFont val="Tahoma"/>
            <family val="2"/>
          </rPr>
          <t xml:space="preserve">Investment In Alternative Energy After The End Of Cash Grants," 19 September 2011, www.mondaq.com/unitedstates/x/145170/IRS+HRMC/Investment+In+Alternative+Energy+After+The+End+Of+Cash+Grants, retrieved January 18, 2013.
Sale/Leaseback: Equity investor lease &lt;80% of project life; &gt;20% equity contribution (plus non-recourse debt).
</t>
        </r>
      </text>
    </comment>
  </commentList>
</comments>
</file>

<file path=xl/comments12.xml><?xml version="1.0" encoding="utf-8"?>
<comments xmlns="http://schemas.openxmlformats.org/spreadsheetml/2006/main">
  <authors>
    <author>RMcCann</author>
    <author>Richard McCann</author>
    <author>Ashley Spalding</author>
  </authors>
  <commentList>
    <comment ref="A4" authorId="0">
      <text>
        <r>
          <rPr>
            <b/>
            <sz val="8"/>
            <color indexed="81"/>
            <rFont val="Tahoma"/>
            <family val="2"/>
          </rPr>
          <t>EPAct Section 45</t>
        </r>
        <r>
          <rPr>
            <sz val="8"/>
            <color indexed="81"/>
            <rFont val="Tahoma"/>
            <family val="2"/>
          </rPr>
          <t xml:space="preserve">
</t>
        </r>
      </text>
    </comment>
    <comment ref="B5" authorId="1">
      <text>
        <r>
          <rPr>
            <sz val="8"/>
            <color indexed="81"/>
            <rFont val="Tahoma"/>
            <family val="2"/>
          </rPr>
          <t xml:space="preserve">
</t>
        </r>
      </text>
    </comment>
    <comment ref="C8" authorId="2">
      <text>
        <r>
          <rPr>
            <b/>
            <sz val="9"/>
            <color indexed="81"/>
            <rFont val="Tahoma"/>
            <family val="2"/>
          </rPr>
          <t>Ashley Spalding:</t>
        </r>
        <r>
          <rPr>
            <sz val="9"/>
            <color indexed="81"/>
            <rFont val="Tahoma"/>
            <family val="2"/>
          </rPr>
          <t xml:space="preserve">
PTC extension for wind http://www.windpowermonthly.com/news/1165298/Congress-passes-one-year-PTC-extension/</t>
        </r>
      </text>
    </comment>
    <comment ref="A9" authorId="0">
      <text>
        <r>
          <rPr>
            <b/>
            <sz val="8"/>
            <color indexed="81"/>
            <rFont val="Tahoma"/>
            <family val="2"/>
          </rPr>
          <t>PTC requires that power is sold to a third party, thus excluding utilities.</t>
        </r>
        <r>
          <rPr>
            <sz val="8"/>
            <color indexed="81"/>
            <rFont val="Tahoma"/>
            <family val="2"/>
          </rPr>
          <t xml:space="preserve">
</t>
        </r>
      </text>
    </comment>
    <comment ref="A10" authorId="0">
      <text>
        <r>
          <rPr>
            <b/>
            <sz val="8"/>
            <color indexed="81"/>
            <rFont val="Tahoma"/>
            <family val="2"/>
          </rPr>
          <t>EPAct Section 48</t>
        </r>
        <r>
          <rPr>
            <sz val="8"/>
            <color indexed="81"/>
            <rFont val="Tahoma"/>
            <family val="2"/>
          </rPr>
          <t xml:space="preserve">
</t>
        </r>
      </text>
    </comment>
    <comment ref="J27" authorId="1">
      <text>
        <r>
          <rPr>
            <b/>
            <sz val="9"/>
            <color indexed="81"/>
            <rFont val="Tahoma"/>
            <family val="2"/>
          </rPr>
          <t>Richard McCann:</t>
        </r>
        <r>
          <rPr>
            <sz val="9"/>
            <color indexed="81"/>
            <rFont val="Tahoma"/>
            <family val="2"/>
          </rPr>
          <t xml:space="preserve">
http://www.dsireusa.org/incentives/incentive.cfm?Incentive_Code=CA25F
(12/20/12)</t>
        </r>
      </text>
    </comment>
    <comment ref="B35" authorId="1">
      <text>
        <r>
          <rPr>
            <b/>
            <sz val="9"/>
            <color indexed="81"/>
            <rFont val="Tahoma"/>
            <family val="2"/>
          </rPr>
          <t>Ashley Spalding:</t>
        </r>
        <r>
          <rPr>
            <sz val="9"/>
            <color indexed="81"/>
            <rFont val="Tahoma"/>
            <family val="2"/>
          </rPr>
          <t xml:space="preserve"> 2009 is the last year on record apps1.eere.energy.go/repi/about.cfm</t>
        </r>
      </text>
    </comment>
  </commentList>
</comments>
</file>

<file path=xl/comments13.xml><?xml version="1.0" encoding="utf-8"?>
<comments xmlns="http://schemas.openxmlformats.org/spreadsheetml/2006/main">
  <authors>
    <author>Ivin Rhyne</author>
    <author>Richard McCann</author>
  </authors>
  <commentList>
    <comment ref="L29" authorId="0">
      <text>
        <r>
          <rPr>
            <b/>
            <sz val="8"/>
            <color indexed="81"/>
            <rFont val="Tahoma"/>
            <family val="2"/>
          </rPr>
          <t>Ivin Rhyne:</t>
        </r>
        <r>
          <rPr>
            <sz val="8"/>
            <color indexed="81"/>
            <rFont val="Tahoma"/>
            <family val="2"/>
          </rPr>
          <t xml:space="preserve">
Assumes only the cost of connecting at the substation with no upgrades.</t>
        </r>
      </text>
    </comment>
    <comment ref="L34" authorId="0">
      <text>
        <r>
          <rPr>
            <b/>
            <sz val="8"/>
            <color indexed="81"/>
            <rFont val="Tahoma"/>
            <family val="2"/>
          </rPr>
          <t>Ivin Rhyne:</t>
        </r>
        <r>
          <rPr>
            <sz val="8"/>
            <color indexed="81"/>
            <rFont val="Tahoma"/>
            <family val="2"/>
          </rPr>
          <t xml:space="preserve">
Source: Capital Cost for Transmission and Substations WECC paper Table 2-1
</t>
        </r>
      </text>
    </comment>
    <comment ref="O49" authorId="1">
      <text>
        <r>
          <rPr>
            <b/>
            <sz val="9"/>
            <color indexed="81"/>
            <rFont val="Tahoma"/>
            <family val="2"/>
          </rPr>
          <t>Richard McCann:</t>
        </r>
        <r>
          <rPr>
            <sz val="9"/>
            <color indexed="81"/>
            <rFont val="Tahoma"/>
            <family val="2"/>
          </rPr>
          <t xml:space="preserve">
Based on Panoche 400 MW CTs</t>
        </r>
      </text>
    </comment>
  </commentList>
</comments>
</file>

<file path=xl/comments14.xml><?xml version="1.0" encoding="utf-8"?>
<comments xmlns="http://schemas.openxmlformats.org/spreadsheetml/2006/main">
  <authors>
    <author>Richard McCann</author>
    <author>Jgillett</author>
  </authors>
  <commentList>
    <comment ref="W4" authorId="0">
      <text>
        <r>
          <rPr>
            <b/>
            <sz val="8"/>
            <color indexed="81"/>
            <rFont val="Tahoma"/>
            <family val="2"/>
          </rPr>
          <t>Based on KEMA CO/UT prices</t>
        </r>
        <r>
          <rPr>
            <sz val="8"/>
            <color indexed="81"/>
            <rFont val="Tahoma"/>
            <family val="2"/>
          </rPr>
          <t xml:space="preserve">
</t>
        </r>
      </text>
    </comment>
    <comment ref="AG4" authorId="0">
      <text>
        <r>
          <rPr>
            <b/>
            <sz val="8"/>
            <color indexed="81"/>
            <rFont val="Tahoma"/>
            <family val="2"/>
          </rPr>
          <t>Dir Comb W/ Fluidized Bed &amp; Stoker Boiler</t>
        </r>
        <r>
          <rPr>
            <sz val="8"/>
            <color indexed="81"/>
            <rFont val="Tahoma"/>
            <family val="2"/>
          </rPr>
          <t xml:space="preserve">
From 2009 COG model.  Assumes "open loop" biomass with waste residues as fuel.</t>
        </r>
      </text>
    </comment>
    <comment ref="AN4" authorId="0">
      <text>
        <r>
          <rPr>
            <b/>
            <sz val="9"/>
            <color indexed="81"/>
            <rFont val="Tahoma"/>
            <family val="2"/>
          </rPr>
          <t>Richard McCann:
Set equivalent to reserve price floor</t>
        </r>
        <r>
          <rPr>
            <sz val="9"/>
            <color indexed="81"/>
            <rFont val="Tahoma"/>
            <family val="2"/>
          </rPr>
          <t xml:space="preserve">
</t>
        </r>
      </text>
    </comment>
    <comment ref="AL6" authorId="0">
      <text>
        <r>
          <rPr>
            <b/>
            <sz val="9"/>
            <color indexed="81"/>
            <rFont val="Tahoma"/>
            <family val="2"/>
          </rPr>
          <t>Richard McCann:</t>
        </r>
        <r>
          <rPr>
            <sz val="9"/>
            <color indexed="81"/>
            <rFont val="Tahoma"/>
            <family val="2"/>
          </rPr>
          <t xml:space="preserve">
WCI forecast with 3/4 of offsets available.  
http://www.evomarkets.com/pdf_documents/evo/discussion_draft_economic_analysis_supporting_ca_and_qc_linking.pdf</t>
        </r>
      </text>
    </comment>
    <comment ref="AL15" authorId="0">
      <text>
        <r>
          <rPr>
            <b/>
            <sz val="9"/>
            <color indexed="81"/>
            <rFont val="Tahoma"/>
            <family val="2"/>
          </rPr>
          <t>Richard McCann:</t>
        </r>
        <r>
          <rPr>
            <sz val="9"/>
            <color indexed="81"/>
            <rFont val="Tahoma"/>
            <family val="2"/>
          </rPr>
          <t xml:space="preserve">
Based on actual ARB auction results, Feb. 2013.</t>
        </r>
      </text>
    </comment>
    <comment ref="AN15" authorId="0">
      <text>
        <r>
          <rPr>
            <b/>
            <sz val="9"/>
            <color indexed="81"/>
            <rFont val="Tahoma"/>
            <family val="2"/>
          </rPr>
          <t>Richard McCann:</t>
        </r>
        <r>
          <rPr>
            <sz val="9"/>
            <color indexed="81"/>
            <rFont val="Tahoma"/>
            <family val="2"/>
          </rPr>
          <t xml:space="preserve">
Set at ARB auction reserve price http://www.arb.ca.gov/cc/capandtrade/auction/march-2013/2013annreserve.pdf
CTP regulations Section 95911(c)</t>
        </r>
      </text>
    </comment>
    <comment ref="AL16" authorId="0">
      <text>
        <r>
          <rPr>
            <b/>
            <sz val="9"/>
            <color indexed="81"/>
            <rFont val="Tahoma"/>
            <family val="2"/>
          </rPr>
          <t>Richard McCann:</t>
        </r>
        <r>
          <rPr>
            <sz val="9"/>
            <color indexed="81"/>
            <rFont val="Tahoma"/>
            <family val="2"/>
          </rPr>
          <t xml:space="preserve">
Based on actual ARB auction results, Feb. 2013.</t>
        </r>
      </text>
    </comment>
    <comment ref="AM16" authorId="0">
      <text>
        <r>
          <rPr>
            <b/>
            <sz val="9"/>
            <color indexed="81"/>
            <rFont val="Tahoma"/>
            <family val="2"/>
          </rPr>
          <t>Richard McCann:</t>
        </r>
        <r>
          <rPr>
            <sz val="9"/>
            <color indexed="81"/>
            <rFont val="Tahoma"/>
            <family val="2"/>
          </rPr>
          <t xml:space="preserve">
Based on CEC Staff forecast for 2013 IEPR Mid Case, set at 1.5*Floor Price.</t>
        </r>
      </text>
    </comment>
    <comment ref="AN16" authorId="0">
      <text>
        <r>
          <rPr>
            <b/>
            <sz val="9"/>
            <color indexed="81"/>
            <rFont val="Tahoma"/>
            <family val="2"/>
          </rPr>
          <t>Richard McCann:</t>
        </r>
        <r>
          <rPr>
            <sz val="9"/>
            <color indexed="81"/>
            <rFont val="Tahoma"/>
            <family val="2"/>
          </rPr>
          <t xml:space="preserve">
Set at ARB auction reserve price http://www.arb.ca.gov/cc/capandtrade/auction/march-2013/2013annreserve.pdf
CTP regulations Section 95911(c)</t>
        </r>
      </text>
    </comment>
    <comment ref="AO16" authorId="0">
      <text>
        <r>
          <rPr>
            <b/>
            <sz val="9"/>
            <color indexed="81"/>
            <rFont val="Tahoma"/>
            <family val="2"/>
          </rPr>
          <t>Richard McCann:</t>
        </r>
        <r>
          <rPr>
            <sz val="9"/>
            <color indexed="81"/>
            <rFont val="Tahoma"/>
            <family val="2"/>
          </rPr>
          <t xml:space="preserve">
Allowance Price Containment Reserve
CTP Regulations
Sec 95913(e )(4)</t>
        </r>
      </text>
    </comment>
    <comment ref="AL17" authorId="0">
      <text>
        <r>
          <rPr>
            <b/>
            <sz val="9"/>
            <color indexed="81"/>
            <rFont val="Tahoma"/>
            <family val="2"/>
          </rPr>
          <t>Richard McCann:</t>
        </r>
        <r>
          <rPr>
            <sz val="9"/>
            <color indexed="81"/>
            <rFont val="Tahoma"/>
            <family val="2"/>
          </rPr>
          <t xml:space="preserve">
Based on CEC Staff forecast for 2013 IEPR Mid Case, set at 1.5*Floor Price.</t>
        </r>
      </text>
    </comment>
    <comment ref="AM17" authorId="0">
      <text>
        <r>
          <rPr>
            <b/>
            <sz val="9"/>
            <color indexed="81"/>
            <rFont val="Tahoma"/>
            <family val="2"/>
          </rPr>
          <t>Richard McCann:</t>
        </r>
        <r>
          <rPr>
            <sz val="9"/>
            <color indexed="81"/>
            <rFont val="Tahoma"/>
            <family val="2"/>
          </rPr>
          <t xml:space="preserve">
Based on CEC Staff forecast for 2013 IEPR High Case, set at 3*Floor Price.</t>
        </r>
      </text>
    </comment>
    <comment ref="AU30" authorId="0">
      <text>
        <r>
          <rPr>
            <b/>
            <sz val="8"/>
            <color indexed="81"/>
            <rFont val="Tahoma"/>
            <family val="2"/>
          </rPr>
          <t xml:space="preserve">Escalated by dividing the previous 10 year avg prices (2017-2026) by the same period offset by one year (2006-2025)
</t>
        </r>
        <r>
          <rPr>
            <sz val="8"/>
            <color indexed="81"/>
            <rFont val="Tahoma"/>
            <family val="2"/>
          </rPr>
          <t xml:space="preserve">
</t>
        </r>
      </text>
    </comment>
    <comment ref="AV30" authorId="0">
      <text>
        <r>
          <rPr>
            <b/>
            <sz val="8"/>
            <color indexed="81"/>
            <rFont val="Tahoma"/>
            <family val="2"/>
          </rPr>
          <t xml:space="preserve">Escalated by dividing the previous 10 year avg prices (2017-2026) by the same period offset by one year (2006-2025)
</t>
        </r>
        <r>
          <rPr>
            <sz val="8"/>
            <color indexed="81"/>
            <rFont val="Tahoma"/>
            <family val="2"/>
          </rPr>
          <t xml:space="preserve">
</t>
        </r>
      </text>
    </comment>
    <comment ref="AW30" authorId="0">
      <text>
        <r>
          <rPr>
            <b/>
            <sz val="8"/>
            <color indexed="81"/>
            <rFont val="Tahoma"/>
            <family val="2"/>
          </rPr>
          <t xml:space="preserve">Escalated by dividing the previous 10 year avg prices (2017-2026) by the same period offset by one year (2006-2025)
</t>
        </r>
        <r>
          <rPr>
            <sz val="8"/>
            <color indexed="81"/>
            <rFont val="Tahoma"/>
            <family val="2"/>
          </rPr>
          <t xml:space="preserve">
</t>
        </r>
      </text>
    </comment>
    <comment ref="AX30" authorId="0">
      <text>
        <r>
          <rPr>
            <b/>
            <sz val="8"/>
            <color indexed="81"/>
            <rFont val="Tahoma"/>
            <family val="2"/>
          </rPr>
          <t xml:space="preserve">Escalated by dividing the previous 10 year avg prices (2017-2026) by the same period offset by one year (2006-2025)
</t>
        </r>
        <r>
          <rPr>
            <sz val="8"/>
            <color indexed="81"/>
            <rFont val="Tahoma"/>
            <family val="2"/>
          </rPr>
          <t xml:space="preserve">
</t>
        </r>
      </text>
    </comment>
    <comment ref="C79" authorId="1">
      <text>
        <r>
          <rPr>
            <b/>
            <sz val="8"/>
            <color indexed="81"/>
            <rFont val="Tahoma"/>
            <family val="2"/>
          </rPr>
          <t>Jgillett:</t>
        </r>
        <r>
          <rPr>
            <sz val="8"/>
            <color indexed="81"/>
            <rFont val="Tahoma"/>
            <family val="2"/>
          </rPr>
          <t xml:space="preserve">
This value should always be set to 1.  It is used by the Sensitivity Analysis module.</t>
        </r>
      </text>
    </comment>
  </commentList>
</comments>
</file>

<file path=xl/comments15.xml><?xml version="1.0" encoding="utf-8"?>
<comments xmlns="http://schemas.openxmlformats.org/spreadsheetml/2006/main">
  <authors>
    <author>Richard McCann</author>
    <author xml:space="preserve"> </author>
  </authors>
  <commentList>
    <comment ref="I2" authorId="0">
      <text>
        <r>
          <rPr>
            <b/>
            <sz val="9"/>
            <color indexed="81"/>
            <rFont val="Tahoma"/>
            <family val="2"/>
          </rPr>
          <t>Monterey Bay UAPBD</t>
        </r>
        <r>
          <rPr>
            <sz val="9"/>
            <color indexed="81"/>
            <rFont val="Tahoma"/>
            <family val="2"/>
          </rPr>
          <t xml:space="preserve">
</t>
        </r>
      </text>
    </comment>
    <comment ref="J2" authorId="0">
      <text>
        <r>
          <rPr>
            <sz val="8"/>
            <color indexed="81"/>
            <rFont val="Tahoma"/>
            <family val="2"/>
          </rPr>
          <t xml:space="preserve">Based on Placer, Sacramento and Yolo/Solano offset requirements
</t>
        </r>
      </text>
    </comment>
    <comment ref="P2" authorId="0">
      <text>
        <r>
          <rPr>
            <sz val="8"/>
            <color indexed="81"/>
            <rFont val="Tahoma"/>
            <family val="2"/>
          </rPr>
          <t xml:space="preserve">Simple statewise average
</t>
        </r>
        <r>
          <rPr>
            <b/>
            <sz val="10"/>
            <color indexed="10"/>
            <rFont val="Tahoma"/>
            <family val="2"/>
          </rPr>
          <t>This is a meaningless value for planning purposes related to air quality and ERCs.</t>
        </r>
      </text>
    </comment>
    <comment ref="C4" authorId="1">
      <text>
        <r>
          <rPr>
            <b/>
            <sz val="8"/>
            <color indexed="81"/>
            <rFont val="Tahoma"/>
            <family val="2"/>
          </rPr>
          <t xml:space="preserve">ARB, ERC Transactions Report-2010 (2011)
http://www.arb.ca.gov/nsr/erco/erco.htm
</t>
        </r>
      </text>
    </comment>
    <comment ref="E5" authorId="0">
      <text>
        <r>
          <rPr>
            <b/>
            <sz val="9"/>
            <color indexed="81"/>
            <rFont val="Tahoma"/>
            <family val="2"/>
          </rPr>
          <t>Richard McCann:</t>
        </r>
        <r>
          <rPr>
            <sz val="9"/>
            <color indexed="81"/>
            <rFont val="Tahoma"/>
            <family val="2"/>
          </rPr>
          <t xml:space="preserve">
Listed as attainment</t>
        </r>
      </text>
    </comment>
    <comment ref="N5" authorId="0">
      <text>
        <r>
          <rPr>
            <b/>
            <sz val="9"/>
            <color indexed="81"/>
            <rFont val="Tahoma"/>
            <family val="2"/>
          </rPr>
          <t>Richard McCann:</t>
        </r>
        <r>
          <rPr>
            <sz val="9"/>
            <color indexed="81"/>
            <rFont val="Tahoma"/>
            <family val="2"/>
          </rPr>
          <t xml:space="preserve">
Based on RTC prices</t>
        </r>
      </text>
    </comment>
    <comment ref="R5" authorId="0">
      <text>
        <r>
          <rPr>
            <b/>
            <sz val="8"/>
            <color indexed="81"/>
            <rFont val="Tahoma"/>
            <family val="2"/>
          </rPr>
          <t>ERC price assumes purchase of a strip of NOx RTCs, so this value is only the SCAQMD fee.
Use $7.50 if RTCs purchased in lieu of NOx ERCs per maximum in SCAQMD Rule 2015 or estimated price from SCAQMD or Cantor-Fitzgerald EBS quote</t>
        </r>
      </text>
    </comment>
    <comment ref="N6" authorId="0">
      <text>
        <r>
          <rPr>
            <b/>
            <sz val="9"/>
            <color indexed="81"/>
            <rFont val="Tahoma"/>
            <family val="2"/>
          </rPr>
          <t>Richard McCann:</t>
        </r>
        <r>
          <rPr>
            <sz val="9"/>
            <color indexed="81"/>
            <rFont val="Tahoma"/>
            <family val="2"/>
          </rPr>
          <t xml:space="preserve">
Based on Rule 320</t>
        </r>
      </text>
    </comment>
    <comment ref="N12" authorId="0">
      <text>
        <r>
          <rPr>
            <b/>
            <sz val="9"/>
            <color indexed="81"/>
            <rFont val="Tahoma"/>
            <family val="2"/>
          </rPr>
          <t>Richard McCann:</t>
        </r>
        <r>
          <rPr>
            <sz val="9"/>
            <color indexed="81"/>
            <rFont val="Tahoma"/>
            <family val="2"/>
          </rPr>
          <t xml:space="preserve">
Based on RTC prices</t>
        </r>
      </text>
    </comment>
    <comment ref="R12" authorId="0">
      <text>
        <r>
          <rPr>
            <b/>
            <sz val="8"/>
            <color indexed="81"/>
            <rFont val="Tahoma"/>
            <family val="2"/>
          </rPr>
          <t>Use $1 for RTCs in lieu of SOx ERCs or another price quote source, e.g., Cantor Fitzgerald EBS</t>
        </r>
      </text>
    </comment>
    <comment ref="N13" authorId="0">
      <text>
        <r>
          <rPr>
            <b/>
            <sz val="9"/>
            <color indexed="81"/>
            <rFont val="Tahoma"/>
            <family val="2"/>
          </rPr>
          <t>Richard McCann:</t>
        </r>
        <r>
          <rPr>
            <sz val="9"/>
            <color indexed="81"/>
            <rFont val="Tahoma"/>
            <family val="2"/>
          </rPr>
          <t xml:space="preserve">
Based on Rule 320</t>
        </r>
      </text>
    </comment>
    <comment ref="B14" authorId="0">
      <text>
        <r>
          <rPr>
            <b/>
            <sz val="9"/>
            <color indexed="81"/>
            <rFont val="Tahoma"/>
            <family val="2"/>
          </rPr>
          <t xml:space="preserve">Richard McCann:
</t>
        </r>
        <r>
          <rPr>
            <sz val="9"/>
            <color indexed="81"/>
            <rFont val="Tahoma"/>
            <family val="2"/>
          </rPr>
          <t xml:space="preserve">http://www.evomarkets.com/environment/emissions_markets/markets/emission_reduction_credits/california
</t>
        </r>
      </text>
    </comment>
    <comment ref="I14" authorId="0">
      <text>
        <r>
          <rPr>
            <b/>
            <sz val="9"/>
            <color indexed="81"/>
            <rFont val="Tahoma"/>
            <family val="2"/>
          </rPr>
          <t>Richard McCann:</t>
        </r>
        <r>
          <rPr>
            <sz val="9"/>
            <color indexed="81"/>
            <rFont val="Tahoma"/>
            <family val="2"/>
          </rPr>
          <t xml:space="preserve">
No ERC offset ratio listed for this district, but typical ratio provided by Will Walters, AEG.</t>
        </r>
      </text>
    </comment>
    <comment ref="L14" authorId="0">
      <text>
        <r>
          <rPr>
            <b/>
            <sz val="9"/>
            <color indexed="81"/>
            <rFont val="Tahoma"/>
            <family val="2"/>
          </rPr>
          <t>Richard McCann:</t>
        </r>
        <r>
          <rPr>
            <sz val="9"/>
            <color indexed="81"/>
            <rFont val="Tahoma"/>
            <family val="2"/>
          </rPr>
          <t xml:space="preserve">
No ERC offset ratio listed for this district, but typical ratio provided by Will Walters, AEG.</t>
        </r>
      </text>
    </comment>
    <comment ref="M14" authorId="0">
      <text>
        <r>
          <rPr>
            <b/>
            <sz val="9"/>
            <color indexed="81"/>
            <rFont val="Tahoma"/>
            <family val="2"/>
          </rPr>
          <t>Richard McCann:</t>
        </r>
        <r>
          <rPr>
            <sz val="9"/>
            <color indexed="81"/>
            <rFont val="Tahoma"/>
            <family val="2"/>
          </rPr>
          <t xml:space="preserve">
No ERC offset ratio listed for this district, but typical ratio provided by Will Walters, AEG.</t>
        </r>
      </text>
    </comment>
    <comment ref="N14" authorId="0">
      <text>
        <r>
          <rPr>
            <b/>
            <sz val="9"/>
            <color indexed="81"/>
            <rFont val="Tahoma"/>
            <family val="2"/>
          </rPr>
          <t>Non-RECLAIM pollutants</t>
        </r>
      </text>
    </comment>
    <comment ref="P17" authorId="0">
      <text>
        <r>
          <rPr>
            <b/>
            <sz val="9"/>
            <color indexed="81"/>
            <rFont val="Tahoma"/>
            <family val="2"/>
          </rPr>
          <t>Median Price from 2012 Survey</t>
        </r>
        <r>
          <rPr>
            <sz val="9"/>
            <color indexed="81"/>
            <rFont val="Tahoma"/>
            <family val="2"/>
          </rPr>
          <t xml:space="preserve">
</t>
        </r>
      </text>
    </comment>
  </commentList>
</comments>
</file>

<file path=xl/comments16.xml><?xml version="1.0" encoding="utf-8"?>
<comments xmlns="http://schemas.openxmlformats.org/spreadsheetml/2006/main">
  <authors>
    <author>Richard McCann</author>
  </authors>
  <commentList>
    <comment ref="B48" authorId="0">
      <text>
        <r>
          <rPr>
            <b/>
            <sz val="9"/>
            <color indexed="81"/>
            <rFont val="Tahoma"/>
            <family val="2"/>
          </rPr>
          <t>Richard McCann:</t>
        </r>
        <r>
          <rPr>
            <sz val="9"/>
            <color indexed="81"/>
            <rFont val="Tahoma"/>
            <family val="2"/>
          </rPr>
          <t xml:space="preserve">
Based on range of Nox RTC rolling 12 month averages for 2008-2012.</t>
        </r>
      </text>
    </comment>
  </commentList>
</comments>
</file>

<file path=xl/comments17.xml><?xml version="1.0" encoding="utf-8"?>
<comments xmlns="http://schemas.openxmlformats.org/spreadsheetml/2006/main">
  <authors>
    <author xml:space="preserve"> </author>
    <author>Richard McCann</author>
    <author>jklein</author>
    <author>Eric Cutter</author>
    <author>Joel Klein</author>
    <author>RMcCann</author>
    <author>Ashley Spalding</author>
    <author>CEC</author>
  </authors>
  <commentList>
    <comment ref="A2" authorId="0">
      <text>
        <r>
          <rPr>
            <b/>
            <sz val="8"/>
            <color indexed="81"/>
            <rFont val="Tahoma"/>
            <family val="2"/>
          </rPr>
          <t>DO NOT DELETE OR MOVE</t>
        </r>
      </text>
    </comment>
    <comment ref="I2" authorId="1">
      <text>
        <r>
          <rPr>
            <b/>
            <sz val="8"/>
            <color indexed="81"/>
            <rFont val="Tahoma"/>
            <family val="2"/>
          </rPr>
          <t>Assumed this is open loop biomass</t>
        </r>
        <r>
          <rPr>
            <sz val="8"/>
            <color indexed="81"/>
            <rFont val="Tahoma"/>
            <family val="2"/>
          </rPr>
          <t xml:space="preserve">
</t>
        </r>
      </text>
    </comment>
    <comment ref="C3" authorId="1">
      <text>
        <r>
          <rPr>
            <b/>
            <sz val="8"/>
            <color indexed="81"/>
            <rFont val="Tahoma"/>
            <family val="2"/>
          </rPr>
          <t>Currently: References for 2003 IEPR "Cost of Generation" Appendix, based on interviews with industry analysts listed here.</t>
        </r>
      </text>
    </comment>
    <comment ref="C4" authorId="1">
      <text>
        <r>
          <rPr>
            <sz val="8"/>
            <color indexed="81"/>
            <rFont val="Tahoma"/>
            <family val="2"/>
          </rPr>
          <t xml:space="preserve">Update to correspond with year of cost data used.
</t>
        </r>
      </text>
    </comment>
    <comment ref="G7" authorId="1">
      <text>
        <r>
          <rPr>
            <sz val="8"/>
            <color indexed="81"/>
            <rFont val="Tahoma"/>
            <family val="2"/>
          </rPr>
          <t xml:space="preserve">Median capacity from survey net of duct firing.
</t>
        </r>
      </text>
    </comment>
    <comment ref="H7" authorId="1">
      <text>
        <r>
          <rPr>
            <b/>
            <sz val="8"/>
            <color indexed="81"/>
            <rFont val="Tahoma"/>
            <family val="2"/>
          </rPr>
          <t>Median duct firing capacity = 9.1% of total (15 observations)</t>
        </r>
        <r>
          <rPr>
            <sz val="8"/>
            <color indexed="81"/>
            <rFont val="Tahoma"/>
            <family val="2"/>
          </rPr>
          <t xml:space="preserve">
</t>
        </r>
      </text>
    </comment>
    <comment ref="C11" authorId="1">
      <text>
        <r>
          <rPr>
            <b/>
            <sz val="9"/>
            <color indexed="81"/>
            <rFont val="Tahoma"/>
            <family val="2"/>
          </rPr>
          <t>Source: MRW (2012)
Used only for Merchant Case
Reference Rate = Treasury or LIBOR.  See Financial Assumptions page.</t>
        </r>
      </text>
    </comment>
    <comment ref="C12" authorId="1">
      <text>
        <r>
          <rPr>
            <b/>
            <sz val="9"/>
            <color indexed="81"/>
            <rFont val="Tahoma"/>
            <family val="2"/>
          </rPr>
          <t>Source: MRW (2012)</t>
        </r>
      </text>
    </comment>
    <comment ref="C13" authorId="1">
      <text>
        <r>
          <rPr>
            <b/>
            <sz val="9"/>
            <color indexed="81"/>
            <rFont val="Tahoma"/>
            <family val="2"/>
          </rPr>
          <t>Source: MRW (2012)</t>
        </r>
      </text>
    </comment>
    <comment ref="C14" authorId="1">
      <text>
        <r>
          <rPr>
            <b/>
            <sz val="9"/>
            <color indexed="81"/>
            <rFont val="Tahoma"/>
            <family val="2"/>
          </rPr>
          <t>Source: MRW (2012)
Used only for the Merchant Case</t>
        </r>
      </text>
    </comment>
    <comment ref="D16" authorId="1">
      <text>
        <r>
          <rPr>
            <sz val="8"/>
            <color indexed="81"/>
            <rFont val="Tahoma"/>
            <family val="2"/>
          </rPr>
          <t xml:space="preserve">IRS Pub. 946 (2005), App. B, Asset class 49.15.
</t>
        </r>
      </text>
    </comment>
    <comment ref="E16" authorId="1">
      <text>
        <r>
          <rPr>
            <sz val="8"/>
            <color indexed="81"/>
            <rFont val="Tahoma"/>
            <family val="2"/>
          </rPr>
          <t xml:space="preserve">IRS Pub. 946 (2005), App. B, Asset class 49.15.
</t>
        </r>
      </text>
    </comment>
    <comment ref="F16" authorId="1">
      <text>
        <r>
          <rPr>
            <sz val="8"/>
            <color indexed="81"/>
            <rFont val="Tahoma"/>
            <family val="2"/>
          </rPr>
          <t xml:space="preserve">IRS Pub. 946 (2005), App. B, Asset class 49.15.
</t>
        </r>
      </text>
    </comment>
    <comment ref="G16" authorId="1">
      <text>
        <r>
          <rPr>
            <sz val="8"/>
            <color indexed="81"/>
            <rFont val="Tahoma"/>
            <family val="2"/>
          </rPr>
          <t xml:space="preserve">IRS Pub. 946 (2005), App. B, Asset class 49.13
</t>
        </r>
      </text>
    </comment>
    <comment ref="H16" authorId="1">
      <text>
        <r>
          <rPr>
            <sz val="8"/>
            <color indexed="81"/>
            <rFont val="Tahoma"/>
            <family val="2"/>
          </rPr>
          <t xml:space="preserve">IRS Pub. 946 (2005), App. B, Asset class 49.13
</t>
        </r>
      </text>
    </comment>
    <comment ref="D20" authorId="1">
      <text>
        <r>
          <rPr>
            <sz val="8"/>
            <color indexed="81"/>
            <rFont val="Tahoma"/>
            <family val="2"/>
          </rPr>
          <t>Approximated at 2.8 MMBtu/MW based on CEC production cost modeling data 8/31/05</t>
        </r>
      </text>
    </comment>
    <comment ref="E20" authorId="1">
      <text>
        <r>
          <rPr>
            <sz val="8"/>
            <color indexed="81"/>
            <rFont val="Tahoma"/>
            <family val="2"/>
          </rPr>
          <t>Approximated at 2.8 MMBtu/MW based on CEC production cost modeling data 8/31/05</t>
        </r>
      </text>
    </comment>
    <comment ref="F20" authorId="1">
      <text>
        <r>
          <rPr>
            <sz val="8"/>
            <color indexed="81"/>
            <rFont val="Tahoma"/>
            <family val="2"/>
          </rPr>
          <t>Approximated at 2.8 MMBtu/MW based on CEC production cost modeling data 8/31/05</t>
        </r>
      </text>
    </comment>
    <comment ref="G20" authorId="1">
      <text>
        <r>
          <rPr>
            <sz val="8"/>
            <color indexed="81"/>
            <rFont val="Tahoma"/>
            <family val="2"/>
          </rPr>
          <t>Approximated at 2.8 MMBtu/MW based on CEC production cost modeling data 8/31/05</t>
        </r>
      </text>
    </comment>
    <comment ref="H20" authorId="1">
      <text>
        <r>
          <rPr>
            <sz val="8"/>
            <color indexed="81"/>
            <rFont val="Tahoma"/>
            <family val="2"/>
          </rPr>
          <t>Approximated at 2.8 MMBtu/MW based on CEC production cost modeling data 8/31/05</t>
        </r>
      </text>
    </comment>
    <comment ref="D21" authorId="1">
      <text>
        <r>
          <rPr>
            <b/>
            <sz val="8"/>
            <color indexed="81"/>
            <rFont val="Tahoma"/>
            <family val="2"/>
          </rPr>
          <t>Per CEC MarketSym modeling</t>
        </r>
      </text>
    </comment>
    <comment ref="E21" authorId="1">
      <text>
        <r>
          <rPr>
            <b/>
            <sz val="8"/>
            <color indexed="81"/>
            <rFont val="Tahoma"/>
            <family val="2"/>
          </rPr>
          <t>Per CEC MarketSym modeling</t>
        </r>
      </text>
    </comment>
    <comment ref="F21" authorId="1">
      <text>
        <r>
          <rPr>
            <b/>
            <sz val="8"/>
            <color indexed="81"/>
            <rFont val="Tahoma"/>
            <family val="2"/>
          </rPr>
          <t>Per CEC MarketSym modeling</t>
        </r>
      </text>
    </comment>
    <comment ref="G21" authorId="1">
      <text>
        <r>
          <rPr>
            <b/>
            <sz val="8"/>
            <color indexed="81"/>
            <rFont val="Tahoma"/>
            <family val="2"/>
          </rPr>
          <t>Per CEC MarketSym modeling</t>
        </r>
      </text>
    </comment>
    <comment ref="H21" authorId="1">
      <text>
        <r>
          <rPr>
            <b/>
            <sz val="8"/>
            <color indexed="81"/>
            <rFont val="Tahoma"/>
            <family val="2"/>
          </rPr>
          <t>Per CEC MarketSym modeling</t>
        </r>
      </text>
    </comment>
    <comment ref="D22" authorId="1">
      <text>
        <r>
          <rPr>
            <sz val="8"/>
            <color indexed="81"/>
            <rFont val="Tahoma"/>
            <family val="2"/>
          </rPr>
          <t>From James Shoonmaker to Will Walters, which incorporates a General Electric Technical Bulletin GER-3567H. Assumes 5% CF and no overhauls during study period. See User's Guide for more info.</t>
        </r>
      </text>
    </comment>
    <comment ref="E22" authorId="1">
      <text>
        <r>
          <rPr>
            <sz val="8"/>
            <color indexed="10"/>
            <rFont val="Tahoma"/>
            <family val="2"/>
          </rPr>
          <t>From James Shoonmaker to Will Walters, which incorporates a General Electric Technical Bulletin GER-3567H. Assumes 5% CF and no overhauls during study period. See User's Guide for more info.</t>
        </r>
      </text>
    </comment>
    <comment ref="F22" authorId="1">
      <text>
        <r>
          <rPr>
            <sz val="8"/>
            <color indexed="81"/>
            <rFont val="Tahoma"/>
            <family val="2"/>
          </rPr>
          <t>From James Shoonmaker to Will Walters, which incorporates a General Electric Technical Bulletin GER-3567H. Assumes 5% CF and no overhauls during study period. See User's Guide for more info.</t>
        </r>
      </text>
    </comment>
    <comment ref="G22" authorId="1">
      <text>
        <r>
          <rPr>
            <sz val="8"/>
            <color indexed="81"/>
            <rFont val="Tahoma"/>
            <family val="2"/>
          </rPr>
          <t>From James Shoonmaker to Will Walters, which incorporates a General Electric Technical Bulletin GER-3567H. Assumes 60% CF and 5 years between overhauls. See User's Guide for more info.</t>
        </r>
      </text>
    </comment>
    <comment ref="H22" authorId="1">
      <text>
        <r>
          <rPr>
            <sz val="8"/>
            <color indexed="81"/>
            <rFont val="Tahoma"/>
            <family val="2"/>
          </rPr>
          <t>From James Shoonmaker to Will Walters, which incorporates a General Electric Technical Bulletin GER-3567H. Assumes 60% CF and 5 years between overhauls. See User's Guide for more info.</t>
        </r>
      </text>
    </comment>
    <comment ref="U25" authorId="2">
      <text>
        <r>
          <rPr>
            <b/>
            <sz val="8"/>
            <color indexed="81"/>
            <rFont val="Tahoma"/>
            <family val="2"/>
          </rPr>
          <t>jklein 5-23-09:</t>
        </r>
        <r>
          <rPr>
            <sz val="8"/>
            <color indexed="81"/>
            <rFont val="Tahoma"/>
            <family val="2"/>
          </rPr>
          <t xml:space="preserve">
I reverese the values - the other way around just didn't make sense to me.</t>
        </r>
      </text>
    </comment>
    <comment ref="V25" authorId="2">
      <text>
        <r>
          <rPr>
            <b/>
            <sz val="8"/>
            <color indexed="81"/>
            <rFont val="Tahoma"/>
            <family val="2"/>
          </rPr>
          <t>jklein 5-23-09:</t>
        </r>
        <r>
          <rPr>
            <sz val="8"/>
            <color indexed="81"/>
            <rFont val="Tahoma"/>
            <family val="2"/>
          </rPr>
          <t xml:space="preserve">
I reverese the values - the other way around just didn't make sense to me.</t>
        </r>
      </text>
    </comment>
    <comment ref="W25" authorId="2">
      <text>
        <r>
          <rPr>
            <b/>
            <sz val="8"/>
            <color indexed="81"/>
            <rFont val="Tahoma"/>
            <family val="2"/>
          </rPr>
          <t>jklein 5-23-09:</t>
        </r>
        <r>
          <rPr>
            <sz val="8"/>
            <color indexed="81"/>
            <rFont val="Tahoma"/>
            <family val="2"/>
          </rPr>
          <t xml:space="preserve">
I reverese the values - the other way around just didn't make sense to me.</t>
        </r>
      </text>
    </comment>
    <comment ref="C39" authorId="3">
      <text>
        <r>
          <rPr>
            <sz val="9"/>
            <color indexed="81"/>
            <rFont val="Tahoma"/>
            <family val="2"/>
          </rPr>
          <t xml:space="preserve">Expected percent of year that unit is </t>
        </r>
        <r>
          <rPr>
            <u/>
            <sz val="9"/>
            <color indexed="81"/>
            <rFont val="Tahoma"/>
            <family val="2"/>
          </rPr>
          <t>planned</t>
        </r>
        <r>
          <rPr>
            <sz val="9"/>
            <color indexed="81"/>
            <rFont val="Tahoma"/>
            <family val="2"/>
          </rPr>
          <t xml:space="preserve"> to be operating.  This percentage times the Average Output (below) will be the primary factors determining annual generation.
This computed as target operational net of maintenance and forced outages:
Planned % = Annual CF / (1-MOR-FOR)
For Example:
a solar plant may be operational 100% of the year with a 25% average output
a peaking unit will have a 100% average output with a 10% planned percent of year operational.  </t>
        </r>
      </text>
    </comment>
    <comment ref="D39" authorId="1">
      <text>
        <r>
          <rPr>
            <b/>
            <sz val="8"/>
            <color indexed="81"/>
            <rFont val="Tahoma"/>
            <family val="2"/>
          </rPr>
          <t xml:space="preserve">jklein 5-23-09:
</t>
        </r>
        <r>
          <rPr>
            <sz val="8"/>
            <color indexed="81"/>
            <rFont val="Tahoma"/>
            <family val="2"/>
          </rPr>
          <t xml:space="preserve">This value adjusts based on Refernce Target Capacity Factor so that Net CF on Data 1 sheet (D40) will produce the proper value. Cell D40 does not drive the Model directly but it confirms that the Model is functioning correctly.
</t>
        </r>
      </text>
    </comment>
    <comment ref="E39" authorId="1">
      <text>
        <r>
          <rPr>
            <b/>
            <sz val="8"/>
            <color indexed="81"/>
            <rFont val="Tahoma"/>
            <family val="2"/>
          </rPr>
          <t xml:space="preserve">jklein 5-23-09:
</t>
        </r>
        <r>
          <rPr>
            <sz val="8"/>
            <color indexed="81"/>
            <rFont val="Tahoma"/>
            <family val="2"/>
          </rPr>
          <t xml:space="preserve">This value adjusts based on Refernce Target Capacity Factaof.
</t>
        </r>
      </text>
    </comment>
    <comment ref="F39" authorId="1">
      <text>
        <r>
          <rPr>
            <b/>
            <sz val="8"/>
            <color indexed="81"/>
            <rFont val="Tahoma"/>
            <family val="2"/>
          </rPr>
          <t xml:space="preserve">jklein 5-23-09:
</t>
        </r>
        <r>
          <rPr>
            <sz val="8"/>
            <color indexed="81"/>
            <rFont val="Tahoma"/>
            <family val="2"/>
          </rPr>
          <t xml:space="preserve">This value adjusts based on Refernce Target Capacity Factaof.
</t>
        </r>
      </text>
    </comment>
    <comment ref="G39" authorId="1">
      <text>
        <r>
          <rPr>
            <b/>
            <sz val="8"/>
            <color indexed="81"/>
            <rFont val="Tahoma"/>
            <family val="2"/>
          </rPr>
          <t xml:space="preserve">jklein 5-23-09:
</t>
        </r>
        <r>
          <rPr>
            <sz val="8"/>
            <color indexed="81"/>
            <rFont val="Tahoma"/>
            <family val="2"/>
          </rPr>
          <t xml:space="preserve">This value adjusts based on Refernce Target Capacity Factaof.
</t>
        </r>
      </text>
    </comment>
    <comment ref="H39" authorId="1">
      <text>
        <r>
          <rPr>
            <b/>
            <sz val="8"/>
            <color indexed="81"/>
            <rFont val="Tahoma"/>
            <family val="2"/>
          </rPr>
          <t xml:space="preserve">jklein 5-23-09:
</t>
        </r>
        <r>
          <rPr>
            <sz val="8"/>
            <color indexed="81"/>
            <rFont val="Tahoma"/>
            <family val="2"/>
          </rPr>
          <t xml:space="preserve">This value adjusts based on Refernce Target Capacity Factaof.
</t>
        </r>
      </text>
    </comment>
    <comment ref="I39" authorId="1">
      <text>
        <r>
          <rPr>
            <b/>
            <sz val="8"/>
            <color indexed="81"/>
            <rFont val="Tahoma"/>
            <family val="2"/>
          </rPr>
          <t xml:space="preserve">jklein 5-23-09:
</t>
        </r>
        <r>
          <rPr>
            <sz val="8"/>
            <color indexed="81"/>
            <rFont val="Tahoma"/>
            <family val="2"/>
          </rPr>
          <t xml:space="preserve">This value adjusts based on Refernce Target Capacity Factaof.
</t>
        </r>
      </text>
    </comment>
    <comment ref="J39" authorId="1">
      <text>
        <r>
          <rPr>
            <b/>
            <sz val="8"/>
            <color indexed="81"/>
            <rFont val="Tahoma"/>
            <family val="2"/>
          </rPr>
          <t xml:space="preserve">jklein 5-23-09:
</t>
        </r>
        <r>
          <rPr>
            <sz val="8"/>
            <color indexed="81"/>
            <rFont val="Tahoma"/>
            <family val="2"/>
          </rPr>
          <t xml:space="preserve">This value adjusts based on Refernce Target Capacity Factaof.
</t>
        </r>
      </text>
    </comment>
    <comment ref="K39" authorId="1">
      <text>
        <r>
          <rPr>
            <b/>
            <sz val="8"/>
            <color indexed="81"/>
            <rFont val="Tahoma"/>
            <family val="2"/>
          </rPr>
          <t xml:space="preserve">jklein 5-23-09:
</t>
        </r>
        <r>
          <rPr>
            <sz val="8"/>
            <color indexed="81"/>
            <rFont val="Tahoma"/>
            <family val="2"/>
          </rPr>
          <t xml:space="preserve">This value adjusts based on Refernce Target Capacity Factaof.
</t>
        </r>
      </text>
    </comment>
    <comment ref="L39" authorId="1">
      <text>
        <r>
          <rPr>
            <b/>
            <sz val="8"/>
            <color indexed="81"/>
            <rFont val="Tahoma"/>
            <family val="2"/>
          </rPr>
          <t xml:space="preserve">jklein 5-23-09:
</t>
        </r>
        <r>
          <rPr>
            <sz val="8"/>
            <color indexed="81"/>
            <rFont val="Tahoma"/>
            <family val="2"/>
          </rPr>
          <t xml:space="preserve">This value adjusts based on Refernce Target Capacity Factaof.
</t>
        </r>
      </text>
    </comment>
    <comment ref="M39" authorId="1">
      <text>
        <r>
          <rPr>
            <b/>
            <sz val="8"/>
            <color indexed="81"/>
            <rFont val="Tahoma"/>
            <family val="2"/>
          </rPr>
          <t xml:space="preserve">jklein 5-23-09:
</t>
        </r>
        <r>
          <rPr>
            <sz val="8"/>
            <color indexed="81"/>
            <rFont val="Tahoma"/>
            <family val="2"/>
          </rPr>
          <t xml:space="preserve">This value adjusts based on Refernce Target Capacity Factaof.
</t>
        </r>
      </text>
    </comment>
    <comment ref="N39" authorId="1">
      <text>
        <r>
          <rPr>
            <b/>
            <sz val="8"/>
            <color indexed="81"/>
            <rFont val="Tahoma"/>
            <family val="2"/>
          </rPr>
          <t xml:space="preserve">jklein 5-23-09:
</t>
        </r>
        <r>
          <rPr>
            <sz val="8"/>
            <color indexed="81"/>
            <rFont val="Tahoma"/>
            <family val="2"/>
          </rPr>
          <t xml:space="preserve">This value adjusts based on Refernce Target Capacity Factaof.
</t>
        </r>
      </text>
    </comment>
    <comment ref="O39" authorId="1">
      <text>
        <r>
          <rPr>
            <b/>
            <sz val="8"/>
            <color indexed="81"/>
            <rFont val="Tahoma"/>
            <family val="2"/>
          </rPr>
          <t xml:space="preserve">jklein 5-23-09:
</t>
        </r>
        <r>
          <rPr>
            <sz val="8"/>
            <color indexed="81"/>
            <rFont val="Tahoma"/>
            <family val="2"/>
          </rPr>
          <t xml:space="preserve">This value adjusts based on Refernce Target Capacity Factaof.
</t>
        </r>
      </text>
    </comment>
    <comment ref="P39" authorId="1">
      <text>
        <r>
          <rPr>
            <b/>
            <sz val="8"/>
            <color indexed="81"/>
            <rFont val="Tahoma"/>
            <family val="2"/>
          </rPr>
          <t xml:space="preserve">jklein 5-23-09:
</t>
        </r>
        <r>
          <rPr>
            <sz val="8"/>
            <color indexed="81"/>
            <rFont val="Tahoma"/>
            <family val="2"/>
          </rPr>
          <t xml:space="preserve">This value adjusts based on Refernce Target Capacity Factaof.
</t>
        </r>
      </text>
    </comment>
    <comment ref="Q39" authorId="1">
      <text>
        <r>
          <rPr>
            <b/>
            <sz val="8"/>
            <color indexed="81"/>
            <rFont val="Tahoma"/>
            <family val="2"/>
          </rPr>
          <t xml:space="preserve">jklein 5-23-09:
</t>
        </r>
        <r>
          <rPr>
            <sz val="8"/>
            <color indexed="81"/>
            <rFont val="Tahoma"/>
            <family val="2"/>
          </rPr>
          <t xml:space="preserve">This value adjusts based on Refernce Target Capacity Factaof.
</t>
        </r>
      </text>
    </comment>
    <comment ref="R39" authorId="1">
      <text>
        <r>
          <rPr>
            <b/>
            <sz val="8"/>
            <color indexed="81"/>
            <rFont val="Tahoma"/>
            <family val="2"/>
          </rPr>
          <t xml:space="preserve">jklein 5-23-09:
</t>
        </r>
        <r>
          <rPr>
            <sz val="8"/>
            <color indexed="81"/>
            <rFont val="Tahoma"/>
            <family val="2"/>
          </rPr>
          <t xml:space="preserve">This value adjusts based on Refernce Target Capacity Factaof.
</t>
        </r>
      </text>
    </comment>
    <comment ref="S39" authorId="1">
      <text>
        <r>
          <rPr>
            <b/>
            <sz val="8"/>
            <color indexed="81"/>
            <rFont val="Tahoma"/>
            <family val="2"/>
          </rPr>
          <t xml:space="preserve">jklein 5-23-09:
</t>
        </r>
        <r>
          <rPr>
            <sz val="8"/>
            <color indexed="81"/>
            <rFont val="Tahoma"/>
            <family val="2"/>
          </rPr>
          <t xml:space="preserve">This value adjusts based on Refernce Target Capacity Factaof.
</t>
        </r>
      </text>
    </comment>
    <comment ref="T39" authorId="1">
      <text>
        <r>
          <rPr>
            <b/>
            <sz val="8"/>
            <color indexed="81"/>
            <rFont val="Tahoma"/>
            <family val="2"/>
          </rPr>
          <t xml:space="preserve">jklein 5-23-09:
</t>
        </r>
        <r>
          <rPr>
            <sz val="8"/>
            <color indexed="81"/>
            <rFont val="Tahoma"/>
            <family val="2"/>
          </rPr>
          <t xml:space="preserve">This value adjusts based on Refernce Target Capacity Factaof.
</t>
        </r>
      </text>
    </comment>
    <comment ref="U39" authorId="1">
      <text>
        <r>
          <rPr>
            <b/>
            <sz val="8"/>
            <color indexed="81"/>
            <rFont val="Tahoma"/>
            <family val="2"/>
          </rPr>
          <t xml:space="preserve">jklein 5-23-09:
</t>
        </r>
        <r>
          <rPr>
            <sz val="8"/>
            <color indexed="81"/>
            <rFont val="Tahoma"/>
            <family val="2"/>
          </rPr>
          <t xml:space="preserve">This value adjusts based on Refernce Target Capacity Factaof.
</t>
        </r>
      </text>
    </comment>
    <comment ref="V39" authorId="1">
      <text>
        <r>
          <rPr>
            <b/>
            <sz val="8"/>
            <color indexed="81"/>
            <rFont val="Tahoma"/>
            <family val="2"/>
          </rPr>
          <t xml:space="preserve">jklein 5-23-09:
</t>
        </r>
        <r>
          <rPr>
            <sz val="8"/>
            <color indexed="81"/>
            <rFont val="Tahoma"/>
            <family val="2"/>
          </rPr>
          <t xml:space="preserve">This value adjusts based on Refernce Target Capacity Factaof.
</t>
        </r>
      </text>
    </comment>
    <comment ref="F40" authorId="4">
      <text>
        <r>
          <rPr>
            <b/>
            <sz val="8"/>
            <color indexed="81"/>
            <rFont val="Tahoma"/>
            <family val="2"/>
          </rPr>
          <t>Joel Klein:</t>
        </r>
        <r>
          <rPr>
            <sz val="8"/>
            <color indexed="81"/>
            <rFont val="Tahoma"/>
            <family val="2"/>
          </rPr>
          <t xml:space="preserve">
Baased on Marketsym simulation. Changed from draft report</t>
        </r>
      </text>
    </comment>
    <comment ref="C41" authorId="3">
      <text>
        <r>
          <rPr>
            <sz val="9"/>
            <color indexed="81"/>
            <rFont val="Arial"/>
            <family val="2"/>
          </rPr>
          <t xml:space="preserve">Accounts for intermittent nature of "fuel" sources, e.g., water, wind, sun.  Expected average available capacity during hours of operation
(e.g. 100% for combustion turbine even if unit is operated only during peak summer hours)
Include any periods of derated operation in this factor.
Equivalent to GADS Net Output Factor
NOF =           </t>
        </r>
        <r>
          <rPr>
            <u/>
            <sz val="9"/>
            <color indexed="81"/>
            <rFont val="Arial"/>
            <family val="2"/>
          </rPr>
          <t xml:space="preserve">Actual Net Generation
</t>
        </r>
        <r>
          <rPr>
            <sz val="9"/>
            <color indexed="81"/>
            <rFont val="Arial"/>
            <family val="2"/>
          </rPr>
          <t xml:space="preserve">              Service Hours* Max Net Capacity
</t>
        </r>
      </text>
    </comment>
    <comment ref="D45" authorId="5">
      <text>
        <r>
          <rPr>
            <sz val="8"/>
            <color indexed="81"/>
            <rFont val="Tahoma"/>
            <family val="2"/>
          </rPr>
          <t xml:space="preserve">• NERC GADS 2002-2007 CA CTs 45-99 MW: 2.72 %
</t>
        </r>
      </text>
    </comment>
    <comment ref="E45" authorId="5">
      <text>
        <r>
          <rPr>
            <sz val="8"/>
            <color indexed="81"/>
            <rFont val="Tahoma"/>
            <family val="2"/>
          </rPr>
          <t xml:space="preserve">• NERC GADS 2002-2007 CA CTs 100 and greater : 3.18 %
</t>
        </r>
      </text>
    </comment>
    <comment ref="F45" authorId="5">
      <text>
        <r>
          <rPr>
            <sz val="8"/>
            <color indexed="81"/>
            <rFont val="Tahoma"/>
            <family val="2"/>
          </rPr>
          <t xml:space="preserve">• NERC GADS 2002-2007 CA CTs 100 and greater : 3.18 %
</t>
        </r>
      </text>
    </comment>
    <comment ref="G45" authorId="5">
      <text>
        <r>
          <rPr>
            <sz val="8"/>
            <color indexed="81"/>
            <rFont val="Tahoma"/>
            <family val="2"/>
          </rPr>
          <t xml:space="preserve">• NERC GADS Vintage 2002-2007 CA CCs 500-900 MW: 6.02 %
</t>
        </r>
      </text>
    </comment>
    <comment ref="H45" authorId="5">
      <text>
        <r>
          <rPr>
            <sz val="8"/>
            <color indexed="81"/>
            <rFont val="Tahoma"/>
            <family val="2"/>
          </rPr>
          <t xml:space="preserve">• NERC GADS Vintage 2002-2007 CA CCs 500-900 MW: 6.02 %
</t>
        </r>
      </text>
    </comment>
    <comment ref="D46" authorId="5">
      <text>
        <r>
          <rPr>
            <sz val="8"/>
            <color indexed="81"/>
            <rFont val="Tahoma"/>
            <family val="2"/>
          </rPr>
          <t xml:space="preserve">• NERC GADS 2002-2007 CA CTs 45-99 MW EFOR (d):  19.19% (5.65 %)
</t>
        </r>
      </text>
    </comment>
    <comment ref="E46" authorId="5">
      <text>
        <r>
          <rPr>
            <sz val="8"/>
            <color indexed="81"/>
            <rFont val="Tahoma"/>
            <family val="2"/>
          </rPr>
          <t xml:space="preserve">• NERC GADS 2002-2007 CA CTs 100 &amp; greater: EFOR (d):  11.60% (4.13 %)
</t>
        </r>
      </text>
    </comment>
    <comment ref="F46" authorId="5">
      <text>
        <r>
          <rPr>
            <sz val="8"/>
            <color indexed="81"/>
            <rFont val="Tahoma"/>
            <family val="2"/>
          </rPr>
          <t xml:space="preserve">• NERC GADS 2002-2007 CA CTs 100 &amp; greater: EFOR (d):  11.60% (4.13 %)
</t>
        </r>
      </text>
    </comment>
    <comment ref="G46" authorId="5">
      <text>
        <r>
          <rPr>
            <sz val="8"/>
            <color indexed="81"/>
            <rFont val="Tahoma"/>
            <family val="2"/>
          </rPr>
          <t xml:space="preserve">• NERC GADS Vintage 2002-2007 CA CCs 500-900 MW EFOR (d):  3.5% (2.24 %)
</t>
        </r>
      </text>
    </comment>
    <comment ref="H46" authorId="5">
      <text>
        <r>
          <rPr>
            <sz val="8"/>
            <color indexed="81"/>
            <rFont val="Tahoma"/>
            <family val="2"/>
          </rPr>
          <t xml:space="preserve">• NERC GADS Vintage 2002-2007 CA CCs 500-900 MW EFOR (d):  3.5% (2.24 %)
</t>
        </r>
      </text>
    </comment>
    <comment ref="G51" authorId="1">
      <text>
        <r>
          <rPr>
            <b/>
            <sz val="8"/>
            <color indexed="81"/>
            <rFont val="Tahoma"/>
            <family val="2"/>
          </rPr>
          <t>From CEC Survey, Model n=14, R2 = 0.690</t>
        </r>
        <r>
          <rPr>
            <sz val="8"/>
            <color indexed="81"/>
            <rFont val="Tahoma"/>
            <family val="2"/>
          </rPr>
          <t xml:space="preserve">
</t>
        </r>
      </text>
    </comment>
    <comment ref="H51" authorId="1">
      <text>
        <r>
          <rPr>
            <b/>
            <sz val="8"/>
            <color indexed="81"/>
            <rFont val="Tahoma"/>
            <family val="2"/>
          </rPr>
          <t>From CEC Survey, Model n=14, R2 = 0.690</t>
        </r>
        <r>
          <rPr>
            <sz val="8"/>
            <color indexed="81"/>
            <rFont val="Tahoma"/>
            <family val="2"/>
          </rPr>
          <t xml:space="preserve">
</t>
        </r>
      </text>
    </comment>
    <comment ref="C64" authorId="1">
      <text>
        <r>
          <rPr>
            <b/>
            <sz val="8"/>
            <color indexed="81"/>
            <rFont val="Tahoma"/>
            <family val="2"/>
          </rPr>
          <t>Confirmed by 2007 CEC survey.</t>
        </r>
        <r>
          <rPr>
            <sz val="8"/>
            <color indexed="81"/>
            <rFont val="Tahoma"/>
            <family val="2"/>
          </rPr>
          <t xml:space="preserve">
</t>
        </r>
      </text>
    </comment>
    <comment ref="J65" authorId="1">
      <text>
        <r>
          <rPr>
            <sz val="8"/>
            <color indexed="81"/>
            <rFont val="Tahoma"/>
            <family val="2"/>
          </rPr>
          <t>BLS, May 2005 National Industry-Specific Occupational Employment and Wage Estimates NAICS 221100, Electric Power Generation, Transmission and Distribution May 2005, http://www.bls.gov/oes/current/naics4_221100.htm, Industrial Production Managers, 11-3051</t>
        </r>
      </text>
    </comment>
    <comment ref="K65" authorId="1">
      <text>
        <r>
          <rPr>
            <sz val="8"/>
            <color indexed="81"/>
            <rFont val="Tahoma"/>
            <family val="2"/>
          </rPr>
          <t>BLS, May 2005 National Industry-Specific Occupational Employment and Wage Estimates NAICS 221100, Electric Power Generation, Transmission and Distribution May 2005, http://www.bls.gov/oes/current/naics4_221100.htm, Industrial Production Managers, 11-3051</t>
        </r>
      </text>
    </comment>
    <comment ref="L65" authorId="1">
      <text>
        <r>
          <rPr>
            <sz val="8"/>
            <color indexed="81"/>
            <rFont val="Tahoma"/>
            <family val="2"/>
          </rPr>
          <t>BLS, May 2005 National Industry-Specific Occupational Employment and Wage Estimates NAICS 221100, Electric Power Generation, Transmission and Distribution May 2005, http://www.bls.gov/oes/current/naics4_221100.htm, Industrial Production Managers, 11-3051</t>
        </r>
      </text>
    </comment>
    <comment ref="N65" authorId="1">
      <text>
        <r>
          <rPr>
            <sz val="8"/>
            <color indexed="81"/>
            <rFont val="Tahoma"/>
            <family val="2"/>
          </rPr>
          <t>BLS, May 2005 National Industry-Specific Occupational Employment and Wage Estimates NAICS 221100, Electric Power Generation, Transmission and Distribution May 2005, http://www.bls.gov/oes/current/naics4_221100.htm, Industrial Production Managers, 11-3051</t>
        </r>
      </text>
    </comment>
    <comment ref="O65" authorId="1">
      <text>
        <r>
          <rPr>
            <sz val="8"/>
            <color indexed="81"/>
            <rFont val="Tahoma"/>
            <family val="2"/>
          </rPr>
          <t>BLS, May 2005 National Industry-Specific Occupational Employment and Wage Estimates NAICS 221100, Electric Power Generation, Transmission and Distribution May 2005, http://www.bls.gov/oes/current/naics4_221100.htm, Industrial Production Managers, 11-3051</t>
        </r>
      </text>
    </comment>
    <comment ref="P65" authorId="1">
      <text>
        <r>
          <rPr>
            <sz val="8"/>
            <color indexed="81"/>
            <rFont val="Tahoma"/>
            <family val="2"/>
          </rPr>
          <t>BLS, May 2005 National Industry-Specific Occupational Employment and Wage Estimates NAICS 221100, Electric Power Generation, Transmission and Distribution May 2005, http://www.bls.gov/oes/current/naics4_221100.htm, Industrial Production Managers, 11-3051</t>
        </r>
      </text>
    </comment>
    <comment ref="R65" authorId="1">
      <text>
        <r>
          <rPr>
            <sz val="8"/>
            <color indexed="81"/>
            <rFont val="Tahoma"/>
            <family val="2"/>
          </rPr>
          <t>BLS, May 2005 National Industry-Specific Occupational Employment and Wage Estimates NAICS 221100, Electric Power Generation, Transmission and Distribution May 2005, http://www.bls.gov/oes/current/naics4_221100.htm, Industrial Production Managers, 11-3051</t>
        </r>
      </text>
    </comment>
    <comment ref="T65" authorId="1">
      <text>
        <r>
          <rPr>
            <sz val="8"/>
            <color indexed="81"/>
            <rFont val="Tahoma"/>
            <family val="2"/>
          </rPr>
          <t>BLS, May 2005 National Industry-Specific Occupational Employment and Wage Estimates NAICS 221100, Electric Power Generation, Transmission and Distribution May 2005, http://www.bls.gov/oes/current/naics4_221100.htm, Industrial Production Managers, 11-3051</t>
        </r>
      </text>
    </comment>
    <comment ref="J66" authorId="1">
      <text>
        <r>
          <rPr>
            <sz val="8"/>
            <color indexed="81"/>
            <rFont val="Tahoma"/>
            <family val="2"/>
          </rPr>
          <t>BLS, May 2005 National Industry-Specific Occupational Employment and Wage Estimates NAICS 221100 - Electric Power Generation, Transmission and Distribution, http://www.bls.gov/oes/current/naics4_221100.htm,  Power Plant Operators, 51-8013.</t>
        </r>
      </text>
    </comment>
    <comment ref="K66" authorId="1">
      <text>
        <r>
          <rPr>
            <sz val="8"/>
            <color indexed="81"/>
            <rFont val="Tahoma"/>
            <family val="2"/>
          </rPr>
          <t>BLS, May 2005 National Industry-Specific Occupational Employment and Wage Estimates NAICS 221100 - Electric Power Generation, Transmission and Distribution, http://www.bls.gov/oes/current/naics4_221100.htm,  Power Plant Operators, 51-8013.</t>
        </r>
      </text>
    </comment>
    <comment ref="L66" authorId="1">
      <text>
        <r>
          <rPr>
            <sz val="8"/>
            <color indexed="81"/>
            <rFont val="Tahoma"/>
            <family val="2"/>
          </rPr>
          <t>BLS, May 2005 National Industry-Specific Occupational Employment and Wage Estimates NAICS 221100 - Electric Power Generation, Transmission and Distribution, http://www.bls.gov/oes/current/naics4_221100.htm,  Power Plant Operators, 51-8013.</t>
        </r>
      </text>
    </comment>
    <comment ref="N66" authorId="1">
      <text>
        <r>
          <rPr>
            <sz val="8"/>
            <color indexed="81"/>
            <rFont val="Tahoma"/>
            <family val="2"/>
          </rPr>
          <t>BLS, May 2005 National Industry-Specific Occupational Employment and Wage Estimates NAICS 221100 - Electric Power Generation, Transmission and Distribution, http://www.bls.gov/oes/current/naics4_221100.htm,  Power Plant Operators, 51-8013.</t>
        </r>
      </text>
    </comment>
    <comment ref="O66" authorId="1">
      <text>
        <r>
          <rPr>
            <sz val="8"/>
            <color indexed="81"/>
            <rFont val="Tahoma"/>
            <family val="2"/>
          </rPr>
          <t>BLS, May 2005 National Industry-Specific Occupational Employment and Wage Estimates NAICS 221100 - Electric Power Generation, Transmission and Distribution, http://www.bls.gov/oes/current/naics4_221100.htm,  Power Plant Operators, 51-8013.</t>
        </r>
      </text>
    </comment>
    <comment ref="P66" authorId="1">
      <text>
        <r>
          <rPr>
            <sz val="8"/>
            <color indexed="81"/>
            <rFont val="Tahoma"/>
            <family val="2"/>
          </rPr>
          <t>BLS, May 2005 National Industry-Specific Occupational Employment and Wage Estimates NAICS 221100 - Electric Power Generation, Transmission and Distribution, http://www.bls.gov/oes/current/naics4_221100.htm,  Power Plant Operators, 51-8013.</t>
        </r>
      </text>
    </comment>
    <comment ref="R66" authorId="1">
      <text>
        <r>
          <rPr>
            <sz val="8"/>
            <color indexed="81"/>
            <rFont val="Tahoma"/>
            <family val="2"/>
          </rPr>
          <t>BLS, May 2005 National Industry-Specific Occupational Employment and Wage Estimates NAICS 221100 - Electric Power Generation, Transmission and Distribution, http://www.bls.gov/oes/current/naics4_221100.htm,  Power Plant Operators, 51-8013.</t>
        </r>
      </text>
    </comment>
    <comment ref="T66" authorId="1">
      <text>
        <r>
          <rPr>
            <sz val="8"/>
            <color indexed="81"/>
            <rFont val="Tahoma"/>
            <family val="2"/>
          </rPr>
          <t>BLS, May 2005 National Industry-Specific Occupational Employment and Wage Estimates NAICS 221100 - Electric Power Generation, Transmission and Distribution, http://www.bls.gov/oes/current/naics4_221100.htm,  Power Plant Operators, 51-8013.</t>
        </r>
      </text>
    </comment>
    <comment ref="J67" authorId="1">
      <text>
        <r>
          <rPr>
            <sz val="8"/>
            <color indexed="81"/>
            <rFont val="Tahoma"/>
            <family val="2"/>
          </rPr>
          <t>BLS, May 2005 National Industry-Specific Occupational Employment and Wage Estimates NAICS 221100 - Electric Power Generation, Transmission and Distribution, http://www.bls.gov/oes/current/naics4_221100.htm, Electrical and Electronics Repairers, Powerhouse, Substation, and Relay</t>
        </r>
        <r>
          <rPr>
            <sz val="8"/>
            <color indexed="81"/>
            <rFont val="Tahoma"/>
            <family val="2"/>
          </rPr>
          <t xml:space="preserve">
49-2095.</t>
        </r>
      </text>
    </comment>
    <comment ref="K67" authorId="1">
      <text>
        <r>
          <rPr>
            <sz val="8"/>
            <color indexed="81"/>
            <rFont val="Tahoma"/>
            <family val="2"/>
          </rPr>
          <t>BLS, May 2005 National Industry-Specific Occupational Employment and Wage Estimates NAICS 221100 - Electric Power Generation, Transmission and Distribution, http://www.bls.gov/oes/current/naics4_221100.htm, Electrical and Electronics Repairers, Powerhouse, Substation, and Relay</t>
        </r>
        <r>
          <rPr>
            <sz val="8"/>
            <color indexed="81"/>
            <rFont val="Tahoma"/>
            <family val="2"/>
          </rPr>
          <t xml:space="preserve">
49-2095.</t>
        </r>
      </text>
    </comment>
    <comment ref="L67" authorId="1">
      <text>
        <r>
          <rPr>
            <sz val="8"/>
            <color indexed="81"/>
            <rFont val="Tahoma"/>
            <family val="2"/>
          </rPr>
          <t>BLS, May 2005 National Industry-Specific Occupational Employment and Wage Estimates NAICS 221100 - Electric Power Generation, Transmission and Distribution, http://www.bls.gov/oes/current/naics4_221100.htm, Electrical and Electronics Repairers, Powerhouse, Substation, and Relay</t>
        </r>
        <r>
          <rPr>
            <sz val="8"/>
            <color indexed="81"/>
            <rFont val="Tahoma"/>
            <family val="2"/>
          </rPr>
          <t xml:space="preserve">
49-2095.</t>
        </r>
      </text>
    </comment>
    <comment ref="N67" authorId="1">
      <text>
        <r>
          <rPr>
            <sz val="8"/>
            <color indexed="81"/>
            <rFont val="Tahoma"/>
            <family val="2"/>
          </rPr>
          <t>BLS, May 2005 National Industry-Specific Occupational Employment and Wage Estimates NAICS 221100 - Electric Power Generation, Transmission and Distribution, http://www.bls.gov/oes/current/naics4_221100.htm, Electrical and Electronics Repairers, Powerhouse, Substation, and Relay</t>
        </r>
        <r>
          <rPr>
            <sz val="8"/>
            <color indexed="81"/>
            <rFont val="Tahoma"/>
            <family val="2"/>
          </rPr>
          <t xml:space="preserve">
49-2095.</t>
        </r>
      </text>
    </comment>
    <comment ref="O67" authorId="1">
      <text>
        <r>
          <rPr>
            <sz val="8"/>
            <color indexed="81"/>
            <rFont val="Tahoma"/>
            <family val="2"/>
          </rPr>
          <t>BLS, May 2005 National Industry-Specific Occupational Employment and Wage Estimates NAICS 221100 - Electric Power Generation, Transmission and Distribution, http://www.bls.gov/oes/current/naics4_221100.htm, Electrical and Electronics Repairers, Powerhouse, Substation, and Relay</t>
        </r>
        <r>
          <rPr>
            <sz val="8"/>
            <color indexed="81"/>
            <rFont val="Tahoma"/>
            <family val="2"/>
          </rPr>
          <t xml:space="preserve">
49-2095.</t>
        </r>
      </text>
    </comment>
    <comment ref="P67" authorId="1">
      <text>
        <r>
          <rPr>
            <sz val="8"/>
            <color indexed="81"/>
            <rFont val="Tahoma"/>
            <family val="2"/>
          </rPr>
          <t>BLS, May 2005 National Industry-Specific Occupational Employment and Wage Estimates NAICS 221100 - Electric Power Generation, Transmission and Distribution, http://www.bls.gov/oes/current/naics4_221100.htm, Electrical and Electronics Repairers, Powerhouse, Substation, and Relay</t>
        </r>
        <r>
          <rPr>
            <sz val="8"/>
            <color indexed="81"/>
            <rFont val="Tahoma"/>
            <family val="2"/>
          </rPr>
          <t xml:space="preserve">
49-2095.</t>
        </r>
      </text>
    </comment>
    <comment ref="R67" authorId="1">
      <text>
        <r>
          <rPr>
            <sz val="8"/>
            <color indexed="81"/>
            <rFont val="Tahoma"/>
            <family val="2"/>
          </rPr>
          <t>BLS, May 2005 National Industry-Specific Occupational Employment and Wage Estimates NAICS 221100 - Electric Power Generation, Transmission and Distribution, http://www.bls.gov/oes/current/naics4_221100.htm, Electrical and Electronics Repairers, Powerhouse, Substation, and Relay</t>
        </r>
        <r>
          <rPr>
            <sz val="8"/>
            <color indexed="81"/>
            <rFont val="Tahoma"/>
            <family val="2"/>
          </rPr>
          <t xml:space="preserve">
49-2095.</t>
        </r>
      </text>
    </comment>
    <comment ref="T67" authorId="1">
      <text>
        <r>
          <rPr>
            <sz val="8"/>
            <color indexed="81"/>
            <rFont val="Tahoma"/>
            <family val="2"/>
          </rPr>
          <t>BLS, May 2005 National Industry-Specific Occupational Employment and Wage Estimates NAICS 221100 - Electric Power Generation, Transmission and Distribution, http://www.bls.gov/oes/current/naics4_221100.htm, Electrical and Electronics Repairers, Powerhouse, Substation, and Relay</t>
        </r>
        <r>
          <rPr>
            <sz val="8"/>
            <color indexed="81"/>
            <rFont val="Tahoma"/>
            <family val="2"/>
          </rPr>
          <t xml:space="preserve">
49-2095.</t>
        </r>
      </text>
    </comment>
    <comment ref="J68" authorId="1">
      <text>
        <r>
          <rPr>
            <sz val="8"/>
            <color indexed="81"/>
            <rFont val="Tahoma"/>
            <family val="2"/>
          </rPr>
          <t xml:space="preserve">BLS, May 2005 National Industry-Specific Occupational Employment and Wage Estimates NAICS 221100 - Electric Power Generation, Transmission and Distribution, http://www.bls.gov/oes/current/naics4_221100.htm, Maintenance and Repair Workers, General 49-9042 </t>
        </r>
      </text>
    </comment>
    <comment ref="K68" authorId="1">
      <text>
        <r>
          <rPr>
            <sz val="8"/>
            <color indexed="81"/>
            <rFont val="Tahoma"/>
            <family val="2"/>
          </rPr>
          <t xml:space="preserve">BLS, May 2005 National Industry-Specific Occupational Employment and Wage Estimates NAICS 221100 - Electric Power Generation, Transmission and Distribution, http://www.bls.gov/oes/current/naics4_221100.htm, Maintenance and Repair Workers, General 49-9042 </t>
        </r>
      </text>
    </comment>
    <comment ref="L68" authorId="1">
      <text>
        <r>
          <rPr>
            <sz val="8"/>
            <color indexed="81"/>
            <rFont val="Tahoma"/>
            <family val="2"/>
          </rPr>
          <t xml:space="preserve">BLS, May 2005 National Industry-Specific Occupational Employment and Wage Estimates NAICS 221100 - Electric Power Generation, Transmission and Distribution, http://www.bls.gov/oes/current/naics4_221100.htm, Maintenance and Repair Workers, General 49-9042 </t>
        </r>
      </text>
    </comment>
    <comment ref="N68" authorId="1">
      <text>
        <r>
          <rPr>
            <sz val="8"/>
            <color indexed="81"/>
            <rFont val="Tahoma"/>
            <family val="2"/>
          </rPr>
          <t xml:space="preserve">BLS, May 2005 National Industry-Specific Occupational Employment and Wage Estimates NAICS 221100 - Electric Power Generation, Transmission and Distribution, http://www.bls.gov/oes/current/naics4_221100.htm, Maintenance and Repair Workers, General 49-9042 </t>
        </r>
      </text>
    </comment>
    <comment ref="O68" authorId="1">
      <text>
        <r>
          <rPr>
            <sz val="8"/>
            <color indexed="81"/>
            <rFont val="Tahoma"/>
            <family val="2"/>
          </rPr>
          <t xml:space="preserve">BLS, May 2005 National Industry-Specific Occupational Employment and Wage Estimates NAICS 221100 - Electric Power Generation, Transmission and Distribution, http://www.bls.gov/oes/current/naics4_221100.htm, Maintenance and Repair Workers, General 49-9042 </t>
        </r>
      </text>
    </comment>
    <comment ref="P68" authorId="1">
      <text>
        <r>
          <rPr>
            <sz val="8"/>
            <color indexed="81"/>
            <rFont val="Tahoma"/>
            <family val="2"/>
          </rPr>
          <t xml:space="preserve">BLS, May 2005 National Industry-Specific Occupational Employment and Wage Estimates NAICS 221100 - Electric Power Generation, Transmission and Distribution, http://www.bls.gov/oes/current/naics4_221100.htm, Maintenance and Repair Workers, General 49-9042 </t>
        </r>
      </text>
    </comment>
    <comment ref="R68" authorId="1">
      <text>
        <r>
          <rPr>
            <sz val="8"/>
            <color indexed="81"/>
            <rFont val="Tahoma"/>
            <family val="2"/>
          </rPr>
          <t xml:space="preserve">BLS, May 2005 National Industry-Specific Occupational Employment and Wage Estimates NAICS 221100 - Electric Power Generation, Transmission and Distribution, http://www.bls.gov/oes/current/naics4_221100.htm, Maintenance and Repair Workers, General 49-9042 </t>
        </r>
      </text>
    </comment>
    <comment ref="T68" authorId="1">
      <text>
        <r>
          <rPr>
            <sz val="8"/>
            <color indexed="81"/>
            <rFont val="Tahoma"/>
            <family val="2"/>
          </rPr>
          <t xml:space="preserve">BLS, May 2005 National Industry-Specific Occupational Employment and Wage Estimates NAICS 221100 - Electric Power Generation, Transmission and Distribution, http://www.bls.gov/oes/current/naics4_221100.htm, Maintenance and Repair Workers, General 49-9042 </t>
        </r>
      </text>
    </comment>
    <comment ref="J69" authorId="1">
      <text>
        <r>
          <rPr>
            <sz val="8"/>
            <color indexed="81"/>
            <rFont val="Tahoma"/>
            <family val="2"/>
          </rPr>
          <t xml:space="preserve">BLS, May 2005 National Industry-Specific Occupational Employment and Wage Estimates NAICS 221100 - Electric Power Generation, Transmission and Distribution, http://www.bls.gov/oes/current/naics4_221100.htm, General Office, 43-9199  </t>
        </r>
      </text>
    </comment>
    <comment ref="K69" authorId="1">
      <text>
        <r>
          <rPr>
            <sz val="8"/>
            <color indexed="81"/>
            <rFont val="Tahoma"/>
            <family val="2"/>
          </rPr>
          <t xml:space="preserve">BLS, May 2005 National Industry-Specific Occupational Employment and Wage Estimates NAICS 221100 - Electric Power Generation, Transmission and Distribution, http://www.bls.gov/oes/current/naics4_221100.htm, General Office, 43-9199  </t>
        </r>
      </text>
    </comment>
    <comment ref="L69" authorId="1">
      <text>
        <r>
          <rPr>
            <sz val="8"/>
            <color indexed="81"/>
            <rFont val="Tahoma"/>
            <family val="2"/>
          </rPr>
          <t xml:space="preserve">BLS, May 2005 National Industry-Specific Occupational Employment and Wage Estimates NAICS 221100 - Electric Power Generation, Transmission and Distribution, http://www.bls.gov/oes/current/naics4_221100.htm, General Office, 43-9199  </t>
        </r>
      </text>
    </comment>
    <comment ref="N69" authorId="1">
      <text>
        <r>
          <rPr>
            <sz val="8"/>
            <color indexed="81"/>
            <rFont val="Tahoma"/>
            <family val="2"/>
          </rPr>
          <t xml:space="preserve">BLS, May 2005 National Industry-Specific Occupational Employment and Wage Estimates NAICS 221100 - Electric Power Generation, Transmission and Distribution, http://www.bls.gov/oes/current/naics4_221100.htm, General Office, 43-9199  </t>
        </r>
      </text>
    </comment>
    <comment ref="O69" authorId="1">
      <text>
        <r>
          <rPr>
            <sz val="8"/>
            <color indexed="81"/>
            <rFont val="Tahoma"/>
            <family val="2"/>
          </rPr>
          <t xml:space="preserve">BLS, May 2005 National Industry-Specific Occupational Employment and Wage Estimates NAICS 221100 - Electric Power Generation, Transmission and Distribution, http://www.bls.gov/oes/current/naics4_221100.htm, General Office, 43-9199  </t>
        </r>
      </text>
    </comment>
    <comment ref="P69" authorId="1">
      <text>
        <r>
          <rPr>
            <sz val="8"/>
            <color indexed="81"/>
            <rFont val="Tahoma"/>
            <family val="2"/>
          </rPr>
          <t xml:space="preserve">BLS, May 2005 National Industry-Specific Occupational Employment and Wage Estimates NAICS 221100 - Electric Power Generation, Transmission and Distribution, http://www.bls.gov/oes/current/naics4_221100.htm, General Office, 43-9199  </t>
        </r>
      </text>
    </comment>
    <comment ref="R69" authorId="1">
      <text>
        <r>
          <rPr>
            <sz val="8"/>
            <color indexed="81"/>
            <rFont val="Tahoma"/>
            <family val="2"/>
          </rPr>
          <t xml:space="preserve">BLS, May 2005 National Industry-Specific Occupational Employment and Wage Estimates NAICS 221100 - Electric Power Generation, Transmission and Distribution, http://www.bls.gov/oes/current/naics4_221100.htm, General Office, 43-9199  </t>
        </r>
      </text>
    </comment>
    <comment ref="T69" authorId="1">
      <text>
        <r>
          <rPr>
            <sz val="8"/>
            <color indexed="81"/>
            <rFont val="Tahoma"/>
            <family val="2"/>
          </rPr>
          <t xml:space="preserve">BLS, May 2005 National Industry-Specific Occupational Employment and Wage Estimates NAICS 221100 - Electric Power Generation, Transmission and Distribution, http://www.bls.gov/oes/current/naics4_221100.htm, General Office, 43-9199  </t>
        </r>
      </text>
    </comment>
    <comment ref="C72" authorId="1">
      <text>
        <r>
          <rPr>
            <b/>
            <sz val="8"/>
            <color indexed="81"/>
            <rFont val="Tahoma"/>
            <family val="2"/>
          </rPr>
          <t>Based on CPUC survey of brokers for MPR.  NWPPC uses 0.25%; JBS uses 1.5%.</t>
        </r>
        <r>
          <rPr>
            <sz val="8"/>
            <color indexed="81"/>
            <rFont val="Tahoma"/>
            <family val="2"/>
          </rPr>
          <t xml:space="preserve">
</t>
        </r>
      </text>
    </comment>
    <comment ref="D74" authorId="1">
      <text>
        <r>
          <rPr>
            <b/>
            <sz val="8"/>
            <color indexed="81"/>
            <rFont val="Tahoma"/>
            <family val="2"/>
          </rPr>
          <t>Based on CEC plant survey, Nov. 2006</t>
        </r>
        <r>
          <rPr>
            <sz val="8"/>
            <color indexed="81"/>
            <rFont val="Tahoma"/>
            <family val="2"/>
          </rPr>
          <t xml:space="preserve">
</t>
        </r>
      </text>
    </comment>
    <comment ref="E74" authorId="1">
      <text>
        <r>
          <rPr>
            <b/>
            <sz val="8"/>
            <color indexed="81"/>
            <rFont val="Tahoma"/>
            <family val="2"/>
          </rPr>
          <t>Based on CEC plant survey, Nov. 2006</t>
        </r>
        <r>
          <rPr>
            <sz val="8"/>
            <color indexed="81"/>
            <rFont val="Tahoma"/>
            <family val="2"/>
          </rPr>
          <t xml:space="preserve">
</t>
        </r>
      </text>
    </comment>
    <comment ref="F74" authorId="1">
      <text>
        <r>
          <rPr>
            <b/>
            <sz val="8"/>
            <color indexed="81"/>
            <rFont val="Tahoma"/>
            <family val="2"/>
          </rPr>
          <t>From base conventional plant adjusted for EIA EMM plant cost ratio for advanced (9.59/kW-yr) / for conventional ($11.09/kW-yr)</t>
        </r>
        <r>
          <rPr>
            <sz val="8"/>
            <color indexed="81"/>
            <rFont val="Tahoma"/>
            <family val="2"/>
          </rPr>
          <t xml:space="preserve">
</t>
        </r>
      </text>
    </comment>
    <comment ref="G74" authorId="1">
      <text>
        <r>
          <rPr>
            <b/>
            <sz val="8"/>
            <color indexed="81"/>
            <rFont val="Tahoma"/>
            <family val="2"/>
          </rPr>
          <t>Based on CEC plant survey, Nov. 2006</t>
        </r>
        <r>
          <rPr>
            <sz val="8"/>
            <color indexed="81"/>
            <rFont val="Tahoma"/>
            <family val="2"/>
          </rPr>
          <t xml:space="preserve">
</t>
        </r>
      </text>
    </comment>
    <comment ref="H74" authorId="1">
      <text>
        <r>
          <rPr>
            <b/>
            <sz val="8"/>
            <color indexed="81"/>
            <rFont val="Tahoma"/>
            <family val="2"/>
          </rPr>
          <t>Based on CEC plant survey, Nov. 2006</t>
        </r>
        <r>
          <rPr>
            <sz val="8"/>
            <color indexed="81"/>
            <rFont val="Tahoma"/>
            <family val="2"/>
          </rPr>
          <t xml:space="preserve">
</t>
        </r>
      </text>
    </comment>
    <comment ref="N80" authorId="5">
      <text>
        <r>
          <rPr>
            <b/>
            <sz val="8"/>
            <color indexed="81"/>
            <rFont val="Tahoma"/>
            <family val="2"/>
          </rPr>
          <t>Presumed developed at existing site</t>
        </r>
        <r>
          <rPr>
            <sz val="8"/>
            <color indexed="81"/>
            <rFont val="Tahoma"/>
            <family val="2"/>
          </rPr>
          <t xml:space="preserve">
</t>
        </r>
      </text>
    </comment>
    <comment ref="O80" authorId="5">
      <text>
        <r>
          <rPr>
            <b/>
            <sz val="8"/>
            <color indexed="81"/>
            <rFont val="Tahoma"/>
            <family val="2"/>
          </rPr>
          <t>Presumed developed at existing site</t>
        </r>
        <r>
          <rPr>
            <sz val="8"/>
            <color indexed="81"/>
            <rFont val="Tahoma"/>
            <family val="2"/>
          </rPr>
          <t xml:space="preserve">
</t>
        </r>
      </text>
    </comment>
    <comment ref="P80" authorId="5">
      <text>
        <r>
          <rPr>
            <b/>
            <sz val="8"/>
            <color indexed="81"/>
            <rFont val="Tahoma"/>
            <family val="2"/>
          </rPr>
          <t>Presumed developed at existing site</t>
        </r>
        <r>
          <rPr>
            <sz val="8"/>
            <color indexed="81"/>
            <rFont val="Tahoma"/>
            <family val="2"/>
          </rPr>
          <t xml:space="preserve">
</t>
        </r>
      </text>
    </comment>
    <comment ref="Q80" authorId="5">
      <text>
        <r>
          <rPr>
            <sz val="8"/>
            <color indexed="81"/>
            <rFont val="Tahoma"/>
            <family val="2"/>
          </rPr>
          <t xml:space="preserve">Placeholder until a better value is developed
</t>
        </r>
      </text>
    </comment>
    <comment ref="S80" authorId="5">
      <text>
        <r>
          <rPr>
            <sz val="8"/>
            <color indexed="81"/>
            <rFont val="Tahoma"/>
            <family val="2"/>
          </rPr>
          <t xml:space="preserve">Placeholder until a better value is developed
</t>
        </r>
      </text>
    </comment>
    <comment ref="H94" authorId="1">
      <text>
        <r>
          <rPr>
            <b/>
            <sz val="8"/>
            <color indexed="81"/>
            <rFont val="Tahoma"/>
            <family val="2"/>
          </rPr>
          <t>Based on $200/kW of duct firing. Median capacity = 9.1% of total (n=15).</t>
        </r>
        <r>
          <rPr>
            <sz val="8"/>
            <color indexed="81"/>
            <rFont val="Tahoma"/>
            <family val="2"/>
          </rPr>
          <t xml:space="preserve">
</t>
        </r>
      </text>
    </comment>
    <comment ref="C105" authorId="5">
      <text>
        <r>
          <rPr>
            <b/>
            <sz val="8"/>
            <color indexed="81"/>
            <rFont val="Tahoma"/>
            <family val="2"/>
          </rPr>
          <t>Expected non-inflationary cost changes for combined factors, including:
- escalating construction &amp; materials costs
- technological innovations
- learning, scale &amp; scope factors</t>
        </r>
        <r>
          <rPr>
            <sz val="8"/>
            <color indexed="81"/>
            <rFont val="Tahoma"/>
            <family val="2"/>
          </rPr>
          <t xml:space="preserve">
</t>
        </r>
      </text>
    </comment>
    <comment ref="C109" authorId="6">
      <text>
        <r>
          <rPr>
            <b/>
            <sz val="9"/>
            <color indexed="81"/>
            <rFont val="Tahoma"/>
            <family val="2"/>
          </rPr>
          <t>Ashley Spalding:</t>
        </r>
        <r>
          <rPr>
            <sz val="9"/>
            <color indexed="81"/>
            <rFont val="Tahoma"/>
            <family val="2"/>
          </rPr>
          <t xml:space="preserve">
Ashley Spalding:
These values are good for solar. We will update them for the other technologies when we have valid estiamtes</t>
        </r>
      </text>
    </comment>
    <comment ref="C111" authorId="6">
      <text>
        <r>
          <rPr>
            <b/>
            <sz val="9"/>
            <color indexed="81"/>
            <rFont val="Tahoma"/>
            <family val="2"/>
          </rPr>
          <t>Ashley Spalding:</t>
        </r>
        <r>
          <rPr>
            <sz val="9"/>
            <color indexed="81"/>
            <rFont val="Tahoma"/>
            <family val="2"/>
          </rPr>
          <t xml:space="preserve">
These values are good for solar. We will update them for the other technologies when we have valid estiamtes
</t>
        </r>
      </text>
    </comment>
    <comment ref="D114" authorId="1">
      <text>
        <r>
          <rPr>
            <b/>
            <sz val="8"/>
            <color indexed="81"/>
            <rFont val="Tahoma"/>
            <family val="2"/>
          </rPr>
          <t>Based on average for 7 CTs with CEC AFCs, 1997-2005</t>
        </r>
        <r>
          <rPr>
            <sz val="8"/>
            <color indexed="81"/>
            <rFont val="Tahoma"/>
            <family val="2"/>
          </rPr>
          <t xml:space="preserve">
</t>
        </r>
      </text>
    </comment>
    <comment ref="E114" authorId="1">
      <text>
        <r>
          <rPr>
            <b/>
            <sz val="8"/>
            <color indexed="81"/>
            <rFont val="Tahoma"/>
            <family val="2"/>
          </rPr>
          <t>Based on average for 7 CTs with CEC AFCs, 1997-2005</t>
        </r>
        <r>
          <rPr>
            <sz val="8"/>
            <color indexed="81"/>
            <rFont val="Tahoma"/>
            <family val="2"/>
          </rPr>
          <t xml:space="preserve">
</t>
        </r>
      </text>
    </comment>
    <comment ref="F114" authorId="1">
      <text>
        <r>
          <rPr>
            <b/>
            <sz val="8"/>
            <color indexed="81"/>
            <rFont val="Tahoma"/>
            <family val="2"/>
          </rPr>
          <t>Based on average for 7 CTs with CEC AFCs, 1997-2005</t>
        </r>
        <r>
          <rPr>
            <sz val="8"/>
            <color indexed="81"/>
            <rFont val="Tahoma"/>
            <family val="2"/>
          </rPr>
          <t xml:space="preserve">
</t>
        </r>
      </text>
    </comment>
    <comment ref="G114" authorId="1">
      <text>
        <r>
          <rPr>
            <b/>
            <sz val="8"/>
            <color indexed="81"/>
            <rFont val="Tahoma"/>
            <family val="2"/>
          </rPr>
          <t>Based on average for 22 CCs with CEC AFCs, 1997-2005</t>
        </r>
        <r>
          <rPr>
            <sz val="8"/>
            <color indexed="81"/>
            <rFont val="Tahoma"/>
            <family val="2"/>
          </rPr>
          <t xml:space="preserve">
</t>
        </r>
      </text>
    </comment>
    <comment ref="H114" authorId="1">
      <text>
        <r>
          <rPr>
            <b/>
            <sz val="8"/>
            <color indexed="81"/>
            <rFont val="Tahoma"/>
            <family val="2"/>
          </rPr>
          <t>Based on average for 22 CCs with CEC AFCs, 1997-2005</t>
        </r>
        <r>
          <rPr>
            <sz val="8"/>
            <color indexed="81"/>
            <rFont val="Tahoma"/>
            <family val="2"/>
          </rPr>
          <t xml:space="preserve">
</t>
        </r>
      </text>
    </comment>
    <comment ref="C115" authorId="3">
      <text>
        <r>
          <rPr>
            <b/>
            <sz val="8"/>
            <color indexed="81"/>
            <rFont val="Tahoma"/>
            <family val="2"/>
          </rPr>
          <t>Area required by project but within existing lease.  Mitigation costs included in Environmental Permitting</t>
        </r>
      </text>
    </comment>
    <comment ref="D120" authorId="1">
      <text>
        <r>
          <rPr>
            <u/>
            <sz val="8"/>
            <color indexed="81"/>
            <rFont val="Tahoma"/>
            <family val="2"/>
          </rPr>
          <t>For units &gt; 49.99MW</t>
        </r>
        <r>
          <rPr>
            <sz val="8"/>
            <color indexed="81"/>
            <rFont val="Tahoma"/>
            <family val="2"/>
          </rPr>
          <t xml:space="preserve">: </t>
        </r>
        <r>
          <rPr>
            <b/>
            <sz val="8"/>
            <color indexed="81"/>
            <rFont val="Tahoma"/>
            <family val="2"/>
          </rPr>
          <t>$20/kW</t>
        </r>
        <r>
          <rPr>
            <sz val="8"/>
            <color indexed="81"/>
            <rFont val="Tahoma"/>
            <family val="2"/>
          </rPr>
          <t xml:space="preserve"> based on avg. of SPPE and AFC costs from survey.
</t>
        </r>
        <r>
          <rPr>
            <u/>
            <sz val="8"/>
            <color indexed="81"/>
            <rFont val="Tahoma"/>
            <family val="2"/>
          </rPr>
          <t>For units &lt; 50MW</t>
        </r>
        <r>
          <rPr>
            <sz val="8"/>
            <color indexed="81"/>
            <rFont val="Tahoma"/>
            <family val="2"/>
          </rPr>
          <t xml:space="preserve">: </t>
        </r>
        <r>
          <rPr>
            <b/>
            <sz val="8"/>
            <color indexed="81"/>
            <rFont val="Tahoma"/>
            <family val="2"/>
          </rPr>
          <t xml:space="preserve">$8/kW </t>
        </r>
        <r>
          <rPr>
            <sz val="8"/>
            <color indexed="81"/>
            <rFont val="Tahoma"/>
            <family val="2"/>
          </rPr>
          <t>based on 21 day certifications.</t>
        </r>
        <r>
          <rPr>
            <b/>
            <sz val="8"/>
            <color indexed="81"/>
            <rFont val="Tahoma"/>
            <family val="2"/>
          </rPr>
          <t xml:space="preserve">
JK 3-28-07</t>
        </r>
      </text>
    </comment>
    <comment ref="E120" authorId="1">
      <text>
        <r>
          <rPr>
            <u/>
            <sz val="8"/>
            <color indexed="81"/>
            <rFont val="Tahoma"/>
            <family val="2"/>
          </rPr>
          <t>For units &gt; 49.99MW</t>
        </r>
        <r>
          <rPr>
            <sz val="8"/>
            <color indexed="81"/>
            <rFont val="Tahoma"/>
            <family val="2"/>
          </rPr>
          <t xml:space="preserve">: </t>
        </r>
        <r>
          <rPr>
            <b/>
            <sz val="8"/>
            <color indexed="81"/>
            <rFont val="Tahoma"/>
            <family val="2"/>
          </rPr>
          <t>$20/kW</t>
        </r>
        <r>
          <rPr>
            <sz val="8"/>
            <color indexed="81"/>
            <rFont val="Tahoma"/>
            <family val="2"/>
          </rPr>
          <t xml:space="preserve"> based on avg. of SPPE and AFC costs from survey.
</t>
        </r>
        <r>
          <rPr>
            <u/>
            <sz val="8"/>
            <color indexed="81"/>
            <rFont val="Tahoma"/>
            <family val="2"/>
          </rPr>
          <t>For units &lt; 50MW</t>
        </r>
        <r>
          <rPr>
            <sz val="8"/>
            <color indexed="81"/>
            <rFont val="Tahoma"/>
            <family val="2"/>
          </rPr>
          <t xml:space="preserve">: </t>
        </r>
        <r>
          <rPr>
            <b/>
            <sz val="8"/>
            <color indexed="81"/>
            <rFont val="Tahoma"/>
            <family val="2"/>
          </rPr>
          <t xml:space="preserve">$8/kW </t>
        </r>
        <r>
          <rPr>
            <sz val="8"/>
            <color indexed="81"/>
            <rFont val="Tahoma"/>
            <family val="2"/>
          </rPr>
          <t>based on 21 day certifications.</t>
        </r>
        <r>
          <rPr>
            <b/>
            <sz val="8"/>
            <color indexed="81"/>
            <rFont val="Tahoma"/>
            <family val="2"/>
          </rPr>
          <t xml:space="preserve">
JK 3-28-07</t>
        </r>
      </text>
    </comment>
    <comment ref="F120" authorId="1">
      <text>
        <r>
          <rPr>
            <u/>
            <sz val="8"/>
            <color indexed="81"/>
            <rFont val="Tahoma"/>
            <family val="2"/>
          </rPr>
          <t>For units &gt; 49.99MW</t>
        </r>
        <r>
          <rPr>
            <sz val="8"/>
            <color indexed="81"/>
            <rFont val="Tahoma"/>
            <family val="2"/>
          </rPr>
          <t xml:space="preserve">: </t>
        </r>
        <r>
          <rPr>
            <b/>
            <sz val="8"/>
            <color indexed="81"/>
            <rFont val="Tahoma"/>
            <family val="2"/>
          </rPr>
          <t>$20/kW</t>
        </r>
        <r>
          <rPr>
            <sz val="8"/>
            <color indexed="81"/>
            <rFont val="Tahoma"/>
            <family val="2"/>
          </rPr>
          <t xml:space="preserve"> based on avg. of SPPE and AFC costs from survey.
</t>
        </r>
        <r>
          <rPr>
            <u/>
            <sz val="8"/>
            <color indexed="81"/>
            <rFont val="Tahoma"/>
            <family val="2"/>
          </rPr>
          <t>For units &lt; 50MW</t>
        </r>
        <r>
          <rPr>
            <sz val="8"/>
            <color indexed="81"/>
            <rFont val="Tahoma"/>
            <family val="2"/>
          </rPr>
          <t xml:space="preserve">: </t>
        </r>
        <r>
          <rPr>
            <b/>
            <sz val="8"/>
            <color indexed="81"/>
            <rFont val="Tahoma"/>
            <family val="2"/>
          </rPr>
          <t xml:space="preserve">$8/kW </t>
        </r>
        <r>
          <rPr>
            <sz val="8"/>
            <color indexed="81"/>
            <rFont val="Tahoma"/>
            <family val="2"/>
          </rPr>
          <t>based on 21 day certifications.</t>
        </r>
        <r>
          <rPr>
            <b/>
            <sz val="8"/>
            <color indexed="81"/>
            <rFont val="Tahoma"/>
            <family val="2"/>
          </rPr>
          <t xml:space="preserve">
JK 3-28-07</t>
        </r>
      </text>
    </comment>
    <comment ref="G133" authorId="7">
      <text>
        <r>
          <rPr>
            <sz val="10"/>
            <color indexed="81"/>
            <rFont val="Tahoma"/>
            <family val="2"/>
          </rPr>
          <t xml:space="preserve">From Aspen data survey 2005
</t>
        </r>
        <r>
          <rPr>
            <sz val="10"/>
            <color indexed="81"/>
            <rFont val="Tahoma"/>
            <family val="2"/>
          </rPr>
          <t xml:space="preserve">
</t>
        </r>
      </text>
    </comment>
    <comment ref="H133" authorId="7">
      <text>
        <r>
          <rPr>
            <sz val="10"/>
            <color indexed="81"/>
            <rFont val="Tahoma"/>
            <family val="2"/>
          </rPr>
          <t xml:space="preserve">From Aspen data survey 2005
</t>
        </r>
        <r>
          <rPr>
            <sz val="10"/>
            <color indexed="81"/>
            <rFont val="Tahoma"/>
            <family val="2"/>
          </rPr>
          <t xml:space="preserve">
</t>
        </r>
      </text>
    </comment>
    <comment ref="D135" authorId="5">
      <text>
        <r>
          <rPr>
            <b/>
            <sz val="8"/>
            <color indexed="81"/>
            <rFont val="Tahoma"/>
            <family val="2"/>
          </rPr>
          <t>From CEC 2006 Plant Survey</t>
        </r>
        <r>
          <rPr>
            <sz val="8"/>
            <color indexed="81"/>
            <rFont val="Tahoma"/>
            <family val="2"/>
          </rPr>
          <t xml:space="preserve">
</t>
        </r>
      </text>
    </comment>
    <comment ref="E135" authorId="5">
      <text>
        <r>
          <rPr>
            <b/>
            <sz val="8"/>
            <color indexed="81"/>
            <rFont val="Tahoma"/>
            <family val="2"/>
          </rPr>
          <t>From CEC 2006 Plant Survey</t>
        </r>
        <r>
          <rPr>
            <sz val="8"/>
            <color indexed="81"/>
            <rFont val="Tahoma"/>
            <family val="2"/>
          </rPr>
          <t xml:space="preserve">
</t>
        </r>
      </text>
    </comment>
    <comment ref="F135" authorId="1">
      <text>
        <r>
          <rPr>
            <b/>
            <sz val="8"/>
            <color indexed="81"/>
            <rFont val="Tahoma"/>
            <family val="2"/>
          </rPr>
          <t>From base conventional plant adjusted for EIA EMM plant cost ratio for advanced ($2.89/MWH) / for conventional ($3.25/MWH)</t>
        </r>
        <r>
          <rPr>
            <sz val="8"/>
            <color indexed="81"/>
            <rFont val="Tahoma"/>
            <family val="2"/>
          </rPr>
          <t xml:space="preserve">
</t>
        </r>
      </text>
    </comment>
    <comment ref="G135" authorId="5">
      <text>
        <r>
          <rPr>
            <b/>
            <sz val="8"/>
            <color indexed="81"/>
            <rFont val="Tahoma"/>
            <family val="2"/>
          </rPr>
          <t>From CEC 2006 Plant Survey</t>
        </r>
        <r>
          <rPr>
            <sz val="8"/>
            <color indexed="81"/>
            <rFont val="Tahoma"/>
            <family val="2"/>
          </rPr>
          <t xml:space="preserve">
</t>
        </r>
      </text>
    </comment>
    <comment ref="H135" authorId="5">
      <text>
        <r>
          <rPr>
            <b/>
            <sz val="8"/>
            <color indexed="81"/>
            <rFont val="Tahoma"/>
            <family val="2"/>
          </rPr>
          <t>From CEC 2006 Plant Survey</t>
        </r>
        <r>
          <rPr>
            <sz val="8"/>
            <color indexed="81"/>
            <rFont val="Tahoma"/>
            <family val="2"/>
          </rPr>
          <t xml:space="preserve">
</t>
        </r>
      </text>
    </comment>
    <comment ref="D206" authorId="5">
      <text>
        <r>
          <rPr>
            <b/>
            <sz val="8"/>
            <color indexed="81"/>
            <rFont val="Tahoma"/>
            <family val="2"/>
          </rPr>
          <t>117.08 #/MMBtu</t>
        </r>
        <r>
          <rPr>
            <sz val="8"/>
            <color indexed="81"/>
            <rFont val="Tahoma"/>
            <family val="2"/>
          </rPr>
          <t xml:space="preserve">
</t>
        </r>
      </text>
    </comment>
    <comment ref="E206" authorId="5">
      <text>
        <r>
          <rPr>
            <b/>
            <sz val="8"/>
            <color indexed="81"/>
            <rFont val="Tahoma"/>
            <family val="2"/>
          </rPr>
          <t>117.08 #/MMBtu</t>
        </r>
        <r>
          <rPr>
            <sz val="8"/>
            <color indexed="81"/>
            <rFont val="Tahoma"/>
            <family val="2"/>
          </rPr>
          <t xml:space="preserve">
</t>
        </r>
      </text>
    </comment>
    <comment ref="F206" authorId="5">
      <text>
        <r>
          <rPr>
            <b/>
            <sz val="8"/>
            <color indexed="81"/>
            <rFont val="Tahoma"/>
            <family val="2"/>
          </rPr>
          <t>117.08 #/MMBtu</t>
        </r>
        <r>
          <rPr>
            <sz val="8"/>
            <color indexed="81"/>
            <rFont val="Tahoma"/>
            <family val="2"/>
          </rPr>
          <t xml:space="preserve">
</t>
        </r>
      </text>
    </comment>
    <comment ref="G206" authorId="5">
      <text>
        <r>
          <rPr>
            <b/>
            <sz val="8"/>
            <color indexed="81"/>
            <rFont val="Tahoma"/>
            <family val="2"/>
          </rPr>
          <t>117.08 #/MMBtu</t>
        </r>
        <r>
          <rPr>
            <sz val="8"/>
            <color indexed="81"/>
            <rFont val="Tahoma"/>
            <family val="2"/>
          </rPr>
          <t xml:space="preserve">
</t>
        </r>
      </text>
    </comment>
    <comment ref="H206" authorId="5">
      <text>
        <r>
          <rPr>
            <b/>
            <sz val="8"/>
            <color indexed="81"/>
            <rFont val="Tahoma"/>
            <family val="2"/>
          </rPr>
          <t>117.08 #/MMBtu</t>
        </r>
        <r>
          <rPr>
            <sz val="8"/>
            <color indexed="81"/>
            <rFont val="Tahoma"/>
            <family val="2"/>
          </rPr>
          <t xml:space="preserve">
</t>
        </r>
      </text>
    </comment>
    <comment ref="U211" authorId="1">
      <text>
        <r>
          <rPr>
            <b/>
            <sz val="8"/>
            <color indexed="81"/>
            <rFont val="Tahoma"/>
            <family val="2"/>
          </rPr>
          <t>Assumes same emissoin rate with and without duct firing.  Aspen EG study assumes no duct firing.</t>
        </r>
      </text>
    </comment>
    <comment ref="V211" authorId="1">
      <text>
        <r>
          <rPr>
            <b/>
            <sz val="8"/>
            <color indexed="81"/>
            <rFont val="Tahoma"/>
            <family val="2"/>
          </rPr>
          <t>Assumes same emissoin rate with and without duct firing.  Aspen EG study assumes no duct firing.</t>
        </r>
      </text>
    </comment>
    <comment ref="W211" authorId="1">
      <text>
        <r>
          <rPr>
            <b/>
            <sz val="8"/>
            <color indexed="81"/>
            <rFont val="Tahoma"/>
            <family val="2"/>
          </rPr>
          <t>Assumes same emissoin rate with and without duct firing.  Aspen EG study assumes no duct firing.</t>
        </r>
      </text>
    </comment>
    <comment ref="C217" authorId="0">
      <text>
        <r>
          <rPr>
            <sz val="8"/>
            <color indexed="81"/>
            <rFont val="Tahoma"/>
            <family val="2"/>
          </rPr>
          <t xml:space="preserve">Business Energy Investment Tax Credit (ITC)
Incentive Type: Corporate Tax Credit
</t>
        </r>
        <r>
          <rPr>
            <b/>
            <sz val="8"/>
            <color indexed="81"/>
            <rFont val="Tahoma"/>
            <family val="2"/>
          </rPr>
          <t>Eligible Renewable/Other Technologies:
Solar Water Heat, Solar Space Heat, Solar Thermal Electric, Solar Thermal Process Heat, Photovoltaics, Wind, Biomass, Geothermal Electric, Fuel Cells, Geothermal Heat Pumps, CHP/Cogeneration, Solar Hybrid Lighting, Direct Use Geothermal, Microturbines</t>
        </r>
        <r>
          <rPr>
            <sz val="8"/>
            <color indexed="81"/>
            <rFont val="Tahoma"/>
            <family val="2"/>
          </rPr>
          <t xml:space="preserve">
Applicable Sectors: Commercial, Industrial, Utility
Amount: 30% for solar, fuel cells and small wind;
10% for geothermal, microturbines and CHP
Maximum Incentive: Fuel cells: $1,500 per 0.5 kW
Microturbines: $200 per kW
Small wind turbines placed in service 10/4/08 - 12/31/08: $4,000
Small wind turbines placed in service after 12/31/08: no limit
All other eligible technologies: no limit
Eligible System Size: Small wind turbines: 100 kW or less
Fuel cells: 0.5 kW or greater
Microturbines: 2 MW or less
CHP: 50 MW or less
Equipment/Installation
Requirements: Fuel cells, microturbines and CHP systems must meet specific energy-efficiency criteria
Authority 1: 26 USC § 48
Summary:
Note: The American Recovery and Reinvestment Act of 2009 (H.R. 1) allows taxpayers eligible for the federal renewable electricity production tax credit (PTC) to take the federal business energy investment tax credit (ITC) or to receive a grant from the U.S. Treasury Department instead of taking the PTC for new installations. The new law also allows taxpayers eligible for the business ITC to receive a grant from the U.S. Treasury Department instead of taking the business ITC for new installations.
The federal business energy investment tax credit available under 26 USC § 48 was expanded significantly by the Energy Improvement and Extension Act of 2008 (H.R. 1424), enacted in October 2008. This law extended the duration -- by eight years -- of the existing credits for solar energy, fuel cells and microturbines; increased the credit amount for fuel cells; established new credits for small wind-energy systems, geothermal heat pumps, and combined heat and power (CHP) systems; extended eligibility for the credits to utilities; and allowed taxpayers to take the credit against the alternative minimum tax (AMT), subject to certain limitations. The credit was further expanded by The American Recovery and Reinvestment Act of 2009, enacted in February 2009.
In general, credits are available for eligible systems placed in service on or before December 31, 2016:*
Solar. The credit is equal to 30% of expenditures, with no maximum credit. Eligible solar energy property includes equipment that uses solar energy to generate electricity, to heat or cool (or provide hot water for use in) a structure, or to provide solar process heat. Hybrid solar lighting systems, which use solar energy to illuminate the inside of a structure using fiber-optic distributed sunlight, are eligible. (Passive solar systems and solar pool-heating systems are not eligible.)
Fuel Cells. The credit is equal to 30% of expenditures, with no maximum credit. However, the credit for fuel cells is capped at $1,500 per 0.5 kilowatt (kW) of capacity. Eligible property includes fuel cells with a minimum capacity of 0.5 kW that have an electricity-only generation efficiency of 30% or higher. (Note that the credit for property placed in service before October 4, 2008, is capped at $500 per 0.5 kW.)
Small Wind Turbines. The credit is equal to 30% of expenditures, with no maximum credit for small wind turbines placed in service after December 31, 2008. Eligible small wind property includes wind turbines up to 100 kW in capacity. (In general, the maximum credit is $4,000 for eligible property placed in service after October 3, 2008, and before January 1, 2009. The American Recovery and Reinvestment Act of 2009 removed the $4,000 maximum credit limit for small wind turbines.)
Geothermal Systems. The credit is equal to 10% of expenditures, with no maximum credit limit stated. Eligible geothermal energy property includes geothermal heat pumps and equipment used to produce, distribute or use energy derived from a geothermal deposit. For electricity produced by geothermal power, equipment qualifies only up to, but not including, the electric transmission stage. For geothermal heat pumps, this credit applies to eligible property placed in service after October 3, 2008.
Microturbines. The credit is equal to 10% of expenditures, with no maximum credit limit stated (explicitly). The credit for microturbines is capped at $200 per kW of capacity. Eligible property includes microturbines up to two megawatts (MW) in capacity that have an electricity-only generation efficiency of 26% or higher.
Combined Heat and Power (CHP). The credit is equal to 10% of expenditures, with no maximum limit stated. Eligible CHP property generally includes systems up to 50 MW in capacity that exceed 60% energy efficiency, subject to certain limitations and reductions for large systems. The efficiency requirement does not apply to CHP systems that use biomass for at least 90% of the system's energy source, but the credit may be reduced for less-efficient systems. This credit applies to eligible property placed in service after October 3, 2008.
Owners cannot claim both SGBETC and Renewable Energy PTC
http://www.dsireusa.org (updated 4/2009)</t>
        </r>
      </text>
    </comment>
    <comment ref="C218" authorId="5">
      <text>
        <r>
          <rPr>
            <b/>
            <sz val="8"/>
            <color indexed="81"/>
            <rFont val="Tahoma"/>
            <family val="2"/>
          </rPr>
          <t>DSIRE - extended to 2016 (5/09)</t>
        </r>
        <r>
          <rPr>
            <sz val="8"/>
            <color indexed="81"/>
            <rFont val="Tahoma"/>
            <family val="2"/>
          </rPr>
          <t xml:space="preserve">
</t>
        </r>
      </text>
    </comment>
    <comment ref="C222" authorId="0">
      <text>
        <r>
          <rPr>
            <sz val="8"/>
            <color indexed="81"/>
            <rFont val="Tahoma"/>
            <family val="2"/>
          </rPr>
          <t>Renewable Electricity Production Tax Credit (PTC)
Last DSIRE Review: 02/19/2009
Incentive Type: Corporate Tax Credit
Eligible Renewable/Other Technologies:
Landfill Gas, Wind, Biomass, Hydroelectric, Geothermal Electric, Municipal Solid Waste, Hydrokinetic Power (i.e., Flowing Water), Anaerobic Digestion, Small Hydroelectric, Tidal Energy, Wave Energy, Ocean Thermal
Applicable Sectors: Commercial, Industrial
Amount: 2.1¢/kWh for wind, geothermal, closed-loop biomass; 1.0¢/kWh for other eligible technologies. Generally applies to first 10 years of operation.
Eligible System Size: Marine and Hydrokinetic: Minimum capacity of 150 kW
Agricultural Livestock Waste: Minimum capacity of 150 kW
Website: http://www.irs.gov/pub/irs-pdf/f8835.pdf
Authority 1: 26 USC § 45
Date Enacted: 1992
Summary:
Note: The American Recovery and Reinvestment Act of 2009 (H.R. 1) allows taxpayers eligible for the federal renewable electricity production tax credit (PTC) to take the federal business energy investment tax credit (ITC) or to receive a grant from the U.S. Treasury Department instead of taking the PTC for new installations. The new law also allows taxpayers eligible for the business ITC to receive a grant from the U.S. Treasury Department instead of taking the business ITC for new installations.
The federal renewable electricity production tax credit (PTC) is a per-kilowatt-hour tax credit for electricity generated by qualified energy resources and sold by the taxpayer to an unrelated person during the taxable year. Originally enacted in 1992, the PTC has been renewed and expanded numerous times, most recently by H.R. 1424 (Div. B, Sec. 101 &amp; 102) in October 2008 and again by H.R. 1 (Div. B, Section 1101 &amp;1102) in February 2009.
The October 2008 legislation extended the in-service deadlines for all qualifying renewable technologies; expanded the list of qualifying resources to include marine and hydrokinetic resources, such as wave, tidal, current and ocean thermal; and made changes to the definitions of several qualifying resources and facilities. The effective dates of these changes vary. Marine and hydrokinetic energy production is eligible as of the date the legislation was enacted (October 3, 2008), as is the incremental energy production associated with expansions of biomass facilities. A change in the definition of "trash facility" no longer requires that such facilities burn trash, and is also effective immediately. One further provision redefining the term "non-hydroelectric dam," took effect December 31, 2008.
The February 2009 legislation revised the credit by: (1) extending the in-service deadline for most eligible technologies by three years (two years for marine and hydrokinetic resources); and (2) allowing facilities that qualify for the PTC to opt instead to take the federal business energy investment credit (ITC) or an equivalent cash grant from the U.S. Department of Treasury. The ITC or grant for PTC-eligible technologies is generally equal to 30% of eligible costs.*
The tax credit amount is 1.5¢/kWh in 1993 dollars (indexed for inflation) for some technologies, and half of that amount for others. The rules governing the PTC vary by resource and facility type. The table below outlines two of the most important characteristics of the tax credit -- in-service deadline and credit amount -- as they apply to different facilities. The table includes changes made by H.R. 1, in February 2009, and the inflation-adjusted credit amounts are current for the 2008 tax year. (See the history section below for information on prior rules.)
Resource Type In-Service Deadline Credit Amount
Wind December 31, 2012 2.1¢/kWh
Closed-Loop Biomass December 31, 2013 2.1¢/kWh
Open-Loop Biomass December 31, 2013 1.0¢/kWh
Geothermal Energy December 31, 2013 2.1¢/kWh
Landfill Gas December 31, 2013 1.0¢/kWh
Municipal Solid Waste December 31, 2013 1.0¢/kWh
Qualified Hydroelectric December 31, 2013 1.0¢/kWh
Marine and Hydrokinetic (150 kW or larger)** December 31, 2013 1.0¢/kWh
The duration of the credit is generally 10 years after the date the facility is placed in service, but there are two
exceptions:
Open-loop biomass, geothermal, small irrigation hydro, landfill gas and municipal solid waste combustion facilities placed into service after October 22, 2004, and before enactment of the Energy Policy Act of 2005, on August 8, 2005, are only eligible for the credit for a five-year period. Open-loop biomass facilities placed in service before October 22, 2004, are eligible for a five-year period beginning January 1, 2005.
In addition, the tax credit is reduced for projects that receive other federal tax credits, grants, tax-exempt financing, or subsidized energy financing. The credit is claimed by completing Form 8835, "Renewable Electricity Production Credit," and Form 3800, "General Business Credit." For more information, contact IRS Telephone Assistance for Businesses at 1-800-829-4933.
Owners cannot claim both SGBETC and Renewable Energy PTC
http://www.dsireusa.org</t>
        </r>
      </text>
    </comment>
    <comment ref="J222" authorId="1">
      <text>
        <r>
          <rPr>
            <b/>
            <sz val="8"/>
            <color indexed="81"/>
            <rFont val="Tahoma"/>
            <family val="2"/>
          </rPr>
          <t xml:space="preserve">Cannot use both GDA &amp; REPTC.  Assume REPTC more advantageous as default.  </t>
        </r>
        <r>
          <rPr>
            <sz val="8"/>
            <color indexed="81"/>
            <rFont val="Tahoma"/>
            <family val="2"/>
          </rPr>
          <t xml:space="preserve">
</t>
        </r>
      </text>
    </comment>
    <comment ref="K222" authorId="1">
      <text>
        <r>
          <rPr>
            <b/>
            <sz val="8"/>
            <color indexed="81"/>
            <rFont val="Tahoma"/>
            <family val="2"/>
          </rPr>
          <t xml:space="preserve">Cannot use both GDA &amp; REPTC.  Assume REPTC more advantageous as default.  </t>
        </r>
        <r>
          <rPr>
            <sz val="8"/>
            <color indexed="81"/>
            <rFont val="Tahoma"/>
            <family val="2"/>
          </rPr>
          <t xml:space="preserve">
</t>
        </r>
      </text>
    </comment>
    <comment ref="J227" authorId="1">
      <text>
        <r>
          <rPr>
            <b/>
            <sz val="8"/>
            <color indexed="81"/>
            <rFont val="Tahoma"/>
            <family val="2"/>
          </rPr>
          <t xml:space="preserve">Cannot use both GDA &amp; REPTC.  Assume REPTC more advantageous as default.  </t>
        </r>
        <r>
          <rPr>
            <sz val="8"/>
            <color indexed="81"/>
            <rFont val="Tahoma"/>
            <family val="2"/>
          </rPr>
          <t xml:space="preserve">
</t>
        </r>
      </text>
    </comment>
    <comment ref="C231" authorId="1">
      <text>
        <r>
          <rPr>
            <sz val="8"/>
            <color indexed="81"/>
            <rFont val="Tahoma"/>
            <family val="2"/>
          </rPr>
          <t>Muni, rural electric cooperatives, local or state governments Eligible.
Renewable Energy Production Incentive (REPI)
Incentive Type:  Production Incentive
Eligible Renewable/Other Technologies:  Solar Thermal Electric, Photovoltaics, Landfill Gas, Wind, Biomass, Geothermal Electric, Livestock Methane, Tidal Energy, Wave Energy, Ocean Thermal, Fuel Cells using Renewable Fuels
Applicable Sectors:  Tribal Government, Municipal Utility, Rural Electric Cooperative, State/local gov't that sell project's electricity
Amount: 1.5 cents per kWh (indexed for inflation)
Terms: 10 years
Authority 1:  42 USCS Â§ 13317
Date Enacted: 1992, amended 2005
Website: http://www.eere.energy.gov/wip/program/repi.html
http://www.dsireusa.org</t>
        </r>
      </text>
    </comment>
    <comment ref="C232" authorId="3">
      <text>
        <r>
          <rPr>
            <sz val="9"/>
            <color indexed="81"/>
            <rFont val="Tahoma"/>
            <family val="2"/>
          </rPr>
          <t>Renewable Energy Production Incentive
Eligible electric production facilities include publicly-owned electric utilities, rural electric cooperatives, and local or state governments that sell the project's electricity to someone else.  
In this model, Muni is assumed to be eligible.</t>
        </r>
      </text>
    </comment>
    <comment ref="C236" authorId="1">
      <text>
        <r>
          <rPr>
            <b/>
            <sz val="8"/>
            <color indexed="81"/>
            <rFont val="Tahoma"/>
            <family val="2"/>
          </rPr>
          <t>Property Tax Exemption for Solar Systems
Incentive Type:  Property Tax Exemption
Eligible Renewable/Other Technologies:  Solar Water Heat, Solar Space Heat, Solar Thermal Electric, Solar Thermal Process Heat, Photovoltaics, Solar Mechanical Energy
Applicable Sectors:  Commercial, Industrial, Residential
Amount: 100% of system value
Max. Limit: None
Terms: 75% exemption for dual-use equipment
Authority 1:  Cal Rev &amp; Tax Code Â§ 73
Expiration Date: 12/31/09</t>
        </r>
        <r>
          <rPr>
            <sz val="8"/>
            <color indexed="81"/>
            <rFont val="Tahoma"/>
            <family val="2"/>
          </rPr>
          <t xml:space="preserve">
http://www.dsireusa.org/Index.cfm?EE=0&amp;RE=1</t>
        </r>
      </text>
    </comment>
    <comment ref="C239" authorId="1">
      <text>
        <r>
          <rPr>
            <sz val="14"/>
            <color indexed="81"/>
            <rFont val="Tahoma"/>
            <family val="2"/>
          </rPr>
          <t>BOE, Tax Tips for Construction and Building Contractors Sales and Use Taxes, Publication 9, December 2002.
Installation labor and non equipment costs not subject to sales or use tax.</t>
        </r>
      </text>
    </comment>
    <comment ref="C241" authorId="1">
      <text>
        <r>
          <rPr>
            <b/>
            <sz val="10"/>
            <color indexed="81"/>
            <rFont val="Tahoma"/>
            <family val="2"/>
          </rPr>
          <t>Originally entered by Richard Mc Cann but was found to not be applicable - confirmed by  Sandy Miller 8-10-07</t>
        </r>
        <r>
          <rPr>
            <b/>
            <sz val="8"/>
            <color indexed="81"/>
            <rFont val="Tahoma"/>
            <family val="2"/>
          </rPr>
          <t xml:space="preserve">
California Solar Initiative Incentives
Incentive Type:  State Rebate Program
Eligible Renewable/Other Technologies:  Photovoltaics
Applicable Sectors:  Commercial, Industrial, Residential, Nonprofit, Schools, Local Government, State Government, Fed. Government, Multi-Family Residential, Low-Income Residential, Agricultural, Institutional, (All customers of PG&amp;E, SDG&amp;E, SCE; Bear Valley eligible only for NHSP)
Incentive Amount: Varies by sector and system size (see below)
Program Budget: $3.2 billion over 10 years
Ownership of Renewable Energy Credits: Remains with customer-producer
Authority 1:  CSI Handbook (2007)
Effective Date: 1/1/2007
Website: http://www.gosolarcalifornia.ca.gov</t>
        </r>
        <r>
          <rPr>
            <sz val="8"/>
            <color indexed="81"/>
            <rFont val="Tahoma"/>
            <family val="2"/>
          </rPr>
          <t xml:space="preserve">
Performance-Based Incentives for Systems 100 kW and larger:
    * $0.39/kWh for first 5 years for taxable entities  
    * $0.50/kWh for first 5 years for government entities and nonprofits
</t>
        </r>
        <r>
          <rPr>
            <b/>
            <sz val="8"/>
            <color indexed="81"/>
            <rFont val="Tahoma"/>
            <family val="2"/>
          </rPr>
          <t xml:space="preserve">THIS MUST BE UPDATED BASED ON FORECASTED SOLAR CAPACITY
</t>
        </r>
        <r>
          <rPr>
            <sz val="8"/>
            <color indexed="81"/>
            <rFont val="Tahoma"/>
            <family val="2"/>
          </rPr>
          <t xml:space="preserve">The CSI program will pay PBI for solar projects with systems equal to or greater than 100 kilowatts (kW), with monthly payments based on recorded kilowatt hours (kWh) of solar power produced over a 5-year period. Residential and small projects can also choose to opt-in to the performance-based incentive payment approach. Once the PBI incentive rate has been determined and a confirmed eservation issued, the ¢/kWh incentive rate will remain constant for the 5-year term.
</t>
        </r>
        <r>
          <rPr>
            <sz val="8"/>
            <color indexed="81"/>
            <rFont val="Tahoma"/>
            <family val="2"/>
          </rPr>
          <t xml:space="preserve">
http://www.dsireusa.org/Index.cfm?EE=0&amp;RE=1
</t>
        </r>
      </text>
    </comment>
    <comment ref="R241" authorId="1">
      <text>
        <r>
          <rPr>
            <b/>
            <sz val="8"/>
            <color indexed="81"/>
            <rFont val="Tahoma"/>
            <family val="2"/>
          </rPr>
          <t>Function of forecasted installed capacity</t>
        </r>
        <r>
          <rPr>
            <sz val="8"/>
            <color indexed="81"/>
            <rFont val="Tahoma"/>
            <family val="2"/>
          </rPr>
          <t xml:space="preserve">
</t>
        </r>
      </text>
    </comment>
    <comment ref="T241" authorId="1">
      <text>
        <r>
          <rPr>
            <b/>
            <sz val="8"/>
            <color indexed="81"/>
            <rFont val="Tahoma"/>
            <family val="2"/>
          </rPr>
          <t>Function of forecasted installed capacity</t>
        </r>
        <r>
          <rPr>
            <sz val="8"/>
            <color indexed="81"/>
            <rFont val="Tahoma"/>
            <family val="2"/>
          </rPr>
          <t xml:space="preserve">
</t>
        </r>
      </text>
    </comment>
    <comment ref="C243" authorId="1">
      <text>
        <r>
          <rPr>
            <b/>
            <sz val="10"/>
            <color indexed="81"/>
            <rFont val="Tahoma"/>
            <family val="2"/>
          </rPr>
          <t xml:space="preserve">Originally entered by Richard Mc Cann but was found to not be applicable - confirmed by  Sandy Miller 8-10-07
</t>
        </r>
        <r>
          <rPr>
            <b/>
            <sz val="8"/>
            <color indexed="81"/>
            <rFont val="Tahoma"/>
            <family val="2"/>
          </rPr>
          <t xml:space="preserve">
Self-Generation Incentive Program
Incentive Type:  State Rebate Program
Eligible Renewable/Other Technologies:  Wind, Fuel Cells, CHP/Cogeneration, Other Distributed Generation Technologies
Applicable Sectors:  Commercial, Industrial, Residential, Nonprofit, Schools, Local Government, State Government, Fed. Government, Institutional
Incentive Amount: $1.00/W to $4.50/W for renewables, depending on technology.
Maximum Incentive: Incentive payment is capped at 1 MW.
Eligible System Size: Systems must be sized according to customer's electricity demand; maximum system size of 5 MW; minimum of 30 kW for wind turbines and fuel cells using renewable fuels.
Equipment Requirements: Systems must be new, UL listed, and in compliance with all applicable performance and safety standards. Wind systems and fuels must be covered by a minimum five year warranty. Other systems must be covered at least three years.
Installation Requirements: Installation must comply with all federal, state, and local codes; Must be grid-connected and installed by a California-licensed contractor.
Program Budget: 2007 Funding:
PG&amp;E: $32.4 million;
SCE: $25.2 million;
So Cal Gas: $9.9 million;
SDG&amp;E: $7.2 million
Ownership of Renewable Energy Credits: Remains with customer/producer
Expiration Date 1/1/2012
Authority 1:  Self-Generation Incentive Program Handbook (2007)
Website: http://www.cpuc.ca.gov/
static/energy/electric/051005_sgip.htm</t>
        </r>
        <r>
          <rPr>
            <sz val="8"/>
            <color indexed="81"/>
            <rFont val="Tahoma"/>
            <family val="2"/>
          </rPr>
          <t xml:space="preserve">
http://www.dsireusa.org/Index.cfm?EE=0&amp;RE=1</t>
        </r>
      </text>
    </comment>
    <comment ref="C267" authorId="3">
      <text>
        <r>
          <rPr>
            <b/>
            <sz val="9"/>
            <color indexed="81"/>
            <rFont val="Tahoma"/>
            <family val="2"/>
          </rPr>
          <t>Labor/day??</t>
        </r>
      </text>
    </comment>
    <comment ref="C281" authorId="3">
      <text>
        <r>
          <rPr>
            <sz val="9"/>
            <color indexed="81"/>
            <rFont val="Tahoma"/>
            <family val="2"/>
          </rPr>
          <t>Included Planned and Maintenance Outages</t>
        </r>
      </text>
    </comment>
    <comment ref="C283" authorId="3">
      <text>
        <r>
          <rPr>
            <sz val="9"/>
            <color indexed="81"/>
            <rFont val="Tahoma"/>
            <family val="2"/>
          </rPr>
          <t>Included Planned and Maintenance Outages</t>
        </r>
      </text>
    </comment>
  </commentList>
</comments>
</file>

<file path=xl/comments18.xml><?xml version="1.0" encoding="utf-8"?>
<comments xmlns="http://schemas.openxmlformats.org/spreadsheetml/2006/main">
  <authors>
    <author xml:space="preserve"> </author>
    <author>Richard McCann</author>
    <author>Ivin Rhyne</author>
    <author>Ashley Spalding</author>
    <author>Eric Cutter</author>
    <author>Joel Klein</author>
    <author>irhyne</author>
    <author>RMcCann</author>
    <author>jklein</author>
    <author>CEC</author>
    <author>Ashley</author>
  </authors>
  <commentList>
    <comment ref="A2" authorId="0">
      <text>
        <r>
          <rPr>
            <b/>
            <sz val="8"/>
            <color indexed="81"/>
            <rFont val="Tahoma"/>
            <family val="2"/>
          </rPr>
          <t>DO NOT DELETE OR MOVE</t>
        </r>
      </text>
    </comment>
    <comment ref="I2" authorId="1">
      <text>
        <r>
          <rPr>
            <b/>
            <sz val="8"/>
            <color indexed="81"/>
            <rFont val="Tahoma"/>
            <family val="2"/>
          </rPr>
          <t>Assumed this is open loop biomass</t>
        </r>
        <r>
          <rPr>
            <sz val="8"/>
            <color indexed="81"/>
            <rFont val="Tahoma"/>
            <family val="2"/>
          </rPr>
          <t xml:space="preserve">
</t>
        </r>
      </text>
    </comment>
    <comment ref="C3" authorId="1">
      <text>
        <r>
          <rPr>
            <b/>
            <sz val="8"/>
            <color indexed="81"/>
            <rFont val="Tahoma"/>
            <family val="2"/>
          </rPr>
          <t>Currently: References for 2003 IEPR "Cost of Generation" Appendix, based on interviews with industry analysts listed here.</t>
        </r>
      </text>
    </comment>
    <comment ref="C4" authorId="1">
      <text>
        <r>
          <rPr>
            <sz val="8"/>
            <color indexed="81"/>
            <rFont val="Tahoma"/>
            <family val="2"/>
          </rPr>
          <t xml:space="preserve">Update to correspond with year of cost data used.
</t>
        </r>
      </text>
    </comment>
    <comment ref="G7" authorId="1">
      <text>
        <r>
          <rPr>
            <sz val="8"/>
            <color indexed="81"/>
            <rFont val="Tahoma"/>
            <family val="2"/>
          </rPr>
          <t xml:space="preserve">Median capacity from survey net of duct firing.
</t>
        </r>
      </text>
    </comment>
    <comment ref="H7" authorId="1">
      <text>
        <r>
          <rPr>
            <b/>
            <sz val="8"/>
            <color indexed="81"/>
            <rFont val="Tahoma"/>
            <family val="2"/>
          </rPr>
          <t>Median duct firing capacity = 9.1% of total (15 observations)</t>
        </r>
        <r>
          <rPr>
            <sz val="8"/>
            <color indexed="81"/>
            <rFont val="Tahoma"/>
            <family val="2"/>
          </rPr>
          <t xml:space="preserve">
</t>
        </r>
      </text>
    </comment>
    <comment ref="Q8" authorId="2">
      <text>
        <r>
          <rPr>
            <b/>
            <sz val="8"/>
            <color indexed="81"/>
            <rFont val="Tahoma"/>
            <family val="2"/>
          </rPr>
          <t>Ivin Rhyne:</t>
        </r>
        <r>
          <rPr>
            <sz val="8"/>
            <color indexed="81"/>
            <rFont val="Tahoma"/>
            <family val="2"/>
          </rPr>
          <t xml:space="preserve">
Original value 13.5%
</t>
        </r>
      </text>
    </comment>
    <comment ref="D10" authorId="1">
      <text>
        <r>
          <rPr>
            <b/>
            <sz val="9"/>
            <color indexed="81"/>
            <rFont val="Tahoma"/>
            <family val="2"/>
          </rPr>
          <t>Richard McCann:</t>
        </r>
        <r>
          <rPr>
            <sz val="9"/>
            <color indexed="81"/>
            <rFont val="Tahoma"/>
            <family val="2"/>
          </rPr>
          <t xml:space="preserve">
BOE 2012, Diversified Electric Utilities, p. 60</t>
        </r>
      </text>
    </comment>
    <comment ref="E10" authorId="1">
      <text>
        <r>
          <rPr>
            <b/>
            <sz val="9"/>
            <color indexed="81"/>
            <rFont val="Tahoma"/>
            <family val="2"/>
          </rPr>
          <t>Richard McCann:</t>
        </r>
        <r>
          <rPr>
            <sz val="9"/>
            <color indexed="81"/>
            <rFont val="Tahoma"/>
            <family val="2"/>
          </rPr>
          <t xml:space="preserve">
BOE 2012, Diversified Electric Utilities, p. 60</t>
        </r>
      </text>
    </comment>
    <comment ref="F10" authorId="1">
      <text>
        <r>
          <rPr>
            <b/>
            <sz val="9"/>
            <color indexed="81"/>
            <rFont val="Tahoma"/>
            <family val="2"/>
          </rPr>
          <t>Richard McCann:</t>
        </r>
        <r>
          <rPr>
            <sz val="9"/>
            <color indexed="81"/>
            <rFont val="Tahoma"/>
            <family val="2"/>
          </rPr>
          <t xml:space="preserve">
BOE 2012, Diversified Electric Utilities, p. 60</t>
        </r>
      </text>
    </comment>
    <comment ref="G10" authorId="1">
      <text>
        <r>
          <rPr>
            <b/>
            <sz val="9"/>
            <color indexed="81"/>
            <rFont val="Tahoma"/>
            <family val="2"/>
          </rPr>
          <t>Richard McCann:</t>
        </r>
        <r>
          <rPr>
            <sz val="9"/>
            <color indexed="81"/>
            <rFont val="Tahoma"/>
            <family val="2"/>
          </rPr>
          <t xml:space="preserve">
BOE 2012, Diversified Electric Utilities, p. 60</t>
        </r>
      </text>
    </comment>
    <comment ref="H10" authorId="1">
      <text>
        <r>
          <rPr>
            <b/>
            <sz val="9"/>
            <color indexed="81"/>
            <rFont val="Tahoma"/>
            <family val="2"/>
          </rPr>
          <t>Richard McCann:</t>
        </r>
        <r>
          <rPr>
            <sz val="9"/>
            <color indexed="81"/>
            <rFont val="Tahoma"/>
            <family val="2"/>
          </rPr>
          <t xml:space="preserve">
BOE 2012, Diversified Electric Utilities, p. 60</t>
        </r>
      </text>
    </comment>
    <comment ref="I10" authorId="1">
      <text>
        <r>
          <rPr>
            <b/>
            <sz val="9"/>
            <color indexed="81"/>
            <rFont val="Tahoma"/>
            <family val="2"/>
          </rPr>
          <t>Richard McCann:</t>
        </r>
        <r>
          <rPr>
            <sz val="9"/>
            <color indexed="81"/>
            <rFont val="Tahoma"/>
            <family val="2"/>
          </rPr>
          <t xml:space="preserve">
Chadbourned &amp; Parke LLP
1/7/13 webinar</t>
        </r>
      </text>
    </comment>
    <comment ref="J10" authorId="1">
      <text>
        <r>
          <rPr>
            <b/>
            <sz val="9"/>
            <color indexed="81"/>
            <rFont val="Tahoma"/>
            <family val="2"/>
          </rPr>
          <t>Richard McCann:</t>
        </r>
        <r>
          <rPr>
            <sz val="9"/>
            <color indexed="81"/>
            <rFont val="Tahoma"/>
            <family val="2"/>
          </rPr>
          <t xml:space="preserve">
Chadbourned &amp; Parke LLP
1/7/13 webinar</t>
        </r>
      </text>
    </comment>
    <comment ref="K10" authorId="1">
      <text>
        <r>
          <rPr>
            <b/>
            <sz val="9"/>
            <color indexed="81"/>
            <rFont val="Tahoma"/>
            <family val="2"/>
          </rPr>
          <t>Richard McCann:</t>
        </r>
        <r>
          <rPr>
            <sz val="9"/>
            <color indexed="81"/>
            <rFont val="Tahoma"/>
            <family val="2"/>
          </rPr>
          <t xml:space="preserve">
Chadbourned &amp; Parke LLP
1/7/13 webinar</t>
        </r>
      </text>
    </comment>
    <comment ref="L10" authorId="1">
      <text>
        <r>
          <rPr>
            <b/>
            <sz val="9"/>
            <color indexed="81"/>
            <rFont val="Tahoma"/>
            <family val="2"/>
          </rPr>
          <t>Richard McCann:</t>
        </r>
        <r>
          <rPr>
            <sz val="9"/>
            <color indexed="81"/>
            <rFont val="Tahoma"/>
            <family val="2"/>
          </rPr>
          <t xml:space="preserve">
Chadbourned &amp; Parke LLP
1/7/13 webinar</t>
        </r>
      </text>
    </comment>
    <comment ref="M10" authorId="1">
      <text>
        <r>
          <rPr>
            <b/>
            <sz val="9"/>
            <color indexed="81"/>
            <rFont val="Tahoma"/>
            <family val="2"/>
          </rPr>
          <t>Richard McCann:</t>
        </r>
        <r>
          <rPr>
            <sz val="9"/>
            <color indexed="81"/>
            <rFont val="Tahoma"/>
            <family val="2"/>
          </rPr>
          <t xml:space="preserve">
Chadbourned &amp; Parke LLP
1/7/13 webinar</t>
        </r>
      </text>
    </comment>
    <comment ref="N10" authorId="1">
      <text>
        <r>
          <rPr>
            <b/>
            <sz val="9"/>
            <color indexed="81"/>
            <rFont val="Tahoma"/>
            <family val="2"/>
          </rPr>
          <t>Richard McCann:</t>
        </r>
        <r>
          <rPr>
            <sz val="9"/>
            <color indexed="81"/>
            <rFont val="Tahoma"/>
            <family val="2"/>
          </rPr>
          <t xml:space="preserve">
Chadbourned &amp; Parke LLP
1/7/13 webinar</t>
        </r>
      </text>
    </comment>
    <comment ref="O10" authorId="1">
      <text>
        <r>
          <rPr>
            <b/>
            <sz val="9"/>
            <color indexed="81"/>
            <rFont val="Tahoma"/>
            <family val="2"/>
          </rPr>
          <t>Richard McCann:</t>
        </r>
        <r>
          <rPr>
            <sz val="9"/>
            <color indexed="81"/>
            <rFont val="Tahoma"/>
            <family val="2"/>
          </rPr>
          <t xml:space="preserve">
Chadbourned &amp; Parke LLP
1/7/13 webinar</t>
        </r>
      </text>
    </comment>
    <comment ref="P10" authorId="1">
      <text>
        <r>
          <rPr>
            <b/>
            <sz val="9"/>
            <color indexed="81"/>
            <rFont val="Tahoma"/>
            <family val="2"/>
          </rPr>
          <t>Richard McCann:</t>
        </r>
        <r>
          <rPr>
            <sz val="9"/>
            <color indexed="81"/>
            <rFont val="Tahoma"/>
            <family val="2"/>
          </rPr>
          <t xml:space="preserve">
Chadbourned &amp; Parke LLP
1/7/13 webinar</t>
        </r>
      </text>
    </comment>
    <comment ref="Q10" authorId="1">
      <text>
        <r>
          <rPr>
            <b/>
            <sz val="9"/>
            <color indexed="81"/>
            <rFont val="Tahoma"/>
            <family val="2"/>
          </rPr>
          <t>Richard McCann:</t>
        </r>
        <r>
          <rPr>
            <sz val="9"/>
            <color indexed="81"/>
            <rFont val="Tahoma"/>
            <family val="2"/>
          </rPr>
          <t xml:space="preserve">
Chadbourned &amp; Parke LLP
1/7/13 webinar</t>
        </r>
      </text>
    </comment>
    <comment ref="R10" authorId="1">
      <text>
        <r>
          <rPr>
            <b/>
            <sz val="9"/>
            <color indexed="81"/>
            <rFont val="Tahoma"/>
            <family val="2"/>
          </rPr>
          <t>Richard McCann:</t>
        </r>
        <r>
          <rPr>
            <sz val="9"/>
            <color indexed="81"/>
            <rFont val="Tahoma"/>
            <family val="2"/>
          </rPr>
          <t xml:space="preserve">
Chadbourned &amp; Parke LLP
1/7/13 webinar</t>
        </r>
      </text>
    </comment>
    <comment ref="S10" authorId="1">
      <text>
        <r>
          <rPr>
            <b/>
            <sz val="9"/>
            <color indexed="81"/>
            <rFont val="Tahoma"/>
            <family val="2"/>
          </rPr>
          <t>Richard McCann:</t>
        </r>
        <r>
          <rPr>
            <sz val="9"/>
            <color indexed="81"/>
            <rFont val="Tahoma"/>
            <family val="2"/>
          </rPr>
          <t xml:space="preserve">
Chadbourned &amp; Parke LLP
1/7/13 webinar</t>
        </r>
      </text>
    </comment>
    <comment ref="T10" authorId="1">
      <text>
        <r>
          <rPr>
            <b/>
            <sz val="9"/>
            <color indexed="81"/>
            <rFont val="Tahoma"/>
            <family val="2"/>
          </rPr>
          <t>Richard McCann:</t>
        </r>
        <r>
          <rPr>
            <sz val="9"/>
            <color indexed="81"/>
            <rFont val="Tahoma"/>
            <family val="2"/>
          </rPr>
          <t xml:space="preserve">
Chadbourned &amp; Parke LLP
1/7/13 webinar</t>
        </r>
      </text>
    </comment>
    <comment ref="U10" authorId="1">
      <text>
        <r>
          <rPr>
            <b/>
            <sz val="9"/>
            <color indexed="81"/>
            <rFont val="Tahoma"/>
            <family val="2"/>
          </rPr>
          <t>Richard McCann:</t>
        </r>
        <r>
          <rPr>
            <sz val="9"/>
            <color indexed="81"/>
            <rFont val="Tahoma"/>
            <family val="2"/>
          </rPr>
          <t xml:space="preserve">
Chadbourned &amp; Parke LLP
1/7/13 webinar</t>
        </r>
      </text>
    </comment>
    <comment ref="V10" authorId="1">
      <text>
        <r>
          <rPr>
            <b/>
            <sz val="9"/>
            <color indexed="81"/>
            <rFont val="Tahoma"/>
            <family val="2"/>
          </rPr>
          <t>Richard McCann:</t>
        </r>
        <r>
          <rPr>
            <sz val="9"/>
            <color indexed="81"/>
            <rFont val="Tahoma"/>
            <family val="2"/>
          </rPr>
          <t xml:space="preserve">
Chadbourned &amp; Parke LLP
1/7/13 webinar</t>
        </r>
      </text>
    </comment>
    <comment ref="C11" authorId="1">
      <text>
        <r>
          <rPr>
            <b/>
            <sz val="9"/>
            <color indexed="81"/>
            <rFont val="Tahoma"/>
            <family val="2"/>
          </rPr>
          <t>Source: MRW (2012)
Used only for Merchant Case
Reference Rate = Treasury or LIBOR.  See Financial Assumptions page.</t>
        </r>
      </text>
    </comment>
    <comment ref="L11" authorId="1">
      <text>
        <r>
          <rPr>
            <b/>
            <sz val="9"/>
            <color indexed="81"/>
            <rFont val="Tahoma"/>
            <family val="2"/>
          </rPr>
          <t>Richard McCann:</t>
        </r>
        <r>
          <rPr>
            <sz val="9"/>
            <color indexed="81"/>
            <rFont val="Tahoma"/>
            <family val="2"/>
          </rPr>
          <t xml:space="preserve">
Chadbourne &amp; Parke LLP 1/7/13 webinar
350 basis points above Treasury for project bond with term = PPA</t>
        </r>
      </text>
    </comment>
    <comment ref="M11" authorId="1">
      <text>
        <r>
          <rPr>
            <b/>
            <sz val="9"/>
            <color indexed="81"/>
            <rFont val="Tahoma"/>
            <family val="2"/>
          </rPr>
          <t>Richard McCann:</t>
        </r>
        <r>
          <rPr>
            <sz val="9"/>
            <color indexed="81"/>
            <rFont val="Tahoma"/>
            <family val="2"/>
          </rPr>
          <t xml:space="preserve">
Chadbourne &amp; Parke LLP 1/7/13 webinar
350 basis points above Treasury for project bond with term = PPA</t>
        </r>
      </text>
    </comment>
    <comment ref="N11" authorId="1">
      <text>
        <r>
          <rPr>
            <b/>
            <sz val="9"/>
            <color indexed="81"/>
            <rFont val="Tahoma"/>
            <family val="2"/>
          </rPr>
          <t>Richard McCann:</t>
        </r>
        <r>
          <rPr>
            <sz val="9"/>
            <color indexed="81"/>
            <rFont val="Tahoma"/>
            <family val="2"/>
          </rPr>
          <t xml:space="preserve">
Chadbourne &amp; Parke LLP 1/7/13 webinar
350 basis points above Treasury for project bond with term = PPA</t>
        </r>
      </text>
    </comment>
    <comment ref="O11" authorId="1">
      <text>
        <r>
          <rPr>
            <b/>
            <sz val="9"/>
            <color indexed="81"/>
            <rFont val="Tahoma"/>
            <family val="2"/>
          </rPr>
          <t>Richard McCann:</t>
        </r>
        <r>
          <rPr>
            <sz val="9"/>
            <color indexed="81"/>
            <rFont val="Tahoma"/>
            <family val="2"/>
          </rPr>
          <t xml:space="preserve">
Chadbourne &amp; Parke LLP 1/7/13 webinar
350 basis points above Treasury for project bond with term = PPA</t>
        </r>
      </text>
    </comment>
    <comment ref="P11" authorId="1">
      <text>
        <r>
          <rPr>
            <b/>
            <sz val="9"/>
            <color indexed="81"/>
            <rFont val="Tahoma"/>
            <family val="2"/>
          </rPr>
          <t>Richard McCann:</t>
        </r>
        <r>
          <rPr>
            <sz val="9"/>
            <color indexed="81"/>
            <rFont val="Tahoma"/>
            <family val="2"/>
          </rPr>
          <t xml:space="preserve">
Chadbourne &amp; Parke LLP 1/7/13 webinar
350 basis points above Treasury for project bond with term = PPA</t>
        </r>
      </text>
    </comment>
    <comment ref="Q11" authorId="1">
      <text>
        <r>
          <rPr>
            <b/>
            <sz val="9"/>
            <color indexed="81"/>
            <rFont val="Tahoma"/>
            <family val="2"/>
          </rPr>
          <t>Richard McCann:</t>
        </r>
        <r>
          <rPr>
            <sz val="9"/>
            <color indexed="81"/>
            <rFont val="Tahoma"/>
            <family val="2"/>
          </rPr>
          <t xml:space="preserve">
Chadbourne &amp; Parke LLP 1/7/13 webinar
350 basis points above Treasury for project bond with term = PPA</t>
        </r>
      </text>
    </comment>
    <comment ref="R11" authorId="1">
      <text>
        <r>
          <rPr>
            <b/>
            <sz val="9"/>
            <color indexed="81"/>
            <rFont val="Tahoma"/>
            <family val="2"/>
          </rPr>
          <t>Richard McCann:</t>
        </r>
        <r>
          <rPr>
            <sz val="9"/>
            <color indexed="81"/>
            <rFont val="Tahoma"/>
            <family val="2"/>
          </rPr>
          <t xml:space="preserve">
Chadbourne &amp; Parke LLP 1/7/13 webinar
350 basis points above Treasury for project bond with term = PPA</t>
        </r>
      </text>
    </comment>
    <comment ref="S11" authorId="1">
      <text>
        <r>
          <rPr>
            <b/>
            <sz val="9"/>
            <color indexed="81"/>
            <rFont val="Tahoma"/>
            <family val="2"/>
          </rPr>
          <t>Richard McCann:</t>
        </r>
        <r>
          <rPr>
            <sz val="9"/>
            <color indexed="81"/>
            <rFont val="Tahoma"/>
            <family val="2"/>
          </rPr>
          <t xml:space="preserve">
Chadbourne &amp; Parke LLP 1/7/13 webinar
350 basis points above Treasury for project bond with term = PPA</t>
        </r>
      </text>
    </comment>
    <comment ref="T11" authorId="1">
      <text>
        <r>
          <rPr>
            <b/>
            <sz val="9"/>
            <color indexed="81"/>
            <rFont val="Tahoma"/>
            <family val="2"/>
          </rPr>
          <t>Richard McCann:</t>
        </r>
        <r>
          <rPr>
            <sz val="9"/>
            <color indexed="81"/>
            <rFont val="Tahoma"/>
            <family val="2"/>
          </rPr>
          <t xml:space="preserve">
Chadbourne &amp; Parke LLP 1/7/13 webinar
350 basis points above Treasury for project bond with term = PPA</t>
        </r>
      </text>
    </comment>
    <comment ref="U11" authorId="1">
      <text>
        <r>
          <rPr>
            <b/>
            <sz val="9"/>
            <color indexed="81"/>
            <rFont val="Tahoma"/>
            <family val="2"/>
          </rPr>
          <t>Richard McCann:</t>
        </r>
        <r>
          <rPr>
            <sz val="9"/>
            <color indexed="81"/>
            <rFont val="Tahoma"/>
            <family val="2"/>
          </rPr>
          <t xml:space="preserve">
Chadbourne &amp; Parke LLP 1/7/13 webinar
350 basis points above Treasury for project bond with term = PPA</t>
        </r>
      </text>
    </comment>
    <comment ref="V11" authorId="1">
      <text>
        <r>
          <rPr>
            <b/>
            <sz val="9"/>
            <color indexed="81"/>
            <rFont val="Tahoma"/>
            <family val="2"/>
          </rPr>
          <t>Richard McCann:</t>
        </r>
        <r>
          <rPr>
            <sz val="9"/>
            <color indexed="81"/>
            <rFont val="Tahoma"/>
            <family val="2"/>
          </rPr>
          <t xml:space="preserve">
Chadbourne &amp; Parke LLP 1/7/13 webinar
350 basis points above Treasury for project bond with term = PPA</t>
        </r>
      </text>
    </comment>
    <comment ref="C12" authorId="1">
      <text>
        <r>
          <rPr>
            <b/>
            <sz val="9"/>
            <color indexed="81"/>
            <rFont val="Tahoma"/>
            <family val="2"/>
          </rPr>
          <t>Source: MRW (2012)</t>
        </r>
      </text>
    </comment>
    <comment ref="C13" authorId="1">
      <text>
        <r>
          <rPr>
            <b/>
            <sz val="9"/>
            <color indexed="81"/>
            <rFont val="Tahoma"/>
            <family val="2"/>
          </rPr>
          <t>Source: MRW (2012)</t>
        </r>
      </text>
    </comment>
    <comment ref="C14" authorId="1">
      <text>
        <r>
          <rPr>
            <b/>
            <sz val="9"/>
            <color indexed="81"/>
            <rFont val="Tahoma"/>
            <family val="2"/>
          </rPr>
          <t>Source: MRW (2012)
Used only for the Merchant Case</t>
        </r>
      </text>
    </comment>
    <comment ref="D16" authorId="1">
      <text>
        <r>
          <rPr>
            <sz val="8"/>
            <color indexed="81"/>
            <rFont val="Tahoma"/>
            <family val="2"/>
          </rPr>
          <t xml:space="preserve">IRS Pub. 946 (2005), App. B, Asset class 49.15.
</t>
        </r>
      </text>
    </comment>
    <comment ref="E16" authorId="1">
      <text>
        <r>
          <rPr>
            <sz val="8"/>
            <color indexed="81"/>
            <rFont val="Tahoma"/>
            <family val="2"/>
          </rPr>
          <t xml:space="preserve">IRS Pub. 946 (2005), App. B, Asset class 49.15.
</t>
        </r>
      </text>
    </comment>
    <comment ref="F16" authorId="1">
      <text>
        <r>
          <rPr>
            <sz val="8"/>
            <color indexed="81"/>
            <rFont val="Tahoma"/>
            <family val="2"/>
          </rPr>
          <t xml:space="preserve">IRS Pub. 946 (2005), App. B, Asset class 49.15.
</t>
        </r>
      </text>
    </comment>
    <comment ref="G16" authorId="1">
      <text>
        <r>
          <rPr>
            <sz val="8"/>
            <color indexed="81"/>
            <rFont val="Tahoma"/>
            <family val="2"/>
          </rPr>
          <t xml:space="preserve">IRS Pub. 946 (2005), App. B, Asset class 49.13
</t>
        </r>
      </text>
    </comment>
    <comment ref="H16" authorId="1">
      <text>
        <r>
          <rPr>
            <sz val="8"/>
            <color indexed="81"/>
            <rFont val="Tahoma"/>
            <family val="2"/>
          </rPr>
          <t xml:space="preserve">IRS Pub. 946 (2005), App. B, Asset class 49.13
</t>
        </r>
      </text>
    </comment>
    <comment ref="C19" authorId="1">
      <text>
        <r>
          <rPr>
            <b/>
            <sz val="9"/>
            <color indexed="81"/>
            <rFont val="Tahoma"/>
            <family val="2"/>
          </rPr>
          <t>Richard McCann:</t>
        </r>
        <r>
          <rPr>
            <sz val="9"/>
            <color indexed="81"/>
            <rFont val="Tahoma"/>
            <family val="2"/>
          </rPr>
          <t xml:space="preserve">
Based on 2002-2011 QFER data</t>
        </r>
      </text>
    </comment>
    <comment ref="F19" authorId="1">
      <text>
        <r>
          <rPr>
            <b/>
            <sz val="9"/>
            <color indexed="81"/>
            <rFont val="Tahoma"/>
            <family val="2"/>
          </rPr>
          <t>Richard McCann:</t>
        </r>
        <r>
          <rPr>
            <sz val="9"/>
            <color indexed="81"/>
            <rFont val="Tahoma"/>
            <family val="2"/>
          </rPr>
          <t xml:space="preserve">
Panoche</t>
        </r>
      </text>
    </comment>
    <comment ref="J19" authorId="3">
      <text>
        <r>
          <rPr>
            <b/>
            <sz val="9"/>
            <color indexed="81"/>
            <rFont val="Tahoma"/>
            <family val="2"/>
          </rPr>
          <t>Ashley Spalding:</t>
        </r>
        <r>
          <rPr>
            <sz val="9"/>
            <color indexed="81"/>
            <rFont val="Tahoma"/>
            <family val="2"/>
          </rPr>
          <t xml:space="preserve">
p. 8 http://www.nrel.gov/docs/fy11osti/48595.pdf</t>
        </r>
      </text>
    </comment>
    <comment ref="K19" authorId="3">
      <text>
        <r>
          <rPr>
            <b/>
            <sz val="9"/>
            <color indexed="81"/>
            <rFont val="Tahoma"/>
            <family val="2"/>
          </rPr>
          <t>Ashley Spalding:</t>
        </r>
        <r>
          <rPr>
            <sz val="9"/>
            <color indexed="81"/>
            <rFont val="Tahoma"/>
            <family val="2"/>
          </rPr>
          <t xml:space="preserve">
added 11/5 - p.8 http://www.nrel.gov/docs/fy11osti/48595.pdf</t>
        </r>
      </text>
    </comment>
    <comment ref="D20" authorId="1">
      <text>
        <r>
          <rPr>
            <sz val="8"/>
            <color indexed="81"/>
            <rFont val="Tahoma"/>
            <family val="2"/>
          </rPr>
          <t>Approximated at 2.8 MMBtu/MW based on CEC production cost modeling data 8/31/05</t>
        </r>
      </text>
    </comment>
    <comment ref="E20" authorId="1">
      <text>
        <r>
          <rPr>
            <sz val="8"/>
            <color indexed="81"/>
            <rFont val="Tahoma"/>
            <family val="2"/>
          </rPr>
          <t>Approximated at 2.8 MMBtu/MW based on CEC production cost modeling data 8/31/05</t>
        </r>
      </text>
    </comment>
    <comment ref="F20" authorId="1">
      <text>
        <r>
          <rPr>
            <sz val="8"/>
            <color indexed="81"/>
            <rFont val="Tahoma"/>
            <family val="2"/>
          </rPr>
          <t>Approximated at 2.8 MMBtu/MW based on CEC production cost modeling data 8/31/05</t>
        </r>
      </text>
    </comment>
    <comment ref="G20" authorId="1">
      <text>
        <r>
          <rPr>
            <sz val="8"/>
            <color indexed="81"/>
            <rFont val="Tahoma"/>
            <family val="2"/>
          </rPr>
          <t>Approximated at 2.8 MMBtu/MW based on CEC production cost modeling data 8/31/05</t>
        </r>
      </text>
    </comment>
    <comment ref="H20" authorId="1">
      <text>
        <r>
          <rPr>
            <sz val="8"/>
            <color indexed="81"/>
            <rFont val="Tahoma"/>
            <family val="2"/>
          </rPr>
          <t>Approximated at 2.8 MMBtu/MW based on CEC production cost modeling data 8/31/05</t>
        </r>
      </text>
    </comment>
    <comment ref="D21" authorId="1">
      <text>
        <r>
          <rPr>
            <b/>
            <sz val="8"/>
            <color indexed="81"/>
            <rFont val="Tahoma"/>
            <family val="2"/>
          </rPr>
          <t>Per CEC MarketSym modeling</t>
        </r>
      </text>
    </comment>
    <comment ref="E21" authorId="1">
      <text>
        <r>
          <rPr>
            <b/>
            <sz val="8"/>
            <color indexed="81"/>
            <rFont val="Tahoma"/>
            <family val="2"/>
          </rPr>
          <t>Per CEC MarketSym modeling</t>
        </r>
      </text>
    </comment>
    <comment ref="F21" authorId="1">
      <text>
        <r>
          <rPr>
            <b/>
            <sz val="8"/>
            <color indexed="81"/>
            <rFont val="Tahoma"/>
            <family val="2"/>
          </rPr>
          <t>Per CEC MarketSym modeling</t>
        </r>
      </text>
    </comment>
    <comment ref="G21" authorId="1">
      <text>
        <r>
          <rPr>
            <b/>
            <sz val="8"/>
            <color indexed="81"/>
            <rFont val="Tahoma"/>
            <family val="2"/>
          </rPr>
          <t>Per CEC MarketSym modeling</t>
        </r>
      </text>
    </comment>
    <comment ref="H21" authorId="1">
      <text>
        <r>
          <rPr>
            <b/>
            <sz val="8"/>
            <color indexed="81"/>
            <rFont val="Tahoma"/>
            <family val="2"/>
          </rPr>
          <t>Per CEC MarketSym modeling</t>
        </r>
      </text>
    </comment>
    <comment ref="C39" authorId="4">
      <text>
        <r>
          <rPr>
            <sz val="9"/>
            <color indexed="81"/>
            <rFont val="Tahoma"/>
            <family val="2"/>
          </rPr>
          <t xml:space="preserve">Expected percent of year that unit is </t>
        </r>
        <r>
          <rPr>
            <u/>
            <sz val="9"/>
            <color indexed="81"/>
            <rFont val="Tahoma"/>
            <family val="2"/>
          </rPr>
          <t>planned</t>
        </r>
        <r>
          <rPr>
            <sz val="9"/>
            <color indexed="81"/>
            <rFont val="Tahoma"/>
            <family val="2"/>
          </rPr>
          <t xml:space="preserve"> to be operating.  This percentage times the Average Output (below) will be the primary factors determining annual generation.
This computed as target operational net of maintenance and forced outages:
Planned % = Annual CF / (1-MOR-FOR)
For Example:
a solar plant may be operational 100% of the year with a 25% average output
a peaking unit will have a 100% average output with a 10% planned percent of year operational.  </t>
        </r>
      </text>
    </comment>
    <comment ref="D39" authorId="1">
      <text>
        <r>
          <rPr>
            <sz val="12"/>
            <color indexed="81"/>
            <rFont val="Tahoma"/>
            <family val="2"/>
          </rPr>
          <t>This value adjusts based on ReferenceTarget Capacity Factor.  Based on net of scheduled outages.</t>
        </r>
      </text>
    </comment>
    <comment ref="E39" authorId="1">
      <text>
        <r>
          <rPr>
            <sz val="8"/>
            <color indexed="81"/>
            <rFont val="Tahoma"/>
            <family val="2"/>
          </rPr>
          <t xml:space="preserve">This value adjusts based on ReferenceTarget Capacity Factor.  Based on net of scheduled outages.
</t>
        </r>
      </text>
    </comment>
    <comment ref="F39" authorId="1">
      <text>
        <r>
          <rPr>
            <sz val="8"/>
            <color indexed="81"/>
            <rFont val="Tahoma"/>
            <family val="2"/>
          </rPr>
          <t xml:space="preserve">This value adjusts based on ReferenceTarget Capacity Factor.  Based on net of scheduled outages.
</t>
        </r>
      </text>
    </comment>
    <comment ref="G39" authorId="1">
      <text>
        <r>
          <rPr>
            <sz val="8"/>
            <color indexed="81"/>
            <rFont val="Tahoma"/>
            <family val="2"/>
          </rPr>
          <t xml:space="preserve">This value adjusts based on ReferenceTarget Capacity Factor.  Based on net of scheduled outages.
</t>
        </r>
      </text>
    </comment>
    <comment ref="H39" authorId="1">
      <text>
        <r>
          <rPr>
            <sz val="8"/>
            <color indexed="81"/>
            <rFont val="Tahoma"/>
            <family val="2"/>
          </rPr>
          <t xml:space="preserve">This value adjusts based on ReferenceTarget Capacity Factor.  Based on net of scheduled outages.
</t>
        </r>
      </text>
    </comment>
    <comment ref="I39" authorId="1">
      <text>
        <r>
          <rPr>
            <sz val="8"/>
            <color indexed="81"/>
            <rFont val="Tahoma"/>
            <family val="2"/>
          </rPr>
          <t xml:space="preserve">This value adjusts based on ReferenceTarget Capacity Factor.  Based on net of scheduled outages.
</t>
        </r>
      </text>
    </comment>
    <comment ref="J39" authorId="1">
      <text>
        <r>
          <rPr>
            <sz val="8"/>
            <color indexed="81"/>
            <rFont val="Tahoma"/>
            <family val="2"/>
          </rPr>
          <t xml:space="preserve">This value adjusts based on ReferenceTarget Capacity Factor.  Based on net of scheduled outages.
</t>
        </r>
      </text>
    </comment>
    <comment ref="K39" authorId="1">
      <text>
        <r>
          <rPr>
            <sz val="8"/>
            <color indexed="81"/>
            <rFont val="Tahoma"/>
            <family val="2"/>
          </rPr>
          <t xml:space="preserve">This value adjusts based on ReferenceTarget Capacity Factor.  Based on net of scheduled outages.
</t>
        </r>
      </text>
    </comment>
    <comment ref="L39" authorId="1">
      <text>
        <r>
          <rPr>
            <sz val="8"/>
            <color indexed="81"/>
            <rFont val="Tahoma"/>
            <family val="2"/>
          </rPr>
          <t xml:space="preserve">This value adjusts based on ReferenceTarget Capacity Factor.  Based on net of scheduled outages.
</t>
        </r>
      </text>
    </comment>
    <comment ref="M39" authorId="1">
      <text>
        <r>
          <rPr>
            <sz val="8"/>
            <color indexed="81"/>
            <rFont val="Tahoma"/>
            <family val="2"/>
          </rPr>
          <t xml:space="preserve">This value adjusts based on ReferenceTarget Capacity Factor.  Based on net of scheduled outages.
</t>
        </r>
      </text>
    </comment>
    <comment ref="S39" authorId="1">
      <text>
        <r>
          <rPr>
            <sz val="8"/>
            <color indexed="81"/>
            <rFont val="Tahoma"/>
            <family val="2"/>
          </rPr>
          <t xml:space="preserve">This value adjusts based on ReferenceTarget Capacity Factor.  Based on net of scheduled outages.
</t>
        </r>
      </text>
    </comment>
    <comment ref="T39" authorId="1">
      <text>
        <r>
          <rPr>
            <sz val="8"/>
            <color indexed="81"/>
            <rFont val="Tahoma"/>
            <family val="2"/>
          </rPr>
          <t xml:space="preserve">This value adjusts based on ReferenceTarget Capacity Factor.  Based on net of scheduled outages.
</t>
        </r>
      </text>
    </comment>
    <comment ref="U39" authorId="1">
      <text>
        <r>
          <rPr>
            <sz val="8"/>
            <color indexed="81"/>
            <rFont val="Tahoma"/>
            <family val="2"/>
          </rPr>
          <t xml:space="preserve">This value adjusts based on ReferenceTarget Capacity Factor.  Based on net of scheduled outages.
</t>
        </r>
      </text>
    </comment>
    <comment ref="V39" authorId="1">
      <text>
        <r>
          <rPr>
            <sz val="8"/>
            <color indexed="81"/>
            <rFont val="Tahoma"/>
            <family val="2"/>
          </rPr>
          <t xml:space="preserve">This value adjusts based on ReferenceTarget Capacity Factor.  Based on net of scheduled outages.
</t>
        </r>
      </text>
    </comment>
    <comment ref="F40" authorId="5">
      <text>
        <r>
          <rPr>
            <b/>
            <sz val="8"/>
            <color indexed="81"/>
            <rFont val="Tahoma"/>
            <family val="2"/>
          </rPr>
          <t>Based on Panoche CT LMS100</t>
        </r>
      </text>
    </comment>
    <comment ref="U40" authorId="6">
      <text>
        <r>
          <rPr>
            <b/>
            <sz val="8"/>
            <color indexed="81"/>
            <rFont val="Tahoma"/>
            <family val="2"/>
          </rPr>
          <t>irhyne:</t>
        </r>
        <r>
          <rPr>
            <sz val="8"/>
            <color indexed="81"/>
            <rFont val="Tahoma"/>
            <family val="2"/>
          </rPr>
          <t xml:space="preserve">
Per 2013 Wind Technology report pg45
</t>
        </r>
      </text>
    </comment>
    <comment ref="C41" authorId="4">
      <text>
        <r>
          <rPr>
            <sz val="9"/>
            <color indexed="81"/>
            <rFont val="Arial"/>
            <family val="2"/>
          </rPr>
          <t xml:space="preserve">Accounts for intermittent nature of "fuel" sources, e.g., water, wind, sun.  Expected average available capacity during hours of operation
(e.g. 100% for combustion turbine even if unit is operated only during peak summer hours)
Include any periods of derated operation in this factor.
Equivalent to GADS Net Output Factor
NOF =           </t>
        </r>
        <r>
          <rPr>
            <u/>
            <sz val="9"/>
            <color indexed="81"/>
            <rFont val="Arial"/>
            <family val="2"/>
          </rPr>
          <t xml:space="preserve">Actual Net Generation
</t>
        </r>
        <r>
          <rPr>
            <sz val="9"/>
            <color indexed="81"/>
            <rFont val="Arial"/>
            <family val="2"/>
          </rPr>
          <t xml:space="preserve">              Service Hours* Max Net Capacity
</t>
        </r>
      </text>
    </comment>
    <comment ref="L41" authorId="7">
      <text>
        <r>
          <rPr>
            <sz val="8"/>
            <color indexed="81"/>
            <rFont val="Tahoma"/>
            <family val="2"/>
          </rPr>
          <t xml:space="preserve">Based on CAISO NQC developed by CEC ESAD (2009)
</t>
        </r>
      </text>
    </comment>
    <comment ref="M41" authorId="7">
      <text>
        <r>
          <rPr>
            <sz val="8"/>
            <color indexed="81"/>
            <rFont val="Tahoma"/>
            <family val="2"/>
          </rPr>
          <t xml:space="preserve">Based on CAISO NQC developed by CEC ESAD (2009)
</t>
        </r>
      </text>
    </comment>
    <comment ref="N41" authorId="7">
      <text>
        <r>
          <rPr>
            <sz val="8"/>
            <color indexed="81"/>
            <rFont val="Tahoma"/>
            <family val="2"/>
          </rPr>
          <t xml:space="preserve">Based on CAISO NQC developed by CEC ESAD (2009)
</t>
        </r>
      </text>
    </comment>
    <comment ref="O41" authorId="7">
      <text>
        <r>
          <rPr>
            <sz val="8"/>
            <color indexed="81"/>
            <rFont val="Tahoma"/>
            <family val="2"/>
          </rPr>
          <t xml:space="preserve">Based on CAISO NQC developed by CEC ESAD (2009)
</t>
        </r>
      </text>
    </comment>
    <comment ref="P41" authorId="7">
      <text>
        <r>
          <rPr>
            <sz val="8"/>
            <color indexed="81"/>
            <rFont val="Tahoma"/>
            <family val="2"/>
          </rPr>
          <t xml:space="preserve">Based on CAISO NQC developed by CEC ESAD (2009)
</t>
        </r>
      </text>
    </comment>
    <comment ref="Q41" authorId="7">
      <text>
        <r>
          <rPr>
            <sz val="8"/>
            <color indexed="81"/>
            <rFont val="Tahoma"/>
            <family val="2"/>
          </rPr>
          <t xml:space="preserve">Based on CAISO NQC developed by CEC ESAD (2009)
</t>
        </r>
      </text>
    </comment>
    <comment ref="R41" authorId="7">
      <text>
        <r>
          <rPr>
            <sz val="8"/>
            <color indexed="81"/>
            <rFont val="Tahoma"/>
            <family val="2"/>
          </rPr>
          <t xml:space="preserve">Based on CAISO NQC developed by CEC ESAD (2009)
</t>
        </r>
      </text>
    </comment>
    <comment ref="S41" authorId="7">
      <text>
        <r>
          <rPr>
            <sz val="8"/>
            <color indexed="81"/>
            <rFont val="Tahoma"/>
            <family val="2"/>
          </rPr>
          <t xml:space="preserve">Based on CAISO NQC developed by CEC ESAD (2009)
</t>
        </r>
      </text>
    </comment>
    <comment ref="T41" authorId="7">
      <text>
        <r>
          <rPr>
            <sz val="8"/>
            <color indexed="81"/>
            <rFont val="Tahoma"/>
            <family val="2"/>
          </rPr>
          <t xml:space="preserve">Based on CAISO NQC developed by CEC ESAD (2009)
</t>
        </r>
      </text>
    </comment>
    <comment ref="D45" authorId="7">
      <text>
        <r>
          <rPr>
            <sz val="8"/>
            <color indexed="81"/>
            <rFont val="Tahoma"/>
            <family val="2"/>
          </rPr>
          <t xml:space="preserve">• NERC GADS 2002-2007 CA CTs 45-99 MW: 2.72 %
</t>
        </r>
      </text>
    </comment>
    <comment ref="E45" authorId="7">
      <text>
        <r>
          <rPr>
            <sz val="8"/>
            <color indexed="81"/>
            <rFont val="Tahoma"/>
            <family val="2"/>
          </rPr>
          <t xml:space="preserve">• NERC GADS 2002-2007 CA CTs 100 and greater : 3.18 %
</t>
        </r>
      </text>
    </comment>
    <comment ref="F45" authorId="7">
      <text>
        <r>
          <rPr>
            <sz val="8"/>
            <color indexed="81"/>
            <rFont val="Tahoma"/>
            <family val="2"/>
          </rPr>
          <t xml:space="preserve">• NERC GADS 2002-2007 CA CTs 100 and greater : 3.18 %
</t>
        </r>
      </text>
    </comment>
    <comment ref="G45" authorId="7">
      <text>
        <r>
          <rPr>
            <sz val="8"/>
            <color indexed="81"/>
            <rFont val="Tahoma"/>
            <family val="2"/>
          </rPr>
          <t xml:space="preserve">• NERC GADS Vintage 2002-2007 CA CCs 500-900 MW: 6.02 %
</t>
        </r>
      </text>
    </comment>
    <comment ref="H45" authorId="7">
      <text>
        <r>
          <rPr>
            <sz val="8"/>
            <color indexed="81"/>
            <rFont val="Tahoma"/>
            <family val="2"/>
          </rPr>
          <t xml:space="preserve">• NERC GADS Vintage 2002-2007 CA CCs 500-900 MW: 6.02 %
</t>
        </r>
      </text>
    </comment>
    <comment ref="D46" authorId="7">
      <text>
        <r>
          <rPr>
            <sz val="8"/>
            <color indexed="81"/>
            <rFont val="Tahoma"/>
            <family val="2"/>
          </rPr>
          <t xml:space="preserve">• NERC GADS 2002-2007 CA CTs 45-99 MW EFOR (d):  19.19% (5.65 %)
</t>
        </r>
      </text>
    </comment>
    <comment ref="E46" authorId="7">
      <text>
        <r>
          <rPr>
            <sz val="8"/>
            <color indexed="81"/>
            <rFont val="Tahoma"/>
            <family val="2"/>
          </rPr>
          <t xml:space="preserve">• NERC GADS 2002-2007 CA CTs 100 &amp; greater: EFOR (d):  11.60% (4.13 %)
</t>
        </r>
      </text>
    </comment>
    <comment ref="F46" authorId="7">
      <text>
        <r>
          <rPr>
            <sz val="8"/>
            <color indexed="81"/>
            <rFont val="Tahoma"/>
            <family val="2"/>
          </rPr>
          <t xml:space="preserve">• NERC GADS 2002-2007 CA CTs 100 &amp; greater: EFOR (d):  11.60% (4.13 %)
</t>
        </r>
      </text>
    </comment>
    <comment ref="G46" authorId="7">
      <text>
        <r>
          <rPr>
            <sz val="8"/>
            <color indexed="81"/>
            <rFont val="Tahoma"/>
            <family val="2"/>
          </rPr>
          <t xml:space="preserve">• NERC GADS Vintage 2002-2007 CA CCs 500-900 MW EFOR (d):  3.5% (2.24 %)
</t>
        </r>
      </text>
    </comment>
    <comment ref="H46" authorId="7">
      <text>
        <r>
          <rPr>
            <sz val="8"/>
            <color indexed="81"/>
            <rFont val="Tahoma"/>
            <family val="2"/>
          </rPr>
          <t xml:space="preserve">• NERC GADS Vintage 2002-2007 CA CCs 500-900 MW EFOR (d):  3.5% (2.24 %)
</t>
        </r>
      </text>
    </comment>
    <comment ref="U48" authorId="6">
      <text>
        <r>
          <rPr>
            <b/>
            <sz val="8"/>
            <color indexed="81"/>
            <rFont val="Tahoma"/>
            <family val="2"/>
          </rPr>
          <t>irhyne:</t>
        </r>
        <r>
          <rPr>
            <sz val="8"/>
            <color indexed="81"/>
            <rFont val="Tahoma"/>
            <family val="2"/>
          </rPr>
          <t xml:space="preserve">
Per 2013 Wind tech market rport page 53
</t>
        </r>
      </text>
    </comment>
    <comment ref="C49" authorId="8">
      <text>
        <r>
          <rPr>
            <b/>
            <sz val="8"/>
            <color indexed="81"/>
            <rFont val="Tahoma"/>
            <family val="2"/>
          </rPr>
          <t xml:space="preserve">jklein: </t>
        </r>
        <r>
          <rPr>
            <sz val="8"/>
            <color indexed="81"/>
            <rFont val="Tahoma"/>
            <family val="2"/>
          </rPr>
          <t xml:space="preserve">gas-fired </t>
        </r>
        <r>
          <rPr>
            <sz val="8"/>
            <color indexed="81"/>
            <rFont val="Tahoma"/>
            <family val="2"/>
          </rPr>
          <t xml:space="preserve">
Variable O&amp;M hardwired in by Richard McCann 9-27-09</t>
        </r>
      </text>
    </comment>
    <comment ref="J49" authorId="1">
      <text>
        <r>
          <rPr>
            <b/>
            <sz val="9"/>
            <color indexed="81"/>
            <rFont val="Tahoma"/>
            <family val="2"/>
          </rPr>
          <t>Richard McCann:</t>
        </r>
        <r>
          <rPr>
            <sz val="9"/>
            <color indexed="81"/>
            <rFont val="Tahoma"/>
            <family val="2"/>
          </rPr>
          <t xml:space="preserve">
Total of Fixed + Variable &gt; Mid Case Total</t>
        </r>
      </text>
    </comment>
    <comment ref="C64" authorId="1">
      <text>
        <r>
          <rPr>
            <b/>
            <sz val="8"/>
            <color indexed="81"/>
            <rFont val="Tahoma"/>
            <family val="2"/>
          </rPr>
          <t>Confirmed by 2007 CEC survey.</t>
        </r>
        <r>
          <rPr>
            <sz val="8"/>
            <color indexed="81"/>
            <rFont val="Tahoma"/>
            <family val="2"/>
          </rPr>
          <t xml:space="preserve">
</t>
        </r>
      </text>
    </comment>
    <comment ref="C72" authorId="1">
      <text>
        <r>
          <rPr>
            <b/>
            <sz val="8"/>
            <color indexed="81"/>
            <rFont val="Tahoma"/>
            <family val="2"/>
          </rPr>
          <t>Based on CPUC survey of brokers for MPR.  NWPPC uses 0.25%; JBS uses 1.5%.</t>
        </r>
        <r>
          <rPr>
            <sz val="8"/>
            <color indexed="81"/>
            <rFont val="Tahoma"/>
            <family val="2"/>
          </rPr>
          <t xml:space="preserve">
</t>
        </r>
      </text>
    </comment>
    <comment ref="F85" authorId="1">
      <text>
        <r>
          <rPr>
            <b/>
            <sz val="9"/>
            <color indexed="81"/>
            <rFont val="Tahoma"/>
            <family val="2"/>
          </rPr>
          <t>Richard McCann:</t>
        </r>
        <r>
          <rPr>
            <sz val="9"/>
            <color indexed="81"/>
            <rFont val="Tahoma"/>
            <family val="2"/>
          </rPr>
          <t xml:space="preserve">
Based on Panoche 400 MW CTs</t>
        </r>
      </text>
    </comment>
    <comment ref="Q85" authorId="2">
      <text>
        <r>
          <rPr>
            <b/>
            <sz val="8"/>
            <color indexed="81"/>
            <rFont val="Tahoma"/>
            <family val="2"/>
          </rPr>
          <t>Ivin Rhyne:</t>
        </r>
        <r>
          <rPr>
            <sz val="8"/>
            <color indexed="81"/>
            <rFont val="Tahoma"/>
            <family val="2"/>
          </rPr>
          <t xml:space="preserve">
Revised to calibrate at "installed cost" level with Mark Bollinger Data
</t>
        </r>
      </text>
    </comment>
    <comment ref="R85" authorId="2">
      <text>
        <r>
          <rPr>
            <b/>
            <sz val="8"/>
            <color indexed="81"/>
            <rFont val="Tahoma"/>
            <family val="2"/>
          </rPr>
          <t>Ivin Rhyne:</t>
        </r>
        <r>
          <rPr>
            <sz val="8"/>
            <color indexed="81"/>
            <rFont val="Tahoma"/>
            <family val="2"/>
          </rPr>
          <t xml:space="preserve">
Revised to calibrate at "installed cost" level with Mark Bollinger Data
</t>
        </r>
      </text>
    </comment>
    <comment ref="S85" authorId="2">
      <text>
        <r>
          <rPr>
            <b/>
            <sz val="8"/>
            <color indexed="81"/>
            <rFont val="Tahoma"/>
            <family val="2"/>
          </rPr>
          <t>Ivin Rhyne:</t>
        </r>
        <r>
          <rPr>
            <sz val="8"/>
            <color indexed="81"/>
            <rFont val="Tahoma"/>
            <family val="2"/>
          </rPr>
          <t xml:space="preserve">
Revised to calibrate at "installed cost" level with Mark Bollinger Data
</t>
        </r>
      </text>
    </comment>
    <comment ref="T85" authorId="2">
      <text>
        <r>
          <rPr>
            <b/>
            <sz val="8"/>
            <color indexed="81"/>
            <rFont val="Tahoma"/>
            <family val="2"/>
          </rPr>
          <t>Ivin Rhyne:</t>
        </r>
        <r>
          <rPr>
            <sz val="8"/>
            <color indexed="81"/>
            <rFont val="Tahoma"/>
            <family val="2"/>
          </rPr>
          <t xml:space="preserve">
Revised to calibrate at "installed cost" level with Mark Bollinger Data
</t>
        </r>
      </text>
    </comment>
    <comment ref="H94" authorId="1">
      <text>
        <r>
          <rPr>
            <b/>
            <sz val="8"/>
            <color indexed="81"/>
            <rFont val="Tahoma"/>
            <family val="2"/>
          </rPr>
          <t>Based on $200/kW of duct firing. Median capacity = 9.1% of total (n=15).</t>
        </r>
        <r>
          <rPr>
            <sz val="8"/>
            <color indexed="81"/>
            <rFont val="Tahoma"/>
            <family val="2"/>
          </rPr>
          <t xml:space="preserve">
</t>
        </r>
      </text>
    </comment>
    <comment ref="C105" authorId="7">
      <text>
        <r>
          <rPr>
            <b/>
            <sz val="8"/>
            <color indexed="81"/>
            <rFont val="Tahoma"/>
            <family val="2"/>
          </rPr>
          <t>Expected non-inflationary cost changes for combined factors, including:
- escalating construction &amp; materials costs
- technological innovations
- learning, scale &amp; scope factors</t>
        </r>
        <r>
          <rPr>
            <sz val="8"/>
            <color indexed="81"/>
            <rFont val="Tahoma"/>
            <family val="2"/>
          </rPr>
          <t xml:space="preserve">
</t>
        </r>
      </text>
    </comment>
    <comment ref="C111" authorId="1">
      <text>
        <r>
          <rPr>
            <b/>
            <sz val="9"/>
            <color indexed="81"/>
            <rFont val="Tahoma"/>
            <family val="2"/>
          </rPr>
          <t>Richard McCann:</t>
        </r>
        <r>
          <rPr>
            <sz val="9"/>
            <color indexed="81"/>
            <rFont val="Tahoma"/>
            <family val="2"/>
          </rPr>
          <t xml:space="preserve">
3.0% based on NREL (2012) report.</t>
        </r>
      </text>
    </comment>
    <comment ref="I113" authorId="1">
      <text>
        <r>
          <rPr>
            <b/>
            <sz val="9"/>
            <color indexed="81"/>
            <rFont val="Tahoma"/>
            <family val="2"/>
          </rPr>
          <t>Richard McCann:</t>
        </r>
        <r>
          <rPr>
            <sz val="9"/>
            <color indexed="81"/>
            <rFont val="Tahoma"/>
            <family val="2"/>
          </rPr>
          <t xml:space="preserve">
Desert Renewable Energy Conservation Plan:
Renewable Energy Acreage Calculator and the 2040 Revised
Scenario’s Renewable Portfolio, July 27, 2012</t>
        </r>
      </text>
    </comment>
    <comment ref="J113" authorId="1">
      <text>
        <r>
          <rPr>
            <b/>
            <sz val="9"/>
            <color indexed="81"/>
            <rFont val="Tahoma"/>
            <family val="2"/>
          </rPr>
          <t>Richard McCann:</t>
        </r>
        <r>
          <rPr>
            <sz val="9"/>
            <color indexed="81"/>
            <rFont val="Tahoma"/>
            <family val="2"/>
          </rPr>
          <t xml:space="preserve">
Desert Renewable Energy Conservation Plan:
Renewable Energy Acreage Calculator and the 2040 Revised
Scenario’s Renewable Portfolio, July 27, 2012</t>
        </r>
      </text>
    </comment>
    <comment ref="K113" authorId="1">
      <text>
        <r>
          <rPr>
            <b/>
            <sz val="9"/>
            <color indexed="81"/>
            <rFont val="Tahoma"/>
            <family val="2"/>
          </rPr>
          <t>Richard McCann:</t>
        </r>
        <r>
          <rPr>
            <sz val="9"/>
            <color indexed="81"/>
            <rFont val="Tahoma"/>
            <family val="2"/>
          </rPr>
          <t xml:space="preserve">
Desert Renewable Energy Conservation Plan:
Renewable Energy Acreage Calculator and the 2040 Revised
Scenario’s Renewable Portfolio, July 27, 2012</t>
        </r>
      </text>
    </comment>
    <comment ref="L113" authorId="1">
      <text>
        <r>
          <rPr>
            <b/>
            <sz val="9"/>
            <color indexed="81"/>
            <rFont val="Tahoma"/>
            <family val="2"/>
          </rPr>
          <t>Richard McCann:</t>
        </r>
        <r>
          <rPr>
            <sz val="9"/>
            <color indexed="81"/>
            <rFont val="Tahoma"/>
            <family val="2"/>
          </rPr>
          <t xml:space="preserve">
Desert Renewable Energy Conservation Plan:
Renewable Energy Acreage Calculator and the 2040 Revised
Scenario’s Renewable Portfolio, July 27, 2012</t>
        </r>
      </text>
    </comment>
    <comment ref="M113" authorId="1">
      <text>
        <r>
          <rPr>
            <b/>
            <sz val="9"/>
            <color indexed="81"/>
            <rFont val="Tahoma"/>
            <family val="2"/>
          </rPr>
          <t>Richard McCann:</t>
        </r>
        <r>
          <rPr>
            <sz val="9"/>
            <color indexed="81"/>
            <rFont val="Tahoma"/>
            <family val="2"/>
          </rPr>
          <t xml:space="preserve">
Desert Renewable Energy Conservation Plan:
Renewable Energy Acreage Calculator and the 2040 Revised
Scenario’s Renewable Portfolio, July 27, 2012</t>
        </r>
      </text>
    </comment>
    <comment ref="N113" authorId="1">
      <text>
        <r>
          <rPr>
            <b/>
            <sz val="9"/>
            <color indexed="81"/>
            <rFont val="Tahoma"/>
            <family val="2"/>
          </rPr>
          <t>Richard McCann:</t>
        </r>
        <r>
          <rPr>
            <sz val="9"/>
            <color indexed="81"/>
            <rFont val="Tahoma"/>
            <family val="2"/>
          </rPr>
          <t xml:space="preserve">
Desert Renewable Energy Conservation Plan:
Renewable Energy Acreage Calculator and the 2040 Revised
Scenario’s Renewable Portfolio, July 27, 2012</t>
        </r>
      </text>
    </comment>
    <comment ref="O113" authorId="1">
      <text>
        <r>
          <rPr>
            <b/>
            <sz val="9"/>
            <color indexed="81"/>
            <rFont val="Tahoma"/>
            <family val="2"/>
          </rPr>
          <t>Richard McCann:</t>
        </r>
        <r>
          <rPr>
            <sz val="9"/>
            <color indexed="81"/>
            <rFont val="Tahoma"/>
            <family val="2"/>
          </rPr>
          <t xml:space="preserve">
Desert Renewable Energy Conservation Plan:
Renewable Energy Acreage Calculator and the 2040 Revised
Scenario’s Renewable Portfolio, July 27, 2012</t>
        </r>
      </text>
    </comment>
    <comment ref="P113" authorId="1">
      <text>
        <r>
          <rPr>
            <b/>
            <sz val="9"/>
            <color indexed="81"/>
            <rFont val="Tahoma"/>
            <family val="2"/>
          </rPr>
          <t>Richard McCann:</t>
        </r>
        <r>
          <rPr>
            <sz val="9"/>
            <color indexed="81"/>
            <rFont val="Tahoma"/>
            <family val="2"/>
          </rPr>
          <t xml:space="preserve">
Desert Renewable Energy Conservation Plan:
Renewable Energy Acreage Calculator and the 2040 Revised
Scenario’s Renewable Portfolio, July 27, 2012</t>
        </r>
      </text>
    </comment>
    <comment ref="Q113" authorId="1">
      <text>
        <r>
          <rPr>
            <b/>
            <sz val="9"/>
            <color indexed="81"/>
            <rFont val="Tahoma"/>
            <family val="2"/>
          </rPr>
          <t>Richard McCann:</t>
        </r>
        <r>
          <rPr>
            <sz val="9"/>
            <color indexed="81"/>
            <rFont val="Tahoma"/>
            <family val="2"/>
          </rPr>
          <t xml:space="preserve">
Desert Renewable Energy Conservation Plan:
Renewable Energy Acreage Calculator and the 2040 Revised
Scenario’s Renewable Portfolio, July 27, 2012</t>
        </r>
      </text>
    </comment>
    <comment ref="R113" authorId="1">
      <text>
        <r>
          <rPr>
            <b/>
            <sz val="9"/>
            <color indexed="81"/>
            <rFont val="Tahoma"/>
            <family val="2"/>
          </rPr>
          <t>Richard McCann:</t>
        </r>
        <r>
          <rPr>
            <sz val="9"/>
            <color indexed="81"/>
            <rFont val="Tahoma"/>
            <family val="2"/>
          </rPr>
          <t xml:space="preserve">
Desert Renewable Energy Conservation Plan:
Renewable Energy Acreage Calculator and the 2040 Revised
Scenario’s Renewable Portfolio, July 27, 2012</t>
        </r>
      </text>
    </comment>
    <comment ref="S113" authorId="1">
      <text>
        <r>
          <rPr>
            <b/>
            <sz val="9"/>
            <color indexed="81"/>
            <rFont val="Tahoma"/>
            <family val="2"/>
          </rPr>
          <t>Richard McCann:</t>
        </r>
        <r>
          <rPr>
            <sz val="9"/>
            <color indexed="81"/>
            <rFont val="Tahoma"/>
            <family val="2"/>
          </rPr>
          <t xml:space="preserve">
Desert Renewable Energy Conservation Plan:
Renewable Energy Acreage Calculator and the 2040 Revised
Scenario’s Renewable Portfolio, July 27, 2012</t>
        </r>
      </text>
    </comment>
    <comment ref="T113" authorId="1">
      <text>
        <r>
          <rPr>
            <b/>
            <sz val="9"/>
            <color indexed="81"/>
            <rFont val="Tahoma"/>
            <family val="2"/>
          </rPr>
          <t>Richard McCann:</t>
        </r>
        <r>
          <rPr>
            <sz val="9"/>
            <color indexed="81"/>
            <rFont val="Tahoma"/>
            <family val="2"/>
          </rPr>
          <t xml:space="preserve">
Desert Renewable Energy Conservation Plan:
Renewable Energy Acreage Calculator and the 2040 Revised
Scenario’s Renewable Portfolio, July 27, 2012</t>
        </r>
      </text>
    </comment>
    <comment ref="U113" authorId="1">
      <text>
        <r>
          <rPr>
            <b/>
            <sz val="9"/>
            <color indexed="81"/>
            <rFont val="Tahoma"/>
            <family val="2"/>
          </rPr>
          <t>Richard McCann:</t>
        </r>
        <r>
          <rPr>
            <sz val="9"/>
            <color indexed="81"/>
            <rFont val="Tahoma"/>
            <family val="2"/>
          </rPr>
          <t xml:space="preserve">
Desert Renewable Energy Conservation Plan:
Renewable Energy Acreage Calculator and the 2040 Revised
Scenario’s Renewable Portfolio, July 27, 2012</t>
        </r>
      </text>
    </comment>
    <comment ref="V113" authorId="1">
      <text>
        <r>
          <rPr>
            <b/>
            <sz val="9"/>
            <color indexed="81"/>
            <rFont val="Tahoma"/>
            <family val="2"/>
          </rPr>
          <t>Richard McCann:</t>
        </r>
        <r>
          <rPr>
            <sz val="9"/>
            <color indexed="81"/>
            <rFont val="Tahoma"/>
            <family val="2"/>
          </rPr>
          <t xml:space="preserve">
Desert Renewable Energy Conservation Plan:
Renewable Energy Acreage Calculator and the 2040 Revised
Scenario’s Renewable Portfolio, July 27, 2012</t>
        </r>
      </text>
    </comment>
    <comment ref="D114" authorId="1">
      <text>
        <r>
          <rPr>
            <b/>
            <sz val="8"/>
            <color indexed="81"/>
            <rFont val="Tahoma"/>
            <family val="2"/>
          </rPr>
          <t>Based on average for 7 CTs with CEC AFCs, 1997-2005</t>
        </r>
        <r>
          <rPr>
            <sz val="8"/>
            <color indexed="81"/>
            <rFont val="Tahoma"/>
            <family val="2"/>
          </rPr>
          <t xml:space="preserve">
</t>
        </r>
      </text>
    </comment>
    <comment ref="E114" authorId="1">
      <text>
        <r>
          <rPr>
            <b/>
            <sz val="8"/>
            <color indexed="81"/>
            <rFont val="Tahoma"/>
            <family val="2"/>
          </rPr>
          <t>Based on average for 7 CTs with CEC AFCs, 1997-2005</t>
        </r>
        <r>
          <rPr>
            <sz val="8"/>
            <color indexed="81"/>
            <rFont val="Tahoma"/>
            <family val="2"/>
          </rPr>
          <t xml:space="preserve">
</t>
        </r>
      </text>
    </comment>
    <comment ref="F114" authorId="1">
      <text>
        <r>
          <rPr>
            <b/>
            <sz val="8"/>
            <color indexed="81"/>
            <rFont val="Tahoma"/>
            <family val="2"/>
          </rPr>
          <t>Based on average for 7 CTs with CEC AFCs, 1997-2005</t>
        </r>
        <r>
          <rPr>
            <sz val="8"/>
            <color indexed="81"/>
            <rFont val="Tahoma"/>
            <family val="2"/>
          </rPr>
          <t xml:space="preserve">
</t>
        </r>
      </text>
    </comment>
    <comment ref="G114" authorId="1">
      <text>
        <r>
          <rPr>
            <b/>
            <sz val="8"/>
            <color indexed="81"/>
            <rFont val="Tahoma"/>
            <family val="2"/>
          </rPr>
          <t>Based on average for 22 CCs with CEC AFCs, 1997-2005</t>
        </r>
        <r>
          <rPr>
            <sz val="8"/>
            <color indexed="81"/>
            <rFont val="Tahoma"/>
            <family val="2"/>
          </rPr>
          <t xml:space="preserve">
</t>
        </r>
      </text>
    </comment>
    <comment ref="H114" authorId="1">
      <text>
        <r>
          <rPr>
            <b/>
            <sz val="8"/>
            <color indexed="81"/>
            <rFont val="Tahoma"/>
            <family val="2"/>
          </rPr>
          <t>Based on average for 22 CCs with CEC AFCs, 1997-2005</t>
        </r>
        <r>
          <rPr>
            <sz val="8"/>
            <color indexed="81"/>
            <rFont val="Tahoma"/>
            <family val="2"/>
          </rPr>
          <t xml:space="preserve">
</t>
        </r>
      </text>
    </comment>
    <comment ref="C115" authorId="4">
      <text>
        <r>
          <rPr>
            <b/>
            <sz val="8"/>
            <color indexed="81"/>
            <rFont val="Tahoma"/>
            <family val="2"/>
          </rPr>
          <t>Area required by project but within existing lease.  Mitigation costs included in Environmental Permitting</t>
        </r>
      </text>
    </comment>
    <comment ref="I116" authorId="2">
      <text>
        <r>
          <rPr>
            <b/>
            <sz val="8"/>
            <color indexed="81"/>
            <rFont val="Tahoma"/>
            <family val="2"/>
          </rPr>
          <t>Ivin Rhyne:</t>
        </r>
        <r>
          <rPr>
            <sz val="8"/>
            <color indexed="81"/>
            <rFont val="Tahoma"/>
            <family val="2"/>
          </rPr>
          <t xml:space="preserve">
30000 source Goodrich Appendix B
</t>
        </r>
      </text>
    </comment>
    <comment ref="J116" authorId="2">
      <text>
        <r>
          <rPr>
            <b/>
            <sz val="8"/>
            <color indexed="81"/>
            <rFont val="Tahoma"/>
            <family val="2"/>
          </rPr>
          <t>Ivin Rhyne:</t>
        </r>
        <r>
          <rPr>
            <sz val="8"/>
            <color indexed="81"/>
            <rFont val="Tahoma"/>
            <family val="2"/>
          </rPr>
          <t xml:space="preserve">
30000 source Goodrich Appendix B
</t>
        </r>
      </text>
    </comment>
    <comment ref="K116" authorId="2">
      <text>
        <r>
          <rPr>
            <b/>
            <sz val="8"/>
            <color indexed="81"/>
            <rFont val="Tahoma"/>
            <family val="2"/>
          </rPr>
          <t>Ivin Rhyne:</t>
        </r>
        <r>
          <rPr>
            <sz val="8"/>
            <color indexed="81"/>
            <rFont val="Tahoma"/>
            <family val="2"/>
          </rPr>
          <t xml:space="preserve">
30000 source Goodrich Appendix B
</t>
        </r>
      </text>
    </comment>
    <comment ref="Q116" authorId="2">
      <text>
        <r>
          <rPr>
            <b/>
            <sz val="8"/>
            <color indexed="81"/>
            <rFont val="Tahoma"/>
            <family val="2"/>
          </rPr>
          <t>Ivin Rhyne:</t>
        </r>
        <r>
          <rPr>
            <sz val="8"/>
            <color indexed="81"/>
            <rFont val="Tahoma"/>
            <family val="2"/>
          </rPr>
          <t xml:space="preserve">
30000 source Goodrich Appendix B
</t>
        </r>
      </text>
    </comment>
    <comment ref="R116" authorId="2">
      <text>
        <r>
          <rPr>
            <b/>
            <sz val="8"/>
            <color indexed="81"/>
            <rFont val="Tahoma"/>
            <family val="2"/>
          </rPr>
          <t>Ivin Rhyne:</t>
        </r>
        <r>
          <rPr>
            <sz val="8"/>
            <color indexed="81"/>
            <rFont val="Tahoma"/>
            <family val="2"/>
          </rPr>
          <t xml:space="preserve">
30000 source Goodrich Appendix B
</t>
        </r>
      </text>
    </comment>
    <comment ref="S116" authorId="2">
      <text>
        <r>
          <rPr>
            <b/>
            <sz val="8"/>
            <color indexed="81"/>
            <rFont val="Tahoma"/>
            <family val="2"/>
          </rPr>
          <t>Ivin Rhyne:</t>
        </r>
        <r>
          <rPr>
            <sz val="8"/>
            <color indexed="81"/>
            <rFont val="Tahoma"/>
            <family val="2"/>
          </rPr>
          <t xml:space="preserve">
30000 source Goodrich Appendix B
</t>
        </r>
      </text>
    </comment>
    <comment ref="T116" authorId="2">
      <text>
        <r>
          <rPr>
            <b/>
            <sz val="8"/>
            <color indexed="81"/>
            <rFont val="Tahoma"/>
            <family val="2"/>
          </rPr>
          <t>Ivin Rhyne:</t>
        </r>
        <r>
          <rPr>
            <sz val="8"/>
            <color indexed="81"/>
            <rFont val="Tahoma"/>
            <family val="2"/>
          </rPr>
          <t xml:space="preserve">
30000 source Goodrich Appendix B
</t>
        </r>
      </text>
    </comment>
    <comment ref="U116" authorId="2">
      <text>
        <r>
          <rPr>
            <b/>
            <sz val="8"/>
            <color indexed="81"/>
            <rFont val="Tahoma"/>
            <family val="2"/>
          </rPr>
          <t>Ivin Rhyne:</t>
        </r>
        <r>
          <rPr>
            <sz val="8"/>
            <color indexed="81"/>
            <rFont val="Tahoma"/>
            <family val="2"/>
          </rPr>
          <t xml:space="preserve">
30000 source Goodrich Appendix B
</t>
        </r>
      </text>
    </comment>
    <comment ref="V116" authorId="2">
      <text>
        <r>
          <rPr>
            <b/>
            <sz val="8"/>
            <color indexed="81"/>
            <rFont val="Tahoma"/>
            <family val="2"/>
          </rPr>
          <t>Ivin Rhyne:</t>
        </r>
        <r>
          <rPr>
            <sz val="8"/>
            <color indexed="81"/>
            <rFont val="Tahoma"/>
            <family val="2"/>
          </rPr>
          <t xml:space="preserve">
30000 source Goodrich Appendix B
</t>
        </r>
      </text>
    </comment>
    <comment ref="E120" authorId="1">
      <text>
        <r>
          <rPr>
            <u/>
            <sz val="8"/>
            <color indexed="81"/>
            <rFont val="Tahoma"/>
            <family val="2"/>
          </rPr>
          <t>For units &gt; 49.99MW</t>
        </r>
        <r>
          <rPr>
            <sz val="8"/>
            <color indexed="81"/>
            <rFont val="Tahoma"/>
            <family val="2"/>
          </rPr>
          <t xml:space="preserve">: </t>
        </r>
        <r>
          <rPr>
            <b/>
            <sz val="8"/>
            <color indexed="81"/>
            <rFont val="Tahoma"/>
            <family val="2"/>
          </rPr>
          <t>$20/kW</t>
        </r>
        <r>
          <rPr>
            <sz val="8"/>
            <color indexed="81"/>
            <rFont val="Tahoma"/>
            <family val="2"/>
          </rPr>
          <t xml:space="preserve"> based on avg. of SPPE and AFC costs from survey.
</t>
        </r>
        <r>
          <rPr>
            <u/>
            <sz val="8"/>
            <color indexed="81"/>
            <rFont val="Tahoma"/>
            <family val="2"/>
          </rPr>
          <t>For units &lt; 50MW</t>
        </r>
        <r>
          <rPr>
            <sz val="8"/>
            <color indexed="81"/>
            <rFont val="Tahoma"/>
            <family val="2"/>
          </rPr>
          <t xml:space="preserve">: </t>
        </r>
        <r>
          <rPr>
            <b/>
            <sz val="8"/>
            <color indexed="81"/>
            <rFont val="Tahoma"/>
            <family val="2"/>
          </rPr>
          <t xml:space="preserve">$8/kW </t>
        </r>
        <r>
          <rPr>
            <sz val="8"/>
            <color indexed="81"/>
            <rFont val="Tahoma"/>
            <family val="2"/>
          </rPr>
          <t>based on 21 day certifications.</t>
        </r>
        <r>
          <rPr>
            <b/>
            <sz val="8"/>
            <color indexed="81"/>
            <rFont val="Tahoma"/>
            <family val="2"/>
          </rPr>
          <t xml:space="preserve">
JK 3-28-07</t>
        </r>
      </text>
    </comment>
    <comment ref="F120" authorId="1">
      <text>
        <r>
          <rPr>
            <u/>
            <sz val="8"/>
            <color indexed="81"/>
            <rFont val="Tahoma"/>
            <family val="2"/>
          </rPr>
          <t>For units &gt; 49.99MW</t>
        </r>
        <r>
          <rPr>
            <sz val="8"/>
            <color indexed="81"/>
            <rFont val="Tahoma"/>
            <family val="2"/>
          </rPr>
          <t xml:space="preserve">: </t>
        </r>
        <r>
          <rPr>
            <b/>
            <sz val="8"/>
            <color indexed="81"/>
            <rFont val="Tahoma"/>
            <family val="2"/>
          </rPr>
          <t>$20/kW</t>
        </r>
        <r>
          <rPr>
            <sz val="8"/>
            <color indexed="81"/>
            <rFont val="Tahoma"/>
            <family val="2"/>
          </rPr>
          <t xml:space="preserve"> based on avg. of SPPE and AFC costs from survey.
</t>
        </r>
        <r>
          <rPr>
            <u/>
            <sz val="8"/>
            <color indexed="81"/>
            <rFont val="Tahoma"/>
            <family val="2"/>
          </rPr>
          <t>For units &lt; 50MW</t>
        </r>
        <r>
          <rPr>
            <sz val="8"/>
            <color indexed="81"/>
            <rFont val="Tahoma"/>
            <family val="2"/>
          </rPr>
          <t xml:space="preserve">: </t>
        </r>
        <r>
          <rPr>
            <b/>
            <sz val="8"/>
            <color indexed="81"/>
            <rFont val="Tahoma"/>
            <family val="2"/>
          </rPr>
          <t xml:space="preserve">$8/kW </t>
        </r>
        <r>
          <rPr>
            <sz val="8"/>
            <color indexed="81"/>
            <rFont val="Tahoma"/>
            <family val="2"/>
          </rPr>
          <t>based on 21 day certifications.</t>
        </r>
        <r>
          <rPr>
            <b/>
            <sz val="8"/>
            <color indexed="81"/>
            <rFont val="Tahoma"/>
            <family val="2"/>
          </rPr>
          <t xml:space="preserve">
JK 3-28-07</t>
        </r>
      </text>
    </comment>
    <comment ref="L120" authorId="1">
      <text>
        <r>
          <rPr>
            <b/>
            <sz val="9"/>
            <color indexed="81"/>
            <rFont val="Tahoma"/>
            <family val="2"/>
          </rPr>
          <t>Richard McCann:</t>
        </r>
        <r>
          <rPr>
            <sz val="9"/>
            <color indexed="81"/>
            <rFont val="Tahoma"/>
            <family val="2"/>
          </rPr>
          <t xml:space="preserve">
Mitigation fee estimate based on $4,400/acre for Rio Mesa SEGS.</t>
        </r>
      </text>
    </comment>
    <comment ref="M120" authorId="1">
      <text>
        <r>
          <rPr>
            <b/>
            <sz val="9"/>
            <color indexed="81"/>
            <rFont val="Tahoma"/>
            <family val="2"/>
          </rPr>
          <t>Richard McCann:</t>
        </r>
        <r>
          <rPr>
            <sz val="9"/>
            <color indexed="81"/>
            <rFont val="Tahoma"/>
            <family val="2"/>
          </rPr>
          <t xml:space="preserve">
Mitigation fee estimate based on $4,400/acre for Rio Mesa SEGS.</t>
        </r>
      </text>
    </comment>
    <comment ref="N120" authorId="1">
      <text>
        <r>
          <rPr>
            <b/>
            <sz val="9"/>
            <color indexed="81"/>
            <rFont val="Tahoma"/>
            <family val="2"/>
          </rPr>
          <t>Richard McCann:</t>
        </r>
        <r>
          <rPr>
            <sz val="9"/>
            <color indexed="81"/>
            <rFont val="Tahoma"/>
            <family val="2"/>
          </rPr>
          <t xml:space="preserve">
Mitigation fee estimate based on $4,400/acre for Rio Mesa SEGS.</t>
        </r>
      </text>
    </comment>
    <comment ref="O120" authorId="1">
      <text>
        <r>
          <rPr>
            <b/>
            <sz val="9"/>
            <color indexed="81"/>
            <rFont val="Tahoma"/>
            <family val="2"/>
          </rPr>
          <t>Richard McCann:</t>
        </r>
        <r>
          <rPr>
            <sz val="9"/>
            <color indexed="81"/>
            <rFont val="Tahoma"/>
            <family val="2"/>
          </rPr>
          <t xml:space="preserve">
Mitigation fee estimate based on $4,400/acre for Rio Mesa SEGS.</t>
        </r>
      </text>
    </comment>
    <comment ref="P120" authorId="1">
      <text>
        <r>
          <rPr>
            <b/>
            <sz val="9"/>
            <color indexed="81"/>
            <rFont val="Tahoma"/>
            <family val="2"/>
          </rPr>
          <t>Richard McCann:</t>
        </r>
        <r>
          <rPr>
            <sz val="9"/>
            <color indexed="81"/>
            <rFont val="Tahoma"/>
            <family val="2"/>
          </rPr>
          <t xml:space="preserve">
Mitigation fee estimate based on $4,400/acre for Rio Mesa SEGS.</t>
        </r>
      </text>
    </comment>
    <comment ref="Q120" authorId="1">
      <text>
        <r>
          <rPr>
            <b/>
            <sz val="9"/>
            <color indexed="81"/>
            <rFont val="Tahoma"/>
            <family val="2"/>
          </rPr>
          <t>Richard McCann:</t>
        </r>
        <r>
          <rPr>
            <sz val="9"/>
            <color indexed="81"/>
            <rFont val="Tahoma"/>
            <family val="2"/>
          </rPr>
          <t xml:space="preserve">
Mitigation fee estimate based on $4,400/acre for Rio Mesa SEGS.</t>
        </r>
      </text>
    </comment>
    <comment ref="R120" authorId="1">
      <text>
        <r>
          <rPr>
            <b/>
            <sz val="9"/>
            <color indexed="81"/>
            <rFont val="Tahoma"/>
            <family val="2"/>
          </rPr>
          <t>Richard McCann:</t>
        </r>
        <r>
          <rPr>
            <sz val="9"/>
            <color indexed="81"/>
            <rFont val="Tahoma"/>
            <family val="2"/>
          </rPr>
          <t xml:space="preserve">
Mitigation fee estimate based on $4,400/acre for Rio Mesa SEGS.</t>
        </r>
      </text>
    </comment>
    <comment ref="S120" authorId="1">
      <text>
        <r>
          <rPr>
            <b/>
            <sz val="9"/>
            <color indexed="81"/>
            <rFont val="Tahoma"/>
            <family val="2"/>
          </rPr>
          <t>Richard McCann:</t>
        </r>
        <r>
          <rPr>
            <sz val="9"/>
            <color indexed="81"/>
            <rFont val="Tahoma"/>
            <family val="2"/>
          </rPr>
          <t xml:space="preserve">
Mitigation fee estimate based on $4,400/acre for Rio Mesa SEGS.</t>
        </r>
      </text>
    </comment>
    <comment ref="T120" authorId="1">
      <text>
        <r>
          <rPr>
            <b/>
            <sz val="9"/>
            <color indexed="81"/>
            <rFont val="Tahoma"/>
            <family val="2"/>
          </rPr>
          <t>Richard McCann:</t>
        </r>
        <r>
          <rPr>
            <sz val="9"/>
            <color indexed="81"/>
            <rFont val="Tahoma"/>
            <family val="2"/>
          </rPr>
          <t xml:space="preserve">
Mitigation fee estimate based on $4,400/acre for Rio Mesa SEGS.</t>
        </r>
      </text>
    </comment>
    <comment ref="G133" authorId="9">
      <text>
        <r>
          <rPr>
            <sz val="10"/>
            <color indexed="81"/>
            <rFont val="Tahoma"/>
            <family val="2"/>
          </rPr>
          <t xml:space="preserve">From Aspen data survey 2005
</t>
        </r>
        <r>
          <rPr>
            <sz val="10"/>
            <color indexed="81"/>
            <rFont val="Tahoma"/>
            <family val="2"/>
          </rPr>
          <t xml:space="preserve">
</t>
        </r>
      </text>
    </comment>
    <comment ref="H133" authorId="9">
      <text>
        <r>
          <rPr>
            <sz val="10"/>
            <color indexed="81"/>
            <rFont val="Tahoma"/>
            <family val="2"/>
          </rPr>
          <t xml:space="preserve">From Aspen data survey 2005
</t>
        </r>
        <r>
          <rPr>
            <sz val="10"/>
            <color indexed="81"/>
            <rFont val="Tahoma"/>
            <family val="2"/>
          </rPr>
          <t xml:space="preserve">
</t>
        </r>
      </text>
    </comment>
    <comment ref="J133" authorId="1">
      <text>
        <r>
          <rPr>
            <b/>
            <sz val="9"/>
            <color indexed="81"/>
            <rFont val="Tahoma"/>
            <family val="2"/>
          </rPr>
          <t>Richard McCann:</t>
        </r>
        <r>
          <rPr>
            <sz val="9"/>
            <color indexed="81"/>
            <rFont val="Tahoma"/>
            <family val="2"/>
          </rPr>
          <t xml:space="preserve">
Total of Fixed + Variable &gt; Mid Case Total
Variable O&amp;M placed here so that sensitivity cases could be run in ACAT.</t>
        </r>
      </text>
    </comment>
    <comment ref="K133" authorId="1">
      <text>
        <r>
          <rPr>
            <b/>
            <sz val="9"/>
            <color indexed="81"/>
            <rFont val="Tahoma"/>
            <family val="2"/>
          </rPr>
          <t>Richard McCann:</t>
        </r>
        <r>
          <rPr>
            <sz val="9"/>
            <color indexed="81"/>
            <rFont val="Tahoma"/>
            <family val="2"/>
          </rPr>
          <t xml:space="preserve">
Total of Fixed + Variable &gt; Mid Case Total
Variable O&amp;M placed here so that sensitivity cases could be run in ACAT.</t>
        </r>
      </text>
    </comment>
    <comment ref="D203"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E203"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F203"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G203"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H203"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D204"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E204"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F204"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G204"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H204"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D205"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E205"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F205"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G205"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H205"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D206" authorId="7">
      <text>
        <r>
          <rPr>
            <b/>
            <sz val="8"/>
            <color indexed="81"/>
            <rFont val="Tahoma"/>
            <family val="2"/>
          </rPr>
          <t>117.08 #/MMBtu</t>
        </r>
        <r>
          <rPr>
            <sz val="8"/>
            <color indexed="81"/>
            <rFont val="Tahoma"/>
            <family val="2"/>
          </rPr>
          <t xml:space="preserve">
</t>
        </r>
      </text>
    </comment>
    <comment ref="E206" authorId="7">
      <text>
        <r>
          <rPr>
            <b/>
            <sz val="8"/>
            <color indexed="81"/>
            <rFont val="Tahoma"/>
            <family val="2"/>
          </rPr>
          <t>117.08 #/MMBtu</t>
        </r>
        <r>
          <rPr>
            <sz val="8"/>
            <color indexed="81"/>
            <rFont val="Tahoma"/>
            <family val="2"/>
          </rPr>
          <t xml:space="preserve">
</t>
        </r>
      </text>
    </comment>
    <comment ref="F206" authorId="7">
      <text>
        <r>
          <rPr>
            <b/>
            <sz val="8"/>
            <color indexed="81"/>
            <rFont val="Tahoma"/>
            <family val="2"/>
          </rPr>
          <t>117.08 #/MMBtu</t>
        </r>
        <r>
          <rPr>
            <sz val="8"/>
            <color indexed="81"/>
            <rFont val="Tahoma"/>
            <family val="2"/>
          </rPr>
          <t xml:space="preserve">
</t>
        </r>
      </text>
    </comment>
    <comment ref="G206" authorId="7">
      <text>
        <r>
          <rPr>
            <b/>
            <sz val="8"/>
            <color indexed="81"/>
            <rFont val="Tahoma"/>
            <family val="2"/>
          </rPr>
          <t>117.08 #/MMBtu</t>
        </r>
        <r>
          <rPr>
            <sz val="8"/>
            <color indexed="81"/>
            <rFont val="Tahoma"/>
            <family val="2"/>
          </rPr>
          <t xml:space="preserve">
</t>
        </r>
      </text>
    </comment>
    <comment ref="H206" authorId="7">
      <text>
        <r>
          <rPr>
            <b/>
            <sz val="8"/>
            <color indexed="81"/>
            <rFont val="Tahoma"/>
            <family val="2"/>
          </rPr>
          <t>117.08 #/MMBtu</t>
        </r>
        <r>
          <rPr>
            <sz val="8"/>
            <color indexed="81"/>
            <rFont val="Tahoma"/>
            <family val="2"/>
          </rPr>
          <t xml:space="preserve">
</t>
        </r>
      </text>
    </comment>
    <comment ref="J206" authorId="7">
      <text>
        <r>
          <rPr>
            <b/>
            <sz val="8"/>
            <color indexed="81"/>
            <rFont val="Tahoma"/>
            <family val="2"/>
          </rPr>
          <t xml:space="preserve">Based on two studies:
</t>
        </r>
        <r>
          <rPr>
            <sz val="8"/>
            <color indexed="81"/>
            <rFont val="Tahoma"/>
            <family val="2"/>
          </rPr>
          <t xml:space="preserve">ANL, "Life Cycle Anaysis Results of Geothermal Systems in Comparison to Other Power Systems," ANL/ESD/10-5, 2011
GEA, "Geothermal Energy and Greenhouse Gas Emissions," Nov. 2012
</t>
        </r>
      </text>
    </comment>
    <comment ref="K206" authorId="7">
      <text>
        <r>
          <rPr>
            <sz val="8"/>
            <color indexed="81"/>
            <rFont val="Tahoma"/>
            <family val="2"/>
          </rPr>
          <t xml:space="preserve">11/9/12 email from Will Walters: Simple single flash has rate of 0.12 MTCO2/MWh = 264.6 #/MWH
http://www.energy.ca.gov/2010publications/CEC-700-2010-012/CEC-700-2010-012.PDF  page 4.1-70
</t>
        </r>
      </text>
    </comment>
    <comment ref="D210"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E210"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F210"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G210"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H210"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AC210" authorId="1">
      <text>
        <r>
          <rPr>
            <b/>
            <sz val="8"/>
            <color indexed="81"/>
            <rFont val="Tahoma"/>
            <family val="2"/>
          </rPr>
          <t>Assumes same emissoin rate with and without duct firing.  Aspen EG study assumes no duct firing.</t>
        </r>
      </text>
    </comment>
    <comment ref="AD210" authorId="1">
      <text>
        <r>
          <rPr>
            <b/>
            <sz val="8"/>
            <color indexed="81"/>
            <rFont val="Tahoma"/>
            <family val="2"/>
          </rPr>
          <t>Assumes same emission rate for combined cycle plant as for stand alone CT.</t>
        </r>
      </text>
    </comment>
    <comment ref="D211"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E211"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F211"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G211"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H211"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U211" authorId="1">
      <text>
        <r>
          <rPr>
            <b/>
            <sz val="8"/>
            <color indexed="81"/>
            <rFont val="Tahoma"/>
            <family val="2"/>
          </rPr>
          <t>Assumes same emissoin rate with and without duct firing.  Aspen EG study assumes no duct firing.</t>
        </r>
      </text>
    </comment>
    <comment ref="V211" authorId="1">
      <text>
        <r>
          <rPr>
            <b/>
            <sz val="8"/>
            <color indexed="81"/>
            <rFont val="Tahoma"/>
            <family val="2"/>
          </rPr>
          <t>Assumes same emissoin rate with and without duct firing.  Aspen EG study assumes no duct firing.</t>
        </r>
      </text>
    </comment>
    <comment ref="AI211" authorId="1">
      <text>
        <r>
          <rPr>
            <b/>
            <sz val="8"/>
            <color indexed="81"/>
            <rFont val="Tahoma"/>
            <family val="2"/>
          </rPr>
          <t>Assumes same emissoin rate with and without duct firing.  Aspen EG study assumes no duct firing.</t>
        </r>
      </text>
    </comment>
    <comment ref="C217" authorId="0">
      <text>
        <r>
          <rPr>
            <sz val="8"/>
            <color indexed="81"/>
            <rFont val="Tahoma"/>
            <family val="2"/>
          </rPr>
          <t xml:space="preserve">Business Energy Investment Tax Credit (ITC)
Incentive Type: Corporate Tax Credit
</t>
        </r>
        <r>
          <rPr>
            <b/>
            <sz val="8"/>
            <color indexed="81"/>
            <rFont val="Tahoma"/>
            <family val="2"/>
          </rPr>
          <t>Eligible Renewable/Other Technologies:
Solar Water Heat, Solar Space Heat, Solar Thermal Electric, Solar Thermal Process Heat, Photovoltaics, Wind, Biomass, Geothermal Electric, Fuel Cells, Geothermal Heat Pumps, CHP/Cogeneration, Solar Hybrid Lighting, Direct Use Geothermal, Microturbines</t>
        </r>
        <r>
          <rPr>
            <sz val="8"/>
            <color indexed="81"/>
            <rFont val="Tahoma"/>
            <family val="2"/>
          </rPr>
          <t xml:space="preserve">
Applicable Sectors: Commercial, Industrial, Utility
Amount: 30% for solar, fuel cells and small wind;
10% for geothermal, microturbines and CHP
Maximum Incentive: Fuel cells: $1,500 per 0.5 kW
Microturbines: $200 per kW
Small wind turbines placed in service 10/4/08 - 12/31/08: $4,000
Small wind turbines placed in service after 12/31/08: no limit
All other eligible technologies: no limit
Eligible System Size: Small wind turbines: 100 kW or less
Fuel cells: 0.5 kW or greater
Microturbines: 2 MW or less
CHP: 50 MW or less
Equipment/Installation
Requirements: Fuel cells, microturbines and CHP systems must meet specific energy-efficiency criteria
Authority 1: 26 USC § 48
Summary:
Note: The American Recovery and Reinvestment Act of 2009 (H.R. 1) allows taxpayers eligible for the federal renewable electricity production tax credit (PTC) to take the federal business energy investment tax credit (ITC) or to receive a grant from the U.S. Treasury Department instead of taking the PTC for new installations. The new law also allows taxpayers eligible for the business ITC to receive a grant from the U.S. Treasury Department instead of taking the business ITC for new installations.
The federal business energy investment tax credit available under 26 USC § 48 was expanded significantly by the Energy Improvement and Extension Act of 2008 (H.R. 1424), enacted in October 2008. This law extended the duration -- by eight years -- of the existing credits for solar energy, fuel cells and microturbines; increased the credit amount for fuel cells; established new credits for small wind-energy systems, geothermal heat pumps, and combined heat and power (CHP) systems; extended eligibility for the credits to utilities; and allowed taxpayers to take the credit against the alternative minimum tax (AMT), subject to certain limitations. The credit was further expanded by The American Recovery and Reinvestment Act of 2009, enacted in February 2009.
In general, credits are available for eligible systems placed in service on or before December 31, 2016:*
Solar. The credit is equal to 30% of expenditures, with no maximum credit. Eligible solar energy property includes equipment that uses solar energy to generate electricity, to heat or cool (or provide hot water for use in) a structure, or to provide solar process heat. Hybrid solar lighting systems, which use solar energy to illuminate the inside of a structure using fiber-optic distributed sunlight, are eligible. (Passive solar systems and solar pool-heating systems are not eligible.)
Fuel Cells. The credit is equal to 30% of expenditures, with no maximum credit. However, the credit for fuel cells is capped at $1,500 per 0.5 kilowatt (kW) of capacity. Eligible property includes fuel cells with a minimum capacity of 0.5 kW that have an electricity-only generation efficiency of 30% or higher. (Note that the credit for property placed in service before October 4, 2008, is capped at $500 per 0.5 kW.)
Small Wind Turbines. The credit is equal to 30% of expenditures, with no maximum credit for small wind turbines placed in service after December 31, 2008. Eligible small wind property includes wind turbines up to 100 kW in capacity. (In general, the maximum credit is $4,000 for eligible property placed in service after October 3, 2008, and before January 1, 2009. The American Recovery and Reinvestment Act of 2009 removed the $4,000 maximum credit limit for small wind turbines.)
Geothermal Systems. The credit is equal to 10% of expenditures, with no maximum credit limit stated. Eligible geothermal energy property includes geothermal heat pumps and equipment used to produce, distribute or use energy derived from a geothermal deposit. For electricity produced by geothermal power, equipment qualifies only up to, but not including, the electric transmission stage. For geothermal heat pumps, this credit applies to eligible property placed in service after October 3, 2008.
Microturbines. The credit is equal to 10% of expenditures, with no maximum credit limit stated (explicitly). The credit for microturbines is capped at $200 per kW of capacity. Eligible property includes microturbines up to two megawatts (MW) in capacity that have an electricity-only generation efficiency of 26% or higher.
Combined Heat and Power (CHP). The credit is equal to 10% of expenditures, with no maximum limit stated. Eligible CHP property generally includes systems up to 50 MW in capacity that exceed 60% energy efficiency, subject to certain limitations and reductions for large systems. The efficiency requirement does not apply to CHP systems that use biomass for at least 90% of the system's energy source, but the credit may be reduced for less-efficient systems. This credit applies to eligible property placed in service after October 3, 2008.
Owners cannot claim both SGBETC and Renewable Energy PTC
http://www.dsireusa.org (updated 4/2009)</t>
        </r>
      </text>
    </comment>
    <comment ref="C218" authorId="7">
      <text>
        <r>
          <rPr>
            <b/>
            <sz val="8"/>
            <color indexed="81"/>
            <rFont val="Tahoma"/>
            <family val="2"/>
          </rPr>
          <t>DSIRE - extended to 2016 (5/09)</t>
        </r>
        <r>
          <rPr>
            <sz val="8"/>
            <color indexed="81"/>
            <rFont val="Tahoma"/>
            <family val="2"/>
          </rPr>
          <t xml:space="preserve">
</t>
        </r>
      </text>
    </comment>
    <comment ref="C220" authorId="7">
      <text>
        <r>
          <rPr>
            <b/>
            <sz val="8"/>
            <color indexed="81"/>
            <rFont val="Tahoma"/>
            <family val="2"/>
          </rPr>
          <t>Based on legal specifications</t>
        </r>
        <r>
          <rPr>
            <sz val="8"/>
            <color indexed="81"/>
            <rFont val="Tahoma"/>
            <family val="2"/>
          </rPr>
          <t xml:space="preserve">
Expiration based on credit eligibility issued at start of construction and available at start of operation.</t>
        </r>
      </text>
    </comment>
    <comment ref="C221" authorId="3">
      <text>
        <r>
          <rPr>
            <b/>
            <sz val="9"/>
            <color indexed="81"/>
            <rFont val="Tahoma"/>
            <family val="2"/>
          </rPr>
          <t>Ashley Spalding:</t>
        </r>
        <r>
          <rPr>
            <sz val="9"/>
            <color indexed="81"/>
            <rFont val="Tahoma"/>
            <family val="2"/>
          </rPr>
          <t xml:space="preserve">
9/5/12. According to the NREL report linked to below states that if a portion of the installed project costs are not considered to be 
depreciable, they are also ineligible for the ITC. The report has estimates for some of the plant technologies in this model, but we have not yet decided on a set of estimates. At this point, the values listed in this row are placeholders. http://eetd.lbl.gov/ea/emp/reports/lbnl-1642e.pdf</t>
        </r>
      </text>
    </comment>
    <comment ref="D221" authorId="10">
      <text>
        <r>
          <rPr>
            <b/>
            <sz val="9"/>
            <color indexed="81"/>
            <rFont val="Tahoma"/>
            <family val="2"/>
          </rPr>
          <t>Ashley:</t>
        </r>
        <r>
          <rPr>
            <sz val="9"/>
            <color indexed="81"/>
            <rFont val="Tahoma"/>
            <family val="2"/>
          </rPr>
          <t xml:space="preserve">
Placeholder values. Will be updated when we have reliable estimates</t>
        </r>
      </text>
    </comment>
    <comment ref="C222" authorId="0">
      <text>
        <r>
          <rPr>
            <sz val="8"/>
            <color indexed="81"/>
            <rFont val="Tahoma"/>
            <family val="2"/>
          </rPr>
          <t xml:space="preserve">Renewable Electricity Production Tax Credit (PTC)
</t>
        </r>
        <r>
          <rPr>
            <b/>
            <sz val="8"/>
            <color indexed="81"/>
            <rFont val="Tahoma"/>
            <family val="2"/>
          </rPr>
          <t>Updated for 2012 Fiscal Act:  eligibility extended to start date of construction, and available at start of operations.</t>
        </r>
        <r>
          <rPr>
            <sz val="8"/>
            <color indexed="81"/>
            <rFont val="Tahoma"/>
            <family val="2"/>
          </rPr>
          <t xml:space="preserve">
Last DSIRE Review: 02/19/2009
Incentive Type: Corporate Tax Credit
Eligible Renewable/Other Technologies:
Landfill Gas, Wind, Biomass, Hydroelectric, Geothermal Electric, Municipal Solid Waste, Hydrokinetic Power (i.e., Flowing Water), Anaerobic Digestion, Small Hydroelectric, Tidal Energy, Wave Energy, Ocean Thermal
Applicable Sectors: Commercial, Industrial
Amount: 2.1¢/kWh for wind, geothermal, closed-loop biomass; 1.0¢/kWh for other eligible technologies. Generally applies to first 10 years of operation.
Eligible System Size: Marine and Hydrokinetic: Minimum capacity of 150 kW
Agricultural Livestock Waste: Minimum capacity of 150 kW
Website: http://www.irs.gov/pub/irs-pdf/f8835.pdf
Authority 1: 26 USC § 45
Date Enacted: 1992
Summary:
Note: The American Recovery and Reinvestment Act of 2009 (H.R. 1) allows taxpayers eligible for the federal renewable electricity production tax credit (PTC) to take the federal business energy investment tax credit (ITC) or to receive a grant from the U.S. Treasury Department instead of taking the PTC for new installations. The new law also allows taxpayers eligible for the business ITC to receive a grant from the U.S. Treasury Department instead of taking the business ITC for new installations.
The federal renewable electricity production tax credit (PTC) is a per-kilowatt-hour tax credit for electricity generated by qualified energy resources and sold by the taxpayer to an unrelated person during the taxable year. Originally enacted in 1992, the PTC has been renewed and expanded numerous times, most recently by H.R. 1424 (Div. B, Sec. 101 &amp; 102) in October 2008 and again by H.R. 1 (Div. B, Section 1101 &amp;1102) in February 2009.
The October 2008 legislation extended the in-service deadlines for all qualifying renewable technologies; expanded the list of qualifying resources to include marine and hydrokinetic resources, such as wave, tidal, current and ocean thermal; and made changes to the definitions of several qualifying resources and facilities. The effective dates of these changes vary. Marine and hydrokinetic energy production is eligible as of the date the legislation was enacted (October 3, 2008), as is the incremental energy production associated with expansions of biomass facilities. A change in the definition of "trash facility" no longer requires that such facilities burn trash, and is also effective immediately. One further provision redefining the term "non-hydroelectric dam," took effect December 31, 2008.
The February 2009 legislation revised the credit by: (1) extending the in-service deadline for most eligible technologies by three years (two years for marine and hydrokinetic resources); and (2) allowing facilities that qualify for the PTC to opt instead to take the federal business energy investment credit (ITC) or an equivalent cash grant from the U.S. Department of Treasury. The ITC or grant for PTC-eligible technologies is generally equal to 30% of eligible costs.*
The tax credit amount is 1.5¢/kWh in 1993 dollars (indexed for inflation) for some technologies, and half of that amount for others. The rules governing the PTC vary by resource and facility type. The table below outlines two of the most important characteristics of the tax credit -- in-service deadline and credit amount -- as they apply to different facilities. The table includes changes made by H.R. 1, in February 2009, and the inflation-adjusted credit amounts are current for the 2008 tax year. (See the history section below for information on prior rules.)
Resource Type In-Service Deadline Credit Amount
Wind December 31, 2012 2.1¢/kWh
Closed-Loop Biomass December 31, 2013 2.1¢/kWh
Open-Loop Biomass December 31, 2013 1.0¢/kWh
Geothermal Energy December 31, 2013 2.1¢/kWh
Landfill Gas December 31, 2013 1.0¢/kWh
Municipal Solid Waste December 31, 2013 1.0¢/kWh
Qualified Hydroelectric December 31, 2013 1.0¢/kWh
Marine and Hydrokinetic (150 kW or larger)** December 31, 2013 1.0¢/kWh
The duration of the credit is generally 10 years after the date the facility is placed in service, but there are two
exceptions:
Open-loop biomass, geothermal, small irrigation hydro, landfill gas and municipal solid waste combustion facilities placed into service after October 22, 2004, and before enactment of the Energy Policy Act of 2005, on August 8, 2005, are only eligible for the credit for a five-year period. Open-loop biomass facilities placed in service before October 22, 2004, are eligible for a five-year period beginning January 1, 2005.
In addition, the tax credit is reduced for projects that receive other federal tax credits, grants, tax-exempt financing, or subsidized energy financing. The credit is claimed by completing Form 8835, "Renewable Electricity Production Credit," and Form 3800, "General Business Credit." For more information, contact IRS Telephone Assistance for Businesses at 1-800-829-4933.
Owners cannot claim both SGBETC and Renewable Energy PTC
http://www.dsireusa.org</t>
        </r>
      </text>
    </comment>
    <comment ref="J222" authorId="1">
      <text>
        <r>
          <rPr>
            <b/>
            <sz val="8"/>
            <color indexed="81"/>
            <rFont val="Tahoma"/>
            <family val="2"/>
          </rPr>
          <t xml:space="preserve">Cannot use both GDA &amp; REPTC.  Assume REPTC more advantageous as default.  </t>
        </r>
        <r>
          <rPr>
            <sz val="8"/>
            <color indexed="81"/>
            <rFont val="Tahoma"/>
            <family val="2"/>
          </rPr>
          <t xml:space="preserve">
</t>
        </r>
      </text>
    </comment>
    <comment ref="K222" authorId="1">
      <text>
        <r>
          <rPr>
            <b/>
            <sz val="8"/>
            <color indexed="81"/>
            <rFont val="Tahoma"/>
            <family val="2"/>
          </rPr>
          <t xml:space="preserve">Cannot use both GDA &amp; REPTC.  Assume REPTC more advantageous as default.  </t>
        </r>
        <r>
          <rPr>
            <sz val="8"/>
            <color indexed="81"/>
            <rFont val="Tahoma"/>
            <family val="2"/>
          </rPr>
          <t xml:space="preserve">
</t>
        </r>
      </text>
    </comment>
    <comment ref="C226" authorId="7">
      <text>
        <r>
          <rPr>
            <b/>
            <sz val="8"/>
            <color indexed="81"/>
            <rFont val="Tahoma"/>
            <family val="2"/>
          </rPr>
          <t>Based on legal specifications</t>
        </r>
        <r>
          <rPr>
            <sz val="8"/>
            <color indexed="81"/>
            <rFont val="Tahoma"/>
            <family val="2"/>
          </rPr>
          <t xml:space="preserve">
Updated for 2012 Fiscal Act:  eligibility extended to start date of construction, and available at start of operations.</t>
        </r>
      </text>
    </comment>
    <comment ref="U226" authorId="6">
      <text>
        <r>
          <rPr>
            <b/>
            <sz val="8"/>
            <color indexed="81"/>
            <rFont val="Tahoma"/>
            <family val="2"/>
          </rPr>
          <t>irhyne:</t>
        </r>
        <r>
          <rPr>
            <sz val="8"/>
            <color indexed="81"/>
            <rFont val="Tahoma"/>
            <family val="2"/>
          </rPr>
          <t xml:space="preserve">
The credit expires in 2014, however plants are able to capture it even if they have online dates later. Therefore we will see plants with COD of 2016 still capturing the credit</t>
        </r>
      </text>
    </comment>
    <comment ref="J227" authorId="1">
      <text>
        <r>
          <rPr>
            <b/>
            <sz val="8"/>
            <color indexed="81"/>
            <rFont val="Tahoma"/>
            <family val="2"/>
          </rPr>
          <t xml:space="preserve">GDA not available to geothermal projects leasing on BLM land, which is assumed in this base case. </t>
        </r>
        <r>
          <rPr>
            <sz val="8"/>
            <color indexed="81"/>
            <rFont val="Tahoma"/>
            <family val="2"/>
          </rPr>
          <t xml:space="preserve">
</t>
        </r>
      </text>
    </comment>
    <comment ref="K227" authorId="1">
      <text>
        <r>
          <rPr>
            <b/>
            <sz val="8"/>
            <color indexed="81"/>
            <rFont val="Tahoma"/>
            <family val="2"/>
          </rPr>
          <t xml:space="preserve">GDA not available to geothermal projects leasing on BLM land, which is assumed in this base case. </t>
        </r>
        <r>
          <rPr>
            <sz val="8"/>
            <color indexed="81"/>
            <rFont val="Tahoma"/>
            <family val="2"/>
          </rPr>
          <t xml:space="preserve">
</t>
        </r>
      </text>
    </comment>
    <comment ref="C231" authorId="1">
      <text>
        <r>
          <rPr>
            <sz val="8"/>
            <color indexed="81"/>
            <rFont val="Tahoma"/>
            <family val="2"/>
          </rPr>
          <t>Muni, rural electric cooperatives, local or state governments Eligible.
Renewable Energy Production Incentive (REPI)
Incentive Type:  Production Incentive
Eligible Renewable/Other Technologies:  Solar Thermal Electric, Photovoltaics, Landfill Gas, Wind, Biomass, Geothermal Electric, Livestock Methane, Tidal Energy, Wave Energy, Ocean Thermal, Fuel Cells using Renewable Fuels
Applicable Sectors:  Tribal Government, Municipal Utility, Rural Electric Cooperative, State/local gov't that sell project's electricity
Amount: 1.5 cents per kWh (indexed for inflation)
Terms: 10 years
Authority 1:  42 USCS Â§ 13317
Date Enacted: 1992, amended 2005
Website: http://www.eere.energy.gov/wip/program/repi.html
http://www.dsireusa.org</t>
        </r>
      </text>
    </comment>
    <comment ref="C232" authorId="4">
      <text>
        <r>
          <rPr>
            <sz val="9"/>
            <color indexed="81"/>
            <rFont val="Tahoma"/>
            <family val="2"/>
          </rPr>
          <t>Renewable Energy Production Incentive
Eligible electric production facilities include publicly-owned electric utilities, rural electric cooperatives, and local or state governments that sell the project's electricity to someone else.  
In this model, Muni is assumed to be eligible.</t>
        </r>
      </text>
    </comment>
    <comment ref="C235" authorId="7">
      <text>
        <r>
          <rPr>
            <b/>
            <sz val="8"/>
            <color indexed="81"/>
            <rFont val="Tahoma"/>
            <family val="2"/>
          </rPr>
          <t>Based on legal specifications</t>
        </r>
        <r>
          <rPr>
            <sz val="8"/>
            <color indexed="81"/>
            <rFont val="Tahoma"/>
            <family val="2"/>
          </rPr>
          <t xml:space="preserve">
</t>
        </r>
      </text>
    </comment>
    <comment ref="C236" authorId="1">
      <text>
        <r>
          <rPr>
            <b/>
            <sz val="8"/>
            <color indexed="81"/>
            <rFont val="Tahoma"/>
            <family val="2"/>
          </rPr>
          <t>Property Tax Exemption for Solar Systems
Incentive Type:  Property Tax Exemption
Eligible Renewable/Other Technologies:  Solar Water Heat, Solar Space Heat, Solar Thermal Electric, Solar Thermal Process Heat, Photovoltaics, Solar Mechanical Energy
Applicable Sectors:  Commercial, Industrial, Residential
Amount: 100% of system value
Max. Limit: None
Terms: 75% exemption for dual-use equipment
Authority 1:  Cal Rev &amp; Tax Code Â§ 73
Expiration Date: 12/31/16</t>
        </r>
        <r>
          <rPr>
            <sz val="8"/>
            <color indexed="81"/>
            <rFont val="Tahoma"/>
            <family val="2"/>
          </rPr>
          <t xml:space="preserve">
http://www.dsireusa.org/Index.cfm?EE=0&amp;RE=1</t>
        </r>
      </text>
    </comment>
    <comment ref="L236" authorId="1">
      <text>
        <r>
          <rPr>
            <b/>
            <sz val="9"/>
            <color indexed="81"/>
            <rFont val="Tahoma"/>
            <family val="2"/>
          </rPr>
          <t>Richard McCann:</t>
        </r>
        <r>
          <rPr>
            <sz val="9"/>
            <color indexed="81"/>
            <rFont val="Tahoma"/>
            <family val="2"/>
          </rPr>
          <t xml:space="preserve">
Based on Hidden Hills SEGS estimate for AFC.</t>
        </r>
      </text>
    </comment>
    <comment ref="M236" authorId="1">
      <text>
        <r>
          <rPr>
            <b/>
            <sz val="9"/>
            <color indexed="81"/>
            <rFont val="Tahoma"/>
            <family val="2"/>
          </rPr>
          <t>Richard McCann:</t>
        </r>
        <r>
          <rPr>
            <sz val="9"/>
            <color indexed="81"/>
            <rFont val="Tahoma"/>
            <family val="2"/>
          </rPr>
          <t xml:space="preserve">
Assumes no gas assist so no dual purpose facilities.</t>
        </r>
      </text>
    </comment>
    <comment ref="N236" authorId="1">
      <text>
        <r>
          <rPr>
            <b/>
            <sz val="9"/>
            <color indexed="81"/>
            <rFont val="Tahoma"/>
            <family val="2"/>
          </rPr>
          <t>Richard McCann:</t>
        </r>
        <r>
          <rPr>
            <sz val="9"/>
            <color indexed="81"/>
            <rFont val="Tahoma"/>
            <family val="2"/>
          </rPr>
          <t xml:space="preserve">
Based on Hidden Hills SEGS estimate for AFC.</t>
        </r>
      </text>
    </comment>
    <comment ref="O236" authorId="1">
      <text>
        <r>
          <rPr>
            <b/>
            <sz val="9"/>
            <color indexed="81"/>
            <rFont val="Tahoma"/>
            <family val="2"/>
          </rPr>
          <t>Richard McCann:</t>
        </r>
        <r>
          <rPr>
            <sz val="9"/>
            <color indexed="81"/>
            <rFont val="Tahoma"/>
            <family val="2"/>
          </rPr>
          <t xml:space="preserve">
Assumes no gas assist so no dual purpose facilities.</t>
        </r>
      </text>
    </comment>
    <comment ref="P236" authorId="1">
      <text>
        <r>
          <rPr>
            <b/>
            <sz val="9"/>
            <color indexed="81"/>
            <rFont val="Tahoma"/>
            <family val="2"/>
          </rPr>
          <t>Richard McCann:</t>
        </r>
        <r>
          <rPr>
            <sz val="9"/>
            <color indexed="81"/>
            <rFont val="Tahoma"/>
            <family val="2"/>
          </rPr>
          <t xml:space="preserve">
Assumes no gas assist so no dual purpose facilities.</t>
        </r>
      </text>
    </comment>
    <comment ref="Q236" authorId="1">
      <text>
        <r>
          <rPr>
            <b/>
            <sz val="9"/>
            <color indexed="81"/>
            <rFont val="Tahoma"/>
            <family val="2"/>
          </rPr>
          <t>Richard McCann:</t>
        </r>
        <r>
          <rPr>
            <sz val="9"/>
            <color indexed="81"/>
            <rFont val="Tahoma"/>
            <family val="2"/>
          </rPr>
          <t xml:space="preserve">
Assumes no gas assist so no dual purpose facilities.</t>
        </r>
      </text>
    </comment>
    <comment ref="R236" authorId="1">
      <text>
        <r>
          <rPr>
            <b/>
            <sz val="9"/>
            <color indexed="81"/>
            <rFont val="Tahoma"/>
            <family val="2"/>
          </rPr>
          <t>Richard McCann:</t>
        </r>
        <r>
          <rPr>
            <sz val="9"/>
            <color indexed="81"/>
            <rFont val="Tahoma"/>
            <family val="2"/>
          </rPr>
          <t xml:space="preserve">
Assumes no gas assist so no dual purpose facilities.</t>
        </r>
      </text>
    </comment>
    <comment ref="S236" authorId="1">
      <text>
        <r>
          <rPr>
            <b/>
            <sz val="9"/>
            <color indexed="81"/>
            <rFont val="Tahoma"/>
            <family val="2"/>
          </rPr>
          <t>Richard McCann:</t>
        </r>
        <r>
          <rPr>
            <sz val="9"/>
            <color indexed="81"/>
            <rFont val="Tahoma"/>
            <family val="2"/>
          </rPr>
          <t xml:space="preserve">
Assumes no gas assist so no dual purpose facilities.</t>
        </r>
      </text>
    </comment>
    <comment ref="T236" authorId="1">
      <text>
        <r>
          <rPr>
            <b/>
            <sz val="9"/>
            <color indexed="81"/>
            <rFont val="Tahoma"/>
            <family val="2"/>
          </rPr>
          <t>Richard McCann:</t>
        </r>
        <r>
          <rPr>
            <sz val="9"/>
            <color indexed="81"/>
            <rFont val="Tahoma"/>
            <family val="2"/>
          </rPr>
          <t xml:space="preserve">
Assumes no gas assist so no dual purpose facilities.</t>
        </r>
      </text>
    </comment>
    <comment ref="L237" authorId="1">
      <text>
        <r>
          <rPr>
            <b/>
            <sz val="9"/>
            <color indexed="81"/>
            <rFont val="Tahoma"/>
            <family val="2"/>
          </rPr>
          <t>Richard McCann:</t>
        </r>
        <r>
          <rPr>
            <sz val="9"/>
            <color indexed="81"/>
            <rFont val="Tahoma"/>
            <family val="2"/>
          </rPr>
          <t xml:space="preserve">
Based on Hidden Hills SEGS estimate for AFC.</t>
        </r>
      </text>
    </comment>
    <comment ref="N237" authorId="1">
      <text>
        <r>
          <rPr>
            <b/>
            <sz val="9"/>
            <color indexed="81"/>
            <rFont val="Tahoma"/>
            <family val="2"/>
          </rPr>
          <t>Richard McCann:</t>
        </r>
        <r>
          <rPr>
            <sz val="9"/>
            <color indexed="81"/>
            <rFont val="Tahoma"/>
            <family val="2"/>
          </rPr>
          <t xml:space="preserve">
Based on Hidden Hills SEGS estimate for AFC.</t>
        </r>
      </text>
    </comment>
    <comment ref="C239" authorId="1">
      <text>
        <r>
          <rPr>
            <sz val="14"/>
            <color indexed="81"/>
            <rFont val="Tahoma"/>
            <family val="2"/>
          </rPr>
          <t>BOE, Tax Tips for Construction and Building Contractors Sales and Use Taxes, Publication 9, December 2002.
Installation labor and non equipment costs not subject to sales or use tax.</t>
        </r>
      </text>
    </comment>
    <comment ref="D239" authorId="1">
      <text>
        <r>
          <rPr>
            <b/>
            <sz val="9"/>
            <color indexed="81"/>
            <rFont val="Tahoma"/>
            <family val="2"/>
          </rPr>
          <t>Richard McCann:</t>
        </r>
        <r>
          <rPr>
            <sz val="9"/>
            <color indexed="81"/>
            <rFont val="Tahoma"/>
            <family val="2"/>
          </rPr>
          <t xml:space="preserve">
Based on JEDI Gas model v1.11.01</t>
        </r>
      </text>
    </comment>
    <comment ref="E239" authorId="1">
      <text>
        <r>
          <rPr>
            <b/>
            <sz val="9"/>
            <color indexed="81"/>
            <rFont val="Tahoma"/>
            <family val="2"/>
          </rPr>
          <t>Richard McCann:</t>
        </r>
        <r>
          <rPr>
            <sz val="9"/>
            <color indexed="81"/>
            <rFont val="Tahoma"/>
            <family val="2"/>
          </rPr>
          <t xml:space="preserve">
Based on JEDI Gas model v1.11.01</t>
        </r>
      </text>
    </comment>
    <comment ref="F239" authorId="1">
      <text>
        <r>
          <rPr>
            <b/>
            <sz val="9"/>
            <color indexed="81"/>
            <rFont val="Tahoma"/>
            <family val="2"/>
          </rPr>
          <t>Richard McCann:</t>
        </r>
        <r>
          <rPr>
            <sz val="9"/>
            <color indexed="81"/>
            <rFont val="Tahoma"/>
            <family val="2"/>
          </rPr>
          <t xml:space="preserve">
Based on JEDI Gas model v1.11.01</t>
        </r>
      </text>
    </comment>
    <comment ref="G239" authorId="1">
      <text>
        <r>
          <rPr>
            <b/>
            <sz val="9"/>
            <color indexed="81"/>
            <rFont val="Tahoma"/>
            <family val="2"/>
          </rPr>
          <t>Richard McCann:</t>
        </r>
        <r>
          <rPr>
            <sz val="9"/>
            <color indexed="81"/>
            <rFont val="Tahoma"/>
            <family val="2"/>
          </rPr>
          <t xml:space="preserve">
Based on JEDI Gas model v1.11.01</t>
        </r>
      </text>
    </comment>
    <comment ref="H239" authorId="1">
      <text>
        <r>
          <rPr>
            <b/>
            <sz val="9"/>
            <color indexed="81"/>
            <rFont val="Tahoma"/>
            <family val="2"/>
          </rPr>
          <t>Richard McCann:</t>
        </r>
        <r>
          <rPr>
            <sz val="9"/>
            <color indexed="81"/>
            <rFont val="Tahoma"/>
            <family val="2"/>
          </rPr>
          <t xml:space="preserve">
Based on JEDI Gas model v1.11.01</t>
        </r>
      </text>
    </comment>
    <comment ref="I239" authorId="1">
      <text>
        <r>
          <rPr>
            <b/>
            <sz val="9"/>
            <color indexed="81"/>
            <rFont val="Tahoma"/>
            <family val="2"/>
          </rPr>
          <t>Richard McCann:</t>
        </r>
        <r>
          <rPr>
            <sz val="9"/>
            <color indexed="81"/>
            <rFont val="Tahoma"/>
            <family val="2"/>
          </rPr>
          <t xml:space="preserve">
Uses proxy cost shares from JEDI Coal model v1.11.01 which uses similar technology</t>
        </r>
      </text>
    </comment>
    <comment ref="J239" authorId="1">
      <text>
        <r>
          <rPr>
            <b/>
            <sz val="9"/>
            <color indexed="81"/>
            <rFont val="Tahoma"/>
            <family val="2"/>
          </rPr>
          <t>Richard McCann:</t>
        </r>
        <r>
          <rPr>
            <sz val="9"/>
            <color indexed="81"/>
            <rFont val="Tahoma"/>
            <family val="2"/>
          </rPr>
          <t xml:space="preserve">
Based on JEDI Geothermal Binary model v08.02.12 - Simple</t>
        </r>
      </text>
    </comment>
    <comment ref="K239" authorId="1">
      <text>
        <r>
          <rPr>
            <b/>
            <sz val="9"/>
            <color indexed="81"/>
            <rFont val="Tahoma"/>
            <family val="2"/>
          </rPr>
          <t>Richard McCann:</t>
        </r>
        <r>
          <rPr>
            <sz val="9"/>
            <color indexed="81"/>
            <rFont val="Tahoma"/>
            <family val="2"/>
          </rPr>
          <t xml:space="preserve">
Based on JEDI Geothermal Flash model v08.02.12 - Simple</t>
        </r>
      </text>
    </comment>
    <comment ref="L239" authorId="1">
      <text>
        <r>
          <rPr>
            <b/>
            <sz val="9"/>
            <color indexed="81"/>
            <rFont val="Tahoma"/>
            <family val="2"/>
          </rPr>
          <t>Richard McCann:</t>
        </r>
        <r>
          <rPr>
            <sz val="9"/>
            <color indexed="81"/>
            <rFont val="Tahoma"/>
            <family val="2"/>
          </rPr>
          <t xml:space="preserve">
Based on calculation for Hidden Hills SEGS (2012) for CEC Staff Analysis.</t>
        </r>
      </text>
    </comment>
    <comment ref="M239" authorId="1">
      <text>
        <r>
          <rPr>
            <b/>
            <sz val="9"/>
            <color indexed="81"/>
            <rFont val="Tahoma"/>
            <family val="2"/>
          </rPr>
          <t>Richard McCann:</t>
        </r>
        <r>
          <rPr>
            <sz val="9"/>
            <color indexed="81"/>
            <rFont val="Tahoma"/>
            <family val="2"/>
          </rPr>
          <t xml:space="preserve">
Based on calculation for Hidden Hills SEGS (2012) for CEC Staff Analysis.</t>
        </r>
      </text>
    </comment>
    <comment ref="N239" authorId="1">
      <text>
        <r>
          <rPr>
            <b/>
            <sz val="9"/>
            <color indexed="81"/>
            <rFont val="Tahoma"/>
            <family val="2"/>
          </rPr>
          <t>Richard McCann:</t>
        </r>
        <r>
          <rPr>
            <sz val="9"/>
            <color indexed="81"/>
            <rFont val="Tahoma"/>
            <family val="2"/>
          </rPr>
          <t xml:space="preserve">
Based on calculation for Hidden Hills SEGS (2012) for CEC Staff Analysis.</t>
        </r>
      </text>
    </comment>
    <comment ref="O239" authorId="1">
      <text>
        <r>
          <rPr>
            <b/>
            <sz val="9"/>
            <color indexed="81"/>
            <rFont val="Tahoma"/>
            <family val="2"/>
          </rPr>
          <t>Richard McCann:</t>
        </r>
        <r>
          <rPr>
            <sz val="9"/>
            <color indexed="81"/>
            <rFont val="Tahoma"/>
            <family val="2"/>
          </rPr>
          <t xml:space="preserve">
Based on calculation for Hidden Hills SEGS (2012) for CEC Staff Analysis.</t>
        </r>
      </text>
    </comment>
    <comment ref="P239" authorId="1">
      <text>
        <r>
          <rPr>
            <b/>
            <sz val="9"/>
            <color indexed="81"/>
            <rFont val="Tahoma"/>
            <family val="2"/>
          </rPr>
          <t>Richard McCann:</t>
        </r>
        <r>
          <rPr>
            <sz val="9"/>
            <color indexed="81"/>
            <rFont val="Tahoma"/>
            <family val="2"/>
          </rPr>
          <t xml:space="preserve">
Based on calculation for Hidden Hills SEGS (2012) for CEC Staff Analysis.</t>
        </r>
      </text>
    </comment>
    <comment ref="Q239" authorId="1">
      <text>
        <r>
          <rPr>
            <b/>
            <sz val="9"/>
            <color indexed="81"/>
            <rFont val="Tahoma"/>
            <family val="2"/>
          </rPr>
          <t>Richard McCann:</t>
        </r>
        <r>
          <rPr>
            <sz val="9"/>
            <color indexed="81"/>
            <rFont val="Tahoma"/>
            <family val="2"/>
          </rPr>
          <t xml:space="preserve">
Based on calculation for 3 utility scale solar projects: Panoche Valley (San Benito), California Valley (SLO) and Topaz Solar Farm (SLO) - 2010.</t>
        </r>
      </text>
    </comment>
    <comment ref="R239" authorId="1">
      <text>
        <r>
          <rPr>
            <b/>
            <sz val="9"/>
            <color indexed="81"/>
            <rFont val="Tahoma"/>
            <family val="2"/>
          </rPr>
          <t>Richard McCann:</t>
        </r>
        <r>
          <rPr>
            <sz val="9"/>
            <color indexed="81"/>
            <rFont val="Tahoma"/>
            <family val="2"/>
          </rPr>
          <t xml:space="preserve">
Based on calculation for 3 utility scale solar projects: Panoche Valley (San Benito), California Valley (SLO) and Topaz Solar Farm (SLO) - 2010.</t>
        </r>
      </text>
    </comment>
    <comment ref="S239" authorId="1">
      <text>
        <r>
          <rPr>
            <b/>
            <sz val="9"/>
            <color indexed="81"/>
            <rFont val="Tahoma"/>
            <family val="2"/>
          </rPr>
          <t>Richard McCann:</t>
        </r>
        <r>
          <rPr>
            <sz val="9"/>
            <color indexed="81"/>
            <rFont val="Tahoma"/>
            <family val="2"/>
          </rPr>
          <t xml:space="preserve">
Based on calculation for 3 utility scale solar projects: Panoche Valley (San Benito), California Valley (SLO) and Topaz Solar Farm (SLO) - 2010.</t>
        </r>
      </text>
    </comment>
    <comment ref="T239" authorId="1">
      <text>
        <r>
          <rPr>
            <b/>
            <sz val="9"/>
            <color indexed="81"/>
            <rFont val="Tahoma"/>
            <family val="2"/>
          </rPr>
          <t>Richard McCann:</t>
        </r>
        <r>
          <rPr>
            <sz val="9"/>
            <color indexed="81"/>
            <rFont val="Tahoma"/>
            <family val="2"/>
          </rPr>
          <t xml:space="preserve">
Based on calculation for 3 utility scale solar projects: Panoche Valley (San Benito), California Valley (SLO) and Topaz Solar Farm (SLO) - 2010.</t>
        </r>
      </text>
    </comment>
    <comment ref="U239" authorId="1">
      <text>
        <r>
          <rPr>
            <b/>
            <sz val="9"/>
            <color indexed="81"/>
            <rFont val="Tahoma"/>
            <family val="2"/>
          </rPr>
          <t>Richard McCann:</t>
        </r>
        <r>
          <rPr>
            <sz val="9"/>
            <color indexed="81"/>
            <rFont val="Tahoma"/>
            <family val="2"/>
          </rPr>
          <t xml:space="preserve">
Based on JEDI Wind model v01.10.03</t>
        </r>
      </text>
    </comment>
    <comment ref="V239" authorId="1">
      <text>
        <r>
          <rPr>
            <b/>
            <sz val="9"/>
            <color indexed="81"/>
            <rFont val="Tahoma"/>
            <family val="2"/>
          </rPr>
          <t>Richard McCann:</t>
        </r>
        <r>
          <rPr>
            <sz val="9"/>
            <color indexed="81"/>
            <rFont val="Tahoma"/>
            <family val="2"/>
          </rPr>
          <t xml:space="preserve">
Based on JEDI Wind model v01.10.03</t>
        </r>
      </text>
    </comment>
    <comment ref="AG239" authorId="1">
      <text>
        <r>
          <rPr>
            <b/>
            <sz val="9"/>
            <color indexed="81"/>
            <rFont val="Tahoma"/>
            <family val="2"/>
          </rPr>
          <t>Richard McCann:</t>
        </r>
        <r>
          <rPr>
            <sz val="9"/>
            <color indexed="81"/>
            <rFont val="Tahoma"/>
            <family val="2"/>
          </rPr>
          <t xml:space="preserve">
Based on calculation for Hidden Hills SEGS (2012) for CEC Staff Analysis.</t>
        </r>
      </text>
    </comment>
    <comment ref="AH239" authorId="1">
      <text>
        <r>
          <rPr>
            <b/>
            <sz val="9"/>
            <color indexed="81"/>
            <rFont val="Tahoma"/>
            <family val="2"/>
          </rPr>
          <t>Richard McCann:</t>
        </r>
        <r>
          <rPr>
            <sz val="9"/>
            <color indexed="81"/>
            <rFont val="Tahoma"/>
            <family val="2"/>
          </rPr>
          <t xml:space="preserve">
Based on calculation for Hidden Hills SEGS (2012) for CEC Staff Analysis.</t>
        </r>
      </text>
    </comment>
    <comment ref="AI239" authorId="1">
      <text>
        <r>
          <rPr>
            <b/>
            <sz val="9"/>
            <color indexed="81"/>
            <rFont val="Tahoma"/>
            <family val="2"/>
          </rPr>
          <t>Richard McCann:</t>
        </r>
        <r>
          <rPr>
            <sz val="9"/>
            <color indexed="81"/>
            <rFont val="Tahoma"/>
            <family val="2"/>
          </rPr>
          <t xml:space="preserve">
Based on calculation for Hidden Hills SEGS (2012) for CEC Staff Analysis.</t>
        </r>
      </text>
    </comment>
    <comment ref="C241" authorId="1">
      <text>
        <r>
          <rPr>
            <b/>
            <sz val="10"/>
            <color indexed="81"/>
            <rFont val="Tahoma"/>
            <family val="2"/>
          </rPr>
          <t>Originally entered by Richard Mc Cann but was found to not be applicable - confirmed by  Sandy Miller 8-10-07</t>
        </r>
        <r>
          <rPr>
            <b/>
            <sz val="8"/>
            <color indexed="81"/>
            <rFont val="Tahoma"/>
            <family val="2"/>
          </rPr>
          <t xml:space="preserve">
California Solar Initiative Incentives
Incentive Type:  State Rebate Program
Eligible Renewable/Other Technologies:  Photovoltaics
Applicable Sectors:  Commercial, Industrial, Residential, Nonprofit, Schools, Local Government, State Government, Fed. Government, Multi-Family Residential, Low-Income Residential, Agricultural, Institutional, (All customers of PG&amp;E, SDG&amp;E, SCE; Bear Valley eligible only for NHSP)
Incentive Amount: Varies by sector and system size (see below)
Program Budget: $3.2 billion over 10 years
Ownership of Renewable Energy Credits: Remains with customer-producer
Authority 1:  CSI Handbook (2007)
Effective Date: 1/1/2007
Website: http://www.gosolarcalifornia.ca.gov</t>
        </r>
        <r>
          <rPr>
            <sz val="8"/>
            <color indexed="81"/>
            <rFont val="Tahoma"/>
            <family val="2"/>
          </rPr>
          <t xml:space="preserve">
Performance-Based Incentives for Systems 100 kW and larger:
    * $0.39/kWh for first 5 years for taxable entities  
    * $0.50/kWh for first 5 years for government entities and nonprofits
</t>
        </r>
        <r>
          <rPr>
            <b/>
            <sz val="8"/>
            <color indexed="81"/>
            <rFont val="Tahoma"/>
            <family val="2"/>
          </rPr>
          <t xml:space="preserve">THIS MUST BE UPDATED BASED ON FORECASTED SOLAR CAPACITY
</t>
        </r>
        <r>
          <rPr>
            <sz val="8"/>
            <color indexed="81"/>
            <rFont val="Tahoma"/>
            <family val="2"/>
          </rPr>
          <t xml:space="preserve">The CSI program will pay PBI for solar projects with systems equal to or greater than 100 kilowatts (kW), with monthly payments based on recorded kilowatt hours (kWh) of solar power produced over a 5-year period. Residential and small projects can also choose to opt-in to the performance-based incentive payment approach. Once the PBI incentive rate has been determined and a confirmed eservation issued, the ¢/kWh incentive rate will remain constant for the 5-year term.
</t>
        </r>
        <r>
          <rPr>
            <sz val="8"/>
            <color indexed="81"/>
            <rFont val="Tahoma"/>
            <family val="2"/>
          </rPr>
          <t xml:space="preserve">
http://www.dsireusa.org/Index.cfm?EE=0&amp;RE=1
</t>
        </r>
      </text>
    </comment>
    <comment ref="Q241" authorId="1">
      <text>
        <r>
          <rPr>
            <b/>
            <sz val="8"/>
            <color indexed="81"/>
            <rFont val="Tahoma"/>
            <family val="2"/>
          </rPr>
          <t>Function of forecasted installed capacity</t>
        </r>
        <r>
          <rPr>
            <sz val="8"/>
            <color indexed="81"/>
            <rFont val="Tahoma"/>
            <family val="2"/>
          </rPr>
          <t xml:space="preserve">
</t>
        </r>
      </text>
    </comment>
    <comment ref="R241" authorId="1">
      <text>
        <r>
          <rPr>
            <b/>
            <sz val="8"/>
            <color indexed="81"/>
            <rFont val="Tahoma"/>
            <family val="2"/>
          </rPr>
          <t>Function of forecasted installed capacity</t>
        </r>
        <r>
          <rPr>
            <sz val="8"/>
            <color indexed="81"/>
            <rFont val="Tahoma"/>
            <family val="2"/>
          </rPr>
          <t xml:space="preserve">
</t>
        </r>
      </text>
    </comment>
    <comment ref="S241" authorId="1">
      <text>
        <r>
          <rPr>
            <b/>
            <sz val="8"/>
            <color indexed="81"/>
            <rFont val="Tahoma"/>
            <family val="2"/>
          </rPr>
          <t>Function of forecasted installed capacity</t>
        </r>
        <r>
          <rPr>
            <sz val="8"/>
            <color indexed="81"/>
            <rFont val="Tahoma"/>
            <family val="2"/>
          </rPr>
          <t xml:space="preserve">
</t>
        </r>
      </text>
    </comment>
    <comment ref="T241" authorId="1">
      <text>
        <r>
          <rPr>
            <b/>
            <sz val="8"/>
            <color indexed="81"/>
            <rFont val="Tahoma"/>
            <family val="2"/>
          </rPr>
          <t>Function of forecasted installed capacity</t>
        </r>
        <r>
          <rPr>
            <sz val="8"/>
            <color indexed="81"/>
            <rFont val="Tahoma"/>
            <family val="2"/>
          </rPr>
          <t xml:space="preserve">
</t>
        </r>
      </text>
    </comment>
    <comment ref="C243" authorId="1">
      <text>
        <r>
          <rPr>
            <b/>
            <sz val="10"/>
            <color indexed="81"/>
            <rFont val="Tahoma"/>
            <family val="2"/>
          </rPr>
          <t xml:space="preserve">Originally entered by Richard Mc Cann but was found to not be applicable - confirmed by  Sandy Miller 8-10-07
</t>
        </r>
        <r>
          <rPr>
            <b/>
            <sz val="8"/>
            <color indexed="81"/>
            <rFont val="Tahoma"/>
            <family val="2"/>
          </rPr>
          <t xml:space="preserve">
Self-Generation Incentive Program
Incentive Type:  State Rebate Program
Eligible Renewable/Other Technologies:  Wind, Fuel Cells, CHP/Cogeneration, Other Distributed Generation Technologies
Applicable Sectors:  Commercial, Industrial, Residential, Nonprofit, Schools, Local Government, State Government, Fed. Government, Institutional
Incentive Amount: $1.00/W to $4.50/W for renewables, depending on technology.
Maximum Incentive: Incentive payment is capped at 1 MW.
Eligible System Size: Systems must be sized according to customer's electricity demand; maximum system size of 5 MW; minimum of 30 kW for wind turbines and fuel cells using renewable fuels.
Equipment Requirements: Systems must be new, UL listed, and in compliance with all applicable performance and safety standards. Wind systems and fuels must be covered by a minimum five year warranty. Other systems must be covered at least three years.
Installation Requirements: Installation must comply with all federal, state, and local codes; Must be grid-connected and installed by a California-licensed contractor.
Program Budget: 2007 Funding:
PG&amp;E: $32.4 million;
SCE: $25.2 million;
So Cal Gas: $9.9 million;
SDG&amp;E: $7.2 million
Ownership of Renewable Energy Credits: Remains with customer/producer
Expiration Date 1/1/2012
Authority 1:  Self-Generation Incentive Program Handbook (2007)
Website: http://www.cpuc.ca.gov/
static/energy/electric/051005_sgip.htm</t>
        </r>
        <r>
          <rPr>
            <sz val="8"/>
            <color indexed="81"/>
            <rFont val="Tahoma"/>
            <family val="2"/>
          </rPr>
          <t xml:space="preserve">
http://www.dsireusa.org/Index.cfm?EE=0&amp;RE=1</t>
        </r>
      </text>
    </comment>
    <comment ref="C267" authorId="4">
      <text>
        <r>
          <rPr>
            <b/>
            <sz val="9"/>
            <color indexed="81"/>
            <rFont val="Tahoma"/>
            <family val="2"/>
          </rPr>
          <t>Labor/day??</t>
        </r>
      </text>
    </comment>
    <comment ref="C281" authorId="4">
      <text>
        <r>
          <rPr>
            <sz val="9"/>
            <color indexed="81"/>
            <rFont val="Tahoma"/>
            <family val="2"/>
          </rPr>
          <t>Included Planned and Maintenance Outages</t>
        </r>
      </text>
    </comment>
    <comment ref="C283" authorId="4">
      <text>
        <r>
          <rPr>
            <sz val="9"/>
            <color indexed="81"/>
            <rFont val="Tahoma"/>
            <family val="2"/>
          </rPr>
          <t>Included Planned and Maintenance Outages</t>
        </r>
      </text>
    </comment>
  </commentList>
</comments>
</file>

<file path=xl/comments19.xml><?xml version="1.0" encoding="utf-8"?>
<comments xmlns="http://schemas.openxmlformats.org/spreadsheetml/2006/main">
  <authors>
    <author xml:space="preserve"> </author>
    <author>Richard McCann</author>
    <author>Joel Klein</author>
    <author>Ashley Spalding</author>
    <author>Eric Cutter</author>
    <author>RMcCann</author>
    <author>Ivin Rhyne</author>
    <author>jklein</author>
    <author>CEC</author>
    <author>Ashley</author>
  </authors>
  <commentList>
    <comment ref="A2" authorId="0">
      <text>
        <r>
          <rPr>
            <b/>
            <sz val="8"/>
            <color indexed="81"/>
            <rFont val="Tahoma"/>
            <family val="2"/>
          </rPr>
          <t>DO NOT DELETE OR MOVE</t>
        </r>
      </text>
    </comment>
    <comment ref="I2" authorId="1">
      <text>
        <r>
          <rPr>
            <b/>
            <sz val="8"/>
            <color indexed="81"/>
            <rFont val="Tahoma"/>
            <family val="2"/>
          </rPr>
          <t>Assumed this is open loop biomass</t>
        </r>
        <r>
          <rPr>
            <sz val="8"/>
            <color indexed="81"/>
            <rFont val="Tahoma"/>
            <family val="2"/>
          </rPr>
          <t xml:space="preserve">
</t>
        </r>
      </text>
    </comment>
    <comment ref="C3" authorId="1">
      <text>
        <r>
          <rPr>
            <b/>
            <sz val="8"/>
            <color indexed="81"/>
            <rFont val="Tahoma"/>
            <family val="2"/>
          </rPr>
          <t>Currently: References for 2003 IEPR "Cost of Generation" Appendix, based on interviews with industry analysts listed here.</t>
        </r>
      </text>
    </comment>
    <comment ref="C4" authorId="1">
      <text>
        <r>
          <rPr>
            <sz val="8"/>
            <color indexed="81"/>
            <rFont val="Tahoma"/>
            <family val="2"/>
          </rPr>
          <t xml:space="preserve">Update to correspond with year of cost data used.
</t>
        </r>
      </text>
    </comment>
    <comment ref="G7" authorId="1">
      <text>
        <r>
          <rPr>
            <sz val="8"/>
            <color indexed="81"/>
            <rFont val="Tahoma"/>
            <family val="2"/>
          </rPr>
          <t xml:space="preserve">Median capacity from survey net of duct firing.
</t>
        </r>
      </text>
    </comment>
    <comment ref="H7" authorId="1">
      <text>
        <r>
          <rPr>
            <b/>
            <sz val="8"/>
            <color indexed="81"/>
            <rFont val="Tahoma"/>
            <family val="2"/>
          </rPr>
          <t>Median duct firing capacity = 9.1% of total (15 observations)</t>
        </r>
        <r>
          <rPr>
            <sz val="8"/>
            <color indexed="81"/>
            <rFont val="Tahoma"/>
            <family val="2"/>
          </rPr>
          <t xml:space="preserve">
</t>
        </r>
      </text>
    </comment>
    <comment ref="D10" authorId="1">
      <text>
        <r>
          <rPr>
            <b/>
            <sz val="9"/>
            <color indexed="81"/>
            <rFont val="Tahoma"/>
            <family val="2"/>
          </rPr>
          <t>Richard McCann:</t>
        </r>
        <r>
          <rPr>
            <sz val="9"/>
            <color indexed="81"/>
            <rFont val="Tahoma"/>
            <family val="2"/>
          </rPr>
          <t xml:space="preserve">
BOE 2012, Diversified Electric Utilities, p. 60</t>
        </r>
      </text>
    </comment>
    <comment ref="I10" authorId="1">
      <text>
        <r>
          <rPr>
            <b/>
            <sz val="9"/>
            <color indexed="81"/>
            <rFont val="Tahoma"/>
            <family val="2"/>
          </rPr>
          <t>Richard McCann:</t>
        </r>
        <r>
          <rPr>
            <sz val="9"/>
            <color indexed="81"/>
            <rFont val="Tahoma"/>
            <family val="2"/>
          </rPr>
          <t xml:space="preserve">
Chadbourned &amp; Parke LLP
1/7/13 webinar</t>
        </r>
      </text>
    </comment>
    <comment ref="J10" authorId="1">
      <text>
        <r>
          <rPr>
            <b/>
            <sz val="9"/>
            <color indexed="81"/>
            <rFont val="Tahoma"/>
            <family val="2"/>
          </rPr>
          <t>Richard McCann:</t>
        </r>
        <r>
          <rPr>
            <sz val="9"/>
            <color indexed="81"/>
            <rFont val="Tahoma"/>
            <family val="2"/>
          </rPr>
          <t xml:space="preserve">
Chadbourned &amp; Parke LLP
1/7/13 webinar</t>
        </r>
      </text>
    </comment>
    <comment ref="K10" authorId="1">
      <text>
        <r>
          <rPr>
            <b/>
            <sz val="9"/>
            <color indexed="81"/>
            <rFont val="Tahoma"/>
            <family val="2"/>
          </rPr>
          <t>Richard McCann:</t>
        </r>
        <r>
          <rPr>
            <sz val="9"/>
            <color indexed="81"/>
            <rFont val="Tahoma"/>
            <family val="2"/>
          </rPr>
          <t xml:space="preserve">
Chadbourned &amp; Parke LLP
1/7/13 webinar</t>
        </r>
      </text>
    </comment>
    <comment ref="L10" authorId="1">
      <text>
        <r>
          <rPr>
            <b/>
            <sz val="9"/>
            <color indexed="81"/>
            <rFont val="Tahoma"/>
            <family val="2"/>
          </rPr>
          <t>Richard McCann:</t>
        </r>
        <r>
          <rPr>
            <sz val="9"/>
            <color indexed="81"/>
            <rFont val="Tahoma"/>
            <family val="2"/>
          </rPr>
          <t xml:space="preserve">
Chadbourned &amp; Parke LLP
1/7/13 webinar</t>
        </r>
      </text>
    </comment>
    <comment ref="M10" authorId="1">
      <text>
        <r>
          <rPr>
            <b/>
            <sz val="9"/>
            <color indexed="81"/>
            <rFont val="Tahoma"/>
            <family val="2"/>
          </rPr>
          <t>Richard McCann:</t>
        </r>
        <r>
          <rPr>
            <sz val="9"/>
            <color indexed="81"/>
            <rFont val="Tahoma"/>
            <family val="2"/>
          </rPr>
          <t xml:space="preserve">
Chadbourned &amp; Parke LLP
1/7/13 webinar</t>
        </r>
      </text>
    </comment>
    <comment ref="N10" authorId="1">
      <text>
        <r>
          <rPr>
            <b/>
            <sz val="9"/>
            <color indexed="81"/>
            <rFont val="Tahoma"/>
            <family val="2"/>
          </rPr>
          <t>Richard McCann:</t>
        </r>
        <r>
          <rPr>
            <sz val="9"/>
            <color indexed="81"/>
            <rFont val="Tahoma"/>
            <family val="2"/>
          </rPr>
          <t xml:space="preserve">
Chadbourned &amp; Parke LLP
1/7/13 webinar</t>
        </r>
      </text>
    </comment>
    <comment ref="O10" authorId="1">
      <text>
        <r>
          <rPr>
            <b/>
            <sz val="9"/>
            <color indexed="81"/>
            <rFont val="Tahoma"/>
            <family val="2"/>
          </rPr>
          <t>Richard McCann:</t>
        </r>
        <r>
          <rPr>
            <sz val="9"/>
            <color indexed="81"/>
            <rFont val="Tahoma"/>
            <family val="2"/>
          </rPr>
          <t xml:space="preserve">
Chadbourned &amp; Parke LLP
1/7/13 webinar</t>
        </r>
      </text>
    </comment>
    <comment ref="P10" authorId="1">
      <text>
        <r>
          <rPr>
            <b/>
            <sz val="9"/>
            <color indexed="81"/>
            <rFont val="Tahoma"/>
            <family val="2"/>
          </rPr>
          <t>Richard McCann:</t>
        </r>
        <r>
          <rPr>
            <sz val="9"/>
            <color indexed="81"/>
            <rFont val="Tahoma"/>
            <family val="2"/>
          </rPr>
          <t xml:space="preserve">
Chadbourned &amp; Parke LLP
1/7/13 webinar</t>
        </r>
      </text>
    </comment>
    <comment ref="Q10" authorId="1">
      <text>
        <r>
          <rPr>
            <b/>
            <sz val="9"/>
            <color indexed="81"/>
            <rFont val="Tahoma"/>
            <family val="2"/>
          </rPr>
          <t>Richard McCann:</t>
        </r>
        <r>
          <rPr>
            <sz val="9"/>
            <color indexed="81"/>
            <rFont val="Tahoma"/>
            <family val="2"/>
          </rPr>
          <t xml:space="preserve">
Chadbourned &amp; Parke LLP
1/7/13 webinar</t>
        </r>
      </text>
    </comment>
    <comment ref="R10" authorId="1">
      <text>
        <r>
          <rPr>
            <b/>
            <sz val="9"/>
            <color indexed="81"/>
            <rFont val="Tahoma"/>
            <family val="2"/>
          </rPr>
          <t>Richard McCann:</t>
        </r>
        <r>
          <rPr>
            <sz val="9"/>
            <color indexed="81"/>
            <rFont val="Tahoma"/>
            <family val="2"/>
          </rPr>
          <t xml:space="preserve">
Chadbourned &amp; Parke LLP
1/7/13 webinar</t>
        </r>
      </text>
    </comment>
    <comment ref="S10" authorId="1">
      <text>
        <r>
          <rPr>
            <b/>
            <sz val="9"/>
            <color indexed="81"/>
            <rFont val="Tahoma"/>
            <family val="2"/>
          </rPr>
          <t>Richard McCann:</t>
        </r>
        <r>
          <rPr>
            <sz val="9"/>
            <color indexed="81"/>
            <rFont val="Tahoma"/>
            <family val="2"/>
          </rPr>
          <t xml:space="preserve">
Chadbourned &amp; Parke LLP
1/7/13 webinar</t>
        </r>
      </text>
    </comment>
    <comment ref="T10" authorId="1">
      <text>
        <r>
          <rPr>
            <b/>
            <sz val="9"/>
            <color indexed="81"/>
            <rFont val="Tahoma"/>
            <family val="2"/>
          </rPr>
          <t>Richard McCann:</t>
        </r>
        <r>
          <rPr>
            <sz val="9"/>
            <color indexed="81"/>
            <rFont val="Tahoma"/>
            <family val="2"/>
          </rPr>
          <t xml:space="preserve">
Chadbourned &amp; Parke LLP
1/7/13 webinar</t>
        </r>
      </text>
    </comment>
    <comment ref="U10" authorId="1">
      <text>
        <r>
          <rPr>
            <b/>
            <sz val="9"/>
            <color indexed="81"/>
            <rFont val="Tahoma"/>
            <family val="2"/>
          </rPr>
          <t>Richard McCann:</t>
        </r>
        <r>
          <rPr>
            <sz val="9"/>
            <color indexed="81"/>
            <rFont val="Tahoma"/>
            <family val="2"/>
          </rPr>
          <t xml:space="preserve">
Chadbourned &amp; Parke LLP
1/7/13 webinar</t>
        </r>
      </text>
    </comment>
    <comment ref="V10" authorId="1">
      <text>
        <r>
          <rPr>
            <b/>
            <sz val="9"/>
            <color indexed="81"/>
            <rFont val="Tahoma"/>
            <family val="2"/>
          </rPr>
          <t>Richard McCann:</t>
        </r>
        <r>
          <rPr>
            <sz val="9"/>
            <color indexed="81"/>
            <rFont val="Tahoma"/>
            <family val="2"/>
          </rPr>
          <t xml:space="preserve">
Chadbourned &amp; Parke LLP
1/7/13 webinar</t>
        </r>
      </text>
    </comment>
    <comment ref="C11" authorId="1">
      <text>
        <r>
          <rPr>
            <b/>
            <sz val="9"/>
            <color indexed="81"/>
            <rFont val="Tahoma"/>
            <family val="2"/>
          </rPr>
          <t>Source: MRW (2012)
Used only for Merchant Case
Reference Rate = Treasury or LIBOR.  See Financial Assumptions page.</t>
        </r>
      </text>
    </comment>
    <comment ref="C12" authorId="1">
      <text>
        <r>
          <rPr>
            <b/>
            <sz val="9"/>
            <color indexed="81"/>
            <rFont val="Tahoma"/>
            <family val="2"/>
          </rPr>
          <t>Source: MRW (2012)
except for solar &amp; wind (see notes)</t>
        </r>
      </text>
    </comment>
    <comment ref="L12" authorId="1">
      <text>
        <r>
          <rPr>
            <b/>
            <sz val="9"/>
            <color indexed="81"/>
            <rFont val="Tahoma"/>
            <family val="2"/>
          </rPr>
          <t>Richard McCann:</t>
        </r>
        <r>
          <rPr>
            <sz val="9"/>
            <color indexed="81"/>
            <rFont val="Tahoma"/>
            <family val="2"/>
          </rPr>
          <t xml:space="preserve">
NREL 2012</t>
        </r>
      </text>
    </comment>
    <comment ref="U12" authorId="1">
      <text>
        <r>
          <rPr>
            <b/>
            <sz val="9"/>
            <color indexed="81"/>
            <rFont val="Tahoma"/>
            <family val="2"/>
          </rPr>
          <t>Richard McCann:</t>
        </r>
        <r>
          <rPr>
            <sz val="9"/>
            <color indexed="81"/>
            <rFont val="Tahoma"/>
            <family val="2"/>
          </rPr>
          <t xml:space="preserve">
NREL 2012</t>
        </r>
      </text>
    </comment>
    <comment ref="C13" authorId="1">
      <text>
        <r>
          <rPr>
            <b/>
            <sz val="9"/>
            <color indexed="81"/>
            <rFont val="Tahoma"/>
            <family val="2"/>
          </rPr>
          <t>Source: MRW (2012)</t>
        </r>
      </text>
    </comment>
    <comment ref="L13" authorId="1">
      <text>
        <r>
          <rPr>
            <b/>
            <sz val="9"/>
            <color indexed="81"/>
            <rFont val="Tahoma"/>
            <family val="2"/>
          </rPr>
          <t>Richard McCann:</t>
        </r>
        <r>
          <rPr>
            <sz val="9"/>
            <color indexed="81"/>
            <rFont val="Tahoma"/>
            <family val="2"/>
          </rPr>
          <t xml:space="preserve">
NREL 2012</t>
        </r>
      </text>
    </comment>
    <comment ref="U13" authorId="1">
      <text>
        <r>
          <rPr>
            <b/>
            <sz val="9"/>
            <color indexed="81"/>
            <rFont val="Tahoma"/>
            <family val="2"/>
          </rPr>
          <t>Richard McCann:</t>
        </r>
        <r>
          <rPr>
            <sz val="9"/>
            <color indexed="81"/>
            <rFont val="Tahoma"/>
            <family val="2"/>
          </rPr>
          <t xml:space="preserve">
NREL 2012</t>
        </r>
      </text>
    </comment>
    <comment ref="C14" authorId="1">
      <text>
        <r>
          <rPr>
            <b/>
            <sz val="9"/>
            <color indexed="81"/>
            <rFont val="Tahoma"/>
            <family val="2"/>
          </rPr>
          <t>Source: MRW (2012)
Used only for the Merchant Case
Term = Survey response.  Assumes no balloon payment</t>
        </r>
      </text>
    </comment>
    <comment ref="C15" authorId="1">
      <text>
        <r>
          <rPr>
            <b/>
            <sz val="9"/>
            <color indexed="81"/>
            <rFont val="Tahoma"/>
            <family val="2"/>
          </rPr>
          <t>Richard McCann:</t>
        </r>
        <r>
          <rPr>
            <sz val="9"/>
            <color indexed="81"/>
            <rFont val="Tahoma"/>
            <family val="2"/>
          </rPr>
          <t xml:space="preserve">
Assumes target investment recovery at end of LT PPA.</t>
        </r>
      </text>
    </comment>
    <comment ref="D16" authorId="1">
      <text>
        <r>
          <rPr>
            <sz val="8"/>
            <color indexed="81"/>
            <rFont val="Tahoma"/>
            <family val="2"/>
          </rPr>
          <t xml:space="preserve">IRS Pub. 946 (2005), App. B, Asset class 49.15.
</t>
        </r>
      </text>
    </comment>
    <comment ref="E16" authorId="1">
      <text>
        <r>
          <rPr>
            <sz val="8"/>
            <color indexed="81"/>
            <rFont val="Tahoma"/>
            <family val="2"/>
          </rPr>
          <t xml:space="preserve">IRS Pub. 946 (2005), App. B, Asset class 49.15.
</t>
        </r>
      </text>
    </comment>
    <comment ref="F16" authorId="1">
      <text>
        <r>
          <rPr>
            <sz val="8"/>
            <color indexed="81"/>
            <rFont val="Tahoma"/>
            <family val="2"/>
          </rPr>
          <t xml:space="preserve">IRS Pub. 946 (2005), App. B, Asset class 49.15.
</t>
        </r>
      </text>
    </comment>
    <comment ref="G16" authorId="1">
      <text>
        <r>
          <rPr>
            <sz val="8"/>
            <color indexed="81"/>
            <rFont val="Tahoma"/>
            <family val="2"/>
          </rPr>
          <t xml:space="preserve">IRS Pub. 946 (2005), App. B, Asset class 49.13
</t>
        </r>
      </text>
    </comment>
    <comment ref="H16" authorId="1">
      <text>
        <r>
          <rPr>
            <sz val="8"/>
            <color indexed="81"/>
            <rFont val="Tahoma"/>
            <family val="2"/>
          </rPr>
          <t xml:space="preserve">IRS Pub. 946 (2005), App. B, Asset class 49.13
</t>
        </r>
      </text>
    </comment>
    <comment ref="F19" authorId="2">
      <text>
        <r>
          <rPr>
            <b/>
            <sz val="8"/>
            <color indexed="81"/>
            <rFont val="Tahoma"/>
            <family val="2"/>
          </rPr>
          <t>Based on Panoche CT LMS100</t>
        </r>
      </text>
    </comment>
    <comment ref="J19" authorId="3">
      <text>
        <r>
          <rPr>
            <b/>
            <sz val="9"/>
            <color indexed="81"/>
            <rFont val="Tahoma"/>
            <family val="2"/>
          </rPr>
          <t>Ashley Spalding:</t>
        </r>
        <r>
          <rPr>
            <sz val="9"/>
            <color indexed="81"/>
            <rFont val="Tahoma"/>
            <family val="2"/>
          </rPr>
          <t xml:space="preserve">
p. 8 http://www.nrel.gov/docs/fy11osti/48595.pdf</t>
        </r>
      </text>
    </comment>
    <comment ref="K19" authorId="3">
      <text>
        <r>
          <rPr>
            <b/>
            <sz val="9"/>
            <color indexed="81"/>
            <rFont val="Tahoma"/>
            <family val="2"/>
          </rPr>
          <t>Ashley Spalding:</t>
        </r>
        <r>
          <rPr>
            <sz val="9"/>
            <color indexed="81"/>
            <rFont val="Tahoma"/>
            <family val="2"/>
          </rPr>
          <t xml:space="preserve">
added 11/5 - p.8 http://www.nrel.gov/docs/fy11osti/48595.pdf</t>
        </r>
      </text>
    </comment>
    <comment ref="D20" authorId="1">
      <text>
        <r>
          <rPr>
            <sz val="8"/>
            <color indexed="81"/>
            <rFont val="Tahoma"/>
            <family val="2"/>
          </rPr>
          <t>Approximated at 2.8 MMBtu/MW based on CEC production cost modeling data 8/31/05</t>
        </r>
      </text>
    </comment>
    <comment ref="E20" authorId="1">
      <text>
        <r>
          <rPr>
            <sz val="8"/>
            <color indexed="81"/>
            <rFont val="Tahoma"/>
            <family val="2"/>
          </rPr>
          <t>Approximated at 2.8 MMBtu/MW based on CEC production cost modeling data 8/31/05</t>
        </r>
      </text>
    </comment>
    <comment ref="F20" authorId="1">
      <text>
        <r>
          <rPr>
            <sz val="8"/>
            <color indexed="81"/>
            <rFont val="Tahoma"/>
            <family val="2"/>
          </rPr>
          <t>Approximated at 2.8 MMBtu/MW based on CEC production cost modeling data 8/31/05</t>
        </r>
      </text>
    </comment>
    <comment ref="G20" authorId="1">
      <text>
        <r>
          <rPr>
            <sz val="8"/>
            <color indexed="81"/>
            <rFont val="Tahoma"/>
            <family val="2"/>
          </rPr>
          <t>Approximated at 2.8 MMBtu/MW based on CEC production cost modeling data 8/31/05</t>
        </r>
      </text>
    </comment>
    <comment ref="H20" authorId="1">
      <text>
        <r>
          <rPr>
            <sz val="8"/>
            <color indexed="81"/>
            <rFont val="Tahoma"/>
            <family val="2"/>
          </rPr>
          <t>Approximated at 2.8 MMBtu/MW based on CEC production cost modeling data 8/31/05</t>
        </r>
      </text>
    </comment>
    <comment ref="D21" authorId="1">
      <text>
        <r>
          <rPr>
            <b/>
            <sz val="8"/>
            <color indexed="81"/>
            <rFont val="Tahoma"/>
            <family val="2"/>
          </rPr>
          <t>Per CEC MarketSym modeling</t>
        </r>
      </text>
    </comment>
    <comment ref="E21" authorId="1">
      <text>
        <r>
          <rPr>
            <b/>
            <sz val="8"/>
            <color indexed="81"/>
            <rFont val="Tahoma"/>
            <family val="2"/>
          </rPr>
          <t>Per CEC MarketSym modeling</t>
        </r>
      </text>
    </comment>
    <comment ref="F21" authorId="1">
      <text>
        <r>
          <rPr>
            <b/>
            <sz val="8"/>
            <color indexed="81"/>
            <rFont val="Tahoma"/>
            <family val="2"/>
          </rPr>
          <t>Per CEC MarketSym modeling</t>
        </r>
      </text>
    </comment>
    <comment ref="G21" authorId="1">
      <text>
        <r>
          <rPr>
            <b/>
            <sz val="8"/>
            <color indexed="81"/>
            <rFont val="Tahoma"/>
            <family val="2"/>
          </rPr>
          <t>Per CEC MarketSym modeling</t>
        </r>
      </text>
    </comment>
    <comment ref="H21" authorId="1">
      <text>
        <r>
          <rPr>
            <b/>
            <sz val="8"/>
            <color indexed="81"/>
            <rFont val="Tahoma"/>
            <family val="2"/>
          </rPr>
          <t>Per CEC MarketSym modeling</t>
        </r>
      </text>
    </comment>
    <comment ref="C39" authorId="4">
      <text>
        <r>
          <rPr>
            <sz val="9"/>
            <color indexed="81"/>
            <rFont val="Tahoma"/>
            <family val="2"/>
          </rPr>
          <t xml:space="preserve">Expected percent of year that unit is </t>
        </r>
        <r>
          <rPr>
            <u/>
            <sz val="9"/>
            <color indexed="81"/>
            <rFont val="Tahoma"/>
            <family val="2"/>
          </rPr>
          <t>planned</t>
        </r>
        <r>
          <rPr>
            <sz val="9"/>
            <color indexed="81"/>
            <rFont val="Tahoma"/>
            <family val="2"/>
          </rPr>
          <t xml:space="preserve"> to be operating.  This percentage times the Average Output (below) will be the primary factors determining annual generation.
This computed as target operational net of maintenance and forced outages:
Planned % = Annual CF / (1-MOR-FOR)
For Example:
a solar plant may be operational 100% of the year with a 25% average output
a peaking unit will have a 100% average output with a 10% planned percent of year operational.  </t>
        </r>
      </text>
    </comment>
    <comment ref="D39" authorId="1">
      <text>
        <r>
          <rPr>
            <sz val="8"/>
            <color indexed="81"/>
            <rFont val="Tahoma"/>
            <family val="2"/>
          </rPr>
          <t xml:space="preserve">This value adjusts based on ReferenceTarget Capacity Factor.  Based on net of scheduled outages.
</t>
        </r>
      </text>
    </comment>
    <comment ref="E39" authorId="1">
      <text>
        <r>
          <rPr>
            <sz val="8"/>
            <color indexed="81"/>
            <rFont val="Tahoma"/>
            <family val="2"/>
          </rPr>
          <t xml:space="preserve">This value adjusts based on ReferenceTarget Capacity Factor.  Based on net of scheduled outages.
</t>
        </r>
      </text>
    </comment>
    <comment ref="F39" authorId="1">
      <text>
        <r>
          <rPr>
            <sz val="8"/>
            <color indexed="81"/>
            <rFont val="Tahoma"/>
            <family val="2"/>
          </rPr>
          <t xml:space="preserve">This value adjusts based on ReferenceTarget Capacity Factor.  Based on net of scheduled outages.
</t>
        </r>
      </text>
    </comment>
    <comment ref="G39" authorId="1">
      <text>
        <r>
          <rPr>
            <sz val="8"/>
            <color indexed="81"/>
            <rFont val="Tahoma"/>
            <family val="2"/>
          </rPr>
          <t xml:space="preserve">This value adjusts based on ReferenceTarget Capacity Factor.  Based on net of scheduled outages.
</t>
        </r>
      </text>
    </comment>
    <comment ref="H39" authorId="1">
      <text>
        <r>
          <rPr>
            <sz val="8"/>
            <color indexed="81"/>
            <rFont val="Tahoma"/>
            <family val="2"/>
          </rPr>
          <t xml:space="preserve">This value adjusts based on ReferenceTarget Capacity Factor.  Based on net of scheduled outages.
</t>
        </r>
      </text>
    </comment>
    <comment ref="I39" authorId="1">
      <text>
        <r>
          <rPr>
            <sz val="8"/>
            <color indexed="81"/>
            <rFont val="Tahoma"/>
            <family val="2"/>
          </rPr>
          <t xml:space="preserve">This value adjusts based on ReferenceTarget Capacity Factor.  Based on net of scheduled outages.
</t>
        </r>
      </text>
    </comment>
    <comment ref="J39" authorId="1">
      <text>
        <r>
          <rPr>
            <sz val="8"/>
            <color indexed="81"/>
            <rFont val="Tahoma"/>
            <family val="2"/>
          </rPr>
          <t xml:space="preserve">This value adjusts based on ReferenceTarget Capacity Factor.  Based on net of scheduled outages.
</t>
        </r>
      </text>
    </comment>
    <comment ref="K39" authorId="1">
      <text>
        <r>
          <rPr>
            <sz val="8"/>
            <color indexed="81"/>
            <rFont val="Tahoma"/>
            <family val="2"/>
          </rPr>
          <t xml:space="preserve">This value adjusts based on ReferenceTarget Capacity Factor.  Based on net of scheduled outages.
</t>
        </r>
      </text>
    </comment>
    <comment ref="L39" authorId="1">
      <text>
        <r>
          <rPr>
            <sz val="8"/>
            <color indexed="81"/>
            <rFont val="Tahoma"/>
            <family val="2"/>
          </rPr>
          <t xml:space="preserve">This value adjusts based on ReferenceTarget Capacity Factor.  Based on net of scheduled outages.
</t>
        </r>
      </text>
    </comment>
    <comment ref="M39" authorId="1">
      <text>
        <r>
          <rPr>
            <sz val="8"/>
            <color indexed="81"/>
            <rFont val="Tahoma"/>
            <family val="2"/>
          </rPr>
          <t xml:space="preserve">This value adjusts based on ReferenceTarget Capacity Factor.  Based on net of scheduled outages.
</t>
        </r>
      </text>
    </comment>
    <comment ref="S39" authorId="1">
      <text>
        <r>
          <rPr>
            <sz val="8"/>
            <color indexed="81"/>
            <rFont val="Tahoma"/>
            <family val="2"/>
          </rPr>
          <t xml:space="preserve">This value adjusts based on ReferenceTarget Capacity Factor.  Based on net of scheduled outages.
</t>
        </r>
      </text>
    </comment>
    <comment ref="T39" authorId="1">
      <text>
        <r>
          <rPr>
            <sz val="8"/>
            <color indexed="81"/>
            <rFont val="Tahoma"/>
            <family val="2"/>
          </rPr>
          <t xml:space="preserve">This value adjusts based on ReferenceTarget Capacity Factor.  Based on net of scheduled outages.
</t>
        </r>
      </text>
    </comment>
    <comment ref="U39" authorId="1">
      <text>
        <r>
          <rPr>
            <sz val="8"/>
            <color indexed="81"/>
            <rFont val="Tahoma"/>
            <family val="2"/>
          </rPr>
          <t xml:space="preserve">This value adjusts based on ReferenceTarget Capacity Factor.  Based on net of scheduled outages.
</t>
        </r>
      </text>
    </comment>
    <comment ref="V39" authorId="1">
      <text>
        <r>
          <rPr>
            <sz val="8"/>
            <color indexed="81"/>
            <rFont val="Tahoma"/>
            <family val="2"/>
          </rPr>
          <t xml:space="preserve">This value adjusts based on ReferenceTarget Capacity Factor.  Based on net of scheduled outages.
</t>
        </r>
      </text>
    </comment>
    <comment ref="F40" authorId="2">
      <text>
        <r>
          <rPr>
            <b/>
            <sz val="8"/>
            <color indexed="81"/>
            <rFont val="Tahoma"/>
            <family val="2"/>
          </rPr>
          <t>Based on Panoche CT LMS100</t>
        </r>
      </text>
    </comment>
    <comment ref="C41" authorId="4">
      <text>
        <r>
          <rPr>
            <sz val="9"/>
            <color indexed="81"/>
            <rFont val="Arial"/>
            <family val="2"/>
          </rPr>
          <t xml:space="preserve">Accounts for intermittent nature of "fuel" sources, e.g., water, wind, sun.  Expected average available capacity during hours of operation
(e.g. 100% for combustion turbine even if unit is operated only during peak summer hours)
Include any periods of derated operation in this factor.
Equivalent to GADS Net Output Factor
NOF =           </t>
        </r>
        <r>
          <rPr>
            <u/>
            <sz val="9"/>
            <color indexed="81"/>
            <rFont val="Arial"/>
            <family val="2"/>
          </rPr>
          <t xml:space="preserve">Actual Net Generation
</t>
        </r>
        <r>
          <rPr>
            <sz val="9"/>
            <color indexed="81"/>
            <rFont val="Arial"/>
            <family val="2"/>
          </rPr>
          <t xml:space="preserve">              Service Hours* Max Net Capacity
</t>
        </r>
      </text>
    </comment>
    <comment ref="L41" authorId="5">
      <text>
        <r>
          <rPr>
            <sz val="8"/>
            <color indexed="81"/>
            <rFont val="Tahoma"/>
            <family val="2"/>
          </rPr>
          <t xml:space="preserve">Based on CAISO NQC developed by CEC ESAD (2009)
</t>
        </r>
      </text>
    </comment>
    <comment ref="M41" authorId="5">
      <text>
        <r>
          <rPr>
            <sz val="8"/>
            <color indexed="81"/>
            <rFont val="Tahoma"/>
            <family val="2"/>
          </rPr>
          <t xml:space="preserve">Based on CAISO NQC developed by CEC ESAD (2009)
</t>
        </r>
      </text>
    </comment>
    <comment ref="N41" authorId="5">
      <text>
        <r>
          <rPr>
            <sz val="8"/>
            <color indexed="81"/>
            <rFont val="Tahoma"/>
            <family val="2"/>
          </rPr>
          <t xml:space="preserve">Based on CAISO NQC developed by CEC ESAD (2009)
</t>
        </r>
      </text>
    </comment>
    <comment ref="O41" authorId="5">
      <text>
        <r>
          <rPr>
            <sz val="8"/>
            <color indexed="81"/>
            <rFont val="Tahoma"/>
            <family val="2"/>
          </rPr>
          <t xml:space="preserve">Based on CAISO NQC developed by CEC ESAD (2009)
</t>
        </r>
      </text>
    </comment>
    <comment ref="P41" authorId="5">
      <text>
        <r>
          <rPr>
            <sz val="8"/>
            <color indexed="81"/>
            <rFont val="Tahoma"/>
            <family val="2"/>
          </rPr>
          <t xml:space="preserve">Based on CAISO NQC developed by CEC ESAD (2009)
</t>
        </r>
      </text>
    </comment>
    <comment ref="Q41" authorId="5">
      <text>
        <r>
          <rPr>
            <sz val="8"/>
            <color indexed="81"/>
            <rFont val="Tahoma"/>
            <family val="2"/>
          </rPr>
          <t xml:space="preserve">Based on CAISO NQC developed by CEC ESAD (2009)
</t>
        </r>
      </text>
    </comment>
    <comment ref="R41" authorId="5">
      <text>
        <r>
          <rPr>
            <sz val="8"/>
            <color indexed="81"/>
            <rFont val="Tahoma"/>
            <family val="2"/>
          </rPr>
          <t xml:space="preserve">Based on CAISO NQC developed by CEC ESAD (2009)
</t>
        </r>
      </text>
    </comment>
    <comment ref="S41" authorId="5">
      <text>
        <r>
          <rPr>
            <sz val="8"/>
            <color indexed="81"/>
            <rFont val="Tahoma"/>
            <family val="2"/>
          </rPr>
          <t xml:space="preserve">Based on CAISO NQC developed by CEC ESAD (2009)
</t>
        </r>
      </text>
    </comment>
    <comment ref="T41" authorId="5">
      <text>
        <r>
          <rPr>
            <sz val="8"/>
            <color indexed="81"/>
            <rFont val="Tahoma"/>
            <family val="2"/>
          </rPr>
          <t xml:space="preserve">Based on CAISO NQC developed by CEC ESAD (2009)
</t>
        </r>
      </text>
    </comment>
    <comment ref="D45" authorId="5">
      <text>
        <r>
          <rPr>
            <sz val="8"/>
            <color indexed="81"/>
            <rFont val="Tahoma"/>
            <family val="2"/>
          </rPr>
          <t xml:space="preserve">• NERC GADS 2002-2007 CA CTs 45-99 MW: 2.72 %
</t>
        </r>
      </text>
    </comment>
    <comment ref="E45" authorId="5">
      <text>
        <r>
          <rPr>
            <sz val="8"/>
            <color indexed="81"/>
            <rFont val="Tahoma"/>
            <family val="2"/>
          </rPr>
          <t xml:space="preserve">• NERC GADS 2002-2007 CA CTs 100 and greater : 3.18 %
</t>
        </r>
      </text>
    </comment>
    <comment ref="F45" authorId="5">
      <text>
        <r>
          <rPr>
            <sz val="8"/>
            <color indexed="81"/>
            <rFont val="Tahoma"/>
            <family val="2"/>
          </rPr>
          <t xml:space="preserve">• NERC GADS 2002-2007 CA CTs 100 and greater : 3.18 %
</t>
        </r>
      </text>
    </comment>
    <comment ref="G45" authorId="5">
      <text>
        <r>
          <rPr>
            <sz val="8"/>
            <color indexed="81"/>
            <rFont val="Tahoma"/>
            <family val="2"/>
          </rPr>
          <t xml:space="preserve">• NERC GADS Vintage 2002-2007 CA CCs 500-900 MW: 6.02 %
</t>
        </r>
      </text>
    </comment>
    <comment ref="H45" authorId="5">
      <text>
        <r>
          <rPr>
            <sz val="8"/>
            <color indexed="81"/>
            <rFont val="Tahoma"/>
            <family val="2"/>
          </rPr>
          <t xml:space="preserve">• NERC GADS Vintage 2002-2007 CA CCs 500-900 MW: 6.02 %
</t>
        </r>
      </text>
    </comment>
    <comment ref="D46" authorId="5">
      <text>
        <r>
          <rPr>
            <sz val="8"/>
            <color indexed="81"/>
            <rFont val="Tahoma"/>
            <family val="2"/>
          </rPr>
          <t xml:space="preserve">• NERC GADS 2002-2007 CA CTs 45-99 MW EFOR (d):  19.19% (5.65 %)
</t>
        </r>
      </text>
    </comment>
    <comment ref="E46" authorId="5">
      <text>
        <r>
          <rPr>
            <sz val="8"/>
            <color indexed="81"/>
            <rFont val="Tahoma"/>
            <family val="2"/>
          </rPr>
          <t xml:space="preserve">• NERC GADS 2002-2007 CA CTs 100 &amp; greater: EFOR (d):  11.60% (4.13 %)
</t>
        </r>
      </text>
    </comment>
    <comment ref="F46" authorId="5">
      <text>
        <r>
          <rPr>
            <sz val="8"/>
            <color indexed="81"/>
            <rFont val="Tahoma"/>
            <family val="2"/>
          </rPr>
          <t xml:space="preserve">• NERC GADS 2002-2007 CA CTs 100 &amp; greater: EFOR (d):  11.60% (4.13 %)
</t>
        </r>
      </text>
    </comment>
    <comment ref="G46" authorId="5">
      <text>
        <r>
          <rPr>
            <sz val="8"/>
            <color indexed="81"/>
            <rFont val="Tahoma"/>
            <family val="2"/>
          </rPr>
          <t xml:space="preserve">• NERC GADS Vintage 2002-2007 CA CCs 500-900 MW EFOR (d):  3.5% (2.24 %)
</t>
        </r>
      </text>
    </comment>
    <comment ref="H46" authorId="5">
      <text>
        <r>
          <rPr>
            <sz val="8"/>
            <color indexed="81"/>
            <rFont val="Tahoma"/>
            <family val="2"/>
          </rPr>
          <t xml:space="preserve">• NERC GADS Vintage 2002-2007 CA CCs 500-900 MW EFOR (d):  3.5% (2.24 %)
</t>
        </r>
      </text>
    </comment>
    <comment ref="K49" authorId="1">
      <text>
        <r>
          <rPr>
            <b/>
            <sz val="9"/>
            <color indexed="81"/>
            <rFont val="Tahoma"/>
            <family val="2"/>
          </rPr>
          <t>Richard McCann:</t>
        </r>
        <r>
          <rPr>
            <sz val="9"/>
            <color indexed="81"/>
            <rFont val="Tahoma"/>
            <family val="2"/>
          </rPr>
          <t xml:space="preserve">
Total of Fixed + Variable &gt; Mid Case Total</t>
        </r>
      </text>
    </comment>
    <comment ref="C64" authorId="1">
      <text>
        <r>
          <rPr>
            <b/>
            <sz val="8"/>
            <color indexed="81"/>
            <rFont val="Tahoma"/>
            <family val="2"/>
          </rPr>
          <t>Confirmed by 2007 CEC survey.</t>
        </r>
        <r>
          <rPr>
            <sz val="8"/>
            <color indexed="81"/>
            <rFont val="Tahoma"/>
            <family val="2"/>
          </rPr>
          <t xml:space="preserve">
</t>
        </r>
      </text>
    </comment>
    <comment ref="C72" authorId="1">
      <text>
        <r>
          <rPr>
            <b/>
            <sz val="8"/>
            <color indexed="81"/>
            <rFont val="Tahoma"/>
            <family val="2"/>
          </rPr>
          <t>Based on CPUC survey of brokers for MPR.  NWPPC uses 0.25%; JBS uses 1.5%.</t>
        </r>
        <r>
          <rPr>
            <sz val="8"/>
            <color indexed="81"/>
            <rFont val="Tahoma"/>
            <family val="2"/>
          </rPr>
          <t xml:space="preserve">
</t>
        </r>
      </text>
    </comment>
    <comment ref="F85" authorId="1">
      <text>
        <r>
          <rPr>
            <b/>
            <sz val="9"/>
            <color indexed="81"/>
            <rFont val="Tahoma"/>
            <family val="2"/>
          </rPr>
          <t>Richard McCann:</t>
        </r>
        <r>
          <rPr>
            <sz val="9"/>
            <color indexed="81"/>
            <rFont val="Tahoma"/>
            <family val="2"/>
          </rPr>
          <t xml:space="preserve">
Based on Panoche 400 MW CTs</t>
        </r>
      </text>
    </comment>
    <comment ref="Q85" authorId="6">
      <text>
        <r>
          <rPr>
            <b/>
            <sz val="8"/>
            <color indexed="81"/>
            <rFont val="Tahoma"/>
            <family val="2"/>
          </rPr>
          <t>Ivin Rhyne:</t>
        </r>
        <r>
          <rPr>
            <sz val="8"/>
            <color indexed="81"/>
            <rFont val="Tahoma"/>
            <family val="2"/>
          </rPr>
          <t xml:space="preserve">
Revised to calibrate at "installed cost" level with Mark Bollinger Data
</t>
        </r>
      </text>
    </comment>
    <comment ref="R85" authorId="6">
      <text>
        <r>
          <rPr>
            <b/>
            <sz val="8"/>
            <color indexed="81"/>
            <rFont val="Tahoma"/>
            <family val="2"/>
          </rPr>
          <t>Ivin Rhyne:</t>
        </r>
        <r>
          <rPr>
            <sz val="8"/>
            <color indexed="81"/>
            <rFont val="Tahoma"/>
            <family val="2"/>
          </rPr>
          <t xml:space="preserve">
Revised to calibrate at "installed cost" level with Mark Bollinger Data
</t>
        </r>
      </text>
    </comment>
    <comment ref="S85" authorId="6">
      <text>
        <r>
          <rPr>
            <b/>
            <sz val="8"/>
            <color indexed="81"/>
            <rFont val="Tahoma"/>
            <family val="2"/>
          </rPr>
          <t>Ivin Rhyne:</t>
        </r>
        <r>
          <rPr>
            <sz val="8"/>
            <color indexed="81"/>
            <rFont val="Tahoma"/>
            <family val="2"/>
          </rPr>
          <t xml:space="preserve">
Revised to calibrate at "installed cost" level with Mark Bollinger Data
</t>
        </r>
      </text>
    </comment>
    <comment ref="T85" authorId="6">
      <text>
        <r>
          <rPr>
            <b/>
            <sz val="8"/>
            <color indexed="81"/>
            <rFont val="Tahoma"/>
            <family val="2"/>
          </rPr>
          <t>Ivin Rhyne:</t>
        </r>
        <r>
          <rPr>
            <sz val="8"/>
            <color indexed="81"/>
            <rFont val="Tahoma"/>
            <family val="2"/>
          </rPr>
          <t xml:space="preserve">
Revised to calibrate at "installed cost" level with Mark Bollinger Data
</t>
        </r>
      </text>
    </comment>
    <comment ref="U85" authorId="7">
      <text>
        <r>
          <rPr>
            <b/>
            <sz val="8"/>
            <color indexed="81"/>
            <rFont val="Tahoma"/>
            <family val="2"/>
          </rPr>
          <t xml:space="preserve">Jklein; 11-28-12:
Entered Installed Cost, and then adjusted by factor to bring it back to Instant Cost. Used regression on Worksheet "Instant to Installed Calcs.  
</t>
        </r>
        <r>
          <rPr>
            <sz val="8"/>
            <color indexed="81"/>
            <rFont val="Tahoma"/>
            <family val="2"/>
          </rPr>
          <t xml:space="preserve">
</t>
        </r>
        <r>
          <rPr>
            <b/>
            <sz val="10"/>
            <color indexed="81"/>
            <rFont val="Tahoma"/>
            <family val="2"/>
          </rPr>
          <t>12-1-12 Updated adjustment factor to compensate for revised portion of Instant Cost being changed from 80% to 50%. JBK
1-2-13 Updated adjustment factor from 1.132 to 1.148. Not sure why it changed. Effect about 1%</t>
        </r>
        <r>
          <rPr>
            <sz val="8"/>
            <color indexed="81"/>
            <rFont val="Tahoma"/>
            <family val="2"/>
          </rPr>
          <t xml:space="preserve">
</t>
        </r>
      </text>
    </comment>
    <comment ref="V85" authorId="7">
      <text>
        <r>
          <rPr>
            <b/>
            <sz val="8"/>
            <color indexed="81"/>
            <rFont val="Tahoma"/>
            <family val="2"/>
          </rPr>
          <t xml:space="preserve">Jklein; 11-28-12:
Entered Installed Cost, and then adjusted by factor to bring it back to Instant Cost. Used regression on Worksheet "Instant to Installed Calcs.  
</t>
        </r>
        <r>
          <rPr>
            <sz val="8"/>
            <color indexed="81"/>
            <rFont val="Tahoma"/>
            <family val="2"/>
          </rPr>
          <t xml:space="preserve">
</t>
        </r>
        <r>
          <rPr>
            <b/>
            <sz val="10"/>
            <color indexed="81"/>
            <rFont val="Tahoma"/>
            <family val="2"/>
          </rPr>
          <t>12-1-12 Updated adjustment factor to compensate for revised portion of Instant Cost being changed from 80% to 50%. JBK
1-2-13 Updated adjustment factor from 1.132 to 1.148. Not sure why it changed. Effect about 1%</t>
        </r>
        <r>
          <rPr>
            <sz val="8"/>
            <color indexed="81"/>
            <rFont val="Tahoma"/>
            <family val="2"/>
          </rPr>
          <t xml:space="preserve">
</t>
        </r>
      </text>
    </comment>
    <comment ref="H94" authorId="1">
      <text>
        <r>
          <rPr>
            <b/>
            <sz val="8"/>
            <color indexed="81"/>
            <rFont val="Tahoma"/>
            <family val="2"/>
          </rPr>
          <t>Based on $200/kW of duct firing. Median capacity = 9.1% of total (n=15).</t>
        </r>
        <r>
          <rPr>
            <sz val="8"/>
            <color indexed="81"/>
            <rFont val="Tahoma"/>
            <family val="2"/>
          </rPr>
          <t xml:space="preserve">
</t>
        </r>
      </text>
    </comment>
    <comment ref="C105" authorId="5">
      <text>
        <r>
          <rPr>
            <b/>
            <sz val="8"/>
            <color indexed="81"/>
            <rFont val="Tahoma"/>
            <family val="2"/>
          </rPr>
          <t>Expected non-inflationary cost changes for combined factors, including:
- escalating construction &amp; materials costs
- technological innovations
- learning, scale &amp; scope factors</t>
        </r>
        <r>
          <rPr>
            <sz val="8"/>
            <color indexed="81"/>
            <rFont val="Tahoma"/>
            <family val="2"/>
          </rPr>
          <t xml:space="preserve">
</t>
        </r>
      </text>
    </comment>
    <comment ref="D114" authorId="1">
      <text>
        <r>
          <rPr>
            <b/>
            <sz val="8"/>
            <color indexed="81"/>
            <rFont val="Tahoma"/>
            <family val="2"/>
          </rPr>
          <t>Based on average for 7 CTs with CEC AFCs, 1997-2005</t>
        </r>
        <r>
          <rPr>
            <sz val="8"/>
            <color indexed="81"/>
            <rFont val="Tahoma"/>
            <family val="2"/>
          </rPr>
          <t xml:space="preserve">
</t>
        </r>
      </text>
    </comment>
    <comment ref="E114" authorId="1">
      <text>
        <r>
          <rPr>
            <b/>
            <sz val="8"/>
            <color indexed="81"/>
            <rFont val="Tahoma"/>
            <family val="2"/>
          </rPr>
          <t>Based on average for 7 CTs with CEC AFCs, 1997-2005</t>
        </r>
        <r>
          <rPr>
            <sz val="8"/>
            <color indexed="81"/>
            <rFont val="Tahoma"/>
            <family val="2"/>
          </rPr>
          <t xml:space="preserve">
</t>
        </r>
      </text>
    </comment>
    <comment ref="F114" authorId="1">
      <text>
        <r>
          <rPr>
            <b/>
            <sz val="8"/>
            <color indexed="81"/>
            <rFont val="Tahoma"/>
            <family val="2"/>
          </rPr>
          <t>Based on average for 7 CTs with CEC AFCs, 1997-2005</t>
        </r>
        <r>
          <rPr>
            <sz val="8"/>
            <color indexed="81"/>
            <rFont val="Tahoma"/>
            <family val="2"/>
          </rPr>
          <t xml:space="preserve">
</t>
        </r>
      </text>
    </comment>
    <comment ref="G114" authorId="1">
      <text>
        <r>
          <rPr>
            <b/>
            <sz val="8"/>
            <color indexed="81"/>
            <rFont val="Tahoma"/>
            <family val="2"/>
          </rPr>
          <t>Based on average for 22 CCs with CEC AFCs, 1997-2005</t>
        </r>
        <r>
          <rPr>
            <sz val="8"/>
            <color indexed="81"/>
            <rFont val="Tahoma"/>
            <family val="2"/>
          </rPr>
          <t xml:space="preserve">
</t>
        </r>
      </text>
    </comment>
    <comment ref="H114" authorId="1">
      <text>
        <r>
          <rPr>
            <b/>
            <sz val="8"/>
            <color indexed="81"/>
            <rFont val="Tahoma"/>
            <family val="2"/>
          </rPr>
          <t>Based on average for 22 CCs with CEC AFCs, 1997-2005</t>
        </r>
        <r>
          <rPr>
            <sz val="8"/>
            <color indexed="81"/>
            <rFont val="Tahoma"/>
            <family val="2"/>
          </rPr>
          <t xml:space="preserve">
</t>
        </r>
      </text>
    </comment>
    <comment ref="I114" authorId="1">
      <text>
        <r>
          <rPr>
            <sz val="9"/>
            <color indexed="81"/>
            <rFont val="Tahoma"/>
            <family val="2"/>
          </rPr>
          <t xml:space="preserve">Covanta Mendota Biomass = 25 MW CFB on 80 acres.
http://www.covantaenergy.com/what-we-do/our-services/other-renewable-energy.aspx
</t>
        </r>
      </text>
    </comment>
    <comment ref="C115" authorId="4">
      <text>
        <r>
          <rPr>
            <b/>
            <sz val="8"/>
            <color indexed="81"/>
            <rFont val="Tahoma"/>
            <family val="2"/>
          </rPr>
          <t>Area required by project but within existing lease.  Mitigation costs included in Environmental Permitting</t>
        </r>
      </text>
    </comment>
    <comment ref="L120" authorId="1">
      <text>
        <r>
          <rPr>
            <b/>
            <sz val="9"/>
            <color indexed="81"/>
            <rFont val="Tahoma"/>
            <family val="2"/>
          </rPr>
          <t>Richard McCann:</t>
        </r>
        <r>
          <rPr>
            <sz val="9"/>
            <color indexed="81"/>
            <rFont val="Tahoma"/>
            <family val="2"/>
          </rPr>
          <t xml:space="preserve">
Mitigation fee estimate based on $12,000/acre for Rice solar project.</t>
        </r>
      </text>
    </comment>
    <comment ref="M120" authorId="1">
      <text>
        <r>
          <rPr>
            <b/>
            <sz val="9"/>
            <color indexed="81"/>
            <rFont val="Tahoma"/>
            <family val="2"/>
          </rPr>
          <t>Richard McCann:</t>
        </r>
        <r>
          <rPr>
            <sz val="9"/>
            <color indexed="81"/>
            <rFont val="Tahoma"/>
            <family val="2"/>
          </rPr>
          <t xml:space="preserve">
Mitigation fee estimate based on $12,000/acre for Rice solar project.</t>
        </r>
      </text>
    </comment>
    <comment ref="N120" authorId="1">
      <text>
        <r>
          <rPr>
            <b/>
            <sz val="9"/>
            <color indexed="81"/>
            <rFont val="Tahoma"/>
            <family val="2"/>
          </rPr>
          <t>Richard McCann:</t>
        </r>
        <r>
          <rPr>
            <sz val="9"/>
            <color indexed="81"/>
            <rFont val="Tahoma"/>
            <family val="2"/>
          </rPr>
          <t xml:space="preserve">
Mitigation fee estimate based on $12,000/acre for Rice solar project.</t>
        </r>
      </text>
    </comment>
    <comment ref="O120" authorId="1">
      <text>
        <r>
          <rPr>
            <b/>
            <sz val="9"/>
            <color indexed="81"/>
            <rFont val="Tahoma"/>
            <family val="2"/>
          </rPr>
          <t>Richard McCann:</t>
        </r>
        <r>
          <rPr>
            <sz val="9"/>
            <color indexed="81"/>
            <rFont val="Tahoma"/>
            <family val="2"/>
          </rPr>
          <t xml:space="preserve">
Mitigation fee estimate based on $12,000/acre for Rice solar project.</t>
        </r>
      </text>
    </comment>
    <comment ref="P120" authorId="1">
      <text>
        <r>
          <rPr>
            <b/>
            <sz val="9"/>
            <color indexed="81"/>
            <rFont val="Tahoma"/>
            <family val="2"/>
          </rPr>
          <t>Richard McCann:</t>
        </r>
        <r>
          <rPr>
            <sz val="9"/>
            <color indexed="81"/>
            <rFont val="Tahoma"/>
            <family val="2"/>
          </rPr>
          <t xml:space="preserve">
Mitigation fee estimate based on $12,000/acre for Rice solar project.</t>
        </r>
      </text>
    </comment>
    <comment ref="Q120" authorId="1">
      <text>
        <r>
          <rPr>
            <b/>
            <sz val="9"/>
            <color indexed="81"/>
            <rFont val="Tahoma"/>
            <family val="2"/>
          </rPr>
          <t>Richard McCann:</t>
        </r>
        <r>
          <rPr>
            <sz val="9"/>
            <color indexed="81"/>
            <rFont val="Tahoma"/>
            <family val="2"/>
          </rPr>
          <t xml:space="preserve">
Mitigation fee estimate based on $12,000/acre for Rice solar project.</t>
        </r>
      </text>
    </comment>
    <comment ref="R120" authorId="1">
      <text>
        <r>
          <rPr>
            <b/>
            <sz val="9"/>
            <color indexed="81"/>
            <rFont val="Tahoma"/>
            <family val="2"/>
          </rPr>
          <t>Richard McCann:</t>
        </r>
        <r>
          <rPr>
            <sz val="9"/>
            <color indexed="81"/>
            <rFont val="Tahoma"/>
            <family val="2"/>
          </rPr>
          <t xml:space="preserve">
Mitigation fee estimate based on $12,000/acre for Rice solar project.</t>
        </r>
      </text>
    </comment>
    <comment ref="S120" authorId="1">
      <text>
        <r>
          <rPr>
            <b/>
            <sz val="9"/>
            <color indexed="81"/>
            <rFont val="Tahoma"/>
            <family val="2"/>
          </rPr>
          <t>Richard McCann:</t>
        </r>
        <r>
          <rPr>
            <sz val="9"/>
            <color indexed="81"/>
            <rFont val="Tahoma"/>
            <family val="2"/>
          </rPr>
          <t xml:space="preserve">
Mitigation fee estimate based on $12,000/acre for Rice solar project.</t>
        </r>
      </text>
    </comment>
    <comment ref="T120" authorId="1">
      <text>
        <r>
          <rPr>
            <b/>
            <sz val="9"/>
            <color indexed="81"/>
            <rFont val="Tahoma"/>
            <family val="2"/>
          </rPr>
          <t>Richard McCann:</t>
        </r>
        <r>
          <rPr>
            <sz val="9"/>
            <color indexed="81"/>
            <rFont val="Tahoma"/>
            <family val="2"/>
          </rPr>
          <t xml:space="preserve">
Mitigation fee estimate based on $12,000/acre for Rice solar project.</t>
        </r>
      </text>
    </comment>
    <comment ref="G133" authorId="8">
      <text>
        <r>
          <rPr>
            <sz val="10"/>
            <color indexed="81"/>
            <rFont val="Tahoma"/>
            <family val="2"/>
          </rPr>
          <t xml:space="preserve">From Aspen data survey 2005
</t>
        </r>
        <r>
          <rPr>
            <sz val="10"/>
            <color indexed="81"/>
            <rFont val="Tahoma"/>
            <family val="2"/>
          </rPr>
          <t xml:space="preserve">
</t>
        </r>
      </text>
    </comment>
    <comment ref="H133" authorId="8">
      <text>
        <r>
          <rPr>
            <sz val="10"/>
            <color indexed="81"/>
            <rFont val="Tahoma"/>
            <family val="2"/>
          </rPr>
          <t xml:space="preserve">From Aspen data survey 2005
</t>
        </r>
        <r>
          <rPr>
            <sz val="10"/>
            <color indexed="81"/>
            <rFont val="Tahoma"/>
            <family val="2"/>
          </rPr>
          <t xml:space="preserve">
</t>
        </r>
      </text>
    </comment>
    <comment ref="D203"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E203"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F203"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G203"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H203"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D204"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E204"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F204"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G204"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H204"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D205"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E205"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F205"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G205"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H205"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D206" authorId="5">
      <text>
        <r>
          <rPr>
            <b/>
            <sz val="8"/>
            <color indexed="81"/>
            <rFont val="Tahoma"/>
            <family val="2"/>
          </rPr>
          <t>117.08 #/MMBtu</t>
        </r>
        <r>
          <rPr>
            <sz val="8"/>
            <color indexed="81"/>
            <rFont val="Tahoma"/>
            <family val="2"/>
          </rPr>
          <t xml:space="preserve">
</t>
        </r>
      </text>
    </comment>
    <comment ref="E206" authorId="5">
      <text>
        <r>
          <rPr>
            <b/>
            <sz val="8"/>
            <color indexed="81"/>
            <rFont val="Tahoma"/>
            <family val="2"/>
          </rPr>
          <t>117.08 #/MMBtu</t>
        </r>
        <r>
          <rPr>
            <sz val="8"/>
            <color indexed="81"/>
            <rFont val="Tahoma"/>
            <family val="2"/>
          </rPr>
          <t xml:space="preserve">
</t>
        </r>
      </text>
    </comment>
    <comment ref="F206" authorId="5">
      <text>
        <r>
          <rPr>
            <b/>
            <sz val="8"/>
            <color indexed="81"/>
            <rFont val="Tahoma"/>
            <family val="2"/>
          </rPr>
          <t>117.08 #/MMBtu</t>
        </r>
        <r>
          <rPr>
            <sz val="8"/>
            <color indexed="81"/>
            <rFont val="Tahoma"/>
            <family val="2"/>
          </rPr>
          <t xml:space="preserve">
</t>
        </r>
      </text>
    </comment>
    <comment ref="G206" authorId="5">
      <text>
        <r>
          <rPr>
            <b/>
            <sz val="8"/>
            <color indexed="81"/>
            <rFont val="Tahoma"/>
            <family val="2"/>
          </rPr>
          <t>117.08 #/MMBtu</t>
        </r>
        <r>
          <rPr>
            <sz val="8"/>
            <color indexed="81"/>
            <rFont val="Tahoma"/>
            <family val="2"/>
          </rPr>
          <t xml:space="preserve">
</t>
        </r>
      </text>
    </comment>
    <comment ref="H206" authorId="5">
      <text>
        <r>
          <rPr>
            <b/>
            <sz val="8"/>
            <color indexed="81"/>
            <rFont val="Tahoma"/>
            <family val="2"/>
          </rPr>
          <t>117.08 #/MMBtu</t>
        </r>
        <r>
          <rPr>
            <sz val="8"/>
            <color indexed="81"/>
            <rFont val="Tahoma"/>
            <family val="2"/>
          </rPr>
          <t xml:space="preserve">
</t>
        </r>
      </text>
    </comment>
    <comment ref="I206" authorId="5">
      <text>
        <r>
          <rPr>
            <sz val="8"/>
            <color indexed="81"/>
            <rFont val="Tahoma"/>
            <family val="2"/>
          </rPr>
          <t>ANL, "Life Cycle Anaysis Results of Geothermal Systems in Comparison to Other Power Systems," ANL/ESD/10-5, 2011. Table A-1.</t>
        </r>
      </text>
    </comment>
    <comment ref="J206" authorId="5">
      <text>
        <r>
          <rPr>
            <sz val="8"/>
            <color indexed="81"/>
            <rFont val="Tahoma"/>
            <family val="2"/>
          </rPr>
          <t xml:space="preserve">RMc - the value is 120 - 9/6/13
GEA, "Geothermal Energy and Greenhouse Gas Emissions," Nov. 2012. Figure 2 - weighted avg.
</t>
        </r>
      </text>
    </comment>
    <comment ref="K206" authorId="5">
      <text>
        <r>
          <rPr>
            <sz val="8"/>
            <color indexed="81"/>
            <rFont val="Tahoma"/>
            <family val="2"/>
          </rPr>
          <t xml:space="preserve">GEA, "Geothermal Energy and Greenhouse Gas Emissions," Nov. 2012. Figure 2.
</t>
        </r>
      </text>
    </comment>
    <comment ref="D210"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E210"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F210"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G210"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H210"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D211"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E211"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F211"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G211"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H211"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U211" authorId="1">
      <text>
        <r>
          <rPr>
            <b/>
            <sz val="8"/>
            <color indexed="81"/>
            <rFont val="Tahoma"/>
            <family val="2"/>
          </rPr>
          <t>Assumes same emissoin rate with and without duct firing.  Aspen EG study assumes no duct firing.</t>
        </r>
      </text>
    </comment>
    <comment ref="V211" authorId="1">
      <text>
        <r>
          <rPr>
            <b/>
            <sz val="8"/>
            <color indexed="81"/>
            <rFont val="Tahoma"/>
            <family val="2"/>
          </rPr>
          <t>Assumes same emissoin rate with and without duct firing.  Aspen EG study assumes no duct firing.</t>
        </r>
      </text>
    </comment>
    <comment ref="C217" authorId="0">
      <text>
        <r>
          <rPr>
            <sz val="8"/>
            <color indexed="81"/>
            <rFont val="Tahoma"/>
            <family val="2"/>
          </rPr>
          <t xml:space="preserve">Business Energy Investment Tax Credit (ITC)
Incentive Type: Corporate Tax Credit
</t>
        </r>
        <r>
          <rPr>
            <b/>
            <sz val="8"/>
            <color indexed="81"/>
            <rFont val="Tahoma"/>
            <family val="2"/>
          </rPr>
          <t>Eligible Renewable/Other Technologies:
Solar Water Heat, Solar Space Heat, Solar Thermal Electric, Solar Thermal Process Heat, Photovoltaics, Wind, Biomass, Geothermal Electric, Fuel Cells, Geothermal Heat Pumps, CHP/Cogeneration, Solar Hybrid Lighting, Direct Use Geothermal, Microturbines</t>
        </r>
        <r>
          <rPr>
            <sz val="8"/>
            <color indexed="81"/>
            <rFont val="Tahoma"/>
            <family val="2"/>
          </rPr>
          <t xml:space="preserve">
Applicable Sectors: Commercial, Industrial, Utility
Amount: 30% for solar, fuel cells and small wind;
10% for geothermal, microturbines and CHP
Maximum Incentive: Fuel cells: $1,500 per 0.5 kW
Microturbines: $200 per kW
Small wind turbines placed in service 10/4/08 - 12/31/08: $4,000
Small wind turbines placed in service after 12/31/08: no limit
All other eligible technologies: no limit
Eligible System Size: Small wind turbines: 100 kW or less
Fuel cells: 0.5 kW or greater
Microturbines: 2 MW or less
CHP: 50 MW or less
Equipment/Installation
Requirements: Fuel cells, microturbines and CHP systems must meet specific energy-efficiency criteria
Authority 1: 26 USC § 48
Summary:
Note: The American Recovery and Reinvestment Act of 2009 (H.R. 1) allows taxpayers eligible for the federal renewable electricity production tax credit (PTC) to take the federal business energy investment tax credit (ITC) or to receive a grant from the U.S. Treasury Department instead of taking the PTC for new installations. The new law also allows taxpayers eligible for the business ITC to receive a grant from the U.S. Treasury Department instead of taking the business ITC for new installations.
The federal business energy investment tax credit available under 26 USC § 48 was expanded significantly by the Energy Improvement and Extension Act of 2008 (H.R. 1424), enacted in October 2008. This law extended the duration -- by eight years -- of the existing credits for solar energy, fuel cells and microturbines; increased the credit amount for fuel cells; established new credits for small wind-energy systems, geothermal heat pumps, and combined heat and power (CHP) systems; extended eligibility for the credits to utilities; and allowed taxpayers to take the credit against the alternative minimum tax (AMT), subject to certain limitations. The credit was further expanded by The American Recovery and Reinvestment Act of 2009, enacted in February 2009.
In general, credits are available for eligible systems placed in service on or before December 31, 2016:*
Solar. The credit is equal to 30% of expenditures, with no maximum credit. Eligible solar energy property includes equipment that uses solar energy to generate electricity, to heat or cool (or provide hot water for use in) a structure, or to provide solar process heat. Hybrid solar lighting systems, which use solar energy to illuminate the inside of a structure using fiber-optic distributed sunlight, are eligible. (Passive solar systems and solar pool-heating systems are not eligible.)
Fuel Cells. The credit is equal to 30% of expenditures, with no maximum credit. However, the credit for fuel cells is capped at $1,500 per 0.5 kilowatt (kW) of capacity. Eligible property includes fuel cells with a minimum capacity of 0.5 kW that have an electricity-only generation efficiency of 30% or higher. (Note that the credit for property placed in service before October 4, 2008, is capped at $500 per 0.5 kW.)
Small Wind Turbines. The credit is equal to 30% of expenditures, with no maximum credit for small wind turbines placed in service after December 31, 2008. Eligible small wind property includes wind turbines up to 100 kW in capacity. (In general, the maximum credit is $4,000 for eligible property placed in service after October 3, 2008, and before January 1, 2009. The American Recovery and Reinvestment Act of 2009 removed the $4,000 maximum credit limit for small wind turbines.)
Geothermal Systems. The credit is equal to 10% of expenditures, with no maximum credit limit stated. Eligible geothermal energy property includes geothermal heat pumps and equipment used to produce, distribute or use energy derived from a geothermal deposit. For electricity produced by geothermal power, equipment qualifies only up to, but not including, the electric transmission stage. For geothermal heat pumps, this credit applies to eligible property placed in service after October 3, 2008.
Microturbines. The credit is equal to 10% of expenditures, with no maximum credit limit stated (explicitly). The credit for microturbines is capped at $200 per kW of capacity. Eligible property includes microturbines up to two megawatts (MW) in capacity that have an electricity-only generation efficiency of 26% or higher.
Combined Heat and Power (CHP). The credit is equal to 10% of expenditures, with no maximum limit stated. Eligible CHP property generally includes systems up to 50 MW in capacity that exceed 60% energy efficiency, subject to certain limitations and reductions for large systems. The efficiency requirement does not apply to CHP systems that use biomass for at least 90% of the system's energy source, but the credit may be reduced for less-efficient systems. This credit applies to eligible property placed in service after October 3, 2008.
Owners cannot claim both SGBETC and Renewable Energy PTC
http://www.dsireusa.org (updated 4/2009)</t>
        </r>
      </text>
    </comment>
    <comment ref="C218" authorId="5">
      <text>
        <r>
          <rPr>
            <b/>
            <sz val="8"/>
            <color indexed="81"/>
            <rFont val="Tahoma"/>
            <family val="2"/>
          </rPr>
          <t>DSIRE - extended to 2016 (5/09)</t>
        </r>
        <r>
          <rPr>
            <sz val="8"/>
            <color indexed="81"/>
            <rFont val="Tahoma"/>
            <family val="2"/>
          </rPr>
          <t xml:space="preserve">
</t>
        </r>
      </text>
    </comment>
    <comment ref="C221" authorId="3">
      <text>
        <r>
          <rPr>
            <b/>
            <sz val="9"/>
            <color indexed="81"/>
            <rFont val="Tahoma"/>
            <family val="2"/>
          </rPr>
          <t>Ashley Spalding:</t>
        </r>
        <r>
          <rPr>
            <sz val="9"/>
            <color indexed="81"/>
            <rFont val="Tahoma"/>
            <family val="2"/>
          </rPr>
          <t xml:space="preserve">
9/5/12. According to the NREL report linked to below states that if a portion of the installed project costs are not considered to be 
depreciable, they are also ineligible for the ITC. The report has estimates for some of the plant technologies in this model, but we have not yet decided on a set of estimates. At this point, the values listed in this row are placeholders. http://eetd.lbl.gov/ea/emp/reports/lbnl-1642e.pdf</t>
        </r>
      </text>
    </comment>
    <comment ref="D221" authorId="9">
      <text>
        <r>
          <rPr>
            <b/>
            <sz val="9"/>
            <color indexed="81"/>
            <rFont val="Tahoma"/>
            <family val="2"/>
          </rPr>
          <t>Ashley:</t>
        </r>
        <r>
          <rPr>
            <sz val="9"/>
            <color indexed="81"/>
            <rFont val="Tahoma"/>
            <family val="2"/>
          </rPr>
          <t xml:space="preserve">
Placeholder values. Will be updated when we have reliable estimates</t>
        </r>
      </text>
    </comment>
    <comment ref="C222" authorId="0">
      <text>
        <r>
          <rPr>
            <sz val="8"/>
            <color indexed="81"/>
            <rFont val="Tahoma"/>
            <family val="2"/>
          </rPr>
          <t>Renewable Electricity Production Tax Credit (PTC)
Last DSIRE Review: 02/19/2009
Incentive Type: Corporate Tax Credit
Eligible Renewable/Other Technologies:
Landfill Gas, Wind, Biomass, Hydroelectric, Geothermal Electric, Municipal Solid Waste, Hydrokinetic Power (i.e., Flowing Water), Anaerobic Digestion, Small Hydroelectric, Tidal Energy, Wave Energy, Ocean Thermal
Applicable Sectors: Commercial, Industrial
Amount: 2.1¢/kWh for wind, geothermal, closed-loop biomass; 1.0¢/kWh for other eligible technologies. Generally applies to first 10 years of operation.
Eligible System Size: Marine and Hydrokinetic: Minimum capacity of 150 kW
Agricultural Livestock Waste: Minimum capacity of 150 kW
Website: http://www.irs.gov/pub/irs-pdf/f8835.pdf
Authority 1: 26 USC § 45
Date Enacted: 1992
Summary:
Note: The American Recovery and Reinvestment Act of 2009 (H.R. 1) allows taxpayers eligible for the federal renewable electricity production tax credit (PTC) to take the federal business energy investment tax credit (ITC) or to receive a grant from the U.S. Treasury Department instead of taking the PTC for new installations. The new law also allows taxpayers eligible for the business ITC to receive a grant from the U.S. Treasury Department instead of taking the business ITC for new installations.
The federal renewable electricity production tax credit (PTC) is a per-kilowatt-hour tax credit for electricity generated by qualified energy resources and sold by the taxpayer to an unrelated person during the taxable year. Originally enacted in 1992, the PTC has been renewed and expanded numerous times, most recently by H.R. 1424 (Div. B, Sec. 101 &amp; 102) in October 2008 and again by H.R. 1 (Div. B, Section 1101 &amp;1102) in February 2009.
The October 2008 legislation extended the in-service deadlines for all qualifying renewable technologies; expanded the list of qualifying resources to include marine and hydrokinetic resources, such as wave, tidal, current and ocean thermal; and made changes to the definitions of several qualifying resources and facilities. The effective dates of these changes vary. Marine and hydrokinetic energy production is eligible as of the date the legislation was enacted (October 3, 2008), as is the incremental energy production associated with expansions of biomass facilities. A change in the definition of "trash facility" no longer requires that such facilities burn trash, and is also effective immediately. One further provision redefining the term "non-hydroelectric dam," took effect December 31, 2008.
The February 2009 legislation revised the credit by: (1) extending the in-service deadline for most eligible technologies by three years (two years for marine and hydrokinetic resources); and (2) allowing facilities that qualify for the PTC to opt instead to take the federal business energy investment credit (ITC) or an equivalent cash grant from the U.S. Department of Treasury. The ITC or grant for PTC-eligible technologies is generally equal to 30% of eligible costs.*
The tax credit amount is 1.5¢/kWh in 1993 dollars (indexed for inflation) for some technologies, and half of that amount for others. The rules governing the PTC vary by resource and facility type. The table below outlines two of the most important characteristics of the tax credit -- in-service deadline and credit amount -- as they apply to different facilities. The table includes changes made by H.R. 1, in February 2009, and the inflation-adjusted credit amounts are current for the 2008 tax year. (See the history section below for information on prior rules.)
Resource Type In-Service Deadline Credit Amount
Wind December 31, 2012 2.1¢/kWh
Closed-Loop Biomass December 31, 2013 2.1¢/kWh
Open-Loop Biomass December 31, 2013 1.0¢/kWh
Geothermal Energy December 31, 2013 2.1¢/kWh
Landfill Gas December 31, 2013 1.0¢/kWh
Municipal Solid Waste December 31, 2013 1.0¢/kWh
Qualified Hydroelectric December 31, 2013 1.0¢/kWh
Marine and Hydrokinetic (150 kW or larger)** December 31, 2013 1.0¢/kWh
The duration of the credit is generally 10 years after the date the facility is placed in service, but there are two
exceptions:
Open-loop biomass, geothermal, small irrigation hydro, landfill gas and municipal solid waste combustion facilities placed into service after October 22, 2004, and before enactment of the Energy Policy Act of 2005, on August 8, 2005, are only eligible for the credit for a five-year period. Open-loop biomass facilities placed in service before October 22, 2004, are eligible for a five-year period beginning January 1, 2005.
In addition, the tax credit is reduced for projects that receive other federal tax credits, grants, tax-exempt financing, or subsidized energy financing. The credit is claimed by completing Form 8835, "Renewable Electricity Production Credit," and Form 3800, "General Business Credit." For more information, contact IRS Telephone Assistance for Businesses at 1-800-829-4933.
Owners cannot claim both SGBETC and Renewable Energy PTC
http://www.dsireusa.org</t>
        </r>
      </text>
    </comment>
    <comment ref="J227" authorId="1">
      <text>
        <r>
          <rPr>
            <b/>
            <sz val="8"/>
            <color indexed="81"/>
            <rFont val="Tahoma"/>
            <family val="2"/>
          </rPr>
          <t xml:space="preserve">Cannot use both GDA &amp; REPTC.  Assume REPTC more advantageous as default.  </t>
        </r>
        <r>
          <rPr>
            <sz val="8"/>
            <color indexed="81"/>
            <rFont val="Tahoma"/>
            <family val="2"/>
          </rPr>
          <t xml:space="preserve">
</t>
        </r>
      </text>
    </comment>
    <comment ref="C231" authorId="1">
      <text>
        <r>
          <rPr>
            <sz val="8"/>
            <color indexed="81"/>
            <rFont val="Tahoma"/>
            <family val="2"/>
          </rPr>
          <t>Muni, rural electric cooperatives, local or state governments Eligible.
Renewable Energy Production Incentive (REPI)
Incentive Type:  Production Incentive
Eligible Renewable/Other Technologies:  Solar Thermal Electric, Photovoltaics, Landfill Gas, Wind, Biomass, Geothermal Electric, Livestock Methane, Tidal Energy, Wave Energy, Ocean Thermal, Fuel Cells using Renewable Fuels
Applicable Sectors:  Tribal Government, Municipal Utility, Rural Electric Cooperative, State/local gov't that sell project's electricity
Amount: 1.5 cents per kWh (indexed for inflation)
Terms: 10 years
Authority 1:  42 USCS Â§ 13317
Date Enacted: 1992, amended 2005
Website: http://www.eere.energy.gov/wip/program/repi.html
http://www.dsireusa.org</t>
        </r>
      </text>
    </comment>
    <comment ref="C232" authorId="4">
      <text>
        <r>
          <rPr>
            <sz val="9"/>
            <color indexed="81"/>
            <rFont val="Tahoma"/>
            <family val="2"/>
          </rPr>
          <t>Renewable Energy Production Incentive
Eligible electric production facilities include publicly-owned electric utilities, rural electric cooperatives, and local or state governments that sell the project's electricity to someone else.  
In this model, Muni is assumed to be eligible.</t>
        </r>
      </text>
    </comment>
    <comment ref="C236" authorId="1">
      <text>
        <r>
          <rPr>
            <b/>
            <sz val="8"/>
            <color indexed="81"/>
            <rFont val="Tahoma"/>
            <family val="2"/>
          </rPr>
          <t>Property Tax Exemption for Solar Systems
Incentive Type:  Property Tax Exemption
Eligible Renewable/Other Technologies:  Solar Water Heat, Solar Space Heat, Solar Thermal Electric, Solar Thermal Process Heat, Photovoltaics, Solar Mechanical Energy
Applicable Sectors:  Commercial, Industrial, Residential
Amount: 100% of system value
Max. Limit: None
Terms: 75% exemption for dual-use equipment
Authority 1:  Cal Rev &amp; Tax Code Â§ 73
Expiration Date: 12/31/09</t>
        </r>
        <r>
          <rPr>
            <sz val="8"/>
            <color indexed="81"/>
            <rFont val="Tahoma"/>
            <family val="2"/>
          </rPr>
          <t xml:space="preserve">
http://www.dsireusa.org/Index.cfm?EE=0&amp;RE=1</t>
        </r>
      </text>
    </comment>
    <comment ref="L236" authorId="1">
      <text>
        <r>
          <rPr>
            <b/>
            <sz val="9"/>
            <color indexed="81"/>
            <rFont val="Tahoma"/>
            <family val="2"/>
          </rPr>
          <t>Richard McCann:</t>
        </r>
        <r>
          <rPr>
            <sz val="9"/>
            <color indexed="81"/>
            <rFont val="Tahoma"/>
            <family val="2"/>
          </rPr>
          <t xml:space="preserve">
Assumes no gas assist so no dual purpose facilities.</t>
        </r>
      </text>
    </comment>
    <comment ref="M236" authorId="1">
      <text>
        <r>
          <rPr>
            <b/>
            <sz val="9"/>
            <color indexed="81"/>
            <rFont val="Tahoma"/>
            <family val="2"/>
          </rPr>
          <t>Richard McCann:</t>
        </r>
        <r>
          <rPr>
            <sz val="9"/>
            <color indexed="81"/>
            <rFont val="Tahoma"/>
            <family val="2"/>
          </rPr>
          <t xml:space="preserve">
Assumes no gas assist so no dual purpose facilities.</t>
        </r>
      </text>
    </comment>
    <comment ref="N236" authorId="1">
      <text>
        <r>
          <rPr>
            <b/>
            <sz val="9"/>
            <color indexed="81"/>
            <rFont val="Tahoma"/>
            <family val="2"/>
          </rPr>
          <t>Richard McCann:</t>
        </r>
        <r>
          <rPr>
            <sz val="9"/>
            <color indexed="81"/>
            <rFont val="Tahoma"/>
            <family val="2"/>
          </rPr>
          <t xml:space="preserve">
Assumes no gas assist so no dual purpose facilities.</t>
        </r>
      </text>
    </comment>
    <comment ref="O236" authorId="1">
      <text>
        <r>
          <rPr>
            <b/>
            <sz val="9"/>
            <color indexed="81"/>
            <rFont val="Tahoma"/>
            <family val="2"/>
          </rPr>
          <t>Richard McCann:</t>
        </r>
        <r>
          <rPr>
            <sz val="9"/>
            <color indexed="81"/>
            <rFont val="Tahoma"/>
            <family val="2"/>
          </rPr>
          <t xml:space="preserve">
Assumes no gas assist so no dual purpose facilities.</t>
        </r>
      </text>
    </comment>
    <comment ref="P236" authorId="1">
      <text>
        <r>
          <rPr>
            <b/>
            <sz val="9"/>
            <color indexed="81"/>
            <rFont val="Tahoma"/>
            <family val="2"/>
          </rPr>
          <t>Richard McCann:</t>
        </r>
        <r>
          <rPr>
            <sz val="9"/>
            <color indexed="81"/>
            <rFont val="Tahoma"/>
            <family val="2"/>
          </rPr>
          <t xml:space="preserve">
Assumes no gas assist so no dual purpose facilities.</t>
        </r>
      </text>
    </comment>
    <comment ref="Q236" authorId="1">
      <text>
        <r>
          <rPr>
            <b/>
            <sz val="9"/>
            <color indexed="81"/>
            <rFont val="Tahoma"/>
            <family val="2"/>
          </rPr>
          <t>Richard McCann:</t>
        </r>
        <r>
          <rPr>
            <sz val="9"/>
            <color indexed="81"/>
            <rFont val="Tahoma"/>
            <family val="2"/>
          </rPr>
          <t xml:space="preserve">
Assumes no gas assist so no dual purpose facilities.</t>
        </r>
      </text>
    </comment>
    <comment ref="R236" authorId="1">
      <text>
        <r>
          <rPr>
            <b/>
            <sz val="9"/>
            <color indexed="81"/>
            <rFont val="Tahoma"/>
            <family val="2"/>
          </rPr>
          <t>Richard McCann:</t>
        </r>
        <r>
          <rPr>
            <sz val="9"/>
            <color indexed="81"/>
            <rFont val="Tahoma"/>
            <family val="2"/>
          </rPr>
          <t xml:space="preserve">
Assumes no gas assist so no dual purpose facilities.</t>
        </r>
      </text>
    </comment>
    <comment ref="S236" authorId="1">
      <text>
        <r>
          <rPr>
            <b/>
            <sz val="9"/>
            <color indexed="81"/>
            <rFont val="Tahoma"/>
            <family val="2"/>
          </rPr>
          <t>Richard McCann:</t>
        </r>
        <r>
          <rPr>
            <sz val="9"/>
            <color indexed="81"/>
            <rFont val="Tahoma"/>
            <family val="2"/>
          </rPr>
          <t xml:space="preserve">
Assumes no gas assist so no dual purpose facilities.</t>
        </r>
      </text>
    </comment>
    <comment ref="T236" authorId="1">
      <text>
        <r>
          <rPr>
            <b/>
            <sz val="9"/>
            <color indexed="81"/>
            <rFont val="Tahoma"/>
            <family val="2"/>
          </rPr>
          <t>Richard McCann:</t>
        </r>
        <r>
          <rPr>
            <sz val="9"/>
            <color indexed="81"/>
            <rFont val="Tahoma"/>
            <family val="2"/>
          </rPr>
          <t xml:space="preserve">
Assumes no gas assist so no dual purpose facilities.</t>
        </r>
      </text>
    </comment>
    <comment ref="L237" authorId="1">
      <text>
        <r>
          <rPr>
            <b/>
            <sz val="9"/>
            <color indexed="81"/>
            <rFont val="Tahoma"/>
            <family val="2"/>
          </rPr>
          <t>Richard McCann:</t>
        </r>
        <r>
          <rPr>
            <sz val="9"/>
            <color indexed="81"/>
            <rFont val="Tahoma"/>
            <family val="2"/>
          </rPr>
          <t xml:space="preserve">
Assumes no gas assist so no dual purpose facilities.</t>
        </r>
      </text>
    </comment>
    <comment ref="N237" authorId="1">
      <text>
        <r>
          <rPr>
            <b/>
            <sz val="9"/>
            <color indexed="81"/>
            <rFont val="Tahoma"/>
            <family val="2"/>
          </rPr>
          <t>Richard McCann:</t>
        </r>
        <r>
          <rPr>
            <sz val="9"/>
            <color indexed="81"/>
            <rFont val="Tahoma"/>
            <family val="2"/>
          </rPr>
          <t xml:space="preserve">
Assumes no gas assist so no dual purpose facilities.</t>
        </r>
      </text>
    </comment>
    <comment ref="C239" authorId="1">
      <text>
        <r>
          <rPr>
            <sz val="14"/>
            <color indexed="81"/>
            <rFont val="Tahoma"/>
            <family val="2"/>
          </rPr>
          <t>BOE, Tax Tips for Construction and Building Contractors Sales and Use Taxes, Publication 9, December 2002.
Installation labor and non equipment costs not subject to sales or use tax.</t>
        </r>
      </text>
    </comment>
    <comment ref="L239" authorId="1">
      <text>
        <r>
          <rPr>
            <b/>
            <sz val="9"/>
            <color indexed="81"/>
            <rFont val="Tahoma"/>
            <family val="2"/>
          </rPr>
          <t>Richard McCann:</t>
        </r>
        <r>
          <rPr>
            <sz val="9"/>
            <color indexed="81"/>
            <rFont val="Tahoma"/>
            <family val="2"/>
          </rPr>
          <t xml:space="preserve">
Based on JEDI CSP model v1.10.12</t>
        </r>
      </text>
    </comment>
    <comment ref="M239" authorId="1">
      <text>
        <r>
          <rPr>
            <b/>
            <sz val="9"/>
            <color indexed="81"/>
            <rFont val="Tahoma"/>
            <family val="2"/>
          </rPr>
          <t>Richard McCann:</t>
        </r>
        <r>
          <rPr>
            <sz val="9"/>
            <color indexed="81"/>
            <rFont val="Tahoma"/>
            <family val="2"/>
          </rPr>
          <t xml:space="preserve">
Based on JEDI CSP model v1.10.12</t>
        </r>
      </text>
    </comment>
    <comment ref="N239" authorId="1">
      <text>
        <r>
          <rPr>
            <b/>
            <sz val="9"/>
            <color indexed="81"/>
            <rFont val="Tahoma"/>
            <family val="2"/>
          </rPr>
          <t>Richard McCann:</t>
        </r>
        <r>
          <rPr>
            <sz val="9"/>
            <color indexed="81"/>
            <rFont val="Tahoma"/>
            <family val="2"/>
          </rPr>
          <t xml:space="preserve">
Based on JEDI CSP model v1.10.12</t>
        </r>
      </text>
    </comment>
    <comment ref="O239" authorId="1">
      <text>
        <r>
          <rPr>
            <b/>
            <sz val="9"/>
            <color indexed="81"/>
            <rFont val="Tahoma"/>
            <family val="2"/>
          </rPr>
          <t>Richard McCann:</t>
        </r>
        <r>
          <rPr>
            <sz val="9"/>
            <color indexed="81"/>
            <rFont val="Tahoma"/>
            <family val="2"/>
          </rPr>
          <t xml:space="preserve">
Based on JEDI CSP model v1.10.12</t>
        </r>
      </text>
    </comment>
    <comment ref="P239" authorId="1">
      <text>
        <r>
          <rPr>
            <b/>
            <sz val="9"/>
            <color indexed="81"/>
            <rFont val="Tahoma"/>
            <family val="2"/>
          </rPr>
          <t>Richard McCann:</t>
        </r>
        <r>
          <rPr>
            <sz val="9"/>
            <color indexed="81"/>
            <rFont val="Tahoma"/>
            <family val="2"/>
          </rPr>
          <t xml:space="preserve">
Based on JEDI CSP model v1.10.12</t>
        </r>
      </text>
    </comment>
    <comment ref="Q239" authorId="1">
      <text>
        <r>
          <rPr>
            <b/>
            <sz val="9"/>
            <color indexed="81"/>
            <rFont val="Tahoma"/>
            <family val="2"/>
          </rPr>
          <t>Richard McCann:</t>
        </r>
        <r>
          <rPr>
            <sz val="9"/>
            <color indexed="81"/>
            <rFont val="Tahoma"/>
            <family val="2"/>
          </rPr>
          <t xml:space="preserve">
Based on calculation for 3 utility scale solar projects: Panoche Valley (San Benito), California Valley (SLO) and Topaz Solar Farm (SLO) - 2010.</t>
        </r>
      </text>
    </comment>
    <comment ref="R239" authorId="1">
      <text>
        <r>
          <rPr>
            <b/>
            <sz val="9"/>
            <color indexed="81"/>
            <rFont val="Tahoma"/>
            <family val="2"/>
          </rPr>
          <t>Richard McCann:</t>
        </r>
        <r>
          <rPr>
            <sz val="9"/>
            <color indexed="81"/>
            <rFont val="Tahoma"/>
            <family val="2"/>
          </rPr>
          <t xml:space="preserve">
Based on calculation for 3 utility scale solar projects: Panoche Valley (San Benito), California Valley (SLO) and Topaz Solar Farm (SLO) - 2010.</t>
        </r>
      </text>
    </comment>
    <comment ref="S239" authorId="1">
      <text>
        <r>
          <rPr>
            <b/>
            <sz val="9"/>
            <color indexed="81"/>
            <rFont val="Tahoma"/>
            <family val="2"/>
          </rPr>
          <t>Richard McCann:</t>
        </r>
        <r>
          <rPr>
            <sz val="9"/>
            <color indexed="81"/>
            <rFont val="Tahoma"/>
            <family val="2"/>
          </rPr>
          <t xml:space="preserve">
Based on calculation for 3 utility scale solar projects: Panoche Valley (San Benito), California Valley (SLO) and Topaz Solar Farm (SLO) - 2010.</t>
        </r>
      </text>
    </comment>
    <comment ref="T239" authorId="1">
      <text>
        <r>
          <rPr>
            <b/>
            <sz val="9"/>
            <color indexed="81"/>
            <rFont val="Tahoma"/>
            <family val="2"/>
          </rPr>
          <t>Richard McCann:</t>
        </r>
        <r>
          <rPr>
            <sz val="9"/>
            <color indexed="81"/>
            <rFont val="Tahoma"/>
            <family val="2"/>
          </rPr>
          <t xml:space="preserve">
Based on calculation for 3 utility scale solar projects: Panoche Valley (San Benito), California Valley (SLO) and Topaz Solar Farm (SLO) - 2010.</t>
        </r>
      </text>
    </comment>
    <comment ref="U239" authorId="1">
      <text>
        <r>
          <rPr>
            <b/>
            <sz val="9"/>
            <color indexed="81"/>
            <rFont val="Tahoma"/>
            <family val="2"/>
          </rPr>
          <t>Richard McCann:</t>
        </r>
        <r>
          <rPr>
            <sz val="9"/>
            <color indexed="81"/>
            <rFont val="Tahoma"/>
            <family val="2"/>
          </rPr>
          <t xml:space="preserve">
Based on JEDI Wind model earlier version</t>
        </r>
      </text>
    </comment>
    <comment ref="V239" authorId="1">
      <text>
        <r>
          <rPr>
            <b/>
            <sz val="9"/>
            <color indexed="81"/>
            <rFont val="Tahoma"/>
            <family val="2"/>
          </rPr>
          <t>Richard McCann:</t>
        </r>
        <r>
          <rPr>
            <sz val="9"/>
            <color indexed="81"/>
            <rFont val="Tahoma"/>
            <family val="2"/>
          </rPr>
          <t xml:space="preserve">
Based on JEDI Wind model earlier version</t>
        </r>
      </text>
    </comment>
    <comment ref="C241" authorId="1">
      <text>
        <r>
          <rPr>
            <b/>
            <sz val="10"/>
            <color indexed="81"/>
            <rFont val="Tahoma"/>
            <family val="2"/>
          </rPr>
          <t>Originally entered by Richard Mc Cann but was found to not be applicable - confirmed by  Sandy Miller 8-10-07</t>
        </r>
        <r>
          <rPr>
            <b/>
            <sz val="8"/>
            <color indexed="81"/>
            <rFont val="Tahoma"/>
            <family val="2"/>
          </rPr>
          <t xml:space="preserve">
California Solar Initiative Incentives
Incentive Type:  State Rebate Program
Eligible Renewable/Other Technologies:  Photovoltaics
Applicable Sectors:  Commercial, Industrial, Residential, Nonprofit, Schools, Local Government, State Government, Fed. Government, Multi-Family Residential, Low-Income Residential, Agricultural, Institutional, (All customers of PG&amp;E, SDG&amp;E, SCE; Bear Valley eligible only for NHSP)
Incentive Amount: Varies by sector and system size (see below)
Program Budget: $3.2 billion over 10 years
Ownership of Renewable Energy Credits: Remains with customer-producer
Authority 1:  CSI Handbook (2007)
Effective Date: 1/1/2007
Website: http://www.gosolarcalifornia.ca.gov</t>
        </r>
        <r>
          <rPr>
            <sz val="8"/>
            <color indexed="81"/>
            <rFont val="Tahoma"/>
            <family val="2"/>
          </rPr>
          <t xml:space="preserve">
Performance-Based Incentives for Systems 100 kW and larger:
    * $0.39/kWh for first 5 years for taxable entities  
    * $0.50/kWh for first 5 years for government entities and nonprofits
</t>
        </r>
        <r>
          <rPr>
            <b/>
            <sz val="8"/>
            <color indexed="81"/>
            <rFont val="Tahoma"/>
            <family val="2"/>
          </rPr>
          <t xml:space="preserve">THIS MUST BE UPDATED BASED ON FORECASTED SOLAR CAPACITY
</t>
        </r>
        <r>
          <rPr>
            <sz val="8"/>
            <color indexed="81"/>
            <rFont val="Tahoma"/>
            <family val="2"/>
          </rPr>
          <t xml:space="preserve">The CSI program will pay PBI for solar projects with systems equal to or greater than 100 kilowatts (kW), with monthly payments based on recorded kilowatt hours (kWh) of solar power produced over a 5-year period. Residential and small projects can also choose to opt-in to the performance-based incentive payment approach. Once the PBI incentive rate has been determined and a confirmed eservation issued, the ¢/kWh incentive rate will remain constant for the 5-year term.
</t>
        </r>
        <r>
          <rPr>
            <sz val="8"/>
            <color indexed="81"/>
            <rFont val="Tahoma"/>
            <family val="2"/>
          </rPr>
          <t xml:space="preserve">
http://www.dsireusa.org/Index.cfm?EE=0&amp;RE=1
</t>
        </r>
      </text>
    </comment>
    <comment ref="C243" authorId="1">
      <text>
        <r>
          <rPr>
            <b/>
            <sz val="10"/>
            <color indexed="81"/>
            <rFont val="Tahoma"/>
            <family val="2"/>
          </rPr>
          <t xml:space="preserve">Originally entered by Richard Mc Cann but was found to not be applicable - confirmed by  Sandy Miller 8-10-07
</t>
        </r>
        <r>
          <rPr>
            <b/>
            <sz val="8"/>
            <color indexed="81"/>
            <rFont val="Tahoma"/>
            <family val="2"/>
          </rPr>
          <t xml:space="preserve">
Self-Generation Incentive Program
Incentive Type:  State Rebate Program
Eligible Renewable/Other Technologies:  Wind, Fuel Cells, CHP/Cogeneration, Other Distributed Generation Technologies
Applicable Sectors:  Commercial, Industrial, Residential, Nonprofit, Schools, Local Government, State Government, Fed. Government, Institutional
Incentive Amount: $1.00/W to $4.50/W for renewables, depending on technology.
Maximum Incentive: Incentive payment is capped at 1 MW.
Eligible System Size: Systems must be sized according to customer's electricity demand; maximum system size of 5 MW; minimum of 30 kW for wind turbines and fuel cells using renewable fuels.
Equipment Requirements: Systems must be new, UL listed, and in compliance with all applicable performance and safety standards. Wind systems and fuels must be covered by a minimum five year warranty. Other systems must be covered at least three years.
Installation Requirements: Installation must comply with all federal, state, and local codes; Must be grid-connected and installed by a California-licensed contractor.
Program Budget: 2007 Funding:
PG&amp;E: $32.4 million;
SCE: $25.2 million;
So Cal Gas: $9.9 million;
SDG&amp;E: $7.2 million
Ownership of Renewable Energy Credits: Remains with customer/producer
Expiration Date 1/1/2012
Authority 1:  Self-Generation Incentive Program Handbook (2007)
Website: http://www.cpuc.ca.gov/
static/energy/electric/051005_sgip.htm</t>
        </r>
        <r>
          <rPr>
            <sz val="8"/>
            <color indexed="81"/>
            <rFont val="Tahoma"/>
            <family val="2"/>
          </rPr>
          <t xml:space="preserve">
http://www.dsireusa.org/Index.cfm?EE=0&amp;RE=1</t>
        </r>
      </text>
    </comment>
    <comment ref="C267" authorId="4">
      <text>
        <r>
          <rPr>
            <b/>
            <sz val="9"/>
            <color indexed="81"/>
            <rFont val="Tahoma"/>
            <family val="2"/>
          </rPr>
          <t>Labor/day??</t>
        </r>
      </text>
    </comment>
    <comment ref="C281" authorId="4">
      <text>
        <r>
          <rPr>
            <sz val="9"/>
            <color indexed="81"/>
            <rFont val="Tahoma"/>
            <family val="2"/>
          </rPr>
          <t>Included Planned and Maintenance Outages</t>
        </r>
      </text>
    </comment>
    <comment ref="C283" authorId="4">
      <text>
        <r>
          <rPr>
            <sz val="9"/>
            <color indexed="81"/>
            <rFont val="Tahoma"/>
            <family val="2"/>
          </rPr>
          <t>Included Planned and Maintenance Outages</t>
        </r>
      </text>
    </comment>
  </commentList>
</comments>
</file>

<file path=xl/comments20.xml><?xml version="1.0" encoding="utf-8"?>
<comments xmlns="http://schemas.openxmlformats.org/spreadsheetml/2006/main">
  <authors>
    <author xml:space="preserve"> </author>
    <author>Richard McCann</author>
    <author>Ashley Spalding</author>
    <author>Eric Cutter</author>
    <author>Joel Klein</author>
    <author>RMcCann</author>
    <author>Ivin Rhyne</author>
    <author>jklein</author>
    <author>CEC</author>
    <author>Ashley</author>
  </authors>
  <commentList>
    <comment ref="A2" authorId="0">
      <text>
        <r>
          <rPr>
            <b/>
            <sz val="8"/>
            <color indexed="81"/>
            <rFont val="Tahoma"/>
            <family val="2"/>
          </rPr>
          <t>DO NOT DELETE OR MOVE</t>
        </r>
      </text>
    </comment>
    <comment ref="I2" authorId="1">
      <text>
        <r>
          <rPr>
            <b/>
            <sz val="8"/>
            <color indexed="81"/>
            <rFont val="Tahoma"/>
            <family val="2"/>
          </rPr>
          <t>Assumed this is open loop biomass</t>
        </r>
        <r>
          <rPr>
            <sz val="8"/>
            <color indexed="81"/>
            <rFont val="Tahoma"/>
            <family val="2"/>
          </rPr>
          <t xml:space="preserve">
</t>
        </r>
      </text>
    </comment>
    <comment ref="C3" authorId="1">
      <text>
        <r>
          <rPr>
            <b/>
            <sz val="8"/>
            <color indexed="81"/>
            <rFont val="Tahoma"/>
            <family val="2"/>
          </rPr>
          <t>Currently: References for 2003 IEPR "Cost of Generation" Appendix, based on interviews with industry analysts listed here.</t>
        </r>
      </text>
    </comment>
    <comment ref="C4" authorId="1">
      <text>
        <r>
          <rPr>
            <sz val="8"/>
            <color indexed="81"/>
            <rFont val="Tahoma"/>
            <family val="2"/>
          </rPr>
          <t xml:space="preserve">Update to correspond with year of cost data used.
</t>
        </r>
      </text>
    </comment>
    <comment ref="G7" authorId="1">
      <text>
        <r>
          <rPr>
            <sz val="8"/>
            <color indexed="81"/>
            <rFont val="Tahoma"/>
            <family val="2"/>
          </rPr>
          <t xml:space="preserve">Median capacity from survey net of duct firing.
</t>
        </r>
      </text>
    </comment>
    <comment ref="H7" authorId="1">
      <text>
        <r>
          <rPr>
            <b/>
            <sz val="8"/>
            <color indexed="81"/>
            <rFont val="Tahoma"/>
            <family val="2"/>
          </rPr>
          <t>Median duct firing capacity = 9.1% of total (15 observations)</t>
        </r>
        <r>
          <rPr>
            <sz val="8"/>
            <color indexed="81"/>
            <rFont val="Tahoma"/>
            <family val="2"/>
          </rPr>
          <t xml:space="preserve">
</t>
        </r>
      </text>
    </comment>
    <comment ref="D10" authorId="1">
      <text>
        <r>
          <rPr>
            <b/>
            <sz val="9"/>
            <color indexed="81"/>
            <rFont val="Tahoma"/>
            <family val="2"/>
          </rPr>
          <t>Richard McCann:</t>
        </r>
        <r>
          <rPr>
            <sz val="9"/>
            <color indexed="81"/>
            <rFont val="Tahoma"/>
            <family val="2"/>
          </rPr>
          <t xml:space="preserve">
MRW, 2012 memo</t>
        </r>
      </text>
    </comment>
    <comment ref="I10" authorId="1">
      <text>
        <r>
          <rPr>
            <b/>
            <sz val="9"/>
            <color indexed="81"/>
            <rFont val="Tahoma"/>
            <family val="2"/>
          </rPr>
          <t>Richard McCann:</t>
        </r>
        <r>
          <rPr>
            <sz val="9"/>
            <color indexed="81"/>
            <rFont val="Tahoma"/>
            <family val="2"/>
          </rPr>
          <t xml:space="preserve">
MRW, 2012 memo</t>
        </r>
      </text>
    </comment>
    <comment ref="J10" authorId="1">
      <text>
        <r>
          <rPr>
            <b/>
            <sz val="9"/>
            <color indexed="81"/>
            <rFont val="Tahoma"/>
            <family val="2"/>
          </rPr>
          <t>Richard McCann:</t>
        </r>
        <r>
          <rPr>
            <sz val="9"/>
            <color indexed="81"/>
            <rFont val="Tahoma"/>
            <family val="2"/>
          </rPr>
          <t xml:space="preserve">
MRW, 2012 memo</t>
        </r>
      </text>
    </comment>
    <comment ref="L10" authorId="1">
      <text>
        <r>
          <rPr>
            <b/>
            <sz val="9"/>
            <color indexed="81"/>
            <rFont val="Tahoma"/>
            <family val="2"/>
          </rPr>
          <t>Richard McCann:</t>
        </r>
        <r>
          <rPr>
            <sz val="9"/>
            <color indexed="81"/>
            <rFont val="Tahoma"/>
            <family val="2"/>
          </rPr>
          <t xml:space="preserve">
MRW, 2012 memo</t>
        </r>
      </text>
    </comment>
    <comment ref="U10" authorId="1">
      <text>
        <r>
          <rPr>
            <b/>
            <sz val="9"/>
            <color indexed="81"/>
            <rFont val="Tahoma"/>
            <family val="2"/>
          </rPr>
          <t>Richard McCann:</t>
        </r>
        <r>
          <rPr>
            <sz val="9"/>
            <color indexed="81"/>
            <rFont val="Tahoma"/>
            <family val="2"/>
          </rPr>
          <t xml:space="preserve">
MRW, 2012 memo</t>
        </r>
      </text>
    </comment>
    <comment ref="V10" authorId="1">
      <text>
        <r>
          <rPr>
            <b/>
            <sz val="9"/>
            <color indexed="81"/>
            <rFont val="Tahoma"/>
            <family val="2"/>
          </rPr>
          <t>Richard McCann:</t>
        </r>
        <r>
          <rPr>
            <sz val="9"/>
            <color indexed="81"/>
            <rFont val="Tahoma"/>
            <family val="2"/>
          </rPr>
          <t xml:space="preserve">
MRW, 2012 memo</t>
        </r>
      </text>
    </comment>
    <comment ref="C11" authorId="1">
      <text>
        <r>
          <rPr>
            <b/>
            <sz val="9"/>
            <color indexed="81"/>
            <rFont val="Tahoma"/>
            <family val="2"/>
          </rPr>
          <t>Source: MRW (2012)
Used only for Merchant Case
Reference Rate = Treasury or LIBOR.  See Financial Assumptions page.</t>
        </r>
      </text>
    </comment>
    <comment ref="C12" authorId="1">
      <text>
        <r>
          <rPr>
            <b/>
            <sz val="9"/>
            <color indexed="81"/>
            <rFont val="Tahoma"/>
            <family val="2"/>
          </rPr>
          <t>Source: MRW (2012)</t>
        </r>
      </text>
    </comment>
    <comment ref="C13" authorId="1">
      <text>
        <r>
          <rPr>
            <b/>
            <sz val="9"/>
            <color indexed="81"/>
            <rFont val="Tahoma"/>
            <family val="2"/>
          </rPr>
          <t>Source: MRW (2012)</t>
        </r>
      </text>
    </comment>
    <comment ref="C14" authorId="1">
      <text>
        <r>
          <rPr>
            <b/>
            <sz val="9"/>
            <color indexed="81"/>
            <rFont val="Tahoma"/>
            <family val="2"/>
          </rPr>
          <t>Source: MRW (2012)
Used only for the Merchant Case
Term = LT PPA</t>
        </r>
      </text>
    </comment>
    <comment ref="D16" authorId="1">
      <text>
        <r>
          <rPr>
            <sz val="8"/>
            <color indexed="81"/>
            <rFont val="Tahoma"/>
            <family val="2"/>
          </rPr>
          <t xml:space="preserve">IRS Pub. 946 (2005), App. B, Asset class 49.15.
</t>
        </r>
      </text>
    </comment>
    <comment ref="E16" authorId="1">
      <text>
        <r>
          <rPr>
            <sz val="8"/>
            <color indexed="81"/>
            <rFont val="Tahoma"/>
            <family val="2"/>
          </rPr>
          <t xml:space="preserve">IRS Pub. 946 (2005), App. B, Asset class 49.15.
</t>
        </r>
      </text>
    </comment>
    <comment ref="F16" authorId="1">
      <text>
        <r>
          <rPr>
            <sz val="8"/>
            <color indexed="81"/>
            <rFont val="Tahoma"/>
            <family val="2"/>
          </rPr>
          <t xml:space="preserve">IRS Pub. 946 (2005), App. B, Asset class 49.15.
</t>
        </r>
      </text>
    </comment>
    <comment ref="G16" authorId="1">
      <text>
        <r>
          <rPr>
            <sz val="8"/>
            <color indexed="81"/>
            <rFont val="Tahoma"/>
            <family val="2"/>
          </rPr>
          <t xml:space="preserve">IRS Pub. 946 (2005), App. B, Asset class 49.13
</t>
        </r>
      </text>
    </comment>
    <comment ref="H16" authorId="1">
      <text>
        <r>
          <rPr>
            <sz val="8"/>
            <color indexed="81"/>
            <rFont val="Tahoma"/>
            <family val="2"/>
          </rPr>
          <t xml:space="preserve">IRS Pub. 946 (2005), App. B, Asset class 49.13
</t>
        </r>
      </text>
    </comment>
    <comment ref="J19" authorId="2">
      <text>
        <r>
          <rPr>
            <b/>
            <sz val="9"/>
            <color indexed="81"/>
            <rFont val="Tahoma"/>
            <family val="2"/>
          </rPr>
          <t>Ashley Spalding:</t>
        </r>
        <r>
          <rPr>
            <sz val="9"/>
            <color indexed="81"/>
            <rFont val="Tahoma"/>
            <family val="2"/>
          </rPr>
          <t xml:space="preserve">
p. 8 http://www.nrel.gov/docs/fy11osti/48595.pdf</t>
        </r>
      </text>
    </comment>
    <comment ref="K19" authorId="2">
      <text>
        <r>
          <rPr>
            <b/>
            <sz val="9"/>
            <color indexed="81"/>
            <rFont val="Tahoma"/>
            <family val="2"/>
          </rPr>
          <t>Ashley Spalding:</t>
        </r>
        <r>
          <rPr>
            <sz val="9"/>
            <color indexed="81"/>
            <rFont val="Tahoma"/>
            <family val="2"/>
          </rPr>
          <t xml:space="preserve">
added 11/5 - p.8 http://www.nrel.gov/docs/fy11osti/48595.pdf</t>
        </r>
      </text>
    </comment>
    <comment ref="D20" authorId="1">
      <text>
        <r>
          <rPr>
            <sz val="8"/>
            <color indexed="81"/>
            <rFont val="Tahoma"/>
            <family val="2"/>
          </rPr>
          <t>Approximated at 2.8 MMBtu/MW based on CEC production cost modeling data 8/31/05</t>
        </r>
      </text>
    </comment>
    <comment ref="E20" authorId="1">
      <text>
        <r>
          <rPr>
            <sz val="8"/>
            <color indexed="81"/>
            <rFont val="Tahoma"/>
            <family val="2"/>
          </rPr>
          <t>Approximated at 2.8 MMBtu/MW based on CEC production cost modeling data 8/31/05</t>
        </r>
      </text>
    </comment>
    <comment ref="F20" authorId="1">
      <text>
        <r>
          <rPr>
            <sz val="8"/>
            <color indexed="81"/>
            <rFont val="Tahoma"/>
            <family val="2"/>
          </rPr>
          <t>Approximated at 2.8 MMBtu/MW based on CEC production cost modeling data 8/31/05</t>
        </r>
      </text>
    </comment>
    <comment ref="G20" authorId="1">
      <text>
        <r>
          <rPr>
            <sz val="8"/>
            <color indexed="81"/>
            <rFont val="Tahoma"/>
            <family val="2"/>
          </rPr>
          <t>Approximated at 2.8 MMBtu/MW based on CEC production cost modeling data 8/31/05</t>
        </r>
      </text>
    </comment>
    <comment ref="H20" authorId="1">
      <text>
        <r>
          <rPr>
            <sz val="8"/>
            <color indexed="81"/>
            <rFont val="Tahoma"/>
            <family val="2"/>
          </rPr>
          <t>Approximated at 2.8 MMBtu/MW based on CEC production cost modeling data 8/31/05</t>
        </r>
      </text>
    </comment>
    <comment ref="D21" authorId="1">
      <text>
        <r>
          <rPr>
            <b/>
            <sz val="8"/>
            <color indexed="81"/>
            <rFont val="Tahoma"/>
            <family val="2"/>
          </rPr>
          <t>Per CEC MarketSym modeling</t>
        </r>
      </text>
    </comment>
    <comment ref="E21" authorId="1">
      <text>
        <r>
          <rPr>
            <b/>
            <sz val="8"/>
            <color indexed="81"/>
            <rFont val="Tahoma"/>
            <family val="2"/>
          </rPr>
          <t>Per CEC MarketSym modeling</t>
        </r>
      </text>
    </comment>
    <comment ref="F21" authorId="1">
      <text>
        <r>
          <rPr>
            <b/>
            <sz val="8"/>
            <color indexed="81"/>
            <rFont val="Tahoma"/>
            <family val="2"/>
          </rPr>
          <t>Per CEC MarketSym modeling</t>
        </r>
      </text>
    </comment>
    <comment ref="G21" authorId="1">
      <text>
        <r>
          <rPr>
            <b/>
            <sz val="8"/>
            <color indexed="81"/>
            <rFont val="Tahoma"/>
            <family val="2"/>
          </rPr>
          <t>Per CEC MarketSym modeling</t>
        </r>
      </text>
    </comment>
    <comment ref="H21" authorId="1">
      <text>
        <r>
          <rPr>
            <b/>
            <sz val="8"/>
            <color indexed="81"/>
            <rFont val="Tahoma"/>
            <family val="2"/>
          </rPr>
          <t>Per CEC MarketSym modeling</t>
        </r>
      </text>
    </comment>
    <comment ref="C39" authorId="3">
      <text>
        <r>
          <rPr>
            <sz val="9"/>
            <color indexed="81"/>
            <rFont val="Tahoma"/>
            <family val="2"/>
          </rPr>
          <t xml:space="preserve">Expected percent of year that unit is </t>
        </r>
        <r>
          <rPr>
            <u/>
            <sz val="9"/>
            <color indexed="81"/>
            <rFont val="Tahoma"/>
            <family val="2"/>
          </rPr>
          <t>planned</t>
        </r>
        <r>
          <rPr>
            <sz val="9"/>
            <color indexed="81"/>
            <rFont val="Tahoma"/>
            <family val="2"/>
          </rPr>
          <t xml:space="preserve"> to be operating.  This percentage times the Average Output (below) will be the primary factors determining annual generation.
This computed as target operational net of maintenance and forced outages:
Planned % = Annual CF / (1-MOR-FOR)
For Example:
a solar plant may be operational 100% of the year with a 25% average output
a peaking unit will have a 100% average output with a 10% planned percent of year operational.  </t>
        </r>
      </text>
    </comment>
    <comment ref="D39" authorId="1">
      <text>
        <r>
          <rPr>
            <sz val="8"/>
            <color indexed="81"/>
            <rFont val="Tahoma"/>
            <family val="2"/>
          </rPr>
          <t xml:space="preserve">This value adjusts based on ReferenceTarget Capacity Factor.  Based on net of scheduled outages.
</t>
        </r>
      </text>
    </comment>
    <comment ref="E39" authorId="1">
      <text>
        <r>
          <rPr>
            <sz val="8"/>
            <color indexed="81"/>
            <rFont val="Tahoma"/>
            <family val="2"/>
          </rPr>
          <t xml:space="preserve">This value adjusts based on ReferenceTarget Capacity Factor.  Based on net of scheduled outages.
</t>
        </r>
      </text>
    </comment>
    <comment ref="F39" authorId="1">
      <text>
        <r>
          <rPr>
            <sz val="8"/>
            <color indexed="81"/>
            <rFont val="Tahoma"/>
            <family val="2"/>
          </rPr>
          <t xml:space="preserve">This value adjusts based on ReferenceTarget Capacity Factor.  Based on net of scheduled outages.
</t>
        </r>
      </text>
    </comment>
    <comment ref="G39" authorId="1">
      <text>
        <r>
          <rPr>
            <sz val="8"/>
            <color indexed="81"/>
            <rFont val="Tahoma"/>
            <family val="2"/>
          </rPr>
          <t xml:space="preserve">This value adjusts based on ReferenceTarget Capacity Factor.  Based on net of scheduled outages.
</t>
        </r>
      </text>
    </comment>
    <comment ref="H39" authorId="1">
      <text>
        <r>
          <rPr>
            <sz val="8"/>
            <color indexed="81"/>
            <rFont val="Tahoma"/>
            <family val="2"/>
          </rPr>
          <t xml:space="preserve">This value adjusts based on ReferenceTarget Capacity Factor.  Based on net of scheduled outages.
</t>
        </r>
      </text>
    </comment>
    <comment ref="I39" authorId="1">
      <text>
        <r>
          <rPr>
            <sz val="8"/>
            <color indexed="81"/>
            <rFont val="Tahoma"/>
            <family val="2"/>
          </rPr>
          <t xml:space="preserve">This value adjusts based on ReferenceTarget Capacity Factor.  Based on net of scheduled outages.
</t>
        </r>
      </text>
    </comment>
    <comment ref="J39" authorId="1">
      <text>
        <r>
          <rPr>
            <sz val="8"/>
            <color indexed="81"/>
            <rFont val="Tahoma"/>
            <family val="2"/>
          </rPr>
          <t xml:space="preserve">This value adjusts based on ReferenceTarget Capacity Factor.  Based on net of scheduled outages.
</t>
        </r>
      </text>
    </comment>
    <comment ref="K39" authorId="1">
      <text>
        <r>
          <rPr>
            <sz val="8"/>
            <color indexed="81"/>
            <rFont val="Tahoma"/>
            <family val="2"/>
          </rPr>
          <t xml:space="preserve">This value adjusts based on ReferenceTarget Capacity Factor.  Based on net of scheduled outages.
</t>
        </r>
      </text>
    </comment>
    <comment ref="L39" authorId="1">
      <text>
        <r>
          <rPr>
            <sz val="8"/>
            <color indexed="81"/>
            <rFont val="Tahoma"/>
            <family val="2"/>
          </rPr>
          <t xml:space="preserve">This value adjusts based on ReferenceTarget Capacity Factor.  Based on net of scheduled outages.
</t>
        </r>
      </text>
    </comment>
    <comment ref="M39" authorId="1">
      <text>
        <r>
          <rPr>
            <sz val="8"/>
            <color indexed="81"/>
            <rFont val="Tahoma"/>
            <family val="2"/>
          </rPr>
          <t xml:space="preserve">This value adjusts based on ReferenceTarget Capacity Factor.  Based on net of scheduled outages.
</t>
        </r>
      </text>
    </comment>
    <comment ref="S39" authorId="1">
      <text>
        <r>
          <rPr>
            <sz val="8"/>
            <color indexed="81"/>
            <rFont val="Tahoma"/>
            <family val="2"/>
          </rPr>
          <t xml:space="preserve">This value adjusts based on ReferenceTarget Capacity Factor.  Based on net of scheduled outages.
</t>
        </r>
      </text>
    </comment>
    <comment ref="T39" authorId="1">
      <text>
        <r>
          <rPr>
            <sz val="8"/>
            <color indexed="81"/>
            <rFont val="Tahoma"/>
            <family val="2"/>
          </rPr>
          <t xml:space="preserve">This value adjusts based on ReferenceTarget Capacity Factor.  Based on net of scheduled outages.
</t>
        </r>
      </text>
    </comment>
    <comment ref="U39" authorId="1">
      <text>
        <r>
          <rPr>
            <sz val="8"/>
            <color indexed="81"/>
            <rFont val="Tahoma"/>
            <family val="2"/>
          </rPr>
          <t xml:space="preserve">This value adjusts based on ReferenceTarget Capacity Factor.  Based on net of scheduled outages.
</t>
        </r>
      </text>
    </comment>
    <comment ref="V39" authorId="1">
      <text>
        <r>
          <rPr>
            <sz val="8"/>
            <color indexed="81"/>
            <rFont val="Tahoma"/>
            <family val="2"/>
          </rPr>
          <t xml:space="preserve">This value adjusts based on ReferenceTarget Capacity Factor.  Based on net of scheduled outages.
</t>
        </r>
      </text>
    </comment>
    <comment ref="F40" authorId="4">
      <text>
        <r>
          <rPr>
            <b/>
            <sz val="8"/>
            <color indexed="81"/>
            <rFont val="Tahoma"/>
            <family val="2"/>
          </rPr>
          <t>Based on Panoche CT LMS100</t>
        </r>
      </text>
    </comment>
    <comment ref="C41" authorId="3">
      <text>
        <r>
          <rPr>
            <sz val="9"/>
            <color indexed="81"/>
            <rFont val="Arial"/>
            <family val="2"/>
          </rPr>
          <t xml:space="preserve">Accounts for intermittent nature of "fuel" sources, e.g., water, wind, sun.  Expected average available capacity during hours of operation
(e.g. 100% for combustion turbine even if unit is operated only during peak summer hours)
Include any periods of derated operation in this factor.
Equivalent to GADS Net Output Factor
NOF =           </t>
        </r>
        <r>
          <rPr>
            <u/>
            <sz val="9"/>
            <color indexed="81"/>
            <rFont val="Arial"/>
            <family val="2"/>
          </rPr>
          <t xml:space="preserve">Actual Net Generation
</t>
        </r>
        <r>
          <rPr>
            <sz val="9"/>
            <color indexed="81"/>
            <rFont val="Arial"/>
            <family val="2"/>
          </rPr>
          <t xml:space="preserve">              Service Hours* Max Net Capacity
</t>
        </r>
      </text>
    </comment>
    <comment ref="L41" authorId="5">
      <text>
        <r>
          <rPr>
            <sz val="8"/>
            <color indexed="81"/>
            <rFont val="Tahoma"/>
            <family val="2"/>
          </rPr>
          <t xml:space="preserve">Based on CAISO NQC developed by CEC ESAD (2009)
</t>
        </r>
      </text>
    </comment>
    <comment ref="M41" authorId="5">
      <text>
        <r>
          <rPr>
            <sz val="8"/>
            <color indexed="81"/>
            <rFont val="Tahoma"/>
            <family val="2"/>
          </rPr>
          <t xml:space="preserve">Based on CAISO NQC developed by CEC ESAD (2009)
</t>
        </r>
      </text>
    </comment>
    <comment ref="N41" authorId="5">
      <text>
        <r>
          <rPr>
            <sz val="8"/>
            <color indexed="81"/>
            <rFont val="Tahoma"/>
            <family val="2"/>
          </rPr>
          <t xml:space="preserve">Based on CAISO NQC developed by CEC ESAD (2009)
</t>
        </r>
      </text>
    </comment>
    <comment ref="O41" authorId="5">
      <text>
        <r>
          <rPr>
            <sz val="8"/>
            <color indexed="81"/>
            <rFont val="Tahoma"/>
            <family val="2"/>
          </rPr>
          <t xml:space="preserve">Based on CAISO NQC developed by CEC ESAD (2009)
</t>
        </r>
      </text>
    </comment>
    <comment ref="P41" authorId="5">
      <text>
        <r>
          <rPr>
            <sz val="8"/>
            <color indexed="81"/>
            <rFont val="Tahoma"/>
            <family val="2"/>
          </rPr>
          <t xml:space="preserve">Based on CAISO NQC developed by CEC ESAD (2009)
</t>
        </r>
      </text>
    </comment>
    <comment ref="Q41" authorId="5">
      <text>
        <r>
          <rPr>
            <sz val="8"/>
            <color indexed="81"/>
            <rFont val="Tahoma"/>
            <family val="2"/>
          </rPr>
          <t xml:space="preserve">Based on CAISO NQC developed by CEC ESAD (2009)
</t>
        </r>
      </text>
    </comment>
    <comment ref="R41" authorId="5">
      <text>
        <r>
          <rPr>
            <sz val="8"/>
            <color indexed="81"/>
            <rFont val="Tahoma"/>
            <family val="2"/>
          </rPr>
          <t xml:space="preserve">Based on CAISO NQC developed by CEC ESAD (2009)
</t>
        </r>
      </text>
    </comment>
    <comment ref="S41" authorId="5">
      <text>
        <r>
          <rPr>
            <sz val="8"/>
            <color indexed="81"/>
            <rFont val="Tahoma"/>
            <family val="2"/>
          </rPr>
          <t xml:space="preserve">Based on CAISO NQC developed by CEC ESAD (2009)
</t>
        </r>
      </text>
    </comment>
    <comment ref="T41" authorId="5">
      <text>
        <r>
          <rPr>
            <sz val="8"/>
            <color indexed="81"/>
            <rFont val="Tahoma"/>
            <family val="2"/>
          </rPr>
          <t xml:space="preserve">Based on CAISO NQC developed by CEC ESAD (2009)
</t>
        </r>
      </text>
    </comment>
    <comment ref="D45" authorId="5">
      <text>
        <r>
          <rPr>
            <sz val="8"/>
            <color indexed="81"/>
            <rFont val="Tahoma"/>
            <family val="2"/>
          </rPr>
          <t xml:space="preserve">• NERC GADS 2002-2007 CA CTs 45-99 MW: 2.72 %
</t>
        </r>
      </text>
    </comment>
    <comment ref="E45" authorId="5">
      <text>
        <r>
          <rPr>
            <sz val="8"/>
            <color indexed="81"/>
            <rFont val="Tahoma"/>
            <family val="2"/>
          </rPr>
          <t xml:space="preserve">• NERC GADS 2002-2007 CA CTs 100 and greater : 3.18 %
</t>
        </r>
      </text>
    </comment>
    <comment ref="F45" authorId="5">
      <text>
        <r>
          <rPr>
            <sz val="8"/>
            <color indexed="81"/>
            <rFont val="Tahoma"/>
            <family val="2"/>
          </rPr>
          <t xml:space="preserve">• NERC GADS 2002-2007 CA CTs 100 and greater : 3.18 %
</t>
        </r>
      </text>
    </comment>
    <comment ref="G45" authorId="5">
      <text>
        <r>
          <rPr>
            <sz val="8"/>
            <color indexed="81"/>
            <rFont val="Tahoma"/>
            <family val="2"/>
          </rPr>
          <t xml:space="preserve">• NERC GADS Vintage 2002-2007 CA CCs 500-900 MW: 6.02 %
</t>
        </r>
      </text>
    </comment>
    <comment ref="H45" authorId="5">
      <text>
        <r>
          <rPr>
            <sz val="8"/>
            <color indexed="81"/>
            <rFont val="Tahoma"/>
            <family val="2"/>
          </rPr>
          <t xml:space="preserve">• NERC GADS Vintage 2002-2007 CA CCs 500-900 MW: 6.02 %
</t>
        </r>
      </text>
    </comment>
    <comment ref="D46" authorId="5">
      <text>
        <r>
          <rPr>
            <sz val="8"/>
            <color indexed="81"/>
            <rFont val="Tahoma"/>
            <family val="2"/>
          </rPr>
          <t xml:space="preserve">• NERC GADS 2002-2007 CA CTs 45-99 MW EFOR (d):  19.19% (5.65 %)
</t>
        </r>
      </text>
    </comment>
    <comment ref="E46" authorId="5">
      <text>
        <r>
          <rPr>
            <sz val="8"/>
            <color indexed="81"/>
            <rFont val="Tahoma"/>
            <family val="2"/>
          </rPr>
          <t xml:space="preserve">• NERC GADS 2002-2007 CA CTs 100 &amp; greater: EFOR (d):  11.60% (4.13 %)
</t>
        </r>
      </text>
    </comment>
    <comment ref="F46" authorId="5">
      <text>
        <r>
          <rPr>
            <sz val="8"/>
            <color indexed="81"/>
            <rFont val="Tahoma"/>
            <family val="2"/>
          </rPr>
          <t xml:space="preserve">• NERC GADS 2002-2007 CA CTs 100 &amp; greater: EFOR (d):  11.60% (4.13 %)
</t>
        </r>
      </text>
    </comment>
    <comment ref="G46" authorId="5">
      <text>
        <r>
          <rPr>
            <sz val="8"/>
            <color indexed="81"/>
            <rFont val="Tahoma"/>
            <family val="2"/>
          </rPr>
          <t xml:space="preserve">• NERC GADS Vintage 2002-2007 CA CCs 500-900 MW EFOR (d):  3.5% (2.24 %)
</t>
        </r>
      </text>
    </comment>
    <comment ref="H46" authorId="5">
      <text>
        <r>
          <rPr>
            <sz val="8"/>
            <color indexed="81"/>
            <rFont val="Tahoma"/>
            <family val="2"/>
          </rPr>
          <t xml:space="preserve">• NERC GADS Vintage 2002-2007 CA CCs 500-900 MW EFOR (d):  3.5% (2.24 %)
</t>
        </r>
      </text>
    </comment>
    <comment ref="C64" authorId="1">
      <text>
        <r>
          <rPr>
            <b/>
            <sz val="8"/>
            <color indexed="81"/>
            <rFont val="Tahoma"/>
            <family val="2"/>
          </rPr>
          <t>Confirmed by 2007 CEC survey.</t>
        </r>
        <r>
          <rPr>
            <sz val="8"/>
            <color indexed="81"/>
            <rFont val="Tahoma"/>
            <family val="2"/>
          </rPr>
          <t xml:space="preserve">
</t>
        </r>
      </text>
    </comment>
    <comment ref="C72" authorId="1">
      <text>
        <r>
          <rPr>
            <b/>
            <sz val="8"/>
            <color indexed="81"/>
            <rFont val="Tahoma"/>
            <family val="2"/>
          </rPr>
          <t>Based on CPUC survey of brokers for MPR.  NWPPC uses 0.25%; JBS uses 1.5%.</t>
        </r>
        <r>
          <rPr>
            <sz val="8"/>
            <color indexed="81"/>
            <rFont val="Tahoma"/>
            <family val="2"/>
          </rPr>
          <t xml:space="preserve">
</t>
        </r>
      </text>
    </comment>
    <comment ref="F85" authorId="1">
      <text>
        <r>
          <rPr>
            <b/>
            <sz val="9"/>
            <color indexed="81"/>
            <rFont val="Tahoma"/>
            <family val="2"/>
          </rPr>
          <t>Richard McCann:</t>
        </r>
        <r>
          <rPr>
            <sz val="9"/>
            <color indexed="81"/>
            <rFont val="Tahoma"/>
            <family val="2"/>
          </rPr>
          <t xml:space="preserve">
Based on Panoche 400 MW CTs</t>
        </r>
      </text>
    </comment>
    <comment ref="Q85" authorId="6">
      <text>
        <r>
          <rPr>
            <b/>
            <sz val="8"/>
            <color indexed="81"/>
            <rFont val="Tahoma"/>
            <family val="2"/>
          </rPr>
          <t>Ivin Rhyne:</t>
        </r>
        <r>
          <rPr>
            <sz val="8"/>
            <color indexed="81"/>
            <rFont val="Tahoma"/>
            <family val="2"/>
          </rPr>
          <t xml:space="preserve">
Revised to calibrate at "installed cost" level with Mark Bollinger Data
</t>
        </r>
      </text>
    </comment>
    <comment ref="R85" authorId="6">
      <text>
        <r>
          <rPr>
            <b/>
            <sz val="8"/>
            <color indexed="81"/>
            <rFont val="Tahoma"/>
            <family val="2"/>
          </rPr>
          <t>Ivin Rhyne:</t>
        </r>
        <r>
          <rPr>
            <sz val="8"/>
            <color indexed="81"/>
            <rFont val="Tahoma"/>
            <family val="2"/>
          </rPr>
          <t xml:space="preserve">
Revised to calibrate at "installed cost" level with Mark Bollinger Data
</t>
        </r>
      </text>
    </comment>
    <comment ref="S85" authorId="6">
      <text>
        <r>
          <rPr>
            <b/>
            <sz val="8"/>
            <color indexed="81"/>
            <rFont val="Tahoma"/>
            <family val="2"/>
          </rPr>
          <t>Ivin Rhyne:</t>
        </r>
        <r>
          <rPr>
            <sz val="8"/>
            <color indexed="81"/>
            <rFont val="Tahoma"/>
            <family val="2"/>
          </rPr>
          <t xml:space="preserve">
Revised to calibrate at "installed cost" level with Mark Bollinger Data
</t>
        </r>
      </text>
    </comment>
    <comment ref="T85" authorId="6">
      <text>
        <r>
          <rPr>
            <b/>
            <sz val="8"/>
            <color indexed="81"/>
            <rFont val="Tahoma"/>
            <family val="2"/>
          </rPr>
          <t>Ivin Rhyne:</t>
        </r>
        <r>
          <rPr>
            <sz val="8"/>
            <color indexed="81"/>
            <rFont val="Tahoma"/>
            <family val="2"/>
          </rPr>
          <t xml:space="preserve">
Revised to calibrate at "installed cost" level with Mark Bollinger Data
</t>
        </r>
      </text>
    </comment>
    <comment ref="U86" authorId="7">
      <text>
        <r>
          <rPr>
            <b/>
            <sz val="8"/>
            <color indexed="81"/>
            <rFont val="Tahoma"/>
            <family val="2"/>
          </rPr>
          <t>jklein 6-6-09:</t>
        </r>
        <r>
          <rPr>
            <sz val="8"/>
            <color indexed="81"/>
            <rFont val="Tahoma"/>
            <family val="2"/>
          </rPr>
          <t xml:space="preserve">
Ignored KEMA interpretation of 1.28% &amp; 1.16% factors as being real esclaton. Does not produce the small improvement in learning. Mkkes real cost sgo up.</t>
        </r>
      </text>
    </comment>
    <comment ref="V86" authorId="7">
      <text>
        <r>
          <rPr>
            <b/>
            <sz val="8"/>
            <color indexed="81"/>
            <rFont val="Tahoma"/>
            <family val="2"/>
          </rPr>
          <t>jklein 6-6-09:</t>
        </r>
        <r>
          <rPr>
            <sz val="8"/>
            <color indexed="81"/>
            <rFont val="Tahoma"/>
            <family val="2"/>
          </rPr>
          <t xml:space="preserve">
Same as CL 3/4 comment.
</t>
        </r>
      </text>
    </comment>
    <comment ref="H94" authorId="1">
      <text>
        <r>
          <rPr>
            <b/>
            <sz val="8"/>
            <color indexed="81"/>
            <rFont val="Tahoma"/>
            <family val="2"/>
          </rPr>
          <t>Based on $200/kW of duct firing. Median capacity = 9.1% of total (n=15).</t>
        </r>
        <r>
          <rPr>
            <sz val="8"/>
            <color indexed="81"/>
            <rFont val="Tahoma"/>
            <family val="2"/>
          </rPr>
          <t xml:space="preserve">
</t>
        </r>
      </text>
    </comment>
    <comment ref="C105" authorId="5">
      <text>
        <r>
          <rPr>
            <b/>
            <sz val="8"/>
            <color indexed="81"/>
            <rFont val="Tahoma"/>
            <family val="2"/>
          </rPr>
          <t>Expected non-inflationary cost changes for combined factors, including:
- escalating construction &amp; materials costs
- technological innovations
- learning, scale &amp; scope factors</t>
        </r>
        <r>
          <rPr>
            <sz val="8"/>
            <color indexed="81"/>
            <rFont val="Tahoma"/>
            <family val="2"/>
          </rPr>
          <t xml:space="preserve">
</t>
        </r>
      </text>
    </comment>
    <comment ref="I113" authorId="1">
      <text>
        <r>
          <rPr>
            <b/>
            <sz val="9"/>
            <color indexed="81"/>
            <rFont val="Tahoma"/>
            <family val="2"/>
          </rPr>
          <t>Richard McCann:</t>
        </r>
        <r>
          <rPr>
            <sz val="9"/>
            <color indexed="81"/>
            <rFont val="Tahoma"/>
            <family val="2"/>
          </rPr>
          <t xml:space="preserve">
Desert Renewable Energy Conservation Plan:
Renewable Energy Acreage Calculator and the 2040 Revised
Scenario’s Renewable Portfolio, July 27, 2012</t>
        </r>
      </text>
    </comment>
    <comment ref="D114" authorId="1">
      <text>
        <r>
          <rPr>
            <b/>
            <sz val="8"/>
            <color indexed="81"/>
            <rFont val="Tahoma"/>
            <family val="2"/>
          </rPr>
          <t>Based on average for 7 CTs with CEC AFCs, 1997-2005</t>
        </r>
        <r>
          <rPr>
            <sz val="8"/>
            <color indexed="81"/>
            <rFont val="Tahoma"/>
            <family val="2"/>
          </rPr>
          <t xml:space="preserve">
</t>
        </r>
      </text>
    </comment>
    <comment ref="E114" authorId="1">
      <text>
        <r>
          <rPr>
            <b/>
            <sz val="8"/>
            <color indexed="81"/>
            <rFont val="Tahoma"/>
            <family val="2"/>
          </rPr>
          <t>Based on average for 7 CTs with CEC AFCs, 1997-2005</t>
        </r>
        <r>
          <rPr>
            <sz val="8"/>
            <color indexed="81"/>
            <rFont val="Tahoma"/>
            <family val="2"/>
          </rPr>
          <t xml:space="preserve">
</t>
        </r>
      </text>
    </comment>
    <comment ref="F114" authorId="1">
      <text>
        <r>
          <rPr>
            <b/>
            <sz val="8"/>
            <color indexed="81"/>
            <rFont val="Tahoma"/>
            <family val="2"/>
          </rPr>
          <t>Based on average for 7 CTs with CEC AFCs, 1997-2005</t>
        </r>
        <r>
          <rPr>
            <sz val="8"/>
            <color indexed="81"/>
            <rFont val="Tahoma"/>
            <family val="2"/>
          </rPr>
          <t xml:space="preserve">
</t>
        </r>
      </text>
    </comment>
    <comment ref="G114" authorId="1">
      <text>
        <r>
          <rPr>
            <b/>
            <sz val="8"/>
            <color indexed="81"/>
            <rFont val="Tahoma"/>
            <family val="2"/>
          </rPr>
          <t>Based on average for 22 CCs with CEC AFCs, 1997-2005</t>
        </r>
        <r>
          <rPr>
            <sz val="8"/>
            <color indexed="81"/>
            <rFont val="Tahoma"/>
            <family val="2"/>
          </rPr>
          <t xml:space="preserve">
</t>
        </r>
      </text>
    </comment>
    <comment ref="H114" authorId="1">
      <text>
        <r>
          <rPr>
            <b/>
            <sz val="8"/>
            <color indexed="81"/>
            <rFont val="Tahoma"/>
            <family val="2"/>
          </rPr>
          <t>Based on average for 22 CCs with CEC AFCs, 1997-2005</t>
        </r>
        <r>
          <rPr>
            <sz val="8"/>
            <color indexed="81"/>
            <rFont val="Tahoma"/>
            <family val="2"/>
          </rPr>
          <t xml:space="preserve">
</t>
        </r>
      </text>
    </comment>
    <comment ref="C115" authorId="3">
      <text>
        <r>
          <rPr>
            <b/>
            <sz val="8"/>
            <color indexed="81"/>
            <rFont val="Tahoma"/>
            <family val="2"/>
          </rPr>
          <t>Area required by project but within existing lease.  Mitigation costs included in Environmental Permitting</t>
        </r>
      </text>
    </comment>
    <comment ref="E120" authorId="1">
      <text>
        <r>
          <rPr>
            <u/>
            <sz val="8"/>
            <color indexed="81"/>
            <rFont val="Tahoma"/>
            <family val="2"/>
          </rPr>
          <t>For units &gt; 49.99MW</t>
        </r>
        <r>
          <rPr>
            <sz val="8"/>
            <color indexed="81"/>
            <rFont val="Tahoma"/>
            <family val="2"/>
          </rPr>
          <t xml:space="preserve">: </t>
        </r>
        <r>
          <rPr>
            <b/>
            <sz val="8"/>
            <color indexed="81"/>
            <rFont val="Tahoma"/>
            <family val="2"/>
          </rPr>
          <t>$20/kW</t>
        </r>
        <r>
          <rPr>
            <sz val="8"/>
            <color indexed="81"/>
            <rFont val="Tahoma"/>
            <family val="2"/>
          </rPr>
          <t xml:space="preserve"> based on avg. of SPPE and AFC costs from survey.
</t>
        </r>
        <r>
          <rPr>
            <u/>
            <sz val="8"/>
            <color indexed="81"/>
            <rFont val="Tahoma"/>
            <family val="2"/>
          </rPr>
          <t>For units &lt; 50MW</t>
        </r>
        <r>
          <rPr>
            <sz val="8"/>
            <color indexed="81"/>
            <rFont val="Tahoma"/>
            <family val="2"/>
          </rPr>
          <t xml:space="preserve">: </t>
        </r>
        <r>
          <rPr>
            <b/>
            <sz val="8"/>
            <color indexed="81"/>
            <rFont val="Tahoma"/>
            <family val="2"/>
          </rPr>
          <t xml:space="preserve">$8/kW </t>
        </r>
        <r>
          <rPr>
            <sz val="8"/>
            <color indexed="81"/>
            <rFont val="Tahoma"/>
            <family val="2"/>
          </rPr>
          <t>based on 21 day certifications.</t>
        </r>
        <r>
          <rPr>
            <b/>
            <sz val="8"/>
            <color indexed="81"/>
            <rFont val="Tahoma"/>
            <family val="2"/>
          </rPr>
          <t xml:space="preserve">
JK 3-28-07</t>
        </r>
      </text>
    </comment>
    <comment ref="F120" authorId="1">
      <text>
        <r>
          <rPr>
            <u/>
            <sz val="8"/>
            <color indexed="81"/>
            <rFont val="Tahoma"/>
            <family val="2"/>
          </rPr>
          <t>For units &gt; 49.99MW</t>
        </r>
        <r>
          <rPr>
            <sz val="8"/>
            <color indexed="81"/>
            <rFont val="Tahoma"/>
            <family val="2"/>
          </rPr>
          <t xml:space="preserve">: </t>
        </r>
        <r>
          <rPr>
            <b/>
            <sz val="8"/>
            <color indexed="81"/>
            <rFont val="Tahoma"/>
            <family val="2"/>
          </rPr>
          <t>$20/kW</t>
        </r>
        <r>
          <rPr>
            <sz val="8"/>
            <color indexed="81"/>
            <rFont val="Tahoma"/>
            <family val="2"/>
          </rPr>
          <t xml:space="preserve"> based on avg. of SPPE and AFC costs from survey.
</t>
        </r>
        <r>
          <rPr>
            <u/>
            <sz val="8"/>
            <color indexed="81"/>
            <rFont val="Tahoma"/>
            <family val="2"/>
          </rPr>
          <t>For units &lt; 50MW</t>
        </r>
        <r>
          <rPr>
            <sz val="8"/>
            <color indexed="81"/>
            <rFont val="Tahoma"/>
            <family val="2"/>
          </rPr>
          <t xml:space="preserve">: </t>
        </r>
        <r>
          <rPr>
            <b/>
            <sz val="8"/>
            <color indexed="81"/>
            <rFont val="Tahoma"/>
            <family val="2"/>
          </rPr>
          <t xml:space="preserve">$8/kW </t>
        </r>
        <r>
          <rPr>
            <sz val="8"/>
            <color indexed="81"/>
            <rFont val="Tahoma"/>
            <family val="2"/>
          </rPr>
          <t>based on 21 day certifications.</t>
        </r>
        <r>
          <rPr>
            <b/>
            <sz val="8"/>
            <color indexed="81"/>
            <rFont val="Tahoma"/>
            <family val="2"/>
          </rPr>
          <t xml:space="preserve">
JK 3-28-07</t>
        </r>
      </text>
    </comment>
    <comment ref="L120" authorId="1">
      <text>
        <r>
          <rPr>
            <b/>
            <sz val="9"/>
            <color indexed="81"/>
            <rFont val="Tahoma"/>
            <family val="2"/>
          </rPr>
          <t>Richard McCann:</t>
        </r>
        <r>
          <rPr>
            <sz val="9"/>
            <color indexed="81"/>
            <rFont val="Tahoma"/>
            <family val="2"/>
          </rPr>
          <t xml:space="preserve">
Mitigation fee estimate based on $4,400/acre for Rio Mesa SEGS.</t>
        </r>
      </text>
    </comment>
    <comment ref="M120" authorId="1">
      <text>
        <r>
          <rPr>
            <b/>
            <sz val="9"/>
            <color indexed="81"/>
            <rFont val="Tahoma"/>
            <family val="2"/>
          </rPr>
          <t>Richard McCann:</t>
        </r>
        <r>
          <rPr>
            <sz val="9"/>
            <color indexed="81"/>
            <rFont val="Tahoma"/>
            <family val="2"/>
          </rPr>
          <t xml:space="preserve">
Mitigation fee estimate based on $4,400/acre for Rio Mesa SEGS.</t>
        </r>
      </text>
    </comment>
    <comment ref="N120" authorId="1">
      <text>
        <r>
          <rPr>
            <b/>
            <sz val="9"/>
            <color indexed="81"/>
            <rFont val="Tahoma"/>
            <family val="2"/>
          </rPr>
          <t>Richard McCann:</t>
        </r>
        <r>
          <rPr>
            <sz val="9"/>
            <color indexed="81"/>
            <rFont val="Tahoma"/>
            <family val="2"/>
          </rPr>
          <t xml:space="preserve">
Mitigation fee estimate based on $4,400/acre for Rio Mesa SEGS.</t>
        </r>
      </text>
    </comment>
    <comment ref="O120" authorId="1">
      <text>
        <r>
          <rPr>
            <b/>
            <sz val="9"/>
            <color indexed="81"/>
            <rFont val="Tahoma"/>
            <family val="2"/>
          </rPr>
          <t>Richard McCann:</t>
        </r>
        <r>
          <rPr>
            <sz val="9"/>
            <color indexed="81"/>
            <rFont val="Tahoma"/>
            <family val="2"/>
          </rPr>
          <t xml:space="preserve">
Mitigation fee estimate based on $4,400/acre for Rio Mesa SEGS.</t>
        </r>
      </text>
    </comment>
    <comment ref="P120" authorId="1">
      <text>
        <r>
          <rPr>
            <b/>
            <sz val="9"/>
            <color indexed="81"/>
            <rFont val="Tahoma"/>
            <family val="2"/>
          </rPr>
          <t>Richard McCann:</t>
        </r>
        <r>
          <rPr>
            <sz val="9"/>
            <color indexed="81"/>
            <rFont val="Tahoma"/>
            <family val="2"/>
          </rPr>
          <t xml:space="preserve">
Mitigation fee estimate based on $4,400/acre for Rio Mesa SEGS.</t>
        </r>
      </text>
    </comment>
    <comment ref="Q120" authorId="1">
      <text>
        <r>
          <rPr>
            <b/>
            <sz val="9"/>
            <color indexed="81"/>
            <rFont val="Tahoma"/>
            <family val="2"/>
          </rPr>
          <t>Richard McCann:</t>
        </r>
        <r>
          <rPr>
            <sz val="9"/>
            <color indexed="81"/>
            <rFont val="Tahoma"/>
            <family val="2"/>
          </rPr>
          <t xml:space="preserve">
Mitigation fee estimate based on $4,400/acre for Rio Mesa SEGS.</t>
        </r>
      </text>
    </comment>
    <comment ref="R120" authorId="1">
      <text>
        <r>
          <rPr>
            <b/>
            <sz val="9"/>
            <color indexed="81"/>
            <rFont val="Tahoma"/>
            <family val="2"/>
          </rPr>
          <t>Richard McCann:</t>
        </r>
        <r>
          <rPr>
            <sz val="9"/>
            <color indexed="81"/>
            <rFont val="Tahoma"/>
            <family val="2"/>
          </rPr>
          <t xml:space="preserve">
Mitigation fee estimate based on $4,400/acre for Rio Mesa SEGS.</t>
        </r>
      </text>
    </comment>
    <comment ref="S120" authorId="1">
      <text>
        <r>
          <rPr>
            <b/>
            <sz val="9"/>
            <color indexed="81"/>
            <rFont val="Tahoma"/>
            <family val="2"/>
          </rPr>
          <t>Richard McCann:</t>
        </r>
        <r>
          <rPr>
            <sz val="9"/>
            <color indexed="81"/>
            <rFont val="Tahoma"/>
            <family val="2"/>
          </rPr>
          <t xml:space="preserve">
Mitigation fee estimate based on $4,400/acre for Rio Mesa SEGS.</t>
        </r>
      </text>
    </comment>
    <comment ref="T120" authorId="1">
      <text>
        <r>
          <rPr>
            <b/>
            <sz val="9"/>
            <color indexed="81"/>
            <rFont val="Tahoma"/>
            <family val="2"/>
          </rPr>
          <t>Richard McCann:</t>
        </r>
        <r>
          <rPr>
            <sz val="9"/>
            <color indexed="81"/>
            <rFont val="Tahoma"/>
            <family val="2"/>
          </rPr>
          <t xml:space="preserve">
Mitigation fee estimate based on $4,400/acre for Rio Mesa SEGS.</t>
        </r>
      </text>
    </comment>
    <comment ref="G133" authorId="8">
      <text>
        <r>
          <rPr>
            <sz val="10"/>
            <color indexed="81"/>
            <rFont val="Tahoma"/>
            <family val="2"/>
          </rPr>
          <t xml:space="preserve">From Aspen data survey 2005
</t>
        </r>
        <r>
          <rPr>
            <sz val="10"/>
            <color indexed="81"/>
            <rFont val="Tahoma"/>
            <family val="2"/>
          </rPr>
          <t xml:space="preserve">
</t>
        </r>
      </text>
    </comment>
    <comment ref="H133" authorId="8">
      <text>
        <r>
          <rPr>
            <sz val="10"/>
            <color indexed="81"/>
            <rFont val="Tahoma"/>
            <family val="2"/>
          </rPr>
          <t xml:space="preserve">From Aspen data survey 2005
</t>
        </r>
        <r>
          <rPr>
            <sz val="10"/>
            <color indexed="81"/>
            <rFont val="Tahoma"/>
            <family val="2"/>
          </rPr>
          <t xml:space="preserve">
</t>
        </r>
      </text>
    </comment>
    <comment ref="D203"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E203"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F203"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G203"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H203"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D204"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E204"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F204"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G204"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H204"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D205"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E205"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F205"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G205"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H205"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D206" authorId="5">
      <text>
        <r>
          <rPr>
            <b/>
            <sz val="8"/>
            <color indexed="81"/>
            <rFont val="Tahoma"/>
            <family val="2"/>
          </rPr>
          <t>117.08 #/MMBtu</t>
        </r>
        <r>
          <rPr>
            <sz val="8"/>
            <color indexed="81"/>
            <rFont val="Tahoma"/>
            <family val="2"/>
          </rPr>
          <t xml:space="preserve">
</t>
        </r>
      </text>
    </comment>
    <comment ref="E206" authorId="5">
      <text>
        <r>
          <rPr>
            <b/>
            <sz val="8"/>
            <color indexed="81"/>
            <rFont val="Tahoma"/>
            <family val="2"/>
          </rPr>
          <t>117.08 #/MMBtu</t>
        </r>
        <r>
          <rPr>
            <sz val="8"/>
            <color indexed="81"/>
            <rFont val="Tahoma"/>
            <family val="2"/>
          </rPr>
          <t xml:space="preserve">
</t>
        </r>
      </text>
    </comment>
    <comment ref="F206" authorId="5">
      <text>
        <r>
          <rPr>
            <b/>
            <sz val="8"/>
            <color indexed="81"/>
            <rFont val="Tahoma"/>
            <family val="2"/>
          </rPr>
          <t>117.08 #/MMBtu</t>
        </r>
        <r>
          <rPr>
            <sz val="8"/>
            <color indexed="81"/>
            <rFont val="Tahoma"/>
            <family val="2"/>
          </rPr>
          <t xml:space="preserve">
</t>
        </r>
      </text>
    </comment>
    <comment ref="G206" authorId="5">
      <text>
        <r>
          <rPr>
            <b/>
            <sz val="8"/>
            <color indexed="81"/>
            <rFont val="Tahoma"/>
            <family val="2"/>
          </rPr>
          <t>117.08 #/MMBtu</t>
        </r>
        <r>
          <rPr>
            <sz val="8"/>
            <color indexed="81"/>
            <rFont val="Tahoma"/>
            <family val="2"/>
          </rPr>
          <t xml:space="preserve">
</t>
        </r>
      </text>
    </comment>
    <comment ref="H206" authorId="5">
      <text>
        <r>
          <rPr>
            <b/>
            <sz val="8"/>
            <color indexed="81"/>
            <rFont val="Tahoma"/>
            <family val="2"/>
          </rPr>
          <t>117.08 #/MMBtu</t>
        </r>
        <r>
          <rPr>
            <sz val="8"/>
            <color indexed="81"/>
            <rFont val="Tahoma"/>
            <family val="2"/>
          </rPr>
          <t xml:space="preserve">
</t>
        </r>
      </text>
    </comment>
    <comment ref="J206" authorId="5">
      <text>
        <r>
          <rPr>
            <b/>
            <sz val="8"/>
            <color indexed="81"/>
            <rFont val="Tahoma"/>
            <family val="2"/>
          </rPr>
          <t xml:space="preserve">Based on two studies:
</t>
        </r>
        <r>
          <rPr>
            <sz val="8"/>
            <color indexed="81"/>
            <rFont val="Tahoma"/>
            <family val="2"/>
          </rPr>
          <t xml:space="preserve">ANL, "Life Cycle Anaysis Results of Geothermal Systems in Comparison to Other Power Systems," ANL/ESD/10-5, 2011
GEA, "Geothermal Energy and Greenhouse Gas Emissions," Nov. 2012
</t>
        </r>
      </text>
    </comment>
    <comment ref="K206" authorId="5">
      <text>
        <r>
          <rPr>
            <sz val="8"/>
            <color indexed="81"/>
            <rFont val="Tahoma"/>
            <family val="2"/>
          </rPr>
          <t>ANL, "Life Cycle Anaysis Results of Geothermal Systems in Comparison to Other Power Systems," ANL/ESD/10-5, 2011. Table A-1.</t>
        </r>
      </text>
    </comment>
    <comment ref="D210"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E210"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F210"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G210"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H210"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D211"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E211"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F211"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G211"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H211" authorId="1">
      <text>
        <r>
          <rPr>
            <b/>
            <sz val="9"/>
            <color indexed="81"/>
            <rFont val="Tahoma"/>
            <family val="2"/>
          </rPr>
          <t>Richard McCann:</t>
        </r>
        <r>
          <rPr>
            <sz val="9"/>
            <color indexed="81"/>
            <rFont val="Tahoma"/>
            <family val="2"/>
          </rPr>
          <t xml:space="preserve">
Adjusted to account for emission basis used by air districts in permitting.</t>
        </r>
      </text>
    </comment>
    <comment ref="U211" authorId="1">
      <text>
        <r>
          <rPr>
            <b/>
            <sz val="8"/>
            <color indexed="81"/>
            <rFont val="Tahoma"/>
            <family val="2"/>
          </rPr>
          <t>Assumes same emissoin rate with and without duct firing.  Aspen EG study assumes no duct firing.</t>
        </r>
      </text>
    </comment>
    <comment ref="V211" authorId="1">
      <text>
        <r>
          <rPr>
            <b/>
            <sz val="8"/>
            <color indexed="81"/>
            <rFont val="Tahoma"/>
            <family val="2"/>
          </rPr>
          <t>Assumes same emissoin rate with and without duct firing.  Aspen EG study assumes no duct firing.</t>
        </r>
      </text>
    </comment>
    <comment ref="X211" authorId="1">
      <text>
        <r>
          <rPr>
            <b/>
            <sz val="8"/>
            <color indexed="81"/>
            <rFont val="Tahoma"/>
            <family val="2"/>
          </rPr>
          <t>Assumes same emissoin rate with and without duct firing.  Aspen EG study assumes no duct firing.</t>
        </r>
      </text>
    </comment>
    <comment ref="C217" authorId="0">
      <text>
        <r>
          <rPr>
            <sz val="8"/>
            <color indexed="81"/>
            <rFont val="Tahoma"/>
            <family val="2"/>
          </rPr>
          <t xml:space="preserve">Business Energy Investment Tax Credit (ITC)
Incentive Type: Corporate Tax Credit
</t>
        </r>
        <r>
          <rPr>
            <b/>
            <sz val="8"/>
            <color indexed="81"/>
            <rFont val="Tahoma"/>
            <family val="2"/>
          </rPr>
          <t>Eligible Renewable/Other Technologies:
Solar Water Heat, Solar Space Heat, Solar Thermal Electric, Solar Thermal Process Heat, Photovoltaics, Wind, Biomass, Geothermal Electric, Fuel Cells, Geothermal Heat Pumps, CHP/Cogeneration, Solar Hybrid Lighting, Direct Use Geothermal, Microturbines</t>
        </r>
        <r>
          <rPr>
            <sz val="8"/>
            <color indexed="81"/>
            <rFont val="Tahoma"/>
            <family val="2"/>
          </rPr>
          <t xml:space="preserve">
Applicable Sectors: Commercial, Industrial, Utility
Amount: 30% for solar, fuel cells and small wind;
10% for geothermal, microturbines and CHP
Maximum Incentive: Fuel cells: $1,500 per 0.5 kW
Microturbines: $200 per kW
Small wind turbines placed in service 10/4/08 - 12/31/08: $4,000
Small wind turbines placed in service after 12/31/08: no limit
All other eligible technologies: no limit
Eligible System Size: Small wind turbines: 100 kW or less
Fuel cells: 0.5 kW or greater
Microturbines: 2 MW or less
CHP: 50 MW or less
Equipment/Installation
Requirements: Fuel cells, microturbines and CHP systems must meet specific energy-efficiency criteria
Authority 1: 26 USC § 48
Summary:
Note: The American Recovery and Reinvestment Act of 2009 (H.R. 1) allows taxpayers eligible for the federal renewable electricity production tax credit (PTC) to take the federal business energy investment tax credit (ITC) or to receive a grant from the U.S. Treasury Department instead of taking the PTC for new installations. The new law also allows taxpayers eligible for the business ITC to receive a grant from the U.S. Treasury Department instead of taking the business ITC for new installations.
The federal business energy investment tax credit available under 26 USC § 48 was expanded significantly by the Energy Improvement and Extension Act of 2008 (H.R. 1424), enacted in October 2008. This law extended the duration -- by eight years -- of the existing credits for solar energy, fuel cells and microturbines; increased the credit amount for fuel cells; established new credits for small wind-energy systems, geothermal heat pumps, and combined heat and power (CHP) systems; extended eligibility for the credits to utilities; and allowed taxpayers to take the credit against the alternative minimum tax (AMT), subject to certain limitations. The credit was further expanded by The American Recovery and Reinvestment Act of 2009, enacted in February 2009.
In general, credits are available for eligible systems placed in service on or before December 31, 2016:*
Solar. The credit is equal to 30% of expenditures, with no maximum credit. Eligible solar energy property includes equipment that uses solar energy to generate electricity, to heat or cool (or provide hot water for use in) a structure, or to provide solar process heat. Hybrid solar lighting systems, which use solar energy to illuminate the inside of a structure using fiber-optic distributed sunlight, are eligible. (Passive solar systems and solar pool-heating systems are not eligible.)
Fuel Cells. The credit is equal to 30% of expenditures, with no maximum credit. However, the credit for fuel cells is capped at $1,500 per 0.5 kilowatt (kW) of capacity. Eligible property includes fuel cells with a minimum capacity of 0.5 kW that have an electricity-only generation efficiency of 30% or higher. (Note that the credit for property placed in service before October 4, 2008, is capped at $500 per 0.5 kW.)
Small Wind Turbines. The credit is equal to 30% of expenditures, with no maximum credit for small wind turbines placed in service after December 31, 2008. Eligible small wind property includes wind turbines up to 100 kW in capacity. (In general, the maximum credit is $4,000 for eligible property placed in service after October 3, 2008, and before January 1, 2009. The American Recovery and Reinvestment Act of 2009 removed the $4,000 maximum credit limit for small wind turbines.)
Geothermal Systems. The credit is equal to 10% of expenditures, with no maximum credit limit stated. Eligible geothermal energy property includes geothermal heat pumps and equipment used to produce, distribute or use energy derived from a geothermal deposit. For electricity produced by geothermal power, equipment qualifies only up to, but not including, the electric transmission stage. For geothermal heat pumps, this credit applies to eligible property placed in service after October 3, 2008.
Microturbines. The credit is equal to 10% of expenditures, with no maximum credit limit stated (explicitly). The credit for microturbines is capped at $200 per kW of capacity. Eligible property includes microturbines up to two megawatts (MW) in capacity that have an electricity-only generation efficiency of 26% or higher.
Combined Heat and Power (CHP). The credit is equal to 10% of expenditures, with no maximum limit stated. Eligible CHP property generally includes systems up to 50 MW in capacity that exceed 60% energy efficiency, subject to certain limitations and reductions for large systems. The efficiency requirement does not apply to CHP systems that use biomass for at least 90% of the system's energy source, but the credit may be reduced for less-efficient systems. This credit applies to eligible property placed in service after October 3, 2008.
Owners cannot claim both SGBETC and Renewable Energy PTC
http://www.dsireusa.org (updated 4/2009)</t>
        </r>
      </text>
    </comment>
    <comment ref="C218" authorId="5">
      <text>
        <r>
          <rPr>
            <b/>
            <sz val="8"/>
            <color indexed="81"/>
            <rFont val="Tahoma"/>
            <family val="2"/>
          </rPr>
          <t>DSIRE - extended to 2016 (5/09)</t>
        </r>
        <r>
          <rPr>
            <sz val="8"/>
            <color indexed="81"/>
            <rFont val="Tahoma"/>
            <family val="2"/>
          </rPr>
          <t xml:space="preserve">
</t>
        </r>
      </text>
    </comment>
    <comment ref="C220" authorId="5">
      <text>
        <r>
          <rPr>
            <b/>
            <sz val="8"/>
            <color indexed="81"/>
            <rFont val="Tahoma"/>
            <family val="2"/>
          </rPr>
          <t>Assumes that ITC will be extended indefinitely.</t>
        </r>
        <r>
          <rPr>
            <sz val="8"/>
            <color indexed="81"/>
            <rFont val="Tahoma"/>
            <family val="2"/>
          </rPr>
          <t xml:space="preserve">
</t>
        </r>
      </text>
    </comment>
    <comment ref="C221" authorId="2">
      <text>
        <r>
          <rPr>
            <b/>
            <sz val="9"/>
            <color indexed="81"/>
            <rFont val="Tahoma"/>
            <family val="2"/>
          </rPr>
          <t>Ashley Spalding:</t>
        </r>
        <r>
          <rPr>
            <sz val="9"/>
            <color indexed="81"/>
            <rFont val="Tahoma"/>
            <family val="2"/>
          </rPr>
          <t xml:space="preserve">
9/5/12. According to the NREL report linked to below states that if a portion of the installed project costs are not considered to be 
depreciable, they are also ineligible for the ITC. The report has estimates for some of the plant technologies in this model, but we have not yet decided on a set of estimates. At this point, the values listed in this row are placeholders. http://eetd.lbl.gov/ea/emp/reports/lbnl-1642e.pdf</t>
        </r>
      </text>
    </comment>
    <comment ref="D221" authorId="9">
      <text>
        <r>
          <rPr>
            <b/>
            <sz val="9"/>
            <color indexed="81"/>
            <rFont val="Tahoma"/>
            <family val="2"/>
          </rPr>
          <t>Ashley:</t>
        </r>
        <r>
          <rPr>
            <sz val="9"/>
            <color indexed="81"/>
            <rFont val="Tahoma"/>
            <family val="2"/>
          </rPr>
          <t xml:space="preserve">
Placeholder values. Will be updated when we have reliable estimates</t>
        </r>
      </text>
    </comment>
    <comment ref="C222" authorId="0">
      <text>
        <r>
          <rPr>
            <sz val="8"/>
            <color indexed="81"/>
            <rFont val="Tahoma"/>
            <family val="2"/>
          </rPr>
          <t>Renewable Electricity Production Tax Credit (PTC)
Last DSIRE Review: 02/19/2009
Incentive Type: Corporate Tax Credit
Eligible Renewable/Other Technologies:
Landfill Gas, Wind, Biomass, Hydroelectric, Geothermal Electric, Municipal Solid Waste, Hydrokinetic Power (i.e., Flowing Water), Anaerobic Digestion, Small Hydroelectric, Tidal Energy, Wave Energy, Ocean Thermal
Applicable Sectors: Commercial, Industrial
Amount: 2.1¢/kWh for wind, geothermal, closed-loop biomass; 1.0¢/kWh for other eligible technologies. Generally applies to first 10 years of operation.
Eligible System Size: Marine and Hydrokinetic: Minimum capacity of 150 kW
Agricultural Livestock Waste: Minimum capacity of 150 kW
Website: http://www.irs.gov/pub/irs-pdf/f8835.pdf
Authority 1: 26 USC § 45
Date Enacted: 1992
Summary:
Note: The American Recovery and Reinvestment Act of 2009 (H.R. 1) allows taxpayers eligible for the federal renewable electricity production tax credit (PTC) to take the federal business energy investment tax credit (ITC) or to receive a grant from the U.S. Treasury Department instead of taking the PTC for new installations. The new law also allows taxpayers eligible for the business ITC to receive a grant from the U.S. Treasury Department instead of taking the business ITC for new installations.
The federal renewable electricity production tax credit (PTC) is a per-kilowatt-hour tax credit for electricity generated by qualified energy resources and sold by the taxpayer to an unrelated person during the taxable year. Originally enacted in 1992, the PTC has been renewed and expanded numerous times, most recently by H.R. 1424 (Div. B, Sec. 101 &amp; 102) in October 2008 and again by H.R. 1 (Div. B, Section 1101 &amp;1102) in February 2009.
The October 2008 legislation extended the in-service deadlines for all qualifying renewable technologies; expanded the list of qualifying resources to include marine and hydrokinetic resources, such as wave, tidal, current and ocean thermal; and made changes to the definitions of several qualifying resources and facilities. The effective dates of these changes vary. Marine and hydrokinetic energy production is eligible as of the date the legislation was enacted (October 3, 2008), as is the incremental energy production associated with expansions of biomass facilities. A change in the definition of "trash facility" no longer requires that such facilities burn trash, and is also effective immediately. One further provision redefining the term "non-hydroelectric dam," took effect December 31, 2008.
The February 2009 legislation revised the credit by: (1) extending the in-service deadline for most eligible technologies by three years (two years for marine and hydrokinetic resources); and (2) allowing facilities that qualify for the PTC to opt instead to take the federal business energy investment credit (ITC) or an equivalent cash grant from the U.S. Department of Treasury. The ITC or grant for PTC-eligible technologies is generally equal to 30% of eligible costs.*
The tax credit amount is 1.5¢/kWh in 1993 dollars (indexed for inflation) for some technologies, and half of that amount for others. The rules governing the PTC vary by resource and facility type. The table below outlines two of the most important characteristics of the tax credit -- in-service deadline and credit amount -- as they apply to different facilities. The table includes changes made by H.R. 1, in February 2009, and the inflation-adjusted credit amounts are current for the 2008 tax year. (See the history section below for information on prior rules.)
Resource Type In-Service Deadline Credit Amount
Wind December 31, 2012 2.1¢/kWh
Closed-Loop Biomass December 31, 2013 2.1¢/kWh
Open-Loop Biomass December 31, 2013 1.0¢/kWh
Geothermal Energy December 31, 2013 2.1¢/kWh
Landfill Gas December 31, 2013 1.0¢/kWh
Municipal Solid Waste December 31, 2013 1.0¢/kWh
Qualified Hydroelectric December 31, 2013 1.0¢/kWh
Marine and Hydrokinetic (150 kW or larger)** December 31, 2013 1.0¢/kWh
The duration of the credit is generally 10 years after the date the facility is placed in service, but there are two
exceptions:
Open-loop biomass, geothermal, small irrigation hydro, landfill gas and municipal solid waste combustion facilities placed into service after October 22, 2004, and before enactment of the Energy Policy Act of 2005, on August 8, 2005, are only eligible for the credit for a five-year period. Open-loop biomass facilities placed in service before October 22, 2004, are eligible for a five-year period beginning January 1, 2005.
In addition, the tax credit is reduced for projects that receive other federal tax credits, grants, tax-exempt financing, or subsidized energy financing. The credit is claimed by completing Form 8835, "Renewable Electricity Production Credit," and Form 3800, "General Business Credit." For more information, contact IRS Telephone Assistance for Businesses at 1-800-829-4933.
Owners cannot claim both SGBETC and Renewable Energy PTC
http://www.dsireusa.org</t>
        </r>
      </text>
    </comment>
    <comment ref="J222" authorId="1">
      <text>
        <r>
          <rPr>
            <b/>
            <sz val="8"/>
            <color indexed="81"/>
            <rFont val="Tahoma"/>
            <family val="2"/>
          </rPr>
          <t xml:space="preserve">Cannot use both GDA &amp; REPTC.  Assume REPTC more advantageous as default.  </t>
        </r>
        <r>
          <rPr>
            <sz val="8"/>
            <color indexed="81"/>
            <rFont val="Tahoma"/>
            <family val="2"/>
          </rPr>
          <t xml:space="preserve">
</t>
        </r>
      </text>
    </comment>
    <comment ref="K222" authorId="1">
      <text>
        <r>
          <rPr>
            <b/>
            <sz val="8"/>
            <color indexed="81"/>
            <rFont val="Tahoma"/>
            <family val="2"/>
          </rPr>
          <t xml:space="preserve">Cannot use both GDA &amp; REPTC.  Assume REPTC more advantageous as default.  </t>
        </r>
        <r>
          <rPr>
            <sz val="8"/>
            <color indexed="81"/>
            <rFont val="Tahoma"/>
            <family val="2"/>
          </rPr>
          <t xml:space="preserve">
</t>
        </r>
      </text>
    </comment>
    <comment ref="C226" authorId="5">
      <text>
        <r>
          <rPr>
            <b/>
            <sz val="8"/>
            <color indexed="81"/>
            <rFont val="Tahoma"/>
            <family val="2"/>
          </rPr>
          <t>Assumes PTC will be extended indefinitely.</t>
        </r>
      </text>
    </comment>
    <comment ref="J227" authorId="1">
      <text>
        <r>
          <rPr>
            <b/>
            <sz val="8"/>
            <color indexed="81"/>
            <rFont val="Tahoma"/>
            <family val="2"/>
          </rPr>
          <t xml:space="preserve">Cannot use both GDA &amp; REPTC.  Assume REPTC more advantageous as default.  </t>
        </r>
        <r>
          <rPr>
            <sz val="8"/>
            <color indexed="81"/>
            <rFont val="Tahoma"/>
            <family val="2"/>
          </rPr>
          <t xml:space="preserve">
</t>
        </r>
      </text>
    </comment>
    <comment ref="C231" authorId="1">
      <text>
        <r>
          <rPr>
            <sz val="8"/>
            <color indexed="81"/>
            <rFont val="Tahoma"/>
            <family val="2"/>
          </rPr>
          <t>Muni, rural electric cooperatives, local or state governments Eligible.
Renewable Energy Production Incentive (REPI)
Incentive Type:  Production Incentive
Eligible Renewable/Other Technologies:  Solar Thermal Electric, Photovoltaics, Landfill Gas, Wind, Biomass, Geothermal Electric, Livestock Methane, Tidal Energy, Wave Energy, Ocean Thermal, Fuel Cells using Renewable Fuels
Applicable Sectors:  Tribal Government, Municipal Utility, Rural Electric Cooperative, State/local gov't that sell project's electricity
Amount: 1.5 cents per kWh (indexed for inflation)
Terms: 10 years
Authority 1:  42 USCS Â§ 13317
Date Enacted: 1992, amended 2005
Website: http://www.eere.energy.gov/wip/program/repi.html
http://www.dsireusa.org</t>
        </r>
      </text>
    </comment>
    <comment ref="C232" authorId="3">
      <text>
        <r>
          <rPr>
            <sz val="9"/>
            <color indexed="81"/>
            <rFont val="Tahoma"/>
            <family val="2"/>
          </rPr>
          <t>Renewable Energy Production Incentive
Eligible electric production facilities include publicly-owned electric utilities, rural electric cooperatives, and local or state governments that sell the project's electricity to someone else.  
In this model, Muni is assumed to be eligible.</t>
        </r>
      </text>
    </comment>
    <comment ref="C235" authorId="5">
      <text>
        <r>
          <rPr>
            <b/>
            <sz val="8"/>
            <color indexed="81"/>
            <rFont val="Tahoma"/>
            <family val="2"/>
          </rPr>
          <t>Assumes REPI will be extended indefinitely.</t>
        </r>
      </text>
    </comment>
    <comment ref="C236" authorId="1">
      <text>
        <r>
          <rPr>
            <b/>
            <sz val="8"/>
            <color indexed="81"/>
            <rFont val="Tahoma"/>
            <family val="2"/>
          </rPr>
          <t>Property Tax Exemption for Solar Systems
Incentive Type:  Property Tax Exemption
Eligible Renewable/Other Technologies:  Solar Water Heat, Solar Space Heat, Solar Thermal Electric, Solar Thermal Process Heat, Photovoltaics, Solar Mechanical Energy
Applicable Sectors:  Commercial, Industrial, Residential
Amount: 100% of system value
Max. Limit: None
Terms: 75% exemption for dual-use equipment
Authority 1:  Cal Rev &amp; Tax Code Â§ 73
Expiration Date: 12/31/09</t>
        </r>
        <r>
          <rPr>
            <sz val="8"/>
            <color indexed="81"/>
            <rFont val="Tahoma"/>
            <family val="2"/>
          </rPr>
          <t xml:space="preserve">
http://www.dsireusa.org/Index.cfm?EE=0&amp;RE=1</t>
        </r>
      </text>
    </comment>
    <comment ref="L236" authorId="1">
      <text>
        <r>
          <rPr>
            <b/>
            <sz val="9"/>
            <color indexed="81"/>
            <rFont val="Tahoma"/>
            <family val="2"/>
          </rPr>
          <t>Richard McCann:</t>
        </r>
        <r>
          <rPr>
            <sz val="9"/>
            <color indexed="81"/>
            <rFont val="Tahoma"/>
            <family val="2"/>
          </rPr>
          <t xml:space="preserve">
Assumes no gas assist so no dual purpose facilities.</t>
        </r>
      </text>
    </comment>
    <comment ref="N236" authorId="1">
      <text>
        <r>
          <rPr>
            <b/>
            <sz val="9"/>
            <color indexed="81"/>
            <rFont val="Tahoma"/>
            <family val="2"/>
          </rPr>
          <t>Richard McCann:</t>
        </r>
        <r>
          <rPr>
            <sz val="9"/>
            <color indexed="81"/>
            <rFont val="Tahoma"/>
            <family val="2"/>
          </rPr>
          <t xml:space="preserve">
Assumes no gas assist so no dual purpose facilities.</t>
        </r>
      </text>
    </comment>
    <comment ref="C239" authorId="1">
      <text>
        <r>
          <rPr>
            <sz val="14"/>
            <color indexed="81"/>
            <rFont val="Tahoma"/>
            <family val="2"/>
          </rPr>
          <t>BOE, Tax Tips for Construction and Building Contractors Sales and Use Taxes, Publication 9, December 2002.
Installation labor and non equipment costs not subject to sales or use tax.</t>
        </r>
      </text>
    </comment>
    <comment ref="J239" authorId="1">
      <text>
        <r>
          <rPr>
            <b/>
            <sz val="9"/>
            <color indexed="81"/>
            <rFont val="Tahoma"/>
            <family val="2"/>
          </rPr>
          <t>Richard McCann:</t>
        </r>
        <r>
          <rPr>
            <sz val="9"/>
            <color indexed="81"/>
            <rFont val="Tahoma"/>
            <family val="2"/>
          </rPr>
          <t xml:space="preserve">
Based on JEDI Geothermal Binary model v08.02.12 - Advanced</t>
        </r>
      </text>
    </comment>
    <comment ref="K239" authorId="1">
      <text>
        <r>
          <rPr>
            <b/>
            <sz val="9"/>
            <color indexed="81"/>
            <rFont val="Tahoma"/>
            <family val="2"/>
          </rPr>
          <t>Richard McCann:</t>
        </r>
        <r>
          <rPr>
            <sz val="9"/>
            <color indexed="81"/>
            <rFont val="Tahoma"/>
            <family val="2"/>
          </rPr>
          <t xml:space="preserve">
Based on JEDI Geothermal Flash model v08.02.12 - Advanced</t>
        </r>
      </text>
    </comment>
    <comment ref="C241" authorId="1">
      <text>
        <r>
          <rPr>
            <b/>
            <sz val="10"/>
            <color indexed="81"/>
            <rFont val="Tahoma"/>
            <family val="2"/>
          </rPr>
          <t>Originally entered by Richard Mc Cann but was found to not be applicable - confirmed by  Sandy Miller 8-10-07</t>
        </r>
        <r>
          <rPr>
            <b/>
            <sz val="8"/>
            <color indexed="81"/>
            <rFont val="Tahoma"/>
            <family val="2"/>
          </rPr>
          <t xml:space="preserve">
California Solar Initiative Incentives
Incentive Type:  State Rebate Program
Eligible Renewable/Other Technologies:  Photovoltaics
Applicable Sectors:  Commercial, Industrial, Residential, Nonprofit, Schools, Local Government, State Government, Fed. Government, Multi-Family Residential, Low-Income Residential, Agricultural, Institutional, (All customers of PG&amp;E, SDG&amp;E, SCE; Bear Valley eligible only for NHSP)
Incentive Amount: Varies by sector and system size (see below)
Program Budget: $3.2 billion over 10 years
Ownership of Renewable Energy Credits: Remains with customer-producer
Authority 1:  CSI Handbook (2007)
Effective Date: 1/1/2007
Website: http://www.gosolarcalifornia.ca.gov</t>
        </r>
        <r>
          <rPr>
            <sz val="8"/>
            <color indexed="81"/>
            <rFont val="Tahoma"/>
            <family val="2"/>
          </rPr>
          <t xml:space="preserve">
Performance-Based Incentives for Systems 100 kW and larger:
    * $0.39/kWh for first 5 years for taxable entities  
    * $0.50/kWh for first 5 years for government entities and nonprofits
</t>
        </r>
        <r>
          <rPr>
            <b/>
            <sz val="8"/>
            <color indexed="81"/>
            <rFont val="Tahoma"/>
            <family val="2"/>
          </rPr>
          <t xml:space="preserve">THIS MUST BE UPDATED BASED ON FORECASTED SOLAR CAPACITY
</t>
        </r>
        <r>
          <rPr>
            <sz val="8"/>
            <color indexed="81"/>
            <rFont val="Tahoma"/>
            <family val="2"/>
          </rPr>
          <t xml:space="preserve">The CSI program will pay PBI for solar projects with systems equal to or greater than 100 kilowatts (kW), with monthly payments based on recorded kilowatt hours (kWh) of solar power produced over a 5-year period. Residential and small projects can also choose to opt-in to the performance-based incentive payment approach. Once the PBI incentive rate has been determined and a confirmed eservation issued, the ¢/kWh incentive rate will remain constant for the 5-year term.
</t>
        </r>
        <r>
          <rPr>
            <sz val="8"/>
            <color indexed="81"/>
            <rFont val="Tahoma"/>
            <family val="2"/>
          </rPr>
          <t xml:space="preserve">
http://www.dsireusa.org/Index.cfm?EE=0&amp;RE=1
</t>
        </r>
      </text>
    </comment>
    <comment ref="C243" authorId="1">
      <text>
        <r>
          <rPr>
            <b/>
            <sz val="10"/>
            <color indexed="81"/>
            <rFont val="Tahoma"/>
            <family val="2"/>
          </rPr>
          <t xml:space="preserve">Originally entered by Richard Mc Cann but was found to not be applicable - confirmed by  Sandy Miller 8-10-07
</t>
        </r>
        <r>
          <rPr>
            <b/>
            <sz val="8"/>
            <color indexed="81"/>
            <rFont val="Tahoma"/>
            <family val="2"/>
          </rPr>
          <t xml:space="preserve">
Self-Generation Incentive Program
Incentive Type:  State Rebate Program
Eligible Renewable/Other Technologies:  Wind, Fuel Cells, CHP/Cogeneration, Other Distributed Generation Technologies
Applicable Sectors:  Commercial, Industrial, Residential, Nonprofit, Schools, Local Government, State Government, Fed. Government, Institutional
Incentive Amount: $1.00/W to $4.50/W for renewables, depending on technology.
Maximum Incentive: Incentive payment is capped at 1 MW.
Eligible System Size: Systems must be sized according to customer's electricity demand; maximum system size of 5 MW; minimum of 30 kW for wind turbines and fuel cells using renewable fuels.
Equipment Requirements: Systems must be new, UL listed, and in compliance with all applicable performance and safety standards. Wind systems and fuels must be covered by a minimum five year warranty. Other systems must be covered at least three years.
Installation Requirements: Installation must comply with all federal, state, and local codes; Must be grid-connected and installed by a California-licensed contractor.
Program Budget: 2007 Funding:
PG&amp;E: $32.4 million;
SCE: $25.2 million;
So Cal Gas: $9.9 million;
SDG&amp;E: $7.2 million
Ownership of Renewable Energy Credits: Remains with customer/producer
Expiration Date 1/1/2012
Authority 1:  Self-Generation Incentive Program Handbook (2007)
Website: http://www.cpuc.ca.gov/
static/energy/electric/051005_sgip.htm</t>
        </r>
        <r>
          <rPr>
            <sz val="8"/>
            <color indexed="81"/>
            <rFont val="Tahoma"/>
            <family val="2"/>
          </rPr>
          <t xml:space="preserve">
http://www.dsireusa.org/Index.cfm?EE=0&amp;RE=1</t>
        </r>
      </text>
    </comment>
    <comment ref="C267" authorId="3">
      <text>
        <r>
          <rPr>
            <b/>
            <sz val="9"/>
            <color indexed="81"/>
            <rFont val="Tahoma"/>
            <family val="2"/>
          </rPr>
          <t>Labor/day??</t>
        </r>
      </text>
    </comment>
    <comment ref="C281" authorId="3">
      <text>
        <r>
          <rPr>
            <sz val="9"/>
            <color indexed="81"/>
            <rFont val="Tahoma"/>
            <family val="2"/>
          </rPr>
          <t>Included Planned and Maintenance Outages</t>
        </r>
      </text>
    </comment>
    <comment ref="C283" authorId="3">
      <text>
        <r>
          <rPr>
            <sz val="9"/>
            <color indexed="81"/>
            <rFont val="Tahoma"/>
            <family val="2"/>
          </rPr>
          <t>Included Planned and Maintenance Outages</t>
        </r>
      </text>
    </comment>
  </commentList>
</comments>
</file>

<file path=xl/comments21.xml><?xml version="1.0" encoding="utf-8"?>
<comments xmlns="http://schemas.openxmlformats.org/spreadsheetml/2006/main">
  <authors>
    <author xml:space="preserve"> </author>
    <author>RMcCann</author>
    <author>Richard McCann</author>
  </authors>
  <commentList>
    <comment ref="B2" authorId="0">
      <text>
        <r>
          <rPr>
            <b/>
            <sz val="8"/>
            <color indexed="81"/>
            <rFont val="Tahoma"/>
            <family val="2"/>
          </rPr>
          <t>DO NOT DELETE</t>
        </r>
      </text>
    </comment>
    <comment ref="D12" authorId="1">
      <text>
        <r>
          <rPr>
            <b/>
            <sz val="8"/>
            <color indexed="81"/>
            <rFont val="Tahoma"/>
            <family val="2"/>
          </rPr>
          <t>LAO, "CA Tax System: A Primer", Apr 2007, p. 58.  Avg = 1.098%.</t>
        </r>
        <r>
          <rPr>
            <sz val="8"/>
            <color indexed="81"/>
            <rFont val="Tahoma"/>
            <family val="2"/>
          </rPr>
          <t xml:space="preserve">
</t>
        </r>
      </text>
    </comment>
    <comment ref="E12" authorId="1">
      <text>
        <r>
          <rPr>
            <b/>
            <sz val="8"/>
            <color indexed="81"/>
            <rFont val="Tahoma"/>
            <family val="2"/>
          </rPr>
          <t>LAO, "CA Tax System: A Primer", Apr 2007, p. 58.  Avg = 1.098%.</t>
        </r>
        <r>
          <rPr>
            <sz val="8"/>
            <color indexed="81"/>
            <rFont val="Tahoma"/>
            <family val="2"/>
          </rPr>
          <t xml:space="preserve">
</t>
        </r>
      </text>
    </comment>
    <comment ref="D13" authorId="2">
      <text>
        <r>
          <rPr>
            <sz val="8"/>
            <color indexed="81"/>
            <rFont val="Tahoma"/>
            <family val="2"/>
          </rPr>
          <t xml:space="preserve">Avg sales tax 7.94% per LAO, California's Tax System: A Primer, 2007.  </t>
        </r>
        <r>
          <rPr>
            <b/>
            <sz val="8"/>
            <color indexed="81"/>
            <rFont val="Tahoma"/>
            <family val="2"/>
          </rPr>
          <t xml:space="preserve">Does NOT include temporary state tax 2009-2011.
</t>
        </r>
        <r>
          <rPr>
            <sz val="8"/>
            <color indexed="81"/>
            <rFont val="Tahoma"/>
            <family val="2"/>
          </rPr>
          <t xml:space="preserve">
http://www.lao.ca.gov/2007/tax_primer/tax_primer_040907.pdf
Applicable to materials, not labor per BOE Tax Tips for Construction and Building Contractors. Publication 9 December 2002.</t>
        </r>
      </text>
    </comment>
    <comment ref="E13" authorId="2">
      <text>
        <r>
          <rPr>
            <sz val="8"/>
            <color indexed="81"/>
            <rFont val="Tahoma"/>
            <family val="2"/>
          </rPr>
          <t xml:space="preserve">Avg sales tax 7.67% per LAO study, but set at 0% for powerplant purchase.
</t>
        </r>
      </text>
    </comment>
    <comment ref="F13" authorId="2">
      <text>
        <r>
          <rPr>
            <sz val="8"/>
            <color indexed="81"/>
            <rFont val="Tahoma"/>
            <family val="2"/>
          </rPr>
          <t xml:space="preserve">Avg sales tax 7.67% per LAO study, but set at 0% for powerplant purchase.
</t>
        </r>
      </text>
    </comment>
    <comment ref="C16" authorId="2">
      <text>
        <r>
          <rPr>
            <sz val="8"/>
            <color indexed="81"/>
            <rFont val="Tahoma"/>
            <family val="2"/>
          </rPr>
          <t>US DOE EERE REPI (2007)
FY2007 Payments
http://apps1.eere.energy.gov/repi/about.cfm</t>
        </r>
      </text>
    </comment>
    <comment ref="C17" authorId="2">
      <text>
        <r>
          <rPr>
            <sz val="8"/>
            <color indexed="81"/>
            <rFont val="Tahoma"/>
            <family val="2"/>
          </rPr>
          <t>US DOE EERE REPI (2007)
FY2007 Payments
http://apps1.eere.energy.gov/repi/about.cfm</t>
        </r>
      </text>
    </comment>
    <comment ref="D18" authorId="1">
      <text>
        <r>
          <rPr>
            <b/>
            <sz val="8"/>
            <color indexed="81"/>
            <rFont val="Tahoma"/>
            <family val="2"/>
          </rPr>
          <t>KEMA: determined not applicable to renewables (6/2009)</t>
        </r>
        <r>
          <rPr>
            <sz val="8"/>
            <color indexed="81"/>
            <rFont val="Tahoma"/>
            <family val="2"/>
          </rPr>
          <t xml:space="preserve">
</t>
        </r>
      </text>
    </comment>
  </commentList>
</comments>
</file>

<file path=xl/comments22.xml><?xml version="1.0" encoding="utf-8"?>
<comments xmlns="http://schemas.openxmlformats.org/spreadsheetml/2006/main">
  <authors>
    <author>Ashley Spalding</author>
    <author>CCooke</author>
  </authors>
  <commentList>
    <comment ref="A20" authorId="0">
      <text>
        <r>
          <rPr>
            <b/>
            <sz val="9"/>
            <color indexed="81"/>
            <rFont val="Tahoma"/>
            <family val="2"/>
          </rPr>
          <t>Ashley Spalding:</t>
        </r>
        <r>
          <rPr>
            <sz val="9"/>
            <color indexed="81"/>
            <rFont val="Tahoma"/>
            <family val="2"/>
          </rPr>
          <t xml:space="preserve">
http://www.bls.gov/news.release/ecec.nr0.htm</t>
        </r>
      </text>
    </comment>
    <comment ref="B24" authorId="1">
      <text>
        <r>
          <rPr>
            <b/>
            <sz val="8"/>
            <color indexed="81"/>
            <rFont val="Tahoma"/>
            <family val="2"/>
          </rPr>
          <t>Estimates NAICS 221100, Electric Power Generation, Transmission and Distribution May 2011, http://www.bls.gov/oes/current/naics4_221100.htm, Industrial Production Managers, 11-3051</t>
        </r>
        <r>
          <rPr>
            <sz val="8"/>
            <color indexed="81"/>
            <rFont val="Tahoma"/>
            <family val="2"/>
          </rPr>
          <t xml:space="preserve">
</t>
        </r>
      </text>
    </comment>
    <comment ref="B25" authorId="0">
      <text>
        <r>
          <rPr>
            <b/>
            <sz val="9"/>
            <color indexed="81"/>
            <rFont val="Tahoma"/>
            <family val="2"/>
          </rPr>
          <t>Ashley Spalding:</t>
        </r>
        <r>
          <rPr>
            <sz val="9"/>
            <color indexed="81"/>
            <rFont val="Tahoma"/>
            <family val="2"/>
          </rPr>
          <t xml:space="preserve">
51-0000 Mean Wage
http://www.bls.gov/oes/current/naics4_221100.htm</t>
        </r>
      </text>
    </comment>
    <comment ref="B26" authorId="0">
      <text>
        <r>
          <rPr>
            <b/>
            <sz val="9"/>
            <color indexed="81"/>
            <rFont val="Tahoma"/>
            <family val="2"/>
          </rPr>
          <t>Ashley Spalding:</t>
        </r>
        <r>
          <rPr>
            <sz val="9"/>
            <color indexed="81"/>
            <rFont val="Tahoma"/>
            <family val="2"/>
          </rPr>
          <t xml:space="preserve">
49-0000 mean hourly wage
</t>
        </r>
      </text>
    </comment>
    <comment ref="B27" authorId="0">
      <text>
        <r>
          <rPr>
            <b/>
            <sz val="9"/>
            <color indexed="81"/>
            <rFont val="Tahoma"/>
            <family val="2"/>
          </rPr>
          <t>Ashley Spalding:</t>
        </r>
        <r>
          <rPr>
            <sz val="9"/>
            <color indexed="81"/>
            <rFont val="Tahoma"/>
            <family val="2"/>
          </rPr>
          <t xml:space="preserve">
37-0000 mean hourly wage
</t>
        </r>
      </text>
    </comment>
    <comment ref="B28" authorId="0">
      <text>
        <r>
          <rPr>
            <b/>
            <sz val="9"/>
            <color indexed="81"/>
            <rFont val="Tahoma"/>
            <family val="2"/>
          </rPr>
          <t>Ashley Spalding:</t>
        </r>
        <r>
          <rPr>
            <sz val="9"/>
            <color indexed="81"/>
            <rFont val="Tahoma"/>
            <family val="2"/>
          </rPr>
          <t xml:space="preserve">
43-0000
Office and administrative support occupations</t>
        </r>
      </text>
    </comment>
    <comment ref="B29" authorId="0">
      <text>
        <r>
          <rPr>
            <b/>
            <sz val="9"/>
            <color indexed="81"/>
            <rFont val="Tahoma"/>
            <family val="2"/>
          </rPr>
          <t>Ashley Spalding:</t>
        </r>
        <r>
          <rPr>
            <sz val="9"/>
            <color indexed="81"/>
            <rFont val="Tahoma"/>
            <family val="2"/>
          </rPr>
          <t xml:space="preserve">
33-0000 mean hourly wage</t>
        </r>
      </text>
    </comment>
  </commentList>
</comments>
</file>

<file path=xl/comments23.xml><?xml version="1.0" encoding="utf-8"?>
<comments xmlns="http://schemas.openxmlformats.org/spreadsheetml/2006/main">
  <authors>
    <author>Richard McCann</author>
  </authors>
  <commentList>
    <comment ref="B6" authorId="0">
      <text>
        <r>
          <rPr>
            <b/>
            <sz val="8"/>
            <color indexed="81"/>
            <rFont val="Tahoma"/>
            <family val="2"/>
          </rPr>
          <t>Based on book life rather than equipment life for each of comparison to other cost components.  However, since overhaul costs must be recovered from plant operation revenues, not investors or debt, if a plant lasts longer than the Book Life, then this accounts for those costs being allocated over a longer period.</t>
        </r>
      </text>
    </comment>
  </commentList>
</comments>
</file>

<file path=xl/sharedStrings.xml><?xml version="1.0" encoding="utf-8"?>
<sst xmlns="http://schemas.openxmlformats.org/spreadsheetml/2006/main" count="6252" uniqueCount="2079">
  <si>
    <t>Default IOU Renewables</t>
  </si>
  <si>
    <t>Default IOU Fossil</t>
  </si>
  <si>
    <t>Merchant Alternatives</t>
  </si>
  <si>
    <t>Merchant Fossil</t>
  </si>
  <si>
    <t>No Carbon Price</t>
  </si>
  <si>
    <t>Mid-range CA Avg.</t>
  </si>
  <si>
    <t>Mid-range Uranium</t>
  </si>
  <si>
    <t>Mid-Range Gassified Coal</t>
  </si>
  <si>
    <t>Credits &amp; In-lieu</t>
  </si>
  <si>
    <t>Computed Federal Taxes</t>
  </si>
  <si>
    <t>Computed State Taxes</t>
  </si>
  <si>
    <t xml:space="preserve">  Tax Loss Carryforward</t>
  </si>
  <si>
    <t>Tax Loss</t>
  </si>
  <si>
    <t>Tax Minimum Equals Zero</t>
  </si>
  <si>
    <t>Federal Renewable Energy Tax Incentives - 2008 EPAct and 2009 ARRA</t>
  </si>
  <si>
    <t>Technology</t>
  </si>
  <si>
    <t>Open Loop (Ag waste)</t>
  </si>
  <si>
    <t>Closed Loop</t>
  </si>
  <si>
    <t>Small Hydro</t>
  </si>
  <si>
    <t>Ocean Wave</t>
  </si>
  <si>
    <t>Fuel Cells</t>
  </si>
  <si>
    <t>Small Wind</t>
  </si>
  <si>
    <t>CHP</t>
  </si>
  <si>
    <t>Micro-turbines</t>
  </si>
  <si>
    <t>Production Tax Credit</t>
  </si>
  <si>
    <t xml:space="preserve">  Eligibility</t>
  </si>
  <si>
    <t xml:space="preserve">  Credit</t>
  </si>
  <si>
    <t xml:space="preserve">  Depreciable value reduced</t>
  </si>
  <si>
    <t>NA</t>
  </si>
  <si>
    <t>Merchant / IOU</t>
  </si>
  <si>
    <t>ARRA Grant</t>
  </si>
  <si>
    <t xml:space="preserve">  ITC in-lieu of PTC</t>
  </si>
  <si>
    <t>MSW / Landfill</t>
  </si>
  <si>
    <t>POU/Coops</t>
  </si>
  <si>
    <t>Renewable Energy Production Tax Credit Amount ($/kWh)</t>
  </si>
  <si>
    <t>Tax &amp; Production Incentives</t>
  </si>
  <si>
    <t>30%/10%</t>
  </si>
  <si>
    <t>15%/5%</t>
  </si>
  <si>
    <t xml:space="preserve">  ITC Expiration</t>
  </si>
  <si>
    <t>Eligible For BEITC</t>
  </si>
  <si>
    <t xml:space="preserve">  PTC Expiration</t>
  </si>
  <si>
    <t xml:space="preserve">  REPI Expiration</t>
  </si>
  <si>
    <t>REPTC Expiration Year</t>
  </si>
  <si>
    <t>REPTCExpires</t>
  </si>
  <si>
    <t>Investment Tax Credit Expiration</t>
  </si>
  <si>
    <t>BETCExpires</t>
  </si>
  <si>
    <t>REPI Expiration</t>
  </si>
  <si>
    <t>REPIExpires</t>
  </si>
  <si>
    <t>Tax Depreciation Adjustment</t>
  </si>
  <si>
    <t>BETCDepreciation</t>
  </si>
  <si>
    <t xml:space="preserve">  BETC Depreciation Adjustment</t>
  </si>
  <si>
    <t>BEITC (Tax Credit)</t>
  </si>
  <si>
    <t>REPI Payment Shares</t>
  </si>
  <si>
    <t xml:space="preserve">  Credit (2008$)/MWH</t>
  </si>
  <si>
    <t>Notes</t>
  </si>
  <si>
    <r>
      <t>Coal IGCC</t>
    </r>
    <r>
      <rPr>
        <b/>
        <vertAlign val="superscript"/>
        <sz val="11"/>
        <color indexed="8"/>
        <rFont val="Calibri"/>
        <family val="2"/>
      </rPr>
      <t>1</t>
    </r>
  </si>
  <si>
    <t xml:space="preserve">  Credit (1993$)/MWH</t>
  </si>
  <si>
    <t xml:space="preserve">  Duration (Years)</t>
  </si>
  <si>
    <r>
      <t>Geothermal</t>
    </r>
    <r>
      <rPr>
        <b/>
        <vertAlign val="superscript"/>
        <sz val="11"/>
        <color indexed="8"/>
        <rFont val="Calibri"/>
        <family val="2"/>
      </rPr>
      <t>2</t>
    </r>
  </si>
  <si>
    <r>
      <t>Solar</t>
    </r>
    <r>
      <rPr>
        <b/>
        <vertAlign val="superscript"/>
        <sz val="11"/>
        <color indexed="8"/>
        <rFont val="Calibri"/>
        <family val="2"/>
      </rPr>
      <t>3</t>
    </r>
  </si>
  <si>
    <t>2 - Geothermal ITC does not expire.  Unclear as to whether the ARRA increased the ITC for geothermal to 30% until 2014, and whether self-sales are eligible.</t>
  </si>
  <si>
    <t>3 - Solar ITC reverts to 10% in 2016.</t>
  </si>
  <si>
    <t xml:space="preserve">  Loss Carryforward Period (Yrs)</t>
  </si>
  <si>
    <t>1 - IGCC Production Credit separate from REPTC.  Based on "refined coal" =
$4.375/(13900 Btu/ton for anthracite / HR*(1+ParasiticLoad) for IGCC).  Expiration date for ARRA ITC unclear.</t>
  </si>
  <si>
    <t xml:space="preserve">  Tier I Payment</t>
  </si>
  <si>
    <t xml:space="preserve">  Tier II Payment</t>
  </si>
  <si>
    <r>
      <t>Production Incentive</t>
    </r>
    <r>
      <rPr>
        <b/>
        <vertAlign val="superscript"/>
        <sz val="11"/>
        <color indexed="8"/>
        <rFont val="Calibri"/>
        <family val="2"/>
      </rPr>
      <t>4</t>
    </r>
  </si>
  <si>
    <t>Geothermal Depletion Allowance (GDA)</t>
  </si>
  <si>
    <t>GDA</t>
  </si>
  <si>
    <t>ITC</t>
  </si>
  <si>
    <t>PTC</t>
  </si>
  <si>
    <t>Net(After-Tax) Equity Income</t>
  </si>
  <si>
    <t>Changes</t>
  </si>
  <si>
    <t>User selects Assumptions - Levelized Costs are reported along with some key data values.</t>
  </si>
  <si>
    <t>Calculates Annual Costs and Levelizes those Costs – Using Revenue Requirement accounting</t>
  </si>
  <si>
    <t>Income Cash -Flow</t>
  </si>
  <si>
    <t>Calculates Annual Costs and Levelizes those Costs – Using Cash-Flow accounting</t>
  </si>
  <si>
    <t>Summary of Data Assumptions summary for each Plant Type.</t>
  </si>
  <si>
    <t>PTA - High</t>
  </si>
  <si>
    <t>High Plant Type Assumptions</t>
  </si>
  <si>
    <t>PTA - Low</t>
  </si>
  <si>
    <t>Low Plant Type Assumptions</t>
  </si>
  <si>
    <t>General Assumptions summary such as Inflation Rates &amp; Tax Rates.</t>
  </si>
  <si>
    <t xml:space="preserve">Test Case Financial </t>
  </si>
  <si>
    <t>Aspen EG Consultant: Richard McCann;</t>
  </si>
  <si>
    <t>rmccann@aspeneg.com</t>
  </si>
  <si>
    <t>(530) 757-6363</t>
  </si>
  <si>
    <t>Gross capacity output minus parasitic load</t>
  </si>
  <si>
    <t>Total Scheduled Maintenance Costs</t>
  </si>
  <si>
    <t>Inservice Date/Start Year</t>
  </si>
  <si>
    <t>Amount of reliable capacity available after derating (as defined by WSCC standards)</t>
  </si>
  <si>
    <t>Gross maximum capacity output under optimal conditions</t>
  </si>
  <si>
    <t>Effective Load Carry Capacity</t>
  </si>
  <si>
    <t>Additional demand that can be served while maintaining constant system reliability</t>
  </si>
  <si>
    <t>Required AS/reserves</t>
  </si>
  <si>
    <t>Ancillary services and reserves required to maintain reliability</t>
  </si>
  <si>
    <t>Annual capacity degradation rate</t>
  </si>
  <si>
    <t>Annual average loss in capacity over plant lifetime</t>
  </si>
  <si>
    <t>Transmission Losses</t>
  </si>
  <si>
    <t>Annual transmission losses to load center</t>
  </si>
  <si>
    <t>Overhaul Interval in Hrs</t>
  </si>
  <si>
    <t>Geothermal Depletion Rate Factor</t>
  </si>
  <si>
    <t>Geothermal Depletion Limit on Income</t>
  </si>
  <si>
    <t xml:space="preserve">  REPI In Start Year $/kWh</t>
  </si>
  <si>
    <t>California Solar Initiative $/kWh</t>
  </si>
  <si>
    <t xml:space="preserve">   REPTC In Start Year $/kWh</t>
  </si>
  <si>
    <t>Tax Incentives</t>
  </si>
  <si>
    <t>Fuel Price Forecast</t>
  </si>
  <si>
    <t>California Self-Generation Incentive Program</t>
  </si>
  <si>
    <t>SGIPRebate</t>
  </si>
  <si>
    <t>SGIP</t>
  </si>
  <si>
    <t>Byproduct Revenues and Costs</t>
  </si>
  <si>
    <t>Byproduct 1</t>
  </si>
  <si>
    <t>Total Net Revenues</t>
  </si>
  <si>
    <t>Expected major equipment lifetime</t>
  </si>
  <si>
    <t>Economic/Book Life</t>
  </si>
  <si>
    <t>Loan/Debt Term</t>
  </si>
  <si>
    <t>Term of loans</t>
  </si>
  <si>
    <t>Expected economic/operational life</t>
  </si>
  <si>
    <t xml:space="preserve">  Tons per Year</t>
  </si>
  <si>
    <t>Total Costs</t>
  </si>
  <si>
    <t>Labor Escalation Cost</t>
  </si>
  <si>
    <t>Escalation in Capital Costs</t>
  </si>
  <si>
    <t>Years Out from On-Line Date</t>
  </si>
  <si>
    <t>Plant Scheduling Costs</t>
  </si>
  <si>
    <t>Wheeling Charges</t>
  </si>
  <si>
    <t>Scheduler Costs</t>
  </si>
  <si>
    <t>IOU</t>
  </si>
  <si>
    <t>Merchant</t>
  </si>
  <si>
    <t>Invest Tax Credit</t>
  </si>
  <si>
    <t>REPI</t>
  </si>
  <si>
    <t>Wind</t>
  </si>
  <si>
    <t>Solar</t>
  </si>
  <si>
    <t>Geothermal</t>
  </si>
  <si>
    <t>CA State Tax =</t>
  </si>
  <si>
    <t>CA Avg. Ad Valorem Tax =</t>
  </si>
  <si>
    <t>Production Incentive-Investor</t>
  </si>
  <si>
    <t>wind, closed loop biomass: 92 EPAct, Sec 1916</t>
  </si>
  <si>
    <t>RE Production Incentive Tier I</t>
  </si>
  <si>
    <t>RE Production Incentive Tier II</t>
  </si>
  <si>
    <t>landfill methane, open loop biomass, prorated 1.5c/kWh among pool: 92 EPAct, Sec 1212</t>
  </si>
  <si>
    <t>solar, geothermal: 92 EPAct, Sec 1916</t>
  </si>
  <si>
    <t>solar, wind, geothermal, closed-loop biomass; only state subdivisions or cooperatives: 92 EPAct, Sec 1212</t>
  </si>
  <si>
    <t>$/kW</t>
  </si>
  <si>
    <t xml:space="preserve">Plant Losses </t>
  </si>
  <si>
    <t>Levelized Cashflow Calculation</t>
  </si>
  <si>
    <t>Levelized Revenue Requirements</t>
  </si>
  <si>
    <t>Total Levelized Cash Flow Income</t>
  </si>
  <si>
    <t>Average Annual Fuel Use</t>
  </si>
  <si>
    <t>REPI Tier II Proportion Paid</t>
  </si>
  <si>
    <t>DOE, Office of Power Technologies, REPI, January 15, 2001</t>
  </si>
  <si>
    <t xml:space="preserve">  RETC Calculation</t>
  </si>
  <si>
    <t>MACRS</t>
  </si>
  <si>
    <t>Debt Coverage Ratio - Minimum</t>
  </si>
  <si>
    <t>Debt Coverage Ratio - Average</t>
  </si>
  <si>
    <t>Geothermal Depletion Allowance</t>
  </si>
  <si>
    <t>geothermal</t>
  </si>
  <si>
    <t>Fuel</t>
  </si>
  <si>
    <t xml:space="preserve">  Maintenance/kW-yr</t>
  </si>
  <si>
    <t>Yrs</t>
  </si>
  <si>
    <t xml:space="preserve">  NPV Cost</t>
  </si>
  <si>
    <t xml:space="preserve">  Maintenance/MWh</t>
  </si>
  <si>
    <t>Derate for load-following or intermittent operation</t>
  </si>
  <si>
    <t>Variable</t>
  </si>
  <si>
    <t>Variable O&amp;M</t>
  </si>
  <si>
    <t>Natural Gas</t>
  </si>
  <si>
    <t>Annual Capacity Degradation Rate</t>
  </si>
  <si>
    <t>Number Of Annual Starts</t>
  </si>
  <si>
    <t>Total Operating Hours Over Life Of Plant</t>
  </si>
  <si>
    <t>Start Up Fuel Use</t>
  </si>
  <si>
    <t>(Mid-year convention)</t>
  </si>
  <si>
    <t>(Fiscal year convention)</t>
  </si>
  <si>
    <t>Inflation Rate From Base Yr. To Start Yr.</t>
  </si>
  <si>
    <t>Years</t>
  </si>
  <si>
    <t>BOE Condition Percent Good Factor</t>
  </si>
  <si>
    <t xml:space="preserve"> - 2006 (R-3 Survivor Curve)</t>
  </si>
  <si>
    <t>Inflation Rate From Start Year Forward</t>
  </si>
  <si>
    <t>Eligible For REPTC</t>
  </si>
  <si>
    <t>Eligible For Geothermal Depletion Allowance</t>
  </si>
  <si>
    <t>Eligible For REPI</t>
  </si>
  <si>
    <t xml:space="preserve">  BETC Limit (% Of Remaining Taxes)</t>
  </si>
  <si>
    <t>Magnitude of Error if there is one:</t>
  </si>
  <si>
    <t>CHECK</t>
  </si>
  <si>
    <t xml:space="preserve">  Limit (% Of Remaining Taxes)</t>
  </si>
  <si>
    <t xml:space="preserve"> Cost Per Acre</t>
  </si>
  <si>
    <t xml:space="preserve">  Local Building Permits</t>
  </si>
  <si>
    <t xml:space="preserve">  Environmental Permits</t>
  </si>
  <si>
    <t>Base Year For Cost Data</t>
  </si>
  <si>
    <t>O&amp;M Escalation (Above Inflation)</t>
  </si>
  <si>
    <t>Labor Escalation Cost (Above Inflation)</t>
  </si>
  <si>
    <t>Make-Up Water (AF)</t>
  </si>
  <si>
    <t>Reservoir Management</t>
  </si>
  <si>
    <t>Tons/Yr</t>
  </si>
  <si>
    <t>(Lbs/MWh)</t>
  </si>
  <si>
    <t>[List of Pollutants]</t>
  </si>
  <si>
    <t>Instream Flows</t>
  </si>
  <si>
    <t>Insurance</t>
  </si>
  <si>
    <t>Net Capacity - Plant Side</t>
  </si>
  <si>
    <t>Net Capacity - Transmission Side</t>
  </si>
  <si>
    <t>At Busbar - Plant Side</t>
  </si>
  <si>
    <t>At Busbar - Transmission Side</t>
  </si>
  <si>
    <t>Interconnection Costs (Linears)</t>
  </si>
  <si>
    <t>Plant Capacity &amp; Energy Data</t>
  </si>
  <si>
    <t>Financial Information</t>
  </si>
  <si>
    <t>Tax Information</t>
  </si>
  <si>
    <t>Non Hazardous (Tons/Yr)</t>
  </si>
  <si>
    <t>Hazardous (Tons/Yr)</t>
  </si>
  <si>
    <t>Period Or Units For Consumable Maintenance Costs</t>
  </si>
  <si>
    <t>Oil Consumption Per Period (Gal)</t>
  </si>
  <si>
    <t>Oil Price ($/Gal)</t>
  </si>
  <si>
    <t>Oil Cost</t>
  </si>
  <si>
    <t>Consumables Per Period (Filters Etc.) ($)</t>
  </si>
  <si>
    <t>Consumable Maintenance Labor Per Period (Hrs)</t>
  </si>
  <si>
    <t>Consumable Maintenance Labor</t>
  </si>
  <si>
    <t>Total Consumable Maintenance Cost Per Period (Incl. Labor)</t>
  </si>
  <si>
    <t xml:space="preserve">  Maintenance Interval (Hrs)</t>
  </si>
  <si>
    <t xml:space="preserve">  Replacement Interval (Hrs)</t>
  </si>
  <si>
    <t xml:space="preserve">  Labor (Hrs)</t>
  </si>
  <si>
    <t xml:space="preserve">  Misc Interval (Hrs)</t>
  </si>
  <si>
    <t xml:space="preserve">  Well Clean Out</t>
  </si>
  <si>
    <t xml:space="preserve">  Well Pumps Maintenance</t>
  </si>
  <si>
    <t xml:space="preserve">  Brine Chemicals</t>
  </si>
  <si>
    <t xml:space="preserve">  Hrs To Major Overhaul:</t>
  </si>
  <si>
    <t xml:space="preserve">  Major Overhaul Labor (Hrs)</t>
  </si>
  <si>
    <t>Water Treatment &amp; Cooling Controls</t>
  </si>
  <si>
    <t>Air Emission Controls</t>
  </si>
  <si>
    <t>Total Water Treatment &amp; Cooling Controls Costs</t>
  </si>
  <si>
    <t>Annual Cost Item 1 (Incl Labor)</t>
  </si>
  <si>
    <t>Annual Cost Item 2 (Incl Labor)</t>
  </si>
  <si>
    <t>Hrs To Item 1 Job:</t>
  </si>
  <si>
    <t>Hrs To Item 2 Job:</t>
  </si>
  <si>
    <t>Annual Cost Item 3 (Incl Labor)</t>
  </si>
  <si>
    <t>Hrs To Item 3 Job:</t>
  </si>
  <si>
    <t xml:space="preserve">  Component Life (Hrs)</t>
  </si>
  <si>
    <t xml:space="preserve">  Annual Labor (Hrs/Yr)</t>
  </si>
  <si>
    <t>Fuel &amp; O&amp;M Costs</t>
  </si>
  <si>
    <t>Capital Investment Related Costs</t>
  </si>
  <si>
    <t>Asset Rental Price</t>
  </si>
  <si>
    <t xml:space="preserve">  Calculated Air Emissions Replacement Cost</t>
  </si>
  <si>
    <t xml:space="preserve">  Calculated Water Treatment &amp; Cooling Replacement Cost</t>
  </si>
  <si>
    <t>Total Annual Air Emissions Costs (Excluding Capital)</t>
  </si>
  <si>
    <t>Total Annual Water Treatment Costs (Excluding Capital)</t>
  </si>
  <si>
    <t>Non-Hazardous Material</t>
  </si>
  <si>
    <t xml:space="preserve">  Tons/Year</t>
  </si>
  <si>
    <t xml:space="preserve">  Collection &amp; Hauling ($/Ton)</t>
  </si>
  <si>
    <t xml:space="preserve">  Landfill Tipping Fees ($/Ton)</t>
  </si>
  <si>
    <t>Net Capacity (MW) - Plant Side</t>
  </si>
  <si>
    <t>Net Capacity (MW) - Transmission Side</t>
  </si>
  <si>
    <t>Low</t>
  </si>
  <si>
    <t>High</t>
  </si>
  <si>
    <t>Total Non-Hazardous Material Disposal Costs</t>
  </si>
  <si>
    <t>Months under construction Yr -5</t>
  </si>
  <si>
    <t>Cost %/Year - 1</t>
  </si>
  <si>
    <t>Cost %/Year - 2</t>
  </si>
  <si>
    <t>Cost %/Year - 3</t>
  </si>
  <si>
    <t>Cost %/Year - 4</t>
  </si>
  <si>
    <t>Cost %/Year - 5</t>
  </si>
  <si>
    <t>Hazardous Materials</t>
  </si>
  <si>
    <t>Total Hazardous Material Disposal Costs</t>
  </si>
  <si>
    <t>Total Levelized Revenue Requirements</t>
  </si>
  <si>
    <t>Non-labor Fixed O&amp;M Costs inc. ODC</t>
  </si>
  <si>
    <t>NonlaborFixedOM</t>
  </si>
  <si>
    <t>TDMA</t>
  </si>
  <si>
    <t>Tax Production Deduction Rate</t>
  </si>
  <si>
    <t>Schedule</t>
  </si>
  <si>
    <t>TDMA Deduction Rate</t>
  </si>
  <si>
    <t xml:space="preserve">  50% of W-2 Wages</t>
  </si>
  <si>
    <t>Total W-2 Wages, adjusted to Base Year</t>
  </si>
  <si>
    <t>Treasury Rates:</t>
  </si>
  <si>
    <t>Annual Production (Lbs/kW)</t>
  </si>
  <si>
    <t>Processing Costs ($/Lbs)</t>
  </si>
  <si>
    <t>Revenues ($/Lb)</t>
  </si>
  <si>
    <t>Net Revenues ($/Lb)</t>
  </si>
  <si>
    <t>Total Air Emission Controls Costs</t>
  </si>
  <si>
    <t>Shipping Costs ($//Lbs)</t>
  </si>
  <si>
    <t xml:space="preserve">  Hrs Of Labor</t>
  </si>
  <si>
    <t>Return On Ratebase</t>
  </si>
  <si>
    <t>Total Return On Debt &amp; Equity</t>
  </si>
  <si>
    <t>Corporate Taxes (W/Credits)</t>
  </si>
  <si>
    <t>OVERHAUL COSTS CALCULATION</t>
  </si>
  <si>
    <t>Calculated Minor Overhaul Costs</t>
  </si>
  <si>
    <t xml:space="preserve">PG&amp;E </t>
  </si>
  <si>
    <t>Biomass</t>
  </si>
  <si>
    <t>Technology Type</t>
  </si>
  <si>
    <t>Validation Lists</t>
  </si>
  <si>
    <t>Owner</t>
  </si>
  <si>
    <t>Hydro</t>
  </si>
  <si>
    <t>Closed-loop biomass</t>
  </si>
  <si>
    <t>Open-loop biomass</t>
  </si>
  <si>
    <t xml:space="preserve">  minus Other Deductions</t>
  </si>
  <si>
    <t>Flag:  After Tax Income (73) = Total Return (38)</t>
  </si>
  <si>
    <t>Landfill methane</t>
  </si>
  <si>
    <t>Inflation Rate</t>
  </si>
  <si>
    <t>Other Operating Costs</t>
  </si>
  <si>
    <t>H2S</t>
  </si>
  <si>
    <t>CH4</t>
  </si>
  <si>
    <t>NH3</t>
  </si>
  <si>
    <t>Source</t>
  </si>
  <si>
    <t>Capital Cost Detail</t>
  </si>
  <si>
    <t>Maintenance Cost Detail</t>
  </si>
  <si>
    <t>Total Annual Maintenance Costs($/MWh)</t>
  </si>
  <si>
    <t>Fixed O&amp;M</t>
  </si>
  <si>
    <t>Book Depreciation</t>
  </si>
  <si>
    <t>Ad Valorem</t>
  </si>
  <si>
    <t>Capital Structure</t>
  </si>
  <si>
    <t>Levelized</t>
  </si>
  <si>
    <t xml:space="preserve">Notes: </t>
  </si>
  <si>
    <t>Filter Replacement Interval</t>
  </si>
  <si>
    <t>Filter Price</t>
  </si>
  <si>
    <t>Annual Filter Cost</t>
  </si>
  <si>
    <t>Oil Change Interval</t>
  </si>
  <si>
    <t>Oil Filter Price</t>
  </si>
  <si>
    <t>Oil Price per Gal</t>
  </si>
  <si>
    <t>Oil Capacity GAL</t>
  </si>
  <si>
    <t>Oil Added per Day</t>
  </si>
  <si>
    <t>Fuel Filter Interval</t>
  </si>
  <si>
    <t>Fuel Filter Price</t>
  </si>
  <si>
    <t>Labor/day-Minutes</t>
  </si>
  <si>
    <t>Labor price/hour</t>
  </si>
  <si>
    <t>Induction Equipment</t>
  </si>
  <si>
    <t>NREL, RET Financial Model, http://analysis.nrel.gov/retfinance, 10/23/2001.</t>
  </si>
  <si>
    <t xml:space="preserve">  $/MWh</t>
  </si>
  <si>
    <t>CA State Tax</t>
  </si>
  <si>
    <t>CA Avg. Ad Valorem Tax</t>
  </si>
  <si>
    <t>CA Sales Tax</t>
  </si>
  <si>
    <t>Office space</t>
  </si>
  <si>
    <t>Control Room</t>
  </si>
  <si>
    <t>Other infrastructure</t>
  </si>
  <si>
    <t>SqFt/MW</t>
  </si>
  <si>
    <t xml:space="preserve"> Acreage/Plant</t>
  </si>
  <si>
    <t xml:space="preserve"> Cost per Acre</t>
  </si>
  <si>
    <t>Acquisition Cost</t>
  </si>
  <si>
    <t>Local building permits</t>
  </si>
  <si>
    <t>Environmental Controls</t>
  </si>
  <si>
    <t>Installation Costs</t>
  </si>
  <si>
    <t>Replacement Costs</t>
  </si>
  <si>
    <t>Add other components as needed</t>
  </si>
  <si>
    <t>Labor Costs</t>
  </si>
  <si>
    <t>Labor Rates</t>
  </si>
  <si>
    <t>PV</t>
  </si>
  <si>
    <t>Total w/Overhead</t>
  </si>
  <si>
    <t>Real escalation in labor costs</t>
  </si>
  <si>
    <t>per CAISO Tariffs</t>
  </si>
  <si>
    <t>??</t>
  </si>
  <si>
    <t>Air Emission Costs</t>
  </si>
  <si>
    <t>Fuel Price Forecasts</t>
  </si>
  <si>
    <t>Labor Table</t>
  </si>
  <si>
    <t>Initial</t>
  </si>
  <si>
    <t>Stack Replacement</t>
  </si>
  <si>
    <t>Reformer Replacement</t>
  </si>
  <si>
    <t>Maint. Cost Escalation Rate</t>
  </si>
  <si>
    <t>Costs and Activities for specific technologies</t>
  </si>
  <si>
    <t>Filters schedule and cost</t>
  </si>
  <si>
    <t>Lubrication schedule and cost</t>
  </si>
  <si>
    <t>Fuel filter schedule and cost</t>
  </si>
  <si>
    <t>Maintenance labor per day</t>
  </si>
  <si>
    <t>Based on Mechanics Loaded labor rate</t>
  </si>
  <si>
    <t>Major Overhaul Interval</t>
  </si>
  <si>
    <t>Major Overhaul Cost</t>
  </si>
  <si>
    <t>Cost of Replacement Equipment</t>
  </si>
  <si>
    <t>From forced outage rate</t>
  </si>
  <si>
    <t>Hours working on unscheduled outage (e.g., 50% of the outage time)</t>
  </si>
  <si>
    <t xml:space="preserve">Assume </t>
  </si>
  <si>
    <t>Annual expected escalation in maintenance costs</t>
  </si>
  <si>
    <t>Annual Environmental Costs</t>
  </si>
  <si>
    <t>Name control technology</t>
  </si>
  <si>
    <t>Filters, ammonia, etc.</t>
  </si>
  <si>
    <t>Component replacement cost each time</t>
  </si>
  <si>
    <t>Name Control Technology</t>
  </si>
  <si>
    <t>Acreage required for direct plant infrastructure</t>
  </si>
  <si>
    <t>Local land costs per acre (with references)</t>
  </si>
  <si>
    <t>Annual Cost Item 1</t>
  </si>
  <si>
    <t>Annual Cost Item 2</t>
  </si>
  <si>
    <t>Replace Item 1 with Annual cost</t>
  </si>
  <si>
    <t>Replace Item 2 with Annual cost</t>
  </si>
  <si>
    <t>PM10</t>
  </si>
  <si>
    <t>Utility Service Area</t>
  </si>
  <si>
    <t>PG&amp;E</t>
  </si>
  <si>
    <t>SDG&amp;E</t>
  </si>
  <si>
    <t>Bay Area</t>
  </si>
  <si>
    <t>Imperial County</t>
  </si>
  <si>
    <t>Sacramento</t>
  </si>
  <si>
    <t>San Diego</t>
  </si>
  <si>
    <t>San Luis</t>
  </si>
  <si>
    <t>Santa Barbara</t>
  </si>
  <si>
    <t>South Coast</t>
  </si>
  <si>
    <t>Ventura</t>
  </si>
  <si>
    <t>SOx</t>
  </si>
  <si>
    <t>Financial Assumptions</t>
  </si>
  <si>
    <t>Other Routine Maintenance Costs (Annual)</t>
  </si>
  <si>
    <t>Total Other Routine Maintenance Costs</t>
  </si>
  <si>
    <t>AvgHeatRate</t>
  </si>
  <si>
    <t>Fixed - Emission Reduction Credits (ERCs)</t>
  </si>
  <si>
    <t>Air Emissions Equipment</t>
  </si>
  <si>
    <t>Water Cooling Equipment</t>
  </si>
  <si>
    <t>Water Treatment &amp; Cooling</t>
  </si>
  <si>
    <t xml:space="preserve">  Time to Replacement</t>
  </si>
  <si>
    <t>$/Lb</t>
  </si>
  <si>
    <t>Water Supply Costs</t>
  </si>
  <si>
    <t>Region</t>
  </si>
  <si>
    <t>Kern</t>
  </si>
  <si>
    <t>Mojave</t>
  </si>
  <si>
    <t>Financial Transaction Costs</t>
  </si>
  <si>
    <t>Operations Costs</t>
  </si>
  <si>
    <t>Dollars</t>
  </si>
  <si>
    <t>SMUD</t>
  </si>
  <si>
    <t>LADWP</t>
  </si>
  <si>
    <t>IID</t>
  </si>
  <si>
    <r>
      <t xml:space="preserve">Natural Gas Utility Service Area - </t>
    </r>
    <r>
      <rPr>
        <b/>
        <sz val="10"/>
        <color indexed="10"/>
        <rFont val="Arial"/>
        <family val="2"/>
      </rPr>
      <t xml:space="preserve">Constant </t>
    </r>
  </si>
  <si>
    <t>LaborEscalation</t>
  </si>
  <si>
    <t>User Input Fixed O&amp;M ($/kW-Yr)</t>
  </si>
  <si>
    <t>User Input Var. O&amp;M ($/MWh)</t>
  </si>
  <si>
    <t>FixedOMPerkWYrUserInput</t>
  </si>
  <si>
    <t>TotalVariableOMPerMWhUserInput</t>
  </si>
  <si>
    <t>Air and Water Cost Regional Lookup Table</t>
  </si>
  <si>
    <t>Natural Gas Utility</t>
  </si>
  <si>
    <t>DO NOT DELETE COLUMS OR ROWS, USE DELETE KEY OR CLEAR CONTENTS COMMAND TO DELETE VALUES</t>
  </si>
  <si>
    <t>Water Supply</t>
  </si>
  <si>
    <t>Water Cooling</t>
  </si>
  <si>
    <t>Gross Capacity (MW)</t>
  </si>
  <si>
    <t>Equity %</t>
  </si>
  <si>
    <t>Cost of Equity</t>
  </si>
  <si>
    <t>Cost of Debt</t>
  </si>
  <si>
    <t>Cost %/Year 0</t>
  </si>
  <si>
    <t>Salary</t>
  </si>
  <si>
    <t>Annual production (units/kW)</t>
  </si>
  <si>
    <t>Processing costs ($/unit)</t>
  </si>
  <si>
    <t>Shipping costs ($/unit)</t>
  </si>
  <si>
    <t xml:space="preserve"> Yield Curve Rates</t>
  </si>
  <si>
    <t xml:space="preserve"> Real Yield Curve Rates</t>
  </si>
  <si>
    <t>http://www.treas.gov/offices/domestic-finance/debt-management/interest-rate/real_yield.shtml</t>
  </si>
  <si>
    <t xml:space="preserve"> Implied Inflation</t>
  </si>
  <si>
    <t>Revenues ($/unit)</t>
  </si>
  <si>
    <t xml:space="preserve">  Installation Cost ($/kW)</t>
  </si>
  <si>
    <t xml:space="preserve">  Replacement Cost ($/kW)</t>
  </si>
  <si>
    <t xml:space="preserve">  Collection and hauling ($/ton)</t>
  </si>
  <si>
    <t xml:space="preserve">  Landfill tipping fees ($/ton)</t>
  </si>
  <si>
    <t>Development Costs</t>
  </si>
  <si>
    <t>Predevelopment Expenses</t>
  </si>
  <si>
    <t>Commitment Fee</t>
  </si>
  <si>
    <t>Periodic Routine Maintenance Costs</t>
  </si>
  <si>
    <t xml:space="preserve">  Construction Insurance &amp; Installation</t>
  </si>
  <si>
    <t>Acreage/MW</t>
  </si>
  <si>
    <t>Total Environmental Controls Costs</t>
  </si>
  <si>
    <t>Transformer Losses</t>
  </si>
  <si>
    <t>WellField Costs</t>
  </si>
  <si>
    <t>Well clean out</t>
  </si>
  <si>
    <t>Well pumps maintenance</t>
  </si>
  <si>
    <t>Brine chemicals</t>
  </si>
  <si>
    <t>Misc.</t>
  </si>
  <si>
    <r>
      <t xml:space="preserve">Cost Factors - </t>
    </r>
    <r>
      <rPr>
        <sz val="10"/>
        <rFont val="Arial"/>
        <family val="2"/>
      </rPr>
      <t>Used in Income Statement</t>
    </r>
  </si>
  <si>
    <t xml:space="preserve"> (Fixed Costs)</t>
  </si>
  <si>
    <t xml:space="preserve"> (Variable Costs)</t>
  </si>
  <si>
    <t>Discount Rate (WACC)</t>
  </si>
  <si>
    <t>Loan/Debt Term (Years)</t>
  </si>
  <si>
    <t>Economic/Book Life (Years)</t>
  </si>
  <si>
    <t>Federal Tax Life (Years)</t>
  </si>
  <si>
    <t>State Tax Life (Years)</t>
  </si>
  <si>
    <t>Service Time to Scheduled Outage (Hours)</t>
  </si>
  <si>
    <t xml:space="preserve"> Acreage/MW</t>
  </si>
  <si>
    <t xml:space="preserve"> Additional Occupied Acreage</t>
  </si>
  <si>
    <t>Consumable Maintenance Costs</t>
  </si>
  <si>
    <t>Annual Maintenance Costs</t>
  </si>
  <si>
    <t xml:space="preserve">  Labor (hrs)</t>
  </si>
  <si>
    <t xml:space="preserve">  Labor/day</t>
  </si>
  <si>
    <t xml:space="preserve"> </t>
  </si>
  <si>
    <t xml:space="preserve">  Fuel Filter Price</t>
  </si>
  <si>
    <t xml:space="preserve">  Fuel Filter Interval</t>
  </si>
  <si>
    <t>FOR REFERENCE ONLY: BASED ON ASSET RENTAL PRICE</t>
  </si>
  <si>
    <t xml:space="preserve">  Oil Change Interval (hrs)</t>
  </si>
  <si>
    <t xml:space="preserve">  Oil Filter Price (hrs)</t>
  </si>
  <si>
    <t xml:space="preserve">  Oil Price ($/gal.)</t>
  </si>
  <si>
    <t xml:space="preserve">  Oil Capacity (gal.)</t>
  </si>
  <si>
    <t xml:space="preserve">  Oil Added per Day (gal.)</t>
  </si>
  <si>
    <t xml:space="preserve">  WellField Costs</t>
  </si>
  <si>
    <t>EligibleGeothermalDepletion</t>
  </si>
  <si>
    <t>Apply Geothermal Depletion Allowance</t>
  </si>
  <si>
    <t xml:space="preserve">  Misc.</t>
  </si>
  <si>
    <t>Variable - RTCs &amp; Mitigation Fees</t>
  </si>
  <si>
    <t>Water Supply ($/Acre Foot)</t>
  </si>
  <si>
    <t>Water Supply Costs ($/MWh)</t>
  </si>
  <si>
    <t>Tax On Return On Equity (for GDA)</t>
  </si>
  <si>
    <t>Legacy Entries</t>
  </si>
  <si>
    <t>Total Component Cost</t>
  </si>
  <si>
    <t xml:space="preserve">  Predevelopment Expenses</t>
  </si>
  <si>
    <t xml:space="preserve">  Commitment Fee</t>
  </si>
  <si>
    <t xml:space="preserve"> Total Acres</t>
  </si>
  <si>
    <t xml:space="preserve">  Acquisition Cost</t>
  </si>
  <si>
    <t xml:space="preserve">  Total Land Prep Costs</t>
  </si>
  <si>
    <t>Uranium</t>
  </si>
  <si>
    <t>Tidal</t>
  </si>
  <si>
    <t>Gassified Coal</t>
  </si>
  <si>
    <t>Manure</t>
  </si>
  <si>
    <t>Levelized Cost ($/MWh)</t>
  </si>
  <si>
    <t>Fuel Price Multiplier</t>
  </si>
  <si>
    <t>Relative Change</t>
  </si>
  <si>
    <t>Installed Cost</t>
  </si>
  <si>
    <t>Capital Cost</t>
  </si>
  <si>
    <t>Annual Costs</t>
  </si>
  <si>
    <t xml:space="preserve">  Control Technology (Eg SCR) </t>
  </si>
  <si>
    <t xml:space="preserve">  Control Technology (Eg Wastewater) Capital Costs</t>
  </si>
  <si>
    <t xml:space="preserve">  Installation Costs</t>
  </si>
  <si>
    <t xml:space="preserve">  Forced Outage Hours/Year</t>
  </si>
  <si>
    <t xml:space="preserve">  Parts Costs</t>
  </si>
  <si>
    <t>Total Development Costs</t>
  </si>
  <si>
    <t>Total Land Costs</t>
  </si>
  <si>
    <t>Total Interconnection Costs</t>
  </si>
  <si>
    <t>Total Permitting Costs</t>
  </si>
  <si>
    <t>Total Consumable Maintenance Costs</t>
  </si>
  <si>
    <t xml:space="preserve">  Major Overhaul Replacement</t>
  </si>
  <si>
    <t>Total Cost Per Overhaul</t>
  </si>
  <si>
    <t>Annual Cost Item 3 (incl labor)</t>
  </si>
  <si>
    <t>Hrs to Item 3 Job:</t>
  </si>
  <si>
    <t>Total Unscheduled Maintenance Costs</t>
  </si>
  <si>
    <t>Well Field Costs (Annual)</t>
  </si>
  <si>
    <t>Total Well Field Costs</t>
  </si>
  <si>
    <t>Total Annual Solid Waste Disposal Costs</t>
  </si>
  <si>
    <t>Emissions</t>
  </si>
  <si>
    <t>Instructions</t>
  </si>
  <si>
    <t>ROE</t>
  </si>
  <si>
    <t>Utilities</t>
  </si>
  <si>
    <t>Year</t>
  </si>
  <si>
    <t>Calpine</t>
  </si>
  <si>
    <t>SCE</t>
  </si>
  <si>
    <t>AES</t>
  </si>
  <si>
    <t xml:space="preserve">Updated </t>
  </si>
  <si>
    <t>$/Mmbtu</t>
  </si>
  <si>
    <t xml:space="preserve">    Energy Costs (Incl. in Var. Costs)</t>
  </si>
  <si>
    <t xml:space="preserve">  CSI Duration (years)</t>
  </si>
  <si>
    <t xml:space="preserve">  REPI Tier I Proportion Paid</t>
  </si>
  <si>
    <t>REPITierIPaid</t>
  </si>
  <si>
    <t>Portion of REPI Tier I Actually Paid</t>
  </si>
  <si>
    <t>CSI_PBI</t>
  </si>
  <si>
    <t>CA Solar Initiative PBI</t>
  </si>
  <si>
    <t>CSIDuration</t>
  </si>
  <si>
    <t>CSI Duration (years)</t>
  </si>
  <si>
    <t>SolarPropTax</t>
  </si>
  <si>
    <t>CA Solar Property Tax Exemption</t>
  </si>
  <si>
    <t>Data Assumptions summary of all Financial Data.</t>
  </si>
  <si>
    <t>Regional Air Emissions &amp; Water Costs - Used by Data 2 Worksheet.</t>
  </si>
  <si>
    <t>Calculates the Labor Cost components.</t>
  </si>
  <si>
    <t xml:space="preserve">  Solar installed capacity forecast at time of construction</t>
  </si>
  <si>
    <t>MW</t>
  </si>
  <si>
    <t xml:space="preserve">  SGIP Rebate $/kW</t>
  </si>
  <si>
    <t>CSI</t>
  </si>
  <si>
    <t>/kW</t>
  </si>
  <si>
    <t>Effective Capacity (MW)</t>
  </si>
  <si>
    <t xml:space="preserve">Effective </t>
  </si>
  <si>
    <t>SCG</t>
  </si>
  <si>
    <t>Labor Escalation Cost (above Inflation)</t>
  </si>
  <si>
    <t xml:space="preserve">Insurance </t>
  </si>
  <si>
    <t>Steam</t>
  </si>
  <si>
    <t>Var O&amp;M Costs</t>
  </si>
  <si>
    <t xml:space="preserve">  $/kW-yr</t>
  </si>
  <si>
    <t>State Tax Depreciation</t>
  </si>
  <si>
    <t>Straight Line</t>
  </si>
  <si>
    <t>Decl. Bal.</t>
  </si>
  <si>
    <t>Accumulated Depreciation</t>
  </si>
  <si>
    <t>Book Value/Ratebase</t>
  </si>
  <si>
    <t>Hours/Yr</t>
  </si>
  <si>
    <t>Federal Tax</t>
  </si>
  <si>
    <t>Default</t>
  </si>
  <si>
    <t>The Worksheets are color coded to assist in understanding the model.</t>
  </si>
  <si>
    <t>ROUTINE MAINTENANCE</t>
  </si>
  <si>
    <t>SCHEDULED MAINTENANCE COSTS</t>
  </si>
  <si>
    <t>Total Routine Maintenance Costs</t>
  </si>
  <si>
    <t>UNSCHEDULED/FORCED OUTAGE COSTS</t>
  </si>
  <si>
    <t xml:space="preserve">Return Of Equity </t>
  </si>
  <si>
    <t>FLAGS: LOOK FOR RED</t>
  </si>
  <si>
    <t>Flag:  State Tax Confirm (59) = State Taxes (60)</t>
  </si>
  <si>
    <t>Flag:  Fed Tax Confirm (63) = Fed Taxes (64)</t>
  </si>
  <si>
    <t>BALANCING CHECKS: Look for "Error" in Col C</t>
  </si>
  <si>
    <t>(Initial calculations for tax credits only to avoid circular reference)</t>
  </si>
  <si>
    <t>Ad Valorem Costs</t>
  </si>
  <si>
    <t>Overhaul Calcs</t>
  </si>
  <si>
    <t>Total Employee Compensation Per Hour - Power Generation</t>
  </si>
  <si>
    <t>Adjusted Costs</t>
  </si>
  <si>
    <t>All</t>
  </si>
  <si>
    <t>Union</t>
  </si>
  <si>
    <t>Pacific</t>
  </si>
  <si>
    <t>&gt;500 Emp.</t>
  </si>
  <si>
    <t>Utilities, etc.</t>
  </si>
  <si>
    <t>Admin. support</t>
  </si>
  <si>
    <t>Maint &amp; Repair</t>
  </si>
  <si>
    <t xml:space="preserve">Before Tax Income </t>
  </si>
  <si>
    <t>Mgmt.</t>
  </si>
  <si>
    <t>Adjust: Pacific &amp; Union</t>
  </si>
  <si>
    <t>Adjust: Pacific &amp; &gt;500</t>
  </si>
  <si>
    <t xml:space="preserve"> Wage &amp; Salary</t>
  </si>
  <si>
    <t xml:space="preserve">  Paid Leave</t>
  </si>
  <si>
    <t>Return for After-tax WACC</t>
  </si>
  <si>
    <r>
      <t>3.</t>
    </r>
    <r>
      <rPr>
        <sz val="12"/>
        <rFont val="Arial"/>
        <family val="2"/>
      </rPr>
      <t xml:space="preserve"> Read Levelized Costs in the "Output Results" table on the</t>
    </r>
    <r>
      <rPr>
        <b/>
        <sz val="12"/>
        <rFont val="Arial"/>
        <family val="2"/>
      </rPr>
      <t xml:space="preserve"> INPUT-OUTPUT</t>
    </r>
    <r>
      <rPr>
        <sz val="12"/>
        <rFont val="Arial"/>
        <family val="2"/>
      </rPr>
      <t xml:space="preserve"> Worksheet.</t>
    </r>
  </si>
  <si>
    <t xml:space="preserve">    Standard Technologies can be selected in the "Input Selection" table.</t>
  </si>
  <si>
    <t xml:space="preserve">  Supplemental Pay</t>
  </si>
  <si>
    <t xml:space="preserve">  Insurance</t>
  </si>
  <si>
    <t xml:space="preserve">  Retirement</t>
  </si>
  <si>
    <t xml:space="preserve">  Fed &amp; State Taxes</t>
  </si>
  <si>
    <t xml:space="preserve">  Other</t>
  </si>
  <si>
    <t xml:space="preserve"> Overhead</t>
  </si>
  <si>
    <t>Annual Salary</t>
  </si>
  <si>
    <t>Load</t>
  </si>
  <si>
    <t>Relative</t>
  </si>
  <si>
    <t xml:space="preserve">  Total</t>
  </si>
  <si>
    <t xml:space="preserve">  Wage &amp; Salary</t>
  </si>
  <si>
    <t xml:space="preserve">  Load</t>
  </si>
  <si>
    <t>Utility Plant Specific Labor Costs</t>
  </si>
  <si>
    <t>Load Adjustment</t>
  </si>
  <si>
    <t>Fuel Type (Accept Default)</t>
  </si>
  <si>
    <t>MonthYear5</t>
  </si>
  <si>
    <t>Year5</t>
  </si>
  <si>
    <t>Asset Rental Total Costs</t>
  </si>
  <si>
    <t>Total Levelized Costs</t>
  </si>
  <si>
    <t>Calculated Major Overhaul Costs</t>
  </si>
  <si>
    <t>Calculated Minor Overhauls Costs</t>
  </si>
  <si>
    <t>Return On Equity</t>
  </si>
  <si>
    <t>Total Fixed O&amp;M ($/kW-Yr)</t>
  </si>
  <si>
    <t>FIXED O&amp;M COSTS</t>
  </si>
  <si>
    <t>VARIABLE O&amp;M COSTS</t>
  </si>
  <si>
    <t>INPUT SELECTION</t>
  </si>
  <si>
    <t>KEY DATA VALUES</t>
  </si>
  <si>
    <t>Input Coding</t>
  </si>
  <si>
    <t>SUMMARY OF LEVELIZED COSTS</t>
  </si>
  <si>
    <t>Ownership Type For Scenarios</t>
  </si>
  <si>
    <t>Net Capacity Factor (NCF)</t>
  </si>
  <si>
    <t>Operational (Service) Hours Per Year</t>
  </si>
  <si>
    <t>Regions</t>
  </si>
  <si>
    <t>Oil Period</t>
  </si>
  <si>
    <t>Month</t>
  </si>
  <si>
    <t>kWh</t>
  </si>
  <si>
    <t>MWh</t>
  </si>
  <si>
    <t>OR</t>
  </si>
  <si>
    <t>Hour</t>
  </si>
  <si>
    <t>Equivalent Availability Factor</t>
  </si>
  <si>
    <t>Cost of Capital</t>
  </si>
  <si>
    <t xml:space="preserve"> Fixed Costs</t>
  </si>
  <si>
    <t xml:space="preserve"> Variable Costs</t>
  </si>
  <si>
    <t>Capital Costs $/kW</t>
  </si>
  <si>
    <t>Fixed O&amp;M Costs</t>
  </si>
  <si>
    <t>Total Levelized Costs ($/MWh)</t>
  </si>
  <si>
    <t>Instant</t>
  </si>
  <si>
    <t>Installed</t>
  </si>
  <si>
    <t>Fixed Debt (Principal)</t>
  </si>
  <si>
    <t>Time to Major Overhaul:</t>
  </si>
  <si>
    <t>Plant Site Region</t>
  </si>
  <si>
    <t>Common Assumptions</t>
  </si>
  <si>
    <t>PctEquity</t>
  </si>
  <si>
    <t>EquityRate</t>
  </si>
  <si>
    <t>DebtRate</t>
  </si>
  <si>
    <t>StartYr</t>
  </si>
  <si>
    <t>UtilityArea</t>
  </si>
  <si>
    <t>REPTC (Tax Credit)</t>
  </si>
  <si>
    <t>%</t>
  </si>
  <si>
    <t>Total Overnight Cost</t>
  </si>
  <si>
    <t>CapitalCostEscalationRate</t>
  </si>
  <si>
    <t>FedTaxRate</t>
  </si>
  <si>
    <t>StateTaxRate</t>
  </si>
  <si>
    <t>AdValoremTaxRate</t>
  </si>
  <si>
    <t>SalesTaxRate</t>
  </si>
  <si>
    <t>FinancialTransactionCostPct</t>
  </si>
  <si>
    <r>
      <t>2.</t>
    </r>
    <r>
      <rPr>
        <sz val="12"/>
        <rFont val="Arial"/>
        <family val="2"/>
      </rPr>
      <t xml:space="preserve"> Go to </t>
    </r>
    <r>
      <rPr>
        <b/>
        <sz val="12"/>
        <rFont val="Arial"/>
        <family val="2"/>
      </rPr>
      <t>INPUT-OUTPUT</t>
    </r>
    <r>
      <rPr>
        <sz val="12"/>
        <rFont val="Arial"/>
        <family val="2"/>
      </rPr>
      <t xml:space="preserve"> Worksheet and follow instructions for entering data and saving scenarios.</t>
    </r>
  </si>
  <si>
    <t>Item 1</t>
  </si>
  <si>
    <t>Item 2</t>
  </si>
  <si>
    <t>Item 3</t>
  </si>
  <si>
    <t>Item 4</t>
  </si>
  <si>
    <t>Item 5</t>
  </si>
  <si>
    <t>Item 6</t>
  </si>
  <si>
    <t>Item 7</t>
  </si>
  <si>
    <t>Item 8</t>
  </si>
  <si>
    <t>Item 9</t>
  </si>
  <si>
    <t>Label for Item 1</t>
  </si>
  <si>
    <t>Label for Item 2</t>
  </si>
  <si>
    <t>Label for Item 3</t>
  </si>
  <si>
    <t>Label for Item 4</t>
  </si>
  <si>
    <t>Label for Item 5</t>
  </si>
  <si>
    <t>Label for Item 6</t>
  </si>
  <si>
    <t>Label for Item 7</t>
  </si>
  <si>
    <t>Label for Item 8</t>
  </si>
  <si>
    <t>Label for Item 9</t>
  </si>
  <si>
    <t>Maintenance Interval</t>
  </si>
  <si>
    <t>Materials/Supplies</t>
  </si>
  <si>
    <t>$B$2</t>
  </si>
  <si>
    <t>$B$14</t>
  </si>
  <si>
    <t>$B$15</t>
  </si>
  <si>
    <t>$B$17</t>
  </si>
  <si>
    <t>Avg_Output</t>
  </si>
  <si>
    <t>$B$23</t>
  </si>
  <si>
    <t>Debt_Term</t>
  </si>
  <si>
    <t>Book_Life</t>
  </si>
  <si>
    <t>Fed_Life</t>
  </si>
  <si>
    <t>State_Life</t>
  </si>
  <si>
    <t>Heat_Rate</t>
  </si>
  <si>
    <t>$B$59</t>
  </si>
  <si>
    <t>$B$60</t>
  </si>
  <si>
    <t>$F$28</t>
  </si>
  <si>
    <t>$G$28</t>
  </si>
  <si>
    <t>$H$28</t>
  </si>
  <si>
    <t>$I$28</t>
  </si>
  <si>
    <t>$J$28</t>
  </si>
  <si>
    <t>Availability</t>
  </si>
  <si>
    <t>Equip_Life</t>
  </si>
  <si>
    <t>Overhaul_Interval</t>
  </si>
  <si>
    <t>Maint_Out</t>
  </si>
  <si>
    <t>Forced_Out</t>
  </si>
  <si>
    <t>$F$47</t>
  </si>
  <si>
    <t>$F$48</t>
  </si>
  <si>
    <t>$F$49</t>
  </si>
  <si>
    <t>$F$50</t>
  </si>
  <si>
    <t>$F$51</t>
  </si>
  <si>
    <t>$G$47</t>
  </si>
  <si>
    <t>$G$48</t>
  </si>
  <si>
    <t>$G$49</t>
  </si>
  <si>
    <t>$G$50</t>
  </si>
  <si>
    <t>$G$51</t>
  </si>
  <si>
    <t>$H$47</t>
  </si>
  <si>
    <t>$H$48</t>
  </si>
  <si>
    <t>$H$49</t>
  </si>
  <si>
    <t>$H$50</t>
  </si>
  <si>
    <t>$H$51</t>
  </si>
  <si>
    <t>$F$54</t>
  </si>
  <si>
    <t>$F$55</t>
  </si>
  <si>
    <t>$F$56</t>
  </si>
  <si>
    <t>$F$58</t>
  </si>
  <si>
    <t>$F$59</t>
  </si>
  <si>
    <t>$F$66</t>
  </si>
  <si>
    <t>$M$4</t>
  </si>
  <si>
    <t>$M$5</t>
  </si>
  <si>
    <t>$M$6</t>
  </si>
  <si>
    <t>$M$7</t>
  </si>
  <si>
    <t>$M$8</t>
  </si>
  <si>
    <t>$M$9</t>
  </si>
  <si>
    <t>$M$10</t>
  </si>
  <si>
    <t>$M$11</t>
  </si>
  <si>
    <t>$M$12</t>
  </si>
  <si>
    <t>$L$4</t>
  </si>
  <si>
    <t>$L$5</t>
  </si>
  <si>
    <t>$L$6</t>
  </si>
  <si>
    <t>$L$7</t>
  </si>
  <si>
    <t>$L$8</t>
  </si>
  <si>
    <t>$L$9</t>
  </si>
  <si>
    <t>$L$10</t>
  </si>
  <si>
    <t>$L$11</t>
  </si>
  <si>
    <t>$L$12</t>
  </si>
  <si>
    <t>$M$15</t>
  </si>
  <si>
    <t>$M$16</t>
  </si>
  <si>
    <t>$M$17</t>
  </si>
  <si>
    <t>$M$19</t>
  </si>
  <si>
    <t>$M$20</t>
  </si>
  <si>
    <t>$M$21</t>
  </si>
  <si>
    <t>$M$22</t>
  </si>
  <si>
    <t>$M$24</t>
  </si>
  <si>
    <t>$M$27</t>
  </si>
  <si>
    <t>$M$28</t>
  </si>
  <si>
    <t>$M$31</t>
  </si>
  <si>
    <t>$M$32</t>
  </si>
  <si>
    <t>$M$33</t>
  </si>
  <si>
    <t>$M$35</t>
  </si>
  <si>
    <t>$M$36</t>
  </si>
  <si>
    <t>$M$40</t>
  </si>
  <si>
    <t>$M$41</t>
  </si>
  <si>
    <t>$M$42</t>
  </si>
  <si>
    <t>$M$43</t>
  </si>
  <si>
    <t>$M$44</t>
  </si>
  <si>
    <t>$M$45</t>
  </si>
  <si>
    <t>$M$46</t>
  </si>
  <si>
    <t>$M$47</t>
  </si>
  <si>
    <t>$M$48</t>
  </si>
  <si>
    <t>$M$49</t>
  </si>
  <si>
    <t>$M$50</t>
  </si>
  <si>
    <t>$M$51</t>
  </si>
  <si>
    <t>$M$52</t>
  </si>
  <si>
    <t>$M$60</t>
  </si>
  <si>
    <t>$M$63</t>
  </si>
  <si>
    <t>$M$66</t>
  </si>
  <si>
    <t>$M$67</t>
  </si>
  <si>
    <t>$M$68</t>
  </si>
  <si>
    <t>$M$69</t>
  </si>
  <si>
    <t>$M$81</t>
  </si>
  <si>
    <t>$R$7</t>
  </si>
  <si>
    <t>$R$8</t>
  </si>
  <si>
    <t>$R$11</t>
  </si>
  <si>
    <t>$R$12</t>
  </si>
  <si>
    <t>$R$13</t>
  </si>
  <si>
    <t>$R$18</t>
  </si>
  <si>
    <t>$R$19</t>
  </si>
  <si>
    <t>$R$22</t>
  </si>
  <si>
    <t>$R$23</t>
  </si>
  <si>
    <t>$R$24</t>
  </si>
  <si>
    <t>$R$29</t>
  </si>
  <si>
    <t>$R$30</t>
  </si>
  <si>
    <t>$R$31</t>
  </si>
  <si>
    <t>$R$34</t>
  </si>
  <si>
    <t>$R$35</t>
  </si>
  <si>
    <t>$R$36</t>
  </si>
  <si>
    <t>$R$43</t>
  </si>
  <si>
    <t>$R$44</t>
  </si>
  <si>
    <t>$R$45</t>
  </si>
  <si>
    <t>$R$46</t>
  </si>
  <si>
    <t>GrossMW</t>
  </si>
  <si>
    <t>AnnCapDegredationRate</t>
  </si>
  <si>
    <t>DebtTerm</t>
  </si>
  <si>
    <t>BookLife</t>
  </si>
  <si>
    <t>FedTaxLife</t>
  </si>
  <si>
    <t>StateTaxLife</t>
  </si>
  <si>
    <t>StartUpFuel</t>
  </si>
  <si>
    <t>AnnualStarts</t>
  </si>
  <si>
    <t>Year0</t>
  </si>
  <si>
    <t>Year1</t>
  </si>
  <si>
    <t>Year2</t>
  </si>
  <si>
    <t>Year3</t>
  </si>
  <si>
    <t>Year4</t>
  </si>
  <si>
    <t>EquipLifeYears</t>
  </si>
  <si>
    <t>MajorOverhaulInterval</t>
  </si>
  <si>
    <t>ManagerFTE</t>
  </si>
  <si>
    <t>SupportStaffFTE</t>
  </si>
  <si>
    <t>ManagerHrs</t>
  </si>
  <si>
    <t>SupportStaffHrs</t>
  </si>
  <si>
    <t>ManagerSalary</t>
  </si>
  <si>
    <t>SupportStaffWage</t>
  </si>
  <si>
    <t>OMEscalation</t>
  </si>
  <si>
    <t>InsurancePct</t>
  </si>
  <si>
    <t>OverheadMultiplier</t>
  </si>
  <si>
    <t>WaterConsumptionAF</t>
  </si>
  <si>
    <t>BOE Property Tax Depreciation Factor</t>
  </si>
  <si>
    <t>PredevelopmentExpense</t>
  </si>
  <si>
    <t>ConstructionInsurance</t>
  </si>
  <si>
    <t>CommitmentFee</t>
  </si>
  <si>
    <t>AcrePerMW</t>
  </si>
  <si>
    <t>AcrePerPlant</t>
  </si>
  <si>
    <t>Fuel Use Summary</t>
  </si>
  <si>
    <t>Average  Heat Rate (Btu/kWh)</t>
  </si>
  <si>
    <t>Fuel Use (MMBtu)</t>
  </si>
  <si>
    <t>AdditionalAcreage</t>
  </si>
  <si>
    <t>CostPerAcre</t>
  </si>
  <si>
    <t>LandPrepCostPerAcre</t>
  </si>
  <si>
    <t>LocalBuildingPermitCost</t>
  </si>
  <si>
    <t>EnvironmenalPermitCost</t>
  </si>
  <si>
    <t>MajorOverhaulLabor</t>
  </si>
  <si>
    <t>MajorOverhaulReplacementCost</t>
  </si>
  <si>
    <t>MinorOverhaulItem1</t>
  </si>
  <si>
    <t>MinorOverhaulItem1Hrs</t>
  </si>
  <si>
    <t>MinorOverhaulItem2</t>
  </si>
  <si>
    <t>MinorOverhaulItem2Hrs</t>
  </si>
  <si>
    <t>MinorOverhaulItem3</t>
  </si>
  <si>
    <t>MinorOverhaulItem3Hrs</t>
  </si>
  <si>
    <t>UnschdMaintenancePartsCost</t>
  </si>
  <si>
    <t>AirControlInstallCost</t>
  </si>
  <si>
    <t>AirControlAnnualLabor</t>
  </si>
  <si>
    <t>AirControlAnnualConsumables</t>
  </si>
  <si>
    <t>AirControlReplacementCost</t>
  </si>
  <si>
    <t>AirControlComponentLife</t>
  </si>
  <si>
    <t>WaterControlInstallCost</t>
  </si>
  <si>
    <t>WaterControlAnnualLabor</t>
  </si>
  <si>
    <t>WaterControlAnnualConsumables</t>
  </si>
  <si>
    <t>WaterControlReplacementCost</t>
  </si>
  <si>
    <t>WaterControlComponentLife</t>
  </si>
  <si>
    <t>NonHazardTonsPerYear</t>
  </si>
  <si>
    <t>NonHazardCollectionCost</t>
  </si>
  <si>
    <t>NonHazardTippingCost</t>
  </si>
  <si>
    <t>HazardTonsPerYear</t>
  </si>
  <si>
    <t>HazardCollectionCost</t>
  </si>
  <si>
    <t>HazardTippingCost</t>
  </si>
  <si>
    <t>Byproduct1LbsPerkW</t>
  </si>
  <si>
    <t>Byproduct1ProcessingCostPerLb</t>
  </si>
  <si>
    <t>Byproduct1ShippingCostPerLb</t>
  </si>
  <si>
    <t>Byproduct1RevenuesPerLb</t>
  </si>
  <si>
    <t>ComponentCost1</t>
  </si>
  <si>
    <t>ComponentCost2</t>
  </si>
  <si>
    <t>ComponentCost3</t>
  </si>
  <si>
    <t>ComponentCost4</t>
  </si>
  <si>
    <t>ComponentCost5</t>
  </si>
  <si>
    <t>ComponentCost6</t>
  </si>
  <si>
    <t>ComponentCost7</t>
  </si>
  <si>
    <t>Total Periodic Routine Maintenance Costs</t>
  </si>
  <si>
    <t>ComponentCost8</t>
  </si>
  <si>
    <t>ComponentCost9</t>
  </si>
  <si>
    <t>ComponentName1</t>
  </si>
  <si>
    <t>ComponentName2</t>
  </si>
  <si>
    <t>ComponentName3</t>
  </si>
  <si>
    <t>ComponentName4</t>
  </si>
  <si>
    <t>ComponentName5</t>
  </si>
  <si>
    <t>ComponentName6</t>
  </si>
  <si>
    <t>ComponentName7</t>
  </si>
  <si>
    <t>ComponentName8</t>
  </si>
  <si>
    <t>ComponentName9</t>
  </si>
  <si>
    <t>Maintenance Cost 1</t>
  </si>
  <si>
    <t>Maintenance Cost 2</t>
  </si>
  <si>
    <t>Maintenance Cost 3</t>
  </si>
  <si>
    <t>Maintenance Cost 4</t>
  </si>
  <si>
    <t>Maintenance Cost 5</t>
  </si>
  <si>
    <t xml:space="preserve">Ratio of </t>
  </si>
  <si>
    <t>Installed to</t>
  </si>
  <si>
    <t>Maintenance Cost 6</t>
  </si>
  <si>
    <t>Maintenance Cost 7</t>
  </si>
  <si>
    <t>Maintenance Cost 8</t>
  </si>
  <si>
    <t>Maintenance Cost Label 1</t>
  </si>
  <si>
    <t>2003 IEPR</t>
  </si>
  <si>
    <t>Maintenance Cost Label 2</t>
  </si>
  <si>
    <t>Maintenance Cost Label 3</t>
  </si>
  <si>
    <t>Maintenance Cost Label 4</t>
  </si>
  <si>
    <t>Maintenance Cost Label 5</t>
  </si>
  <si>
    <t>Total Income Requirement with Level ROE</t>
  </si>
  <si>
    <t>Difference Level ROE vs. Cash Flow</t>
  </si>
  <si>
    <t>Maintenance Cost Label 6</t>
  </si>
  <si>
    <t>Maintenance Cost Label 7</t>
  </si>
  <si>
    <t xml:space="preserve">Return On Equity </t>
  </si>
  <si>
    <t>Transformer_Losses</t>
  </si>
  <si>
    <t>MaintenanceCost1</t>
  </si>
  <si>
    <t>Study Basis</t>
  </si>
  <si>
    <r>
      <t xml:space="preserve">Study Perspective </t>
    </r>
    <r>
      <rPr>
        <b/>
        <sz val="10"/>
        <color indexed="10"/>
        <rFont val="Arial"/>
        <family val="2"/>
      </rPr>
      <t>(Select)</t>
    </r>
  </si>
  <si>
    <r>
      <t xml:space="preserve">Reported Construction Cost Basis </t>
    </r>
    <r>
      <rPr>
        <b/>
        <sz val="10"/>
        <color indexed="10"/>
        <rFont val="Arial"/>
        <family val="2"/>
      </rPr>
      <t>(Select)</t>
    </r>
  </si>
  <si>
    <t>Capital &amp; Operating Costs</t>
  </si>
  <si>
    <t>Gross (Dependable)</t>
  </si>
  <si>
    <t xml:space="preserve">  All connection costs</t>
  </si>
  <si>
    <t xml:space="preserve">  Fuel / water / sewer costs</t>
  </si>
  <si>
    <t>LinearsCost</t>
  </si>
  <si>
    <t>Transmission interconnection</t>
  </si>
  <si>
    <t xml:space="preserve">  Transmission interconnection</t>
  </si>
  <si>
    <t>TransmissionCost</t>
  </si>
  <si>
    <t>FuelWaterSewerConnectionCost</t>
  </si>
  <si>
    <t>Eligible for Geothermal Depletion Allowance</t>
  </si>
  <si>
    <t>MaintenanceCost2</t>
  </si>
  <si>
    <t>MaintenanceCost3</t>
  </si>
  <si>
    <t>MaintenanceCost4</t>
  </si>
  <si>
    <t>MaintenanceCost5</t>
  </si>
  <si>
    <t>MaintenanceCost6</t>
  </si>
  <si>
    <t>MaintenanceCost7</t>
  </si>
  <si>
    <t>MaintenanceCost8</t>
  </si>
  <si>
    <t>MaintenanceName1</t>
  </si>
  <si>
    <t>MaintenanceName2</t>
  </si>
  <si>
    <t>MaintenanceName3</t>
  </si>
  <si>
    <t>MaintenanceName4</t>
  </si>
  <si>
    <t>MaintenanceName5</t>
  </si>
  <si>
    <t>MaintenanceName6</t>
  </si>
  <si>
    <t>MaintenanceName7</t>
  </si>
  <si>
    <t>WellFieldCostsAnnual</t>
  </si>
  <si>
    <t>WellCleanOut</t>
  </si>
  <si>
    <t>WellPumpMaintenance</t>
  </si>
  <si>
    <t>WellChemicals</t>
  </si>
  <si>
    <t>WellMisc</t>
  </si>
  <si>
    <t>LbsNOx</t>
  </si>
  <si>
    <t>LbsVOC</t>
  </si>
  <si>
    <t>LbsCO</t>
  </si>
  <si>
    <t>LbsCO2</t>
  </si>
  <si>
    <t>LbsH2S</t>
  </si>
  <si>
    <t>LbsCH4</t>
  </si>
  <si>
    <t>LbsNH3</t>
  </si>
  <si>
    <t>LbsSOx</t>
  </si>
  <si>
    <t>LbsPM10</t>
  </si>
  <si>
    <t>WaterDischargeList</t>
  </si>
  <si>
    <t>WaterDischargeThermal</t>
  </si>
  <si>
    <t>WaterDischargeInstreamFlows</t>
  </si>
  <si>
    <t>Service Time to Maintenance Outage (Hours)</t>
  </si>
  <si>
    <t>Old Sheet References</t>
  </si>
  <si>
    <t>Name</t>
  </si>
  <si>
    <t>Wages</t>
  </si>
  <si>
    <t>$/MWh</t>
  </si>
  <si>
    <t xml:space="preserve">Average Percent Output </t>
  </si>
  <si>
    <t>Debt Financed:</t>
  </si>
  <si>
    <t>Fixed Costs</t>
  </si>
  <si>
    <t>Variable Costs</t>
  </si>
  <si>
    <t>All Costs Are In Base Year Dollars</t>
  </si>
  <si>
    <t>Principal</t>
  </si>
  <si>
    <t>Base Year</t>
  </si>
  <si>
    <t>Corporate Taxes (w/Credits)</t>
  </si>
  <si>
    <t>Source Color Coding</t>
  </si>
  <si>
    <t>Input-Output</t>
  </si>
  <si>
    <t>&lt;-- Overrides above values.</t>
  </si>
  <si>
    <t>Annual Salary W/ Overhead ($)</t>
  </si>
  <si>
    <t>INPUT OVERRIDE</t>
  </si>
  <si>
    <t>Fixed O&amp;M ($/kW-Yr)</t>
  </si>
  <si>
    <t>Variable O&amp;M ($/MWh)</t>
  </si>
  <si>
    <t>Average Output During Operation</t>
  </si>
  <si>
    <t>Forced Outage Rate (FOR)</t>
  </si>
  <si>
    <t>ForcedOutageRate</t>
  </si>
  <si>
    <t>Modeled Scheduled Outage Factor</t>
  </si>
  <si>
    <t>Final Planned Operational Hours</t>
  </si>
  <si>
    <t>State Taxes</t>
  </si>
  <si>
    <t>Federal Taxes</t>
  </si>
  <si>
    <t>Debt Payment</t>
  </si>
  <si>
    <t>Net (After-Tax) Income</t>
  </si>
  <si>
    <t>$/kW-Yr</t>
  </si>
  <si>
    <t>$/MMBtu</t>
  </si>
  <si>
    <t>Fuel Price</t>
  </si>
  <si>
    <t>Spark Spread</t>
  </si>
  <si>
    <t xml:space="preserve"> Btu/KWh</t>
  </si>
  <si>
    <t xml:space="preserve">  BETC Calculation</t>
  </si>
  <si>
    <t>EligibleBETC</t>
  </si>
  <si>
    <t xml:space="preserve">  BETC Limit ($)</t>
  </si>
  <si>
    <t>BETCLimitPct</t>
  </si>
  <si>
    <t>Book Depreciation Rate</t>
  </si>
  <si>
    <t>Maintenance Cost Detail ($)</t>
  </si>
  <si>
    <t>Annual Salary W/ Overhead ($/kW-Yr)</t>
  </si>
  <si>
    <t>Fed Tax Depreciation Rate</t>
  </si>
  <si>
    <t xml:space="preserve">Fed Tax Depreciation </t>
  </si>
  <si>
    <t>State Tax Depreciation Rate</t>
  </si>
  <si>
    <t>ApplyBETC</t>
  </si>
  <si>
    <t>BETCPct</t>
  </si>
  <si>
    <t>BETCLimitDollar</t>
  </si>
  <si>
    <t>Investment Tax Credit Limit (Dollar)</t>
  </si>
  <si>
    <t xml:space="preserve">  REPI Duration</t>
  </si>
  <si>
    <t xml:space="preserve">  REPI Tier II Proportion Paid</t>
  </si>
  <si>
    <t>REPIDuration</t>
  </si>
  <si>
    <t>REPI Duration</t>
  </si>
  <si>
    <t>General Instructions &amp; Model Description.</t>
  </si>
  <si>
    <t>BLANK ROWS ARE NOT PERMITTED</t>
  </si>
  <si>
    <t xml:space="preserve">  Percentage Depletion</t>
  </si>
  <si>
    <t>GeothermalDepletionLimit</t>
  </si>
  <si>
    <t>GeothermalDepletionPct</t>
  </si>
  <si>
    <t>HeatRateDegredation</t>
  </si>
  <si>
    <t>MMBtu</t>
  </si>
  <si>
    <t>OwnerType</t>
  </si>
  <si>
    <t>Owner Type</t>
  </si>
  <si>
    <t>AverageOutputPct</t>
  </si>
  <si>
    <t>Equipment Life</t>
  </si>
  <si>
    <t>SchdOutageHours</t>
  </si>
  <si>
    <t>CPUC 2006 MPR</t>
  </si>
  <si>
    <t>Scheduled &amp; Maintenance Outage Hours</t>
  </si>
  <si>
    <t>Consumables Period</t>
  </si>
  <si>
    <t>Base Yr</t>
  </si>
  <si>
    <t>Start Yr</t>
  </si>
  <si>
    <t>Capacity &amp; Energy</t>
  </si>
  <si>
    <t>Capacity</t>
  </si>
  <si>
    <t>Energy</t>
  </si>
  <si>
    <t>(MW)</t>
  </si>
  <si>
    <t>(GWh)</t>
  </si>
  <si>
    <t>($)</t>
  </si>
  <si>
    <t>Operational Performance</t>
  </si>
  <si>
    <t>Factor</t>
  </si>
  <si>
    <t>Hours</t>
  </si>
  <si>
    <t>Scheduled Outage Factor</t>
  </si>
  <si>
    <t>Capacity Factor</t>
  </si>
  <si>
    <t>Oil per period</t>
  </si>
  <si>
    <t>Consumables Cost</t>
  </si>
  <si>
    <t>Consumables Labor</t>
  </si>
  <si>
    <t>Total Consumables Cost</t>
  </si>
  <si>
    <t>Fixed Operating Expense</t>
  </si>
  <si>
    <t>Plan/Reg Case</t>
  </si>
  <si>
    <t xml:space="preserve">  Geothermal Resource Royalty Payment</t>
  </si>
  <si>
    <t>Variable Operating Expense</t>
  </si>
  <si>
    <t>Total Operating Expense</t>
  </si>
  <si>
    <t>Consumption (AF/MWh)</t>
  </si>
  <si>
    <t>Water Consumption (AF/year)</t>
  </si>
  <si>
    <t>MakeUpWater</t>
  </si>
  <si>
    <t>Make Up Water</t>
  </si>
  <si>
    <t xml:space="preserve">  Annual Air Consumables</t>
  </si>
  <si>
    <t xml:space="preserve">  Annual Water Consumables</t>
  </si>
  <si>
    <t xml:space="preserve">  Annual Consumables-Catalyst ($/MWh)</t>
  </si>
  <si>
    <t xml:space="preserve">  Annual Consumables ($/MWh)</t>
  </si>
  <si>
    <t>Scheduled Outage Hours</t>
  </si>
  <si>
    <r>
      <t xml:space="preserve">OR </t>
    </r>
    <r>
      <rPr>
        <sz val="10"/>
        <rFont val="Arial"/>
        <family val="2"/>
      </rPr>
      <t>Scheduled Outage Factor</t>
    </r>
  </si>
  <si>
    <t>O&amp;M Escalation</t>
  </si>
  <si>
    <t>ITEMS FROM PREVIOUS VERSION OF WORKSHEETS THAT ARE NO LONGER IN USE</t>
  </si>
  <si>
    <t>Plant Type List</t>
  </si>
  <si>
    <t>General Assumptions</t>
  </si>
  <si>
    <t>AAA</t>
  </si>
  <si>
    <t>SOUTHERN CALIF PUB PWR AUTH PWR PROJ</t>
  </si>
  <si>
    <t>LOS ANGELES CALIF DEPT WTR &amp; PWR REVLOS</t>
  </si>
  <si>
    <t>ANAHEIM CALIF PUB FING AUTH REVANAHEIM</t>
  </si>
  <si>
    <t>GLENDALE CALIF ELEC REVGLENDALE CALIF</t>
  </si>
  <si>
    <t>B</t>
  </si>
  <si>
    <t>Ba3</t>
  </si>
  <si>
    <t>Reliant</t>
  </si>
  <si>
    <t>B+</t>
  </si>
  <si>
    <t>Estimates using Debt Premium</t>
  </si>
  <si>
    <t xml:space="preserve">Key Inputs </t>
  </si>
  <si>
    <t>Total Variable O&amp;M ($/MWh)</t>
  </si>
  <si>
    <t xml:space="preserve">  Emission Reduction Credits Costs</t>
  </si>
  <si>
    <t>Efficiency</t>
  </si>
  <si>
    <t>Average Annual Energy (GWh)</t>
  </si>
  <si>
    <t>http://www.treas.gov/offices/domestic-finance/debt-management/interest-rate/ltcompositeindex.shtml</t>
  </si>
  <si>
    <t/>
  </si>
  <si>
    <t xml:space="preserve">  Replacement Parts ($)</t>
  </si>
  <si>
    <t xml:space="preserve">  Materials/Supplies ($)</t>
  </si>
  <si>
    <t xml:space="preserve">  Misc Item Price ($)</t>
  </si>
  <si>
    <t>http://www.treas.gov/offices/domestic-finance/debt-management/interest-rate/yield.html</t>
  </si>
  <si>
    <t>%/Year</t>
  </si>
  <si>
    <t>MACRS Tax Tables</t>
  </si>
  <si>
    <t>BaseYr</t>
  </si>
  <si>
    <t>Equivalent Credit Ratings</t>
  </si>
  <si>
    <t>Credit Risk</t>
  </si>
  <si>
    <t>Moody's*</t>
  </si>
  <si>
    <t>Standard &amp; Poor's*</t>
  </si>
  <si>
    <t>Fitch IBCA**</t>
  </si>
  <si>
    <t>Duff &amp; Phelps**</t>
  </si>
  <si>
    <t>INVESTMENT GRADE</t>
  </si>
  <si>
    <t>Highest quality</t>
  </si>
  <si>
    <t>Aaa</t>
  </si>
  <si>
    <t>High quality (very strong)</t>
  </si>
  <si>
    <t>Aa</t>
  </si>
  <si>
    <t>AA</t>
  </si>
  <si>
    <t>Upper medium grade (strong)</t>
  </si>
  <si>
    <t>A</t>
  </si>
  <si>
    <t>Medium grade</t>
  </si>
  <si>
    <t>Baa</t>
  </si>
  <si>
    <t>BBB</t>
  </si>
  <si>
    <t>NOT INVESTMENT GRADE</t>
  </si>
  <si>
    <t>Lower medium grade (somewhat speculative)</t>
  </si>
  <si>
    <t>Ba</t>
  </si>
  <si>
    <t>BB</t>
  </si>
  <si>
    <t>Low grade (speculative)</t>
  </si>
  <si>
    <t>Poor quality (may default)</t>
  </si>
  <si>
    <t>Caa</t>
  </si>
  <si>
    <t>CCC</t>
  </si>
  <si>
    <t>Most speculative</t>
  </si>
  <si>
    <t>Ca</t>
  </si>
  <si>
    <t>CC</t>
  </si>
  <si>
    <t>No interest being paid or bankruptcy petition filed</t>
  </si>
  <si>
    <t>Checking Algorithm</t>
  </si>
  <si>
    <t>Renewable Energy Production Tax Credit (REPTC)</t>
  </si>
  <si>
    <t>C</t>
  </si>
  <si>
    <t>In default</t>
  </si>
  <si>
    <t>D</t>
  </si>
  <si>
    <t>Estimated Bond Rating</t>
  </si>
  <si>
    <t>A+</t>
  </si>
  <si>
    <t>A-</t>
  </si>
  <si>
    <t>BB+</t>
  </si>
  <si>
    <t>B-</t>
  </si>
  <si>
    <t>Source: Aswath Damodaran - Columbia University</t>
  </si>
  <si>
    <t>http://pages.stern.nyu.edu/~adamodar/</t>
  </si>
  <si>
    <t>DEBT</t>
  </si>
  <si>
    <t>Risk Premium</t>
  </si>
  <si>
    <t>Beta</t>
  </si>
  <si>
    <t>ERC Costs $/ton</t>
  </si>
  <si>
    <t>Fuel Price Truncated</t>
  </si>
  <si>
    <t>Air Emission Costs - ERC Weighted Prices</t>
  </si>
  <si>
    <t>Percent</t>
  </si>
  <si>
    <t>(AEG, "Regional Cost Differences," Draft for CEC, Dec 2002, p.8-Water Rate, )</t>
  </si>
  <si>
    <t>$/Ton-Yr</t>
  </si>
  <si>
    <t>$/AF/Year</t>
  </si>
  <si>
    <t>Months in</t>
  </si>
  <si>
    <t>Construction</t>
  </si>
  <si>
    <t>Investment Tax Credit Limit (% of remaining Tax)</t>
  </si>
  <si>
    <t>Renewable Energy Production Tax Credit</t>
  </si>
  <si>
    <t>Renewable Energy Production Tax Credit Amount</t>
  </si>
  <si>
    <t>Renewable Energy Production Tax Credit Duration</t>
  </si>
  <si>
    <t xml:space="preserve">Annual Average Heat Rate (HHV) </t>
  </si>
  <si>
    <t>ApplyGeothermalDepletion</t>
  </si>
  <si>
    <t>Equity Recovery</t>
  </si>
  <si>
    <t>Total Taxes Net Credits &amp; Incentives</t>
  </si>
  <si>
    <t>Data Source</t>
  </si>
  <si>
    <t>FuelType</t>
  </si>
  <si>
    <t>Capital &amp; Financing - Construction</t>
  </si>
  <si>
    <t>Total Annual Maintenance</t>
  </si>
  <si>
    <t>Cumulative</t>
  </si>
  <si>
    <t>Average</t>
  </si>
  <si>
    <t>Forward Looking Inflation for Annual Operating Costs</t>
  </si>
  <si>
    <t>Historical Inflation to escalate capital costs from Base Year to Start Year</t>
  </si>
  <si>
    <t>CA - Avg.</t>
  </si>
  <si>
    <t>Var. $/lb</t>
  </si>
  <si>
    <t>Cell Name</t>
  </si>
  <si>
    <t>Inflation</t>
  </si>
  <si>
    <t>MODEL STRUCTURE</t>
  </si>
  <si>
    <t>Reference</t>
  </si>
  <si>
    <t>NPV</t>
  </si>
  <si>
    <t>Btu/kWh</t>
  </si>
  <si>
    <t>Environmental Capital and O&amp;M Costs</t>
  </si>
  <si>
    <t>Total Annual Environmental O&amp;M Costs</t>
  </si>
  <si>
    <t>Total Environmental Costs ($/MWh)</t>
  </si>
  <si>
    <t>Cost $/Lb</t>
  </si>
  <si>
    <t>LbsNOxCostFix</t>
  </si>
  <si>
    <t>LbsVOCCostFix</t>
  </si>
  <si>
    <t>LbsCOCostFix</t>
  </si>
  <si>
    <t>LbsCO2CostFix</t>
  </si>
  <si>
    <t>LbsH2SCostFix</t>
  </si>
  <si>
    <t>LbsCH4CostFix</t>
  </si>
  <si>
    <t>LbsNH3CostFix</t>
  </si>
  <si>
    <t>LbsSOxCostFix</t>
  </si>
  <si>
    <t>LbsPM10CostFix</t>
  </si>
  <si>
    <t>LbsNOxCostVar</t>
  </si>
  <si>
    <t>LbsVOCCostVar</t>
  </si>
  <si>
    <t>LbsCOCostVar</t>
  </si>
  <si>
    <t>LbsCO2CostVar</t>
  </si>
  <si>
    <t>LbsH2SCostVar</t>
  </si>
  <si>
    <t>LbsCH4CostVar</t>
  </si>
  <si>
    <t>LbsNH3CostVar</t>
  </si>
  <si>
    <t>LbsSOxCostVar</t>
  </si>
  <si>
    <t>LbsPM10CostVar</t>
  </si>
  <si>
    <t>N</t>
  </si>
  <si>
    <t>Y</t>
  </si>
  <si>
    <t>Eligible for REPI</t>
  </si>
  <si>
    <t>EligibleREPI</t>
  </si>
  <si>
    <t>Eligible for Energy Tax Credit</t>
  </si>
  <si>
    <t>Eligible for RE Production Tax Credit</t>
  </si>
  <si>
    <t>EligibleREPTC</t>
  </si>
  <si>
    <t>2006 MPR - Baseload</t>
  </si>
  <si>
    <t>Annual Heat Rate Degradation</t>
  </si>
  <si>
    <t xml:space="preserve">          </t>
  </si>
  <si>
    <t xml:space="preserve">   </t>
  </si>
  <si>
    <t>M-S-R PUB PWR AGY</t>
  </si>
  <si>
    <t>(Update Treasury rates to change Merchant and IOU cost of capital)</t>
  </si>
  <si>
    <t>MonthYear0</t>
  </si>
  <si>
    <t>MonthYear1</t>
  </si>
  <si>
    <t>MonthYear2</t>
  </si>
  <si>
    <t>MonthYear3</t>
  </si>
  <si>
    <t>MonthYear4</t>
  </si>
  <si>
    <t>San Joaquin</t>
  </si>
  <si>
    <t>Central Coast</t>
  </si>
  <si>
    <t>Construction Cost Basis</t>
  </si>
  <si>
    <t>Municipal In-lieu Payment</t>
  </si>
  <si>
    <t>MuniInlieu</t>
  </si>
  <si>
    <t>Municipal in-lieu payment of property taxes</t>
  </si>
  <si>
    <t>Turbines</t>
  </si>
  <si>
    <t>Cap Structure</t>
  </si>
  <si>
    <t xml:space="preserve">   Duration</t>
  </si>
  <si>
    <t>ApplyREPTC</t>
  </si>
  <si>
    <t>REPTC</t>
  </si>
  <si>
    <t>REPTCDuration</t>
  </si>
  <si>
    <t xml:space="preserve">   REPTC Base Year</t>
  </si>
  <si>
    <t xml:space="preserve">  REPI Base Year</t>
  </si>
  <si>
    <t>REPTCBaseYr</t>
  </si>
  <si>
    <t>REPTC BaseYr</t>
  </si>
  <si>
    <t>REPIBaseYr</t>
  </si>
  <si>
    <t>REPI BaseYr</t>
  </si>
  <si>
    <t>REPI Tier</t>
  </si>
  <si>
    <t>REPITier</t>
  </si>
  <si>
    <t>N/A</t>
  </si>
  <si>
    <t>REPITierIIPaid</t>
  </si>
  <si>
    <t>Portion of REPI Tier II Actually Paid</t>
  </si>
  <si>
    <t>EnterSchdOutageFactor</t>
  </si>
  <si>
    <t>ConsumableMaintenancePeriod</t>
  </si>
  <si>
    <t>OilConsumptionPerPeriod</t>
  </si>
  <si>
    <t>OilPrice</t>
  </si>
  <si>
    <t>ConsumablesCostPerPeriod</t>
  </si>
  <si>
    <t>ConsumableLaborPerPeriod</t>
  </si>
  <si>
    <t>TotalConsumableCostPerPeriod</t>
  </si>
  <si>
    <t>Financing Costs</t>
  </si>
  <si>
    <t xml:space="preserve">      Adjusted Net Of Startup</t>
  </si>
  <si>
    <t>Confirm</t>
  </si>
  <si>
    <t>Levelized $/kW-Yr</t>
  </si>
  <si>
    <t>Levelized $/MWh</t>
  </si>
  <si>
    <t>Both</t>
  </si>
  <si>
    <t>Revenues</t>
  </si>
  <si>
    <t xml:space="preserve"> minus Fixed O&amp;M Costs</t>
  </si>
  <si>
    <t xml:space="preserve"> minus Property Taxes</t>
  </si>
  <si>
    <t xml:space="preserve"> minus Insurance</t>
  </si>
  <si>
    <t xml:space="preserve"> minus Fuel</t>
  </si>
  <si>
    <t xml:space="preserve"> minus Variable O&amp;M Costs</t>
  </si>
  <si>
    <t>Equals Operating Income</t>
  </si>
  <si>
    <t>Fed</t>
  </si>
  <si>
    <t>State</t>
  </si>
  <si>
    <t>Operating Income</t>
  </si>
  <si>
    <t xml:space="preserve">  minus Interest Expense</t>
  </si>
  <si>
    <t xml:space="preserve">  minus Depreciation</t>
  </si>
  <si>
    <t xml:space="preserve">  minus State Taxes</t>
  </si>
  <si>
    <t>Equals Taxable Income</t>
  </si>
  <si>
    <t xml:space="preserve">  Minus Interest Expense</t>
  </si>
  <si>
    <t xml:space="preserve">  Minus Principal Repayments</t>
  </si>
  <si>
    <t>Equals After tax cash flow (ROE)</t>
  </si>
  <si>
    <t xml:space="preserve">  Minus (state taxes + federal taxes)</t>
  </si>
  <si>
    <t>Plant Type Assumptions</t>
  </si>
  <si>
    <t>Equity Fee</t>
  </si>
  <si>
    <t>Title Insurance</t>
  </si>
  <si>
    <t>SR Debt Arrangement Fee</t>
  </si>
  <si>
    <t>Legal Closing</t>
  </si>
  <si>
    <t>Banking Due Diligence Exp.</t>
  </si>
  <si>
    <t>Insurance Consultant Fee</t>
  </si>
  <si>
    <t>Replacement Interval</t>
  </si>
  <si>
    <t>Replacement Parts</t>
  </si>
  <si>
    <t>Days per Schd. Outage</t>
  </si>
  <si>
    <t>Day per Main. Outage</t>
  </si>
  <si>
    <t>AFUDC Rate</t>
  </si>
  <si>
    <t>CA Average</t>
  </si>
  <si>
    <t>Insurance =</t>
  </si>
  <si>
    <t>Equity</t>
  </si>
  <si>
    <t>Debt</t>
  </si>
  <si>
    <t>Federal Tax =</t>
  </si>
  <si>
    <t>Fixed</t>
  </si>
  <si>
    <t>Interest</t>
  </si>
  <si>
    <t>Total</t>
  </si>
  <si>
    <t>Annual</t>
  </si>
  <si>
    <t>Derate Factor</t>
  </si>
  <si>
    <t>Heat Rate</t>
  </si>
  <si>
    <t>Fuel Consumption/Hour</t>
  </si>
  <si>
    <t>Hrs to Major Overhaul:</t>
  </si>
  <si>
    <t>Annualized Overhauls</t>
  </si>
  <si>
    <t>Unscheduled Maintenance</t>
  </si>
  <si>
    <t>Total Annual Maint.</t>
  </si>
  <si>
    <t>Equipment Life (Hours):</t>
  </si>
  <si>
    <t>Net Capacity</t>
  </si>
  <si>
    <t>Gross Capacity</t>
  </si>
  <si>
    <t>Firm Capacity</t>
  </si>
  <si>
    <t>Parasitic Load</t>
  </si>
  <si>
    <t>Plant Size</t>
  </si>
  <si>
    <t>Equipment Life (Years):</t>
  </si>
  <si>
    <t>Fuel Use</t>
  </si>
  <si>
    <t>Derating for firm capacity delivery</t>
  </si>
  <si>
    <t>Onsite electric loads</t>
  </si>
  <si>
    <t>Federal Tax Life:</t>
  </si>
  <si>
    <t>State Tax Life:</t>
  </si>
  <si>
    <t>MMBtu/Hr</t>
  </si>
  <si>
    <t>Operational Info.</t>
  </si>
  <si>
    <t>Construction Costs by Year</t>
  </si>
  <si>
    <t>Component Cost</t>
  </si>
  <si>
    <t>Inservice Year</t>
  </si>
  <si>
    <t>Methane</t>
  </si>
  <si>
    <t>Total Tax Rate =</t>
  </si>
  <si>
    <t>Maintenance Outage</t>
  </si>
  <si>
    <t>Forced Outage Hours/Year</t>
  </si>
  <si>
    <t>Availability/Year</t>
  </si>
  <si>
    <t>Average Hourly Output Rate</t>
  </si>
  <si>
    <t>Routine Maintenance Costs</t>
  </si>
  <si>
    <t>Major Overhauls</t>
  </si>
  <si>
    <t>Annual Routine Maintenance</t>
  </si>
  <si>
    <t>Managers</t>
  </si>
  <si>
    <t>Plant Operators</t>
  </si>
  <si>
    <t>Mechanics</t>
  </si>
  <si>
    <t>Laborers</t>
  </si>
  <si>
    <t>Support Staff</t>
  </si>
  <si>
    <t>Overhead Multiplier</t>
  </si>
  <si>
    <t>Employees</t>
  </si>
  <si>
    <t>Hours/Year</t>
  </si>
  <si>
    <t>Fuel Costs</t>
  </si>
  <si>
    <t>FTE</t>
  </si>
  <si>
    <t>Annual Salary Costs</t>
  </si>
  <si>
    <t>Hrs to Item 1 Job:</t>
  </si>
  <si>
    <t>Hrs to Item 2 Job:</t>
  </si>
  <si>
    <t>Major Overhaul Replacement</t>
  </si>
  <si>
    <t>Major Overhaul Labor Cost:</t>
  </si>
  <si>
    <t>Major Overhaul Labor</t>
  </si>
  <si>
    <t xml:space="preserve">  Labor Cost/Hr</t>
  </si>
  <si>
    <t xml:space="preserve">  Labor Rate</t>
  </si>
  <si>
    <t>Parts Costs</t>
  </si>
  <si>
    <t xml:space="preserve">  Hrs of Labor</t>
  </si>
  <si>
    <t>Minor Overhauls</t>
  </si>
  <si>
    <t>Land Costs</t>
  </si>
  <si>
    <t xml:space="preserve">  Land Prep Costs/Acre</t>
  </si>
  <si>
    <t>Total Land Prep Costs</t>
  </si>
  <si>
    <t>Permitting Costs</t>
  </si>
  <si>
    <t>Environmental permits</t>
  </si>
  <si>
    <t>Interconnection Costs</t>
  </si>
  <si>
    <t>Transmission Lines</t>
  </si>
  <si>
    <t>Heat Rate Degradation</t>
  </si>
  <si>
    <t>Months under construction Yr 0</t>
  </si>
  <si>
    <t>Months under construction Yr -1</t>
  </si>
  <si>
    <t>Months under construction Yr -2</t>
  </si>
  <si>
    <t>Months under construction Yr -3</t>
  </si>
  <si>
    <t>Months under construction Yr -4</t>
  </si>
  <si>
    <t xml:space="preserve">Full Time Equivalent (FTE) Employees </t>
  </si>
  <si>
    <t>Substation</t>
  </si>
  <si>
    <t>Environmental Impacts/Discharges</t>
  </si>
  <si>
    <t>Air Emissions</t>
  </si>
  <si>
    <t>NOx</t>
  </si>
  <si>
    <t>VOC/ROG</t>
  </si>
  <si>
    <t>CO</t>
  </si>
  <si>
    <t>CO2</t>
  </si>
  <si>
    <t>Water Discharges</t>
  </si>
  <si>
    <t>[List of pollutants]</t>
  </si>
  <si>
    <t>Thermal</t>
  </si>
  <si>
    <t>Solid Wastes</t>
  </si>
  <si>
    <t>Instream flows</t>
  </si>
  <si>
    <t>Environmental Control Costs</t>
  </si>
  <si>
    <t xml:space="preserve">  Installation Cost</t>
  </si>
  <si>
    <t xml:space="preserve">  Replacement Cost</t>
  </si>
  <si>
    <t xml:space="preserve">  Annual Labor</t>
  </si>
  <si>
    <t xml:space="preserve">    Loaded Labor Rate</t>
  </si>
  <si>
    <t xml:space="preserve">  Labor Cost</t>
  </si>
  <si>
    <t xml:space="preserve">  Annual Consumables</t>
  </si>
  <si>
    <t xml:space="preserve">    Component Life</t>
  </si>
  <si>
    <t xml:space="preserve">  Annualized Cost</t>
  </si>
  <si>
    <t>Control Technology (eg SCR)</t>
  </si>
  <si>
    <t xml:space="preserve"> Operational Performance Data</t>
  </si>
  <si>
    <t>Media &amp; Technology</t>
  </si>
  <si>
    <t>Water Discharge</t>
  </si>
  <si>
    <t>Control Technology (eg wastewater)</t>
  </si>
  <si>
    <t>Solid Waste Disposal</t>
  </si>
  <si>
    <t>Non hazardous material</t>
  </si>
  <si>
    <t xml:space="preserve">  Collection and hauling</t>
  </si>
  <si>
    <t xml:space="preserve">  Landfill tipping fees</t>
  </si>
  <si>
    <t>Hazardous materials</t>
  </si>
  <si>
    <t>Start up fuel use</t>
  </si>
  <si>
    <t>MMBtu/Start</t>
  </si>
  <si>
    <t>No. of annual starts</t>
  </si>
  <si>
    <r>
      <t xml:space="preserve">General Assumptions </t>
    </r>
    <r>
      <rPr>
        <b/>
        <sz val="10"/>
        <color indexed="10"/>
        <rFont val="Arial"/>
        <family val="2"/>
      </rPr>
      <t>(Select)</t>
    </r>
  </si>
  <si>
    <t>Results Summary</t>
  </si>
  <si>
    <t>Plant-side Uses &amp; Losses %</t>
  </si>
  <si>
    <t>SiteLoadPct</t>
  </si>
  <si>
    <t>¢/kWh</t>
  </si>
  <si>
    <t>Size MW</t>
  </si>
  <si>
    <t>Capital &amp; Financing</t>
  </si>
  <si>
    <t>Taxes</t>
  </si>
  <si>
    <t>POU</t>
  </si>
  <si>
    <t>Provided by Chris Kavalec on December 12, 2008 to Ruben Tavares</t>
  </si>
  <si>
    <t xml:space="preserve">Updated by J Klein 2/25/09 based on </t>
  </si>
  <si>
    <t>Gas Prices</t>
  </si>
  <si>
    <t>High CA Average</t>
  </si>
  <si>
    <t>Low CA Average</t>
  </si>
  <si>
    <t>Generation</t>
  </si>
  <si>
    <t>Revenue</t>
  </si>
  <si>
    <t>$MM</t>
  </si>
  <si>
    <t>GWh</t>
  </si>
  <si>
    <t>Initial Year Contract Price</t>
  </si>
  <si>
    <t>Net Operating Income</t>
  </si>
  <si>
    <t>Cash Flow Output</t>
  </si>
  <si>
    <t>Sales Taxes</t>
  </si>
  <si>
    <t>% Costs for Materials</t>
  </si>
  <si>
    <t>Default POU</t>
  </si>
  <si>
    <r>
      <t xml:space="preserve">Cell Name </t>
    </r>
    <r>
      <rPr>
        <b/>
        <sz val="10"/>
        <color indexed="10"/>
        <rFont val="Arial"/>
        <family val="2"/>
      </rPr>
      <t>(DO NOT CHANGE)</t>
    </r>
  </si>
  <si>
    <t>Parameter</t>
  </si>
  <si>
    <t>Air Emissions per MWH</t>
  </si>
  <si>
    <t>Tons/Year</t>
  </si>
  <si>
    <t>Pollutant</t>
  </si>
  <si>
    <t>Technology Cost Escalation</t>
  </si>
  <si>
    <t>Technology_Cost_Escalation</t>
  </si>
  <si>
    <t>Carbon Price Low</t>
  </si>
  <si>
    <t>Carbon Price High</t>
  </si>
  <si>
    <t>Uses What If: Data Table function</t>
  </si>
  <si>
    <t>Target: Net NPV(Invest - Return)</t>
  </si>
  <si>
    <t>Revenue change/($/MWH)</t>
  </si>
  <si>
    <t>Initial Yr Contract $/MWH</t>
  </si>
  <si>
    <t>LAO, "California's Tax System: A Primer," Apr 2007, p. 29</t>
  </si>
  <si>
    <t>LAO, "California's Tax System: A Primer," Apr 2007, p. 58</t>
  </si>
  <si>
    <t>Installed $/kW</t>
  </si>
  <si>
    <t>NPV Equity Return</t>
  </si>
  <si>
    <t>Equity Return on Investment</t>
  </si>
  <si>
    <t>Assessed Value</t>
  </si>
  <si>
    <t>Contract Price Escalation</t>
  </si>
  <si>
    <t>Tax On Return On Equity (for ITC &amp; GDA)</t>
  </si>
  <si>
    <t>Investment Tax Credit Percent</t>
  </si>
  <si>
    <t>Investment Tax Credit</t>
  </si>
  <si>
    <t>Business Energy Investment Tax Credit (ITC)</t>
  </si>
  <si>
    <t>System Delivery Costs</t>
  </si>
  <si>
    <t>To Delivery Point</t>
  </si>
  <si>
    <t>Transmission Service Costs</t>
  </si>
  <si>
    <t>Transmission Service</t>
  </si>
  <si>
    <t>Transmission</t>
  </si>
  <si>
    <t>GHG Emission Permit Costs</t>
  </si>
  <si>
    <t>GHG Emission Permit Price</t>
  </si>
  <si>
    <t>$/CO2e ton</t>
  </si>
  <si>
    <t>GHG Price</t>
  </si>
  <si>
    <t>High Uranium</t>
  </si>
  <si>
    <t>Low Uranium</t>
  </si>
  <si>
    <t>High Gassified Coal</t>
  </si>
  <si>
    <t>Low Gassified Coal</t>
  </si>
  <si>
    <t>Fuel &amp; GHG Emissions Costs</t>
  </si>
  <si>
    <t>GHG Emission Rate</t>
  </si>
  <si>
    <t>CO2e lbs/MWH</t>
  </si>
  <si>
    <t>Fixed Charge Rate</t>
  </si>
  <si>
    <t>2007 IEPR</t>
  </si>
  <si>
    <t>GDP Deflator</t>
  </si>
  <si>
    <t>Biomass High</t>
  </si>
  <si>
    <t>Biomass Low</t>
  </si>
  <si>
    <t>Tolled Fuel Price</t>
  </si>
  <si>
    <t>Capacity Contract Price</t>
  </si>
  <si>
    <t>STUDY PERSPECTIVE</t>
  </si>
  <si>
    <t>CPUC 2009 MPR</t>
  </si>
  <si>
    <t>CEC Deflator</t>
  </si>
  <si>
    <t>Corporate Bonds</t>
  </si>
  <si>
    <t>http://finance.yahoo.com/bonds/composite_bond_rates</t>
  </si>
  <si>
    <t>Manuf.</t>
  </si>
  <si>
    <t>Risky</t>
  </si>
  <si>
    <t>Bonds Online</t>
  </si>
  <si>
    <t>Municipal</t>
  </si>
  <si>
    <t>FMS Bonds</t>
  </si>
  <si>
    <t>Yahoo! Finance</t>
  </si>
  <si>
    <t>Fin/Bond Rating</t>
  </si>
  <si>
    <t xml:space="preserve"> = Flotation Costs</t>
  </si>
  <si>
    <t>Aaa2</t>
  </si>
  <si>
    <t>Aa1</t>
  </si>
  <si>
    <t>Aa2</t>
  </si>
  <si>
    <t>Aa3</t>
  </si>
  <si>
    <t>A1</t>
  </si>
  <si>
    <t>A3</t>
  </si>
  <si>
    <t>A2</t>
  </si>
  <si>
    <t>Baa1</t>
  </si>
  <si>
    <t>Baa2</t>
  </si>
  <si>
    <t>Baa3</t>
  </si>
  <si>
    <t>Ba1</t>
  </si>
  <si>
    <t>Ba2</t>
  </si>
  <si>
    <t>B1</t>
  </si>
  <si>
    <t>B2</t>
  </si>
  <si>
    <t>B3</t>
  </si>
  <si>
    <t>NR</t>
  </si>
  <si>
    <t>Aaa3</t>
  </si>
  <si>
    <t>Risk Premia</t>
  </si>
  <si>
    <t>Risk premia</t>
  </si>
  <si>
    <t>10-yr term</t>
  </si>
  <si>
    <t>http://www.bondsonline.com/Corporate_Bond_Yield_Index.php</t>
  </si>
  <si>
    <t>Transmission Fixed Charge Rate Proxy</t>
  </si>
  <si>
    <t>Return + Taxes + Insurance</t>
  </si>
  <si>
    <t>REPI Tier 1 Paid</t>
  </si>
  <si>
    <t>REPI Tier 1 Unpaid</t>
  </si>
  <si>
    <t>REPI Tier 2 Paid</t>
  </si>
  <si>
    <t>REPI Tier 2 Unpaid</t>
  </si>
  <si>
    <t>Scenarios</t>
  </si>
  <si>
    <t>Mid-range</t>
  </si>
  <si>
    <t>Higher cost</t>
  </si>
  <si>
    <t>Lower cost</t>
  </si>
  <si>
    <t>Non-labor Fixed O&amp;M including ODC $/kW/Yr</t>
  </si>
  <si>
    <t>Annual maintenance &amp; consumables</t>
  </si>
  <si>
    <t>Cumulative Construction Costs by Year (Nominal $)</t>
  </si>
  <si>
    <t>Cost % in Each Year</t>
  </si>
  <si>
    <t>Insurance ($/kW-Yr)</t>
  </si>
  <si>
    <t>Ad Valorem ($/kW-Yr)</t>
  </si>
  <si>
    <t>Installed Cost ($/kW)</t>
  </si>
  <si>
    <t>INSTRUCTIONS FOR  EXCEL VERSIONS 2007 AND BEYOND:</t>
  </si>
  <si>
    <t>Table G-2</t>
  </si>
  <si>
    <t>Calculated</t>
  </si>
  <si>
    <t>2010$=1</t>
  </si>
  <si>
    <t>Deflator Series From:</t>
  </si>
  <si>
    <t xml:space="preserve">December 2011 Natural Gas Market Assessment: Outlook </t>
  </si>
  <si>
    <t>In Support of the 2011 IEPR  CEC-200-2011-012-SF</t>
  </si>
  <si>
    <t>Appendix G, Table G-2</t>
  </si>
  <si>
    <t>1 / 27 / 2012</t>
  </si>
  <si>
    <t>CPUC 2012 MPR</t>
  </si>
  <si>
    <t>B++/A3</t>
  </si>
  <si>
    <t>B++/A1</t>
  </si>
  <si>
    <t>A/Aa3</t>
  </si>
  <si>
    <t>BOE Method (Mar 2012)</t>
  </si>
  <si>
    <t>2012 Default Spread</t>
  </si>
  <si>
    <t>Moody's Bond Yields-2012</t>
  </si>
  <si>
    <t>Bond Rating</t>
  </si>
  <si>
    <t>Bond ROR</t>
  </si>
  <si>
    <t>2012 Data</t>
  </si>
  <si>
    <t xml:space="preserve">  BEITC Depreciation Change</t>
  </si>
  <si>
    <t>Income Revenue Requirement</t>
  </si>
  <si>
    <t>Management Occupations (Salary, $/Year))</t>
  </si>
  <si>
    <t>Production Occupations (Wage, $/Hour)</t>
  </si>
  <si>
    <t>Installation, Maintenance and Repair Occupations (Wage, $/Hour)</t>
  </si>
  <si>
    <t>Building and Grounds Cleaning and Maintenance Occupations (Wage, $/Hour)</t>
  </si>
  <si>
    <t>Office and Administrative Support Occupations (Wage, $/Hour)</t>
  </si>
  <si>
    <t>Protective Service Occupations (Wage, $/Hour)</t>
  </si>
  <si>
    <t xml:space="preserve">Source: US BLS, May 2011 National Industry-Specific Occupational Employment and Wage Estimates NAICS 221100, Electric Power Generation, Transmission and Distribution May 2005, http://www.bls.gov/oes/current/naics4_221100.htm, </t>
  </si>
  <si>
    <t>USBLS, Employer Costs for Employee Compensation, Historical Listing (Quarterly), June 7, 2012</t>
  </si>
  <si>
    <t>l</t>
  </si>
  <si>
    <t>n</t>
  </si>
  <si>
    <t>m</t>
  </si>
  <si>
    <t>utilities</t>
  </si>
  <si>
    <t>maint and repair</t>
  </si>
  <si>
    <t>admin</t>
  </si>
  <si>
    <t>MaintenanceWage</t>
  </si>
  <si>
    <t>ProductionWage</t>
  </si>
  <si>
    <t>CleaningWage</t>
  </si>
  <si>
    <t>ProtectionWage</t>
  </si>
  <si>
    <t>ProductionHrs</t>
  </si>
  <si>
    <t>MaintenanceHrs</t>
  </si>
  <si>
    <t>ProtectionHrs</t>
  </si>
  <si>
    <t>ProductionFTE</t>
  </si>
  <si>
    <t>MaintenanceFTE</t>
  </si>
  <si>
    <t>ProtectionFTE</t>
  </si>
  <si>
    <t>Building and Grounds Cleaning and Maintenance Occupations</t>
  </si>
  <si>
    <t>Management Occupations</t>
  </si>
  <si>
    <t>Production Occupations</t>
  </si>
  <si>
    <t xml:space="preserve">Installation, Maintenance and Repair Occupations </t>
  </si>
  <si>
    <t xml:space="preserve">Office and Administrative Support Occupations </t>
  </si>
  <si>
    <t xml:space="preserve">Protective Service Occupations </t>
  </si>
  <si>
    <t>CleaningFTE</t>
  </si>
  <si>
    <t>CleaningHrs</t>
  </si>
  <si>
    <t>Print Tables</t>
  </si>
  <si>
    <t>Instant Cost ($/kW)</t>
  </si>
  <si>
    <t>Fixed O&amp;M ($/kW)</t>
  </si>
  <si>
    <t>.</t>
  </si>
  <si>
    <t>Plant Technology</t>
  </si>
  <si>
    <t>Cost Scenario</t>
  </si>
  <si>
    <t>Ownership Type</t>
  </si>
  <si>
    <t>Cost Basis</t>
  </si>
  <si>
    <t>Units</t>
  </si>
  <si>
    <t>SUMMARY TABLES IN $/kW-Year - Scenario 2</t>
  </si>
  <si>
    <t>Summary of Data - Scenario 1</t>
  </si>
  <si>
    <t>In-Service Year =2010 (Nominal 2010$)</t>
  </si>
  <si>
    <t>Size</t>
  </si>
  <si>
    <t xml:space="preserve">Merchant </t>
  </si>
  <si>
    <t>Technology - Plant Costs</t>
  </si>
  <si>
    <t>Gross Capacity         (MW)</t>
  </si>
  <si>
    <t>Instant Costs ($/kW)</t>
  </si>
  <si>
    <t>Installed Costs ($/kW)</t>
  </si>
  <si>
    <t>Year-0</t>
  </si>
  <si>
    <t>Year-1</t>
  </si>
  <si>
    <t>Year-2</t>
  </si>
  <si>
    <t>Year-3</t>
  </si>
  <si>
    <t>Year-4</t>
  </si>
  <si>
    <t>Year-5</t>
  </si>
  <si>
    <t xml:space="preserve"> Technology Input Parameters</t>
  </si>
  <si>
    <t>Plant Side Losses</t>
  </si>
  <si>
    <t>Forced Outage Rate</t>
  </si>
  <si>
    <t>HHV      Heat Rate (Btu/kWh)</t>
  </si>
  <si>
    <t>Degradation (%/Year)</t>
  </si>
  <si>
    <t>Emission Factors (Lbs/MWh)</t>
  </si>
  <si>
    <t xml:space="preserve">NOx  </t>
  </si>
  <si>
    <t>VOC</t>
  </si>
  <si>
    <t xml:space="preserve">CO2 </t>
  </si>
  <si>
    <t>Technology - Financing Parameters</t>
  </si>
  <si>
    <t>Debt Period</t>
  </si>
  <si>
    <t>Book Life</t>
  </si>
  <si>
    <t>Tax Depreciation (Years)</t>
  </si>
  <si>
    <t>Federal</t>
  </si>
  <si>
    <t>Summary of Data - Scenario 2 - Scenario 1</t>
  </si>
  <si>
    <t>Percent Change in Levelized Costs ($/kW-Year) - Merchants Plants</t>
  </si>
  <si>
    <t>Percent Change in Levelized Costs ($/kW-Year) - IOU</t>
  </si>
  <si>
    <t>Percent Change in Levelized Costs ($/kW-Year) - POU</t>
  </si>
  <si>
    <t>Percent Change in Levelized Costs ($/MWh) - Merchants Plants</t>
  </si>
  <si>
    <t>Percent Change in Levelized Costs ($/MWh) - IOU Plants</t>
  </si>
  <si>
    <t>Percent Change in Levelized Costs ($/MWh) - POU Plants</t>
  </si>
  <si>
    <t>Summary of Data - Percent Change [(Scenario 2 - Scenario 1)/Scenario 1]</t>
  </si>
  <si>
    <t>SENSITIVITY ANALYSIS</t>
  </si>
  <si>
    <t>JG</t>
  </si>
  <si>
    <t>This worksheet contains a GUI and macro that graph the levelized cost as a function of a percent change in various base values so as to examine the sensitivity of the output to the specified variables.</t>
  </si>
  <si>
    <t>SCREENING CURVE</t>
  </si>
  <si>
    <t>Yearly Costs</t>
  </si>
  <si>
    <t>SCENARIO 1 SUMMARY TABLES IN $/kW-Year</t>
  </si>
  <si>
    <t>Levelized Costs in $/kW-Year – IOU Plants (Scenario 1)</t>
  </si>
  <si>
    <t>Levelized Costs in $/kW-Year – POU Plants (Scenario 1)</t>
  </si>
  <si>
    <t>SCENARIO 1 SUMMARY TABLES IN $/MWh</t>
  </si>
  <si>
    <t>SCENARIO 2 SUMMARY TABLES IN $/MWh</t>
  </si>
  <si>
    <t>Levelized Costs in $/MWh – IOU Plants (Scenario 1)</t>
  </si>
  <si>
    <t>Levelized Costs in $/kW-Year – Merchant Plants (Scenario 1)</t>
  </si>
  <si>
    <t>Levelized Costs in $/kW-Year – Merchant Plants (Scenario 2)</t>
  </si>
  <si>
    <t>Levelized Costs in $/MWh– Merchant Plants (Scenario 1)</t>
  </si>
  <si>
    <t>Levelized Costs in $/MWh – Merchant Plants (Scenario 2)</t>
  </si>
  <si>
    <t>DIFFERERENCES IN  $/MWh (SCENARIO 2 - SCENARIO 1)</t>
  </si>
  <si>
    <t>Levelized Costs in $/MWh – POU Plants (Scenario 1)</t>
  </si>
  <si>
    <t>Levelized Costs in $/kW-Year – IOU Plants (Scenario 2)</t>
  </si>
  <si>
    <t>Levelized Costs in $/kW-Year – POU Plants (Scenario 2)</t>
  </si>
  <si>
    <t>Levelized Costs in $/MWh – POU Plants (Scenario 2)</t>
  </si>
  <si>
    <t>Difference in Levelized Costs in $/kW-Yr – Merchant Plants (Scenario 2 - 1)</t>
  </si>
  <si>
    <t>Difference in Levelized Costs in $/kW-Yr – IOU Plants  (Scenario 2 - 1)</t>
  </si>
  <si>
    <t>Difference in Levelized Costs in $/kW-Yr – POU Plants  (Scenario 2 - 1)</t>
  </si>
  <si>
    <t>Difference in Levelized Costs in $/MWh – Merchant Plants  (Scenario 2 - 1)</t>
  </si>
  <si>
    <t>Difference in Levelized Costs in $/MWh – IOU Plants  (Scenario 2 - 1)</t>
  </si>
  <si>
    <t>Print Tables  Second Scenarios added by Joe Gillette 8-21-12</t>
  </si>
  <si>
    <t>Summary of Data - Scenario 2</t>
  </si>
  <si>
    <t>INSTRUCTIONS: Before executing this macro, the user must first select the technology and associated assumptions in the Input Panel on the Input-Output worksheet.</t>
  </si>
  <si>
    <t>Cost Scenario:</t>
  </si>
  <si>
    <t xml:space="preserve">Point of measurement: </t>
  </si>
  <si>
    <t>Finance Assumption:</t>
  </si>
  <si>
    <t>Technology:</t>
  </si>
  <si>
    <r>
      <rPr>
        <b/>
        <u/>
        <sz val="24"/>
        <color rgb="FFFF0000"/>
        <rFont val="Arial"/>
        <family val="2"/>
      </rPr>
      <t>INSTRUCTIONS</t>
    </r>
    <r>
      <rPr>
        <b/>
        <sz val="24"/>
        <color rgb="FFFF0000"/>
        <rFont val="Arial"/>
        <family val="2"/>
      </rPr>
      <t xml:space="preserve">: </t>
    </r>
    <r>
      <rPr>
        <b/>
        <sz val="22"/>
        <color theme="1"/>
        <rFont val="Arial"/>
        <family val="2"/>
      </rPr>
      <t>At present, this macro only works for one technology at a time, and it requires that the user to first select the technology and associated assumptions in the Input Panel on the Input-Output worksheet.</t>
    </r>
  </si>
  <si>
    <t xml:space="preserve">   This worksheet contains a GUI and macro that graphs the levelized cost as a function of capacity factor for any of the plant technologies.</t>
  </si>
  <si>
    <t>JG (USE) 8-21-12</t>
  </si>
  <si>
    <t>DIFFERERENCE IN $/kW-Yr (SCENARIO 2 - SCENARIO 1)</t>
  </si>
  <si>
    <t>PERCENT CHANGE IN $/kW-Yr [( SCENARIO 2 - SCENARIO 1)/ SCENARIO 1]</t>
  </si>
  <si>
    <t>Screening Curve</t>
  </si>
  <si>
    <t>Total Taxes  Net Credits and Incentives (PTC)</t>
  </si>
  <si>
    <t>Tax Loss Carryforward</t>
  </si>
  <si>
    <t>Fed Tax Depreciation (PTC)</t>
  </si>
  <si>
    <t>Total Taxes  Net Credits and Incentives (ITC)</t>
  </si>
  <si>
    <t>Fed Tax Depreciation (ITC)</t>
  </si>
  <si>
    <t>Property Tax Exemption</t>
  </si>
  <si>
    <t>% taxable at 25% of full value</t>
  </si>
  <si>
    <t>PropTax Exemption Expiration</t>
  </si>
  <si>
    <t>SolarPropTax25</t>
  </si>
  <si>
    <t>PropTaxExpiration</t>
  </si>
  <si>
    <t>% Taxed at 25% of Full Value</t>
  </si>
  <si>
    <t>California Property Tax Solar Credit (Tax Exempt)</t>
  </si>
  <si>
    <t>PctSubjectITC</t>
  </si>
  <si>
    <t>% of plant subject to ITC</t>
  </si>
  <si>
    <t>% Subject to ITC</t>
  </si>
  <si>
    <t>Financial Data</t>
  </si>
  <si>
    <t>http://www.law.cornell.edu/uscode/text/42/13317</t>
  </si>
  <si>
    <t>REPI in U.S. Code:</t>
  </si>
  <si>
    <r>
      <t xml:space="preserve">Cost Scenario </t>
    </r>
    <r>
      <rPr>
        <b/>
        <sz val="10"/>
        <color indexed="10"/>
        <rFont val="Arial"/>
        <family val="2"/>
      </rPr>
      <t>(Select)</t>
    </r>
  </si>
  <si>
    <t>PTC Taxes Net Credits and Incentives</t>
  </si>
  <si>
    <t>ITC Taxes  Net Credits and Incentives</t>
  </si>
  <si>
    <r>
      <t xml:space="preserve">  Expiration</t>
    </r>
    <r>
      <rPr>
        <vertAlign val="superscript"/>
        <sz val="11"/>
        <color indexed="8"/>
        <rFont val="Calibri"/>
        <family val="2"/>
      </rPr>
      <t>5</t>
    </r>
  </si>
  <si>
    <t>http://dsireusa.org/incentives/incentive.cfm?Incentive_Code=US13F</t>
  </si>
  <si>
    <t>http://www.dsireusa.org/incentives/incentive.cfm?Incentive_Code=US02F</t>
  </si>
  <si>
    <t>http://eetd.lbl.gov/ea/emp/reports/lbnl-1642e.pdf</t>
  </si>
  <si>
    <t>CA Solar Property Tax Exemption (100% Exempt)</t>
  </si>
  <si>
    <t>Tax Sources:</t>
  </si>
  <si>
    <t>REPI CFR.pdf &amp; REPI_Q+A.pdf</t>
  </si>
  <si>
    <t>http://www.fmsbonds.com/Market_Yields/index.asp</t>
  </si>
  <si>
    <t>Taxable Income (For GDA)- depreciation</t>
  </si>
  <si>
    <t>Taxable Income (For GDA) - fed tax depreciation</t>
  </si>
  <si>
    <t>Component Cost ($/kW Gross)</t>
  </si>
  <si>
    <t>Proportion Subject to Sales Tax</t>
  </si>
  <si>
    <t>SalesTaxProportion</t>
  </si>
  <si>
    <t>Proportion of Installation Costs Subject to Sales &amp; Use Tax</t>
  </si>
  <si>
    <t>Sales &amp; Use Tax Rate (CA Average) =</t>
  </si>
  <si>
    <t>Construction Costs</t>
  </si>
  <si>
    <t>Debt Arrangement Fees</t>
  </si>
  <si>
    <t>Debt Arrangment Fees</t>
  </si>
  <si>
    <t>Sales Tax Rate</t>
  </si>
  <si>
    <t>Project Manager; Ivin Rhyne</t>
  </si>
  <si>
    <t>File Name:</t>
  </si>
  <si>
    <t>DebtArrangementFees</t>
  </si>
  <si>
    <t>Sales Tax on Instant Costs</t>
  </si>
  <si>
    <t>Proportion of Sales Tax</t>
  </si>
  <si>
    <t>Sum of Construction Transaction Costs</t>
  </si>
  <si>
    <t>Sum of Construction Transaction Costs as a % of Instant Costs</t>
  </si>
  <si>
    <t>Sum % Adders</t>
  </si>
  <si>
    <t>(916) 654-4838</t>
  </si>
  <si>
    <t>Carbon Price Mid</t>
  </si>
  <si>
    <t>(NA)</t>
  </si>
  <si>
    <t>Actual</t>
  </si>
  <si>
    <t>Check</t>
  </si>
  <si>
    <t>OUTPUT RESULTS: Selected Cost Scenario</t>
  </si>
  <si>
    <t>Step 1: Select Developer and Financing</t>
  </si>
  <si>
    <t>Step 3: Select Technology</t>
  </si>
  <si>
    <t>FOR GAS-FIRED UNITS ONLY</t>
  </si>
  <si>
    <t>Total Fixed Costs</t>
  </si>
  <si>
    <t>Total Variable Costs</t>
  </si>
  <si>
    <t>OUTPUT RESULTS - Summary of Levelized Costs</t>
  </si>
  <si>
    <t>Total Levelized Costs w/Transmission</t>
  </si>
  <si>
    <t>DATA ASSUMPTIONS ASSOCIATED WITH YOUR INPUT SELECTION</t>
  </si>
  <si>
    <t>Cost Case Assumptions</t>
  </si>
  <si>
    <t>INSTRUCTIONS</t>
  </si>
  <si>
    <t>Contacts:</t>
  </si>
  <si>
    <t>Total Levelized Cost w/Transmission</t>
  </si>
  <si>
    <t>Variable Cost</t>
  </si>
  <si>
    <t>Total Income Revenue Requirement Basis</t>
  </si>
  <si>
    <t>Step 4: Select Tax Loss Treatment</t>
  </si>
  <si>
    <t>Step 5: Select Carbon Price</t>
  </si>
  <si>
    <t>Step 6: Select Natural Gas Price</t>
  </si>
  <si>
    <t>Step 7: Select Plant Site Region</t>
  </si>
  <si>
    <t>Step 9: Click the Execute Button</t>
  </si>
  <si>
    <t>Change in Revenue Requirement from ITC</t>
  </si>
  <si>
    <t>Recovered Through Federal Tax Grant</t>
  </si>
  <si>
    <t>Tax Equity Financing</t>
  </si>
  <si>
    <t>Change in Revenue Requirement from Accelerated Depreciation</t>
  </si>
  <si>
    <t>Return On Debt &amp; Equity</t>
  </si>
  <si>
    <t>do the financing of the income tax credit</t>
  </si>
  <si>
    <t>Tax Equity Rate</t>
  </si>
  <si>
    <t>CO2e (GHG)</t>
  </si>
  <si>
    <t>Corporate Taxes (W/Credits &amp; Ratemaking)</t>
  </si>
  <si>
    <t>Aspen 11-22-12 Data Sheet  - JBK 11-26-12 Data Entry</t>
  </si>
  <si>
    <t>Source: Dave Larsen, Navigant (2012)</t>
  </si>
  <si>
    <t>2 @ 1590</t>
  </si>
  <si>
    <t>1 @ 1590</t>
  </si>
  <si>
    <t>4/0</t>
  </si>
  <si>
    <t>3/0</t>
  </si>
  <si>
    <t>1/0</t>
  </si>
  <si>
    <t>(%)</t>
  </si>
  <si>
    <t>(Amps)</t>
  </si>
  <si>
    <t>(Miles)</t>
  </si>
  <si>
    <t>Mile)</t>
  </si>
  <si>
    <t>(ACSR)</t>
  </si>
  <si>
    <t>Voltage</t>
  </si>
  <si>
    <t>Losses</t>
  </si>
  <si>
    <t>Flows</t>
  </si>
  <si>
    <t>Output</t>
  </si>
  <si>
    <t>Length</t>
  </si>
  <si>
    <t>(Ohms/</t>
  </si>
  <si>
    <t>Current</t>
  </si>
  <si>
    <t>Conductor</t>
  </si>
  <si>
    <t>Operating</t>
  </si>
  <si>
    <t>Tie-Line</t>
  </si>
  <si>
    <t>Plant</t>
  </si>
  <si>
    <t>Resistance</t>
  </si>
  <si>
    <t>Maximum</t>
  </si>
  <si>
    <t>Assumed</t>
  </si>
  <si>
    <t>Nominal</t>
  </si>
  <si>
    <t>SIMPLIFIED LOSS CALCULATOR FOR GEN-TIE LINES</t>
  </si>
  <si>
    <t>GDP IMPLICIT PRICE DEFLATOR</t>
  </si>
  <si>
    <t>Mid</t>
  </si>
  <si>
    <t>Generator Tie Lie Losses</t>
  </si>
  <si>
    <t>GenTieLosses</t>
  </si>
  <si>
    <t>Generation Tie Line Losses</t>
  </si>
  <si>
    <t>Physical Data</t>
  </si>
  <si>
    <t>% AFUDC</t>
  </si>
  <si>
    <t>ComponCost</t>
  </si>
  <si>
    <t>Ratio of Installed Cost to Instant Cost</t>
  </si>
  <si>
    <t>Debt Service Coverage Ratios - Average</t>
  </si>
  <si>
    <t>Debt Service Coverage Ratios - Minimum</t>
  </si>
  <si>
    <t>DSCR</t>
  </si>
  <si>
    <t xml:space="preserve">  Avg.</t>
  </si>
  <si>
    <t xml:space="preserve">  Min.</t>
  </si>
  <si>
    <r>
      <t>Debt Service Coverage Ratio (</t>
    </r>
    <r>
      <rPr>
        <i/>
        <sz val="10"/>
        <color rgb="FFFF0000"/>
        <rFont val="Arial"/>
        <family val="2"/>
      </rPr>
      <t xml:space="preserve">Avg. </t>
    </r>
    <r>
      <rPr>
        <i/>
        <sz val="10"/>
        <rFont val="Arial"/>
        <family val="2"/>
      </rPr>
      <t xml:space="preserve">/ </t>
    </r>
    <r>
      <rPr>
        <i/>
        <sz val="10"/>
        <color theme="9" tint="-0.249977111117893"/>
        <rFont val="Arial"/>
        <family val="2"/>
      </rPr>
      <t>Min.</t>
    </r>
    <r>
      <rPr>
        <i/>
        <sz val="10"/>
        <rFont val="Arial"/>
        <family val="2"/>
      </rPr>
      <t>)</t>
    </r>
  </si>
  <si>
    <t>LIBOR Swaps (USD)</t>
  </si>
  <si>
    <t>52-WEEK</t>
  </si>
  <si>
    <t>Latest</t>
  </si>
  <si>
    <t>Wk ago</t>
  </si>
  <si>
    <t>Two year</t>
  </si>
  <si>
    <t>Three year</t>
  </si>
  <si>
    <t>Five year</t>
  </si>
  <si>
    <t>Ten year</t>
  </si>
  <si>
    <t>20 year</t>
  </si>
  <si>
    <t>30 year</t>
  </si>
  <si>
    <t>http://online.wsj.com/mdc/public/page/2_3020-moneyrate.html</t>
  </si>
  <si>
    <t>TaxEquityRate</t>
  </si>
  <si>
    <t>B+/B</t>
  </si>
  <si>
    <t>Equity Share</t>
  </si>
  <si>
    <t>DSCR (Average)</t>
  </si>
  <si>
    <t>DSCR (Minimum)</t>
  </si>
  <si>
    <t>Tenor (Years)</t>
  </si>
  <si>
    <t>MinDCR</t>
  </si>
  <si>
    <t>AvgDCR</t>
  </si>
  <si>
    <t>DebtPremium</t>
  </si>
  <si>
    <t>MerchantEquity</t>
  </si>
  <si>
    <t>LIBOR</t>
  </si>
  <si>
    <t>Merchant Equity Share</t>
  </si>
  <si>
    <t>Debt Service Coverage Ratio</t>
  </si>
  <si>
    <t>Debt Principal Repayment</t>
  </si>
  <si>
    <t>Debt Interest Cost</t>
  </si>
  <si>
    <t>Aspen 12-3-12 Data Sheet  - JBK 12-5-12 Data Entry</t>
  </si>
  <si>
    <t>Aspen 12-10-12 Data Sheet  - JBK 12-15-12 Data Entry</t>
  </si>
  <si>
    <t>Aspen 12-10-12 Data Sheet  - JBK 12-14-12 Data Entry</t>
  </si>
  <si>
    <t>Generation Turbine 49.9 MW</t>
  </si>
  <si>
    <t>Generation Turbine 100 MW</t>
  </si>
  <si>
    <t>Generation Turbine - Advanced 200 MW</t>
  </si>
  <si>
    <t>Combined Cycle - 2 CTs No Duct Firing 500 MW</t>
  </si>
  <si>
    <t>Combined Cycle - 2 CTs With Duct Firing 550 MW</t>
  </si>
  <si>
    <t>Biomass Fludized Bed Boiler 50 MW</t>
  </si>
  <si>
    <t>Geothermal  Binary 30 MW</t>
  </si>
  <si>
    <t>Geothermal  Flash 30 MW</t>
  </si>
  <si>
    <t>Solar Photovoltaic (Thin Film) 100 MW</t>
  </si>
  <si>
    <t>Solar Photovoltaic (Single Axis) 100 MW</t>
  </si>
  <si>
    <t>Wind - Class 3 100 MW</t>
  </si>
  <si>
    <t>Wind - Class 4 100 MW</t>
  </si>
  <si>
    <t>Ratio of Installed to Instant Cost</t>
  </si>
  <si>
    <t>Ratio of Installed to Component Cost</t>
  </si>
  <si>
    <t>Ratio of Installed Cost to Component Cost</t>
  </si>
  <si>
    <t>O&amp;M Costs</t>
  </si>
  <si>
    <t>5 - Expiration formulas are expressed as start year&lt; expiration year so all years are given as the year following the expiration data. For example, for a credit with an expiration date of 12/31/2013, it is listed as 2014.</t>
  </si>
  <si>
    <t>Preferred</t>
  </si>
  <si>
    <t>Common</t>
  </si>
  <si>
    <t>Point Carbon (Oct 12)</t>
  </si>
  <si>
    <t>Carbon Allowance Forecasts</t>
  </si>
  <si>
    <t>Solar Parabolic Trough W/O Storage 250 MW</t>
  </si>
  <si>
    <t>Solar Parabolic Trough With Storage 250 MW</t>
  </si>
  <si>
    <t>DESCRIPTION OF CHANGE IN NATURAL GAS PRICE FORECAST DATED 1-12-13 - JBK</t>
  </si>
  <si>
    <t>Based on previous Reference Forecast and 2009 IEPR Scaling for High and Low</t>
  </si>
  <si>
    <t>SCALING REFERENCE CASE USING 2009 IEPR SCALING FACTORS</t>
  </si>
  <si>
    <t xml:space="preserve"> Factor</t>
  </si>
  <si>
    <t>($/MMBtu)</t>
  </si>
  <si>
    <t>OLD 2009 IEPR Pricess</t>
  </si>
  <si>
    <t>NEW 2013 Gas Prices Prices</t>
  </si>
  <si>
    <t>Nominal $/MMBtu</t>
  </si>
  <si>
    <t>Real 2011 $/MMBtu</t>
  </si>
  <si>
    <t>Deflators</t>
  </si>
  <si>
    <t>SAME VALUES IN REAL DOLLARS</t>
  </si>
  <si>
    <t>1. Select options using drop down menus in the Input Selection.</t>
  </si>
  <si>
    <t>3. Read the resulting "Levelized Costs" and check Data Assumptions to the right.</t>
  </si>
  <si>
    <t>Step 2: Select Start-Year</t>
  </si>
  <si>
    <t>Parameters</t>
  </si>
  <si>
    <t>Interaction Parameters (Year*Region)</t>
  </si>
  <si>
    <t>HC/VOC</t>
  </si>
  <si>
    <t>Statewide Average</t>
  </si>
  <si>
    <t>San Diego &amp; Imperial</t>
  </si>
  <si>
    <t>Region B</t>
  </si>
  <si>
    <t>Region C</t>
  </si>
  <si>
    <t>Sacramento Valley</t>
  </si>
  <si>
    <t>Region D</t>
  </si>
  <si>
    <t>San Joaquin Valley, Kern &amp; Mojave Desert</t>
  </si>
  <si>
    <t>Region E</t>
  </si>
  <si>
    <t>Bay Area, Central Coast &amp; Ventura</t>
  </si>
  <si>
    <t>Constant</t>
  </si>
  <si>
    <t>TABLE III - EMISSION FEES</t>
  </si>
  <si>
    <t>For emissions in Calendar Year 2010 and thereafter</t>
  </si>
  <si>
    <t>Organic</t>
  </si>
  <si>
    <t>Specific</t>
  </si>
  <si>
    <t>Nitrogen</t>
  </si>
  <si>
    <t>Sulfur Oxides</t>
  </si>
  <si>
    <t>Carbon</t>
  </si>
  <si>
    <t>Particulate</t>
  </si>
  <si>
    <t>Gases*</t>
  </si>
  <si>
    <t>Organics**</t>
  </si>
  <si>
    <t>Oxides</t>
  </si>
  <si>
    <t>($/ton)</t>
  </si>
  <si>
    <t>Monoxide</t>
  </si>
  <si>
    <t>Matter</t>
  </si>
  <si>
    <t>(tons/yr)</t>
  </si>
  <si>
    <t>($/tons)</t>
  </si>
  <si>
    <t>4 – 25</t>
  </si>
  <si>
    <t>-</t>
  </si>
  <si>
    <t>&gt;25 – 75</t>
  </si>
  <si>
    <t>&gt;75</t>
  </si>
  <si>
    <t>&gt;100</t>
  </si>
  <si>
    <t>Rule 301, p. 80 (2012)</t>
  </si>
  <si>
    <t>Ri (annual lease)</t>
  </si>
  <si>
    <t>ERC</t>
  </si>
  <si>
    <t>PM</t>
  </si>
  <si>
    <t>dollars/pound/day</t>
  </si>
  <si>
    <t>NOx**</t>
  </si>
  <si>
    <t>http://www.aqmd.gov/finn/PDF/R320.pdf</t>
  </si>
  <si>
    <t>Rule 320 says that the fees will be adjusted each year by the prior years CPI index</t>
  </si>
  <si>
    <t>fee/ton</t>
  </si>
  <si>
    <t>multiply by 2000</t>
  </si>
  <si>
    <t>ERC Forecasts</t>
  </si>
  <si>
    <t>SCAQMD Fees</t>
  </si>
  <si>
    <t>NOx RTCs Strip</t>
  </si>
  <si>
    <t>SOx RTCs Strip</t>
  </si>
  <si>
    <t>Tax Equity Investor</t>
  </si>
  <si>
    <t>Merchant Developer</t>
  </si>
  <si>
    <t>Developer Share</t>
  </si>
  <si>
    <t>Target Return</t>
  </si>
  <si>
    <t>Sale/Leaseback</t>
  </si>
  <si>
    <t>Partnership Flip</t>
  </si>
  <si>
    <t>Cost of Generation: Equity Return Calculations for Renewables</t>
  </si>
  <si>
    <t>Air &amp; Water Data</t>
  </si>
  <si>
    <t>Premium over Reference Rate</t>
  </si>
  <si>
    <t>Debt Premium by Technology</t>
  </si>
  <si>
    <t>4 - REPI payments assumed = 0% as these have not been funded since 2009.</t>
  </si>
  <si>
    <t>Solar Power Tower With Storage 100 MW 6 HRs</t>
  </si>
  <si>
    <t>Aspen 1-23-13 Data Sheet  - JBK 1-27-13 Data Entry</t>
  </si>
  <si>
    <t>Solar Power Tower With Storage 100 MW 11 HRs</t>
  </si>
  <si>
    <t>Attainment status:</t>
  </si>
  <si>
    <t>http://www.epa.gov/oar/oaqps/greenbk/ancl3.html</t>
  </si>
  <si>
    <t>Offset Ratio</t>
  </si>
  <si>
    <t>Scheduled Availability (Economic &amp; Physical)</t>
  </si>
  <si>
    <t>NetCapacityFactor</t>
  </si>
  <si>
    <t>Reference Capacity Factor</t>
  </si>
  <si>
    <t>Scheduled Availability (Economic &amp; Physical Curtailment)</t>
  </si>
  <si>
    <t>Solar Photovoltaic (Thin Film) 20 MW</t>
  </si>
  <si>
    <t>Solar Photovoltaic (Single Axis) 20 MW</t>
  </si>
  <si>
    <t>Biomass Mid</t>
  </si>
  <si>
    <t>PctTaxEquity</t>
  </si>
  <si>
    <t>Tax Equity Share</t>
  </si>
  <si>
    <t>Debt Equity Share &amp; Interest Rate</t>
  </si>
  <si>
    <t>Equity Financed Share &amp; Rate of Return</t>
  </si>
  <si>
    <t>New Forecast entered 2-9-13</t>
  </si>
  <si>
    <t>Based on 2-1-13 Reference Forecast Burner Tip Prices (2-4-13 Email, Deaver &amp; Puglia) and 2009 IEPR Scaling for High and Low</t>
  </si>
  <si>
    <t>Old Reference Case</t>
  </si>
  <si>
    <t>Old High Gas Price Case</t>
  </si>
  <si>
    <t>Old Low Gas Price Case</t>
  </si>
  <si>
    <t>Model will not make use of values beyond 2052</t>
  </si>
  <si>
    <t>Presently, the Model will not make use of values beyond 2052</t>
  </si>
  <si>
    <t>Debt Term (Years)</t>
  </si>
  <si>
    <t>Book Life (Years)</t>
  </si>
  <si>
    <t>Weighted Avg. Equity Rate</t>
  </si>
  <si>
    <t>Total non-labor fixed costs</t>
  </si>
  <si>
    <t>Aspen 2-20-13 Data Sheet. Entered by JBK 2-22-13</t>
  </si>
  <si>
    <t>Aspen 2-20-13 Data Sheet. Entered by JBK 2-22-14</t>
  </si>
  <si>
    <t>Aspen 2-20-13 Data Sheet. Entered by JBK 2-22-15</t>
  </si>
  <si>
    <t>Aspen 2-20-13 Data Sheet. Entered by JBK 2-22-16</t>
  </si>
  <si>
    <t>Aspen 2-20-13 Data Sheet. Entered by JBK 2-22-17</t>
  </si>
  <si>
    <t>2005 Prices</t>
  </si>
  <si>
    <t>Fuel and GHG price forecasts</t>
  </si>
  <si>
    <t>Carbon Price Cap</t>
  </si>
  <si>
    <t>Solar Power Tower W/O Storage 100 MW</t>
  </si>
  <si>
    <t>Reference Case</t>
  </si>
  <si>
    <t>High Gas Price Case</t>
  </si>
  <si>
    <t>Low Gas Price Case</t>
  </si>
  <si>
    <t>Prices shown in nominal $/MMBtu</t>
  </si>
  <si>
    <t>Capacity and Energy</t>
  </si>
  <si>
    <t>Weighted Avg. Equity</t>
  </si>
  <si>
    <t>Tax Equity</t>
  </si>
  <si>
    <r>
      <t>1.</t>
    </r>
    <r>
      <rPr>
        <sz val="12"/>
        <rFont val="Arial"/>
        <family val="2"/>
      </rPr>
      <t xml:space="preserve"> Activate Macros.</t>
    </r>
  </si>
  <si>
    <t>This Model will not work correctly for Excel versions prior to Excel 2007.</t>
  </si>
  <si>
    <t>(Not available to generators)</t>
  </si>
  <si>
    <t>Rule 1304.1</t>
  </si>
  <si>
    <t>Annual Lease Fees</t>
  </si>
  <si>
    <r>
      <t xml:space="preserve">NOx </t>
    </r>
    <r>
      <rPr>
        <i/>
        <sz val="11"/>
        <color theme="1"/>
        <rFont val="Calibri"/>
        <family val="2"/>
        <scheme val="minor"/>
      </rPr>
      <t>(Use RTCs instead)</t>
    </r>
  </si>
  <si>
    <t>SCAQMD Rule 1304.1 In-lieu ERC Fees</t>
  </si>
  <si>
    <t>Dollars/ton/year</t>
  </si>
  <si>
    <r>
      <t xml:space="preserve">The data assumptions are primarily stored in three Worksheets: </t>
    </r>
    <r>
      <rPr>
        <b/>
        <sz val="12"/>
        <rFont val="Arial"/>
        <family val="2"/>
      </rPr>
      <t xml:space="preserve">Plant Type Assumptions, Financial Assumptions </t>
    </r>
    <r>
      <rPr>
        <sz val="12"/>
        <rFont val="Arial"/>
        <family val="2"/>
      </rPr>
      <t>and</t>
    </r>
    <r>
      <rPr>
        <b/>
        <sz val="12"/>
        <rFont val="Arial"/>
        <family val="2"/>
      </rPr>
      <t xml:space="preserve"> General Assumptions</t>
    </r>
    <r>
      <rPr>
        <sz val="12"/>
        <rFont val="Arial"/>
        <family val="2"/>
      </rPr>
      <t xml:space="preserve">. When you use the </t>
    </r>
    <r>
      <rPr>
        <b/>
        <sz val="12"/>
        <rFont val="Arial"/>
        <family val="2"/>
      </rPr>
      <t>INPUT-OUTPUT</t>
    </r>
    <r>
      <rPr>
        <sz val="12"/>
        <rFont val="Arial"/>
        <family val="2"/>
      </rPr>
      <t xml:space="preserve"> Worksheet to select assumptions, a macro will place the data you selected into the Physical Data, Financial Data, Construction Costs and O&amp;M Costs Worksheets. The data on the Physical Data, Financial Data, Construction Costs and O&amp;M Costs Worksheets will appear coded in the color that corresponds to the assumptions worksheet that it came from. These Data Worksheets will peform various calculations and then make that data available to the </t>
    </r>
    <r>
      <rPr>
        <b/>
        <sz val="12"/>
        <rFont val="Arial"/>
        <family val="2"/>
      </rPr>
      <t xml:space="preserve">Income Cash Flow and Income Rev Req </t>
    </r>
    <r>
      <rPr>
        <sz val="12"/>
        <rFont val="Arial"/>
        <family val="2"/>
      </rPr>
      <t>Worksheets, which calculate all the relevent Annual Values, calculate a Present Value for each and finally calculates the Levelized Values which are sent to the</t>
    </r>
    <r>
      <rPr>
        <b/>
        <sz val="12"/>
        <rFont val="Arial"/>
        <family val="2"/>
      </rPr>
      <t xml:space="preserve"> INPUT-OUTPUT</t>
    </r>
    <r>
      <rPr>
        <sz val="12"/>
        <rFont val="Arial"/>
        <family val="2"/>
      </rPr>
      <t xml:space="preserve"> Worksheet. The  INPUT-OUTPUT Worksheet reports Fixed,Variable and Total Levelized Costs. These values are available both as $/kW-Yr and $/MWh. The  INPUT-OUTPUT Worksheet also reports key data values such as Capital Cost, Capacity, Energy, Heat Rate, Capacity Factors and Availability Factors.</t>
    </r>
  </si>
  <si>
    <t>Data is normally updated within the three Assumptions Worksheets. However, scenarios can be run by modifying the colored sections of Physical Data, Financial Data, Construction Costs and O&amp;M Costs Worksheets - and these scenarios can be saved using the Save New Scenario option in the INPUT-OUTPUT Worksheet.</t>
  </si>
  <si>
    <t>Physical and Financial Data, Construction and O&amp;M Costs</t>
  </si>
  <si>
    <t>Construction Costs are calculated in base year dollars</t>
  </si>
  <si>
    <t>O&amp;M Costs are calculated in base year dollars</t>
  </si>
  <si>
    <t>Financial &amp; Tax Data are summarized - User can override data for unique scenarios</t>
  </si>
  <si>
    <t>plant physical data is summarized - User can override data for unique scenarios.</t>
  </si>
  <si>
    <t>Annual Cost Chart</t>
  </si>
  <si>
    <t>Sensitivity Curve</t>
  </si>
  <si>
    <t>Reports annual fixed, variable and total O&amp;M costs for selected scenario as well as the NPV for each cost stream</t>
  </si>
  <si>
    <t>Presents and compares costs for all technologies and  developers for up to two scenarios</t>
  </si>
  <si>
    <t>User selects technologies, developers and cost cases and annual costs are presented for each selection</t>
  </si>
  <si>
    <t>Trackes Model modifications using version numbers</t>
  </si>
  <si>
    <t>Income Rev Req</t>
  </si>
  <si>
    <t>Equity return calculations for renewables (wind and non-wind)</t>
  </si>
  <si>
    <t>Presents information on tax incentives by tehcnology</t>
  </si>
  <si>
    <t xml:space="preserve">Fuel Price Forecast - Used by the Income Worksheets. </t>
  </si>
  <si>
    <t>Presents forecast of ERC costs for various pollutants and regions</t>
  </si>
  <si>
    <t>Presents SCAQMD Rule 1304.1 In-lieu ERC Fees</t>
  </si>
  <si>
    <t xml:space="preserve">  Tax Equity Financed Share &amp; Financing Rate</t>
  </si>
  <si>
    <t xml:space="preserve">  Developer Equity Financed Share &amp; Financing Rate</t>
  </si>
  <si>
    <t>Developer Equity Share</t>
  </si>
  <si>
    <t>Earlier Forecast entered 1-12-13</t>
  </si>
  <si>
    <t>Previous Forecast entered 2-9-13</t>
  </si>
  <si>
    <t>Natural Gas Prices Updated 4-23-13 Based on 4-14-13Email from Peter Puglio- See summary below (JBK)</t>
  </si>
  <si>
    <t>Transmission Service Cost</t>
  </si>
  <si>
    <t>Effective MW</t>
  </si>
  <si>
    <t>Energy GWh</t>
  </si>
  <si>
    <r>
      <t>(</t>
    </r>
    <r>
      <rPr>
        <i/>
        <sz val="10"/>
        <color rgb="FFFF0000"/>
        <rFont val="Arial"/>
        <family val="2"/>
      </rPr>
      <t>Avg.</t>
    </r>
    <r>
      <rPr>
        <i/>
        <sz val="10"/>
        <rFont val="Arial"/>
        <family val="2"/>
      </rPr>
      <t>/</t>
    </r>
    <r>
      <rPr>
        <i/>
        <sz val="10"/>
        <color theme="9" tint="-0.249977111117893"/>
        <rFont val="Arial"/>
        <family val="2"/>
      </rPr>
      <t>Min.</t>
    </r>
    <r>
      <rPr>
        <i/>
        <sz val="10"/>
        <rFont val="Arial"/>
        <family val="2"/>
      </rPr>
      <t>)</t>
    </r>
  </si>
  <si>
    <t>EBDITA = Net Operating Income</t>
  </si>
  <si>
    <t>Total O&amp;M ($/MWh)</t>
  </si>
  <si>
    <t>Scheduled Outage Factor (SOF)</t>
  </si>
  <si>
    <t>Total O&amp;M ($/kW-Yr)</t>
  </si>
  <si>
    <t>Default IOU Alternatives</t>
  </si>
  <si>
    <t>Total Months</t>
  </si>
  <si>
    <t>Construction (Months &amp; %/Year)</t>
  </si>
  <si>
    <t>Construction (Months and %/Year)</t>
  </si>
  <si>
    <t xml:space="preserve">      Operating Heat Rate</t>
  </si>
  <si>
    <t>Effect on Levelized Cost of Input Assumptions - Start Year 2013 (Nominal 2013$)</t>
  </si>
  <si>
    <t>Capacity at Interconnection Point (MW)</t>
  </si>
  <si>
    <t>At Interconnection Point</t>
  </si>
  <si>
    <t xml:space="preserve">COG Model </t>
  </si>
  <si>
    <t>Version</t>
  </si>
  <si>
    <t>Worksheet</t>
  </si>
  <si>
    <t>Cell(s)</t>
  </si>
  <si>
    <t>Change</t>
  </si>
  <si>
    <r>
      <t>Comments on changes</t>
    </r>
    <r>
      <rPr>
        <b/>
        <u/>
        <sz val="10"/>
        <color indexed="10"/>
        <rFont val="Arial"/>
        <family val="2"/>
      </rPr>
      <t xml:space="preserve"> </t>
    </r>
  </si>
  <si>
    <t>Author</t>
  </si>
  <si>
    <t>Date</t>
  </si>
  <si>
    <t>2. Activate macros with red "Execute" button.</t>
  </si>
  <si>
    <t>69kV</t>
  </si>
  <si>
    <t>115kV</t>
  </si>
  <si>
    <t>230kV</t>
  </si>
  <si>
    <t>B Neff</t>
  </si>
  <si>
    <t>Interconnection Losses</t>
  </si>
  <si>
    <t>CNTL+SHIFT+ENTR</t>
  </si>
  <si>
    <t xml:space="preserve">                                                                                                                                                                                                                                               </t>
  </si>
  <si>
    <t>PERCENT CHANGE IN $/kW-Yr [( SCENARIO 2 - SCENARIO 1)/ SCENARIO 2]</t>
  </si>
  <si>
    <t>PERCENT CHANGE IN $/MWh [( SCENARIO 2 - SCENARIO 1)/ SCENARIO 1]</t>
  </si>
  <si>
    <t>PERCENT CHANGE IN $/MWh [( SCENARIO 2 - SCENARIO 1)/ SCENARIO 2]</t>
  </si>
  <si>
    <t>Summary of Data - Percent Change [(Scenario 2 - Scenario 1)/Scenario 2]</t>
  </si>
  <si>
    <t>****</t>
  </si>
  <si>
    <t>In-Service Year = 2013 (Nominal Dollars)</t>
  </si>
  <si>
    <t>Generator Capacity (MW)</t>
  </si>
  <si>
    <t>Interconnection Voltage</t>
  </si>
  <si>
    <t>Interconnection Cost - High (3 x Low)</t>
  </si>
  <si>
    <t>Interconnection Cost - Mid (1.5 x Low)</t>
  </si>
  <si>
    <t>Interconnection Cost - Low</t>
  </si>
  <si>
    <t>Tie-Line - High ($/mile) 1.5 x Mid</t>
  </si>
  <si>
    <t>Tie-Line - Mid ($/mile)</t>
  </si>
  <si>
    <t>Tie-Line - Low ($/mile) .75 x Mid</t>
  </si>
  <si>
    <t>Tie Length - Long (mile)</t>
  </si>
  <si>
    <t>Tie Length - Mid (mile)</t>
  </si>
  <si>
    <t>Tie Length - Short (mile)</t>
  </si>
  <si>
    <t>Total Cost - High</t>
  </si>
  <si>
    <t>Total Cost - Mid</t>
  </si>
  <si>
    <t>Total Cost - Low</t>
  </si>
  <si>
    <t>Total Losses - High</t>
  </si>
  <si>
    <t>Total Losses - Mid</t>
  </si>
  <si>
    <t>Total Losses - Low</t>
  </si>
  <si>
    <t>Start-Year Capital Costs ($/kW)</t>
  </si>
  <si>
    <t>Mod Ver 3.97j</t>
  </si>
  <si>
    <t>Operating Expenses:</t>
  </si>
  <si>
    <t xml:space="preserve"> minus GHG Emission Permit Costs</t>
  </si>
  <si>
    <t xml:space="preserve">      Total</t>
  </si>
  <si>
    <t>Capital &amp; Financing Costs</t>
  </si>
  <si>
    <t>Net Opeating Income</t>
  </si>
  <si>
    <t xml:space="preserve">  minus Taxes</t>
  </si>
  <si>
    <t xml:space="preserve">     Total</t>
  </si>
  <si>
    <t>Should be</t>
  </si>
  <si>
    <t>Same Values in $/kW to simplify PTA reverences.</t>
  </si>
  <si>
    <t>Transmission Line Losses and Rates - Ivin Rhyne</t>
  </si>
  <si>
    <t>Transmission Cost Estimator                      (All Values are in $1000)</t>
  </si>
  <si>
    <t>Mid Case</t>
  </si>
  <si>
    <t>High Case</t>
  </si>
  <si>
    <t>Low Case</t>
  </si>
  <si>
    <t>Contains a GUI and macro that graph the levelized cost as a function of a percent change in various base values so as to examine the sensitivity of the output to the specified variables. (not working)</t>
  </si>
  <si>
    <t>Contains a GUI and macro that graphs the levelized cost as a function of capacity factor for any of the plant technologies. (not working)</t>
  </si>
  <si>
    <t>Solar Photovoltaic (Thin-Film) 20 MW</t>
  </si>
  <si>
    <t>Solar Photovoltaic (Thin-Film) 100 MW</t>
  </si>
  <si>
    <t>INPUT BASE CONDITIONS</t>
  </si>
  <si>
    <t>To View High  &amp; Low Data on Other Worksheets</t>
  </si>
  <si>
    <t>1. Select High or Low Case in Cell C36</t>
  </si>
  <si>
    <t xml:space="preserve">3. Go to relevant worksheet and read the data of interest. </t>
  </si>
  <si>
    <t xml:space="preserve">2. Type anything into Cell C31 and hit Enter. </t>
  </si>
  <si>
    <t>Created for Energy Commission 2013 IEPR</t>
  </si>
  <si>
    <t>COG Modelers : Joel Klein &amp; Bryan Neff of the CEC AND Ashley Splading &amp; Richard McCann of Aspen</t>
  </si>
  <si>
    <t>Debt Term</t>
  </si>
  <si>
    <t>Federal Tax Depreciation</t>
  </si>
  <si>
    <t>Mid, High &amp; Low Cases</t>
  </si>
  <si>
    <t>Reports transmission line costs and losses</t>
  </si>
  <si>
    <t>PTA - Mid</t>
  </si>
  <si>
    <t>Mid Plant Type Assumptions</t>
  </si>
  <si>
    <t>Calculates Overhaul &amp; Equipment Replacement Costs</t>
  </si>
  <si>
    <t>Calculates Historical &amp; Forward Inflation Rates based on GDP Price Deflator Series - Used by Income Worksheets</t>
  </si>
  <si>
    <t>Base values: Fuel Price = $7.98, Installed Cost = $1,088.36</t>
  </si>
  <si>
    <t>1-ForcedOutageFactor)*IF(NetCapacityFactor&lt;(1-ForcedOutageFactor)*(1-EnterSchdOutageFactor),1,(1-EnterSchdOutageFactor)</t>
  </si>
  <si>
    <t>Cover, all</t>
  </si>
  <si>
    <t>Cumulative Deflators (from Inflation tab)</t>
  </si>
  <si>
    <t>Aspen 11-22-12 Data Sheet; DOE Wind Tech Aug 2014</t>
  </si>
  <si>
    <t>Aspen 12-10-12 Data Sheet; LBNL Aug 2014</t>
  </si>
  <si>
    <t>Aspen 12-7-12 Data Sheet; LBNL Aug 2014</t>
  </si>
  <si>
    <t>Capital Construction Costs by Year in Start-Year (Nominal $)</t>
  </si>
  <si>
    <t>Instant Cost</t>
  </si>
  <si>
    <t>Start-Year:</t>
  </si>
  <si>
    <t>Base Year:</t>
  </si>
  <si>
    <t>Study Perspective:</t>
  </si>
  <si>
    <t>This sheet is Base Year in Base Year Dollars.</t>
  </si>
  <si>
    <t>The PTA sheets for Instant Costs are Start Year in Nominal Dollars.</t>
  </si>
  <si>
    <t>The PTA sheets for O&amp;M Costs are in Base Year in Real Dollars.</t>
  </si>
  <si>
    <t>Taxes after Tax Credit</t>
  </si>
  <si>
    <t>Taxes Before Tax Credit</t>
  </si>
  <si>
    <t xml:space="preserve">      Operating Expenses</t>
  </si>
  <si>
    <t xml:space="preserve">      Revenues</t>
  </si>
  <si>
    <t xml:space="preserve">   Revenues - Operating Expenses</t>
  </si>
  <si>
    <t>Checking Algorithms  With Hand Calculations</t>
  </si>
  <si>
    <t>CONFIRMATION TABLE</t>
  </si>
  <si>
    <t>= Net ROI</t>
  </si>
  <si>
    <t>From Equity Investors Perspective</t>
  </si>
  <si>
    <t>CEC Modeler: Bryan Neff</t>
  </si>
  <si>
    <t>(916) 654-4414</t>
  </si>
  <si>
    <t>irhyne@energy.ca.gov</t>
  </si>
  <si>
    <t>bneff@energy.ca.gov</t>
  </si>
  <si>
    <t>3.98, Final</t>
  </si>
  <si>
    <t>Cover sheet date, Changes tab</t>
  </si>
  <si>
    <t>Change from draft version to final</t>
  </si>
</sst>
</file>

<file path=xl/styles.xml><?xml version="1.0" encoding="utf-8"?>
<styleSheet xmlns="http://schemas.openxmlformats.org/spreadsheetml/2006/main" xmlns:mc="http://schemas.openxmlformats.org/markup-compatibility/2006" xmlns:x14ac="http://schemas.microsoft.com/office/spreadsheetml/2009/9/ac" mc:Ignorable="x14ac">
  <numFmts count="61">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00"/>
    <numFmt numFmtId="166" formatCode="0.0"/>
    <numFmt numFmtId="167" formatCode="&quot;$&quot;#,##0.0_);\(&quot;$&quot;#,##0.0\)"/>
    <numFmt numFmtId="168" formatCode="#,##0.0_);\(#,##0.0\)"/>
    <numFmt numFmtId="169" formatCode="&quot;$&quot;#,##0.00"/>
    <numFmt numFmtId="170" formatCode="#,##0.0"/>
    <numFmt numFmtId="171" formatCode="&quot;$&quot;#,##0"/>
    <numFmt numFmtId="172" formatCode="0.0000"/>
    <numFmt numFmtId="173" formatCode="0.00_);\(0.00\)"/>
    <numFmt numFmtId="174" formatCode="mm/dd/yyyy"/>
    <numFmt numFmtId="175" formatCode="#,##0.000"/>
    <numFmt numFmtId="176" formatCode="mmm\-yyyy"/>
    <numFmt numFmtId="177" formatCode="#,##0.0000"/>
    <numFmt numFmtId="178" formatCode="0.0000000"/>
    <numFmt numFmtId="179" formatCode="0.000%"/>
    <numFmt numFmtId="180" formatCode="_(* #,##0.0_);_(* \(#,##0.0\);_(* &quot;-&quot;??_);_(@_)"/>
    <numFmt numFmtId="181" formatCode="0.00000000000"/>
    <numFmt numFmtId="182" formatCode="#,##0.000_);[Red]\(#,##0.000\)"/>
    <numFmt numFmtId="183" formatCode="yyyy"/>
    <numFmt numFmtId="184" formatCode="&quot;$&quot;#,##0.00000_);\(&quot;$&quot;#,##0.00000\)"/>
    <numFmt numFmtId="185" formatCode="_(* #,##0_);_(* \(#,##0\);_(* &quot;-&quot;??_);_(@_)"/>
    <numFmt numFmtId="186" formatCode="_(&quot;$&quot;* #,##0_);_(&quot;$&quot;* \(#,##0\);_(&quot;$&quot;* &quot;-&quot;??_);_(@_)"/>
    <numFmt numFmtId="187" formatCode="&quot;$&quot;#,##0.000_);\(&quot;$&quot;#,##0.000\)"/>
    <numFmt numFmtId="188" formatCode="0.000000%"/>
    <numFmt numFmtId="189" formatCode="#,##0.00000"/>
    <numFmt numFmtId="190" formatCode="#0%"/>
    <numFmt numFmtId="191" formatCode="&quot;$&quot;#,##0.000"/>
    <numFmt numFmtId="192" formatCode="&quot;$&quot;#,##0.0000"/>
    <numFmt numFmtId="193" formatCode="0.000000000000000%"/>
    <numFmt numFmtId="194" formatCode="_([$$-409]* #,##0.00_);_([$$-409]* \(#,##0.00\);_([$$-409]* &quot;-&quot;??_);_(@_)"/>
    <numFmt numFmtId="195" formatCode="&quot;$&quot;#,##0.0"/>
    <numFmt numFmtId="196" formatCode="&quot;$&quot;#,##0.0_);[Red]\(&quot;$&quot;#,##0.0\)"/>
    <numFmt numFmtId="197" formatCode="&quot;$&quot;#,##0.000_);[Red]\(&quot;$&quot;#,##0.000\)"/>
    <numFmt numFmtId="198" formatCode="0.00000"/>
    <numFmt numFmtId="199" formatCode="&quot;$&quot;#,##0.00000000000000"/>
    <numFmt numFmtId="200" formatCode="0.0000000000000%"/>
    <numFmt numFmtId="201" formatCode="0_);\(0\)"/>
    <numFmt numFmtId="202" formatCode="[$-409]mmm\-yy;@"/>
    <numFmt numFmtId="203" formatCode="#,##0;\(#,##0\)"/>
    <numFmt numFmtId="204" formatCode="&quot;$&quot;#,##0.0;[Red]\-&quot;$&quot;#,##0.0"/>
    <numFmt numFmtId="205" formatCode="#,##0.000\¢;\(#,##0.000\¢\)"/>
    <numFmt numFmtId="206" formatCode="#,##0_);[Red]\(#,##0\);&quot;-&quot;_);@_)"/>
    <numFmt numFmtId="207" formatCode="&quot;$&quot;#,##0_);[Red]\(&quot;$&quot;#,##0\);&quot;-&quot;_);@_)"/>
    <numFmt numFmtId="208" formatCode="_([$€-2]* #,##0.00_);_([$€-2]* \(#,##0.00\);_([$€-2]* &quot;-&quot;??_)"/>
    <numFmt numFmtId="209" formatCode="#,##0.00&quot; $&quot;;\-#,##0.00&quot; $&quot;"/>
    <numFmt numFmtId="210" formatCode="[Red][&gt;8760]General;[Black][&lt;=8760]General"/>
    <numFmt numFmtId="211" formatCode="[Red][=1]General;[Black][&lt;&gt;1]General"/>
    <numFmt numFmtId="212" formatCode="_(&quot;N$&quot;* #,##0_);_(&quot;N$&quot;* \(#,##0\);_(&quot;N$&quot;* &quot;-&quot;_);_(@_)"/>
    <numFmt numFmtId="213" formatCode="_(&quot;N$&quot;* #,##0.00_);_(&quot;N$&quot;* \(#,##0.00\);_(&quot;N$&quot;* &quot;-&quot;??_);_(@_)"/>
    <numFmt numFmtId="214" formatCode="#,##0.0000\ ;[Red]\(#,##0.0000\)"/>
    <numFmt numFmtId="215" formatCode="[&lt;0]&quot;&quot;;[Black][&gt;0]\(00.0%\);General"/>
    <numFmt numFmtId="216" formatCode="0.000000"/>
  </numFmts>
  <fonts count="282">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8"/>
      <name val="Arial"/>
      <family val="2"/>
    </font>
    <font>
      <b/>
      <sz val="12"/>
      <name val="Arial"/>
      <family val="2"/>
    </font>
    <font>
      <b/>
      <sz val="10"/>
      <name val="Arial"/>
      <family val="2"/>
    </font>
    <font>
      <b/>
      <i/>
      <sz val="10"/>
      <name val="Arial"/>
      <family val="2"/>
    </font>
    <font>
      <i/>
      <sz val="10"/>
      <name val="Arial"/>
      <family val="2"/>
    </font>
    <font>
      <sz val="10"/>
      <name val="Arial"/>
      <family val="2"/>
    </font>
    <font>
      <sz val="10"/>
      <color indexed="10"/>
      <name val="Arial"/>
      <family val="2"/>
    </font>
    <font>
      <sz val="10"/>
      <name val="Arial"/>
      <family val="2"/>
    </font>
    <font>
      <u/>
      <sz val="7.5"/>
      <color indexed="12"/>
      <name val="Arial"/>
      <family val="2"/>
    </font>
    <font>
      <b/>
      <sz val="8"/>
      <color indexed="81"/>
      <name val="Tahoma"/>
      <family val="2"/>
    </font>
    <font>
      <sz val="8"/>
      <color indexed="81"/>
      <name val="Tahoma"/>
      <family val="2"/>
    </font>
    <font>
      <b/>
      <sz val="12"/>
      <name val="Arial"/>
      <family val="2"/>
    </font>
    <font>
      <sz val="9"/>
      <color indexed="81"/>
      <name val="Tahoma"/>
      <family val="2"/>
    </font>
    <font>
      <sz val="9"/>
      <color indexed="81"/>
      <name val="Arial"/>
      <family val="2"/>
    </font>
    <font>
      <u/>
      <sz val="9"/>
      <color indexed="81"/>
      <name val="Arial"/>
      <family val="2"/>
    </font>
    <font>
      <u/>
      <sz val="9"/>
      <color indexed="81"/>
      <name val="Tahoma"/>
      <family val="2"/>
    </font>
    <font>
      <b/>
      <sz val="9"/>
      <color indexed="81"/>
      <name val="Tahoma"/>
      <family val="2"/>
    </font>
    <font>
      <i/>
      <sz val="10"/>
      <color indexed="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i/>
      <sz val="10"/>
      <color indexed="22"/>
      <name val="Arial"/>
      <family val="2"/>
    </font>
    <font>
      <sz val="10"/>
      <color indexed="22"/>
      <name val="Arial"/>
      <family val="2"/>
    </font>
    <font>
      <b/>
      <sz val="10"/>
      <color indexed="10"/>
      <name val="Arial"/>
      <family val="2"/>
    </font>
    <font>
      <b/>
      <u/>
      <sz val="9"/>
      <color indexed="81"/>
      <name val="Tahoma"/>
      <family val="2"/>
    </font>
    <font>
      <sz val="12"/>
      <name val="Arial"/>
      <family val="2"/>
    </font>
    <font>
      <sz val="10"/>
      <color indexed="53"/>
      <name val="Arial"/>
      <family val="2"/>
    </font>
    <font>
      <b/>
      <sz val="10"/>
      <color indexed="81"/>
      <name val="Tahoma"/>
      <family val="2"/>
    </font>
    <font>
      <sz val="10"/>
      <color indexed="81"/>
      <name val="Tahoma"/>
      <family val="2"/>
    </font>
    <font>
      <b/>
      <u/>
      <sz val="10"/>
      <name val="Arial"/>
      <family val="2"/>
    </font>
    <font>
      <sz val="10"/>
      <color indexed="10"/>
      <name val="Arial"/>
      <family val="2"/>
    </font>
    <font>
      <i/>
      <sz val="10"/>
      <name val="Arial"/>
      <family val="2"/>
    </font>
    <font>
      <sz val="10"/>
      <name val="Arial"/>
      <family val="2"/>
    </font>
    <font>
      <sz val="8"/>
      <name val="Arial"/>
      <family val="2"/>
    </font>
    <font>
      <i/>
      <sz val="10"/>
      <color indexed="22"/>
      <name val="Arial"/>
      <family val="2"/>
    </font>
    <font>
      <sz val="10"/>
      <color indexed="22"/>
      <name val="Arial"/>
      <family val="2"/>
    </font>
    <font>
      <b/>
      <sz val="12"/>
      <color indexed="10"/>
      <name val="Arial"/>
      <family val="2"/>
    </font>
    <font>
      <b/>
      <sz val="8"/>
      <name val="Arial"/>
      <family val="2"/>
    </font>
    <font>
      <b/>
      <sz val="12"/>
      <color indexed="11"/>
      <name val="Arial"/>
      <family val="2"/>
    </font>
    <font>
      <u/>
      <sz val="9"/>
      <color indexed="12"/>
      <name val="Arial"/>
      <family val="2"/>
    </font>
    <font>
      <i/>
      <sz val="9"/>
      <name val="Arial"/>
      <family val="2"/>
    </font>
    <font>
      <sz val="12"/>
      <name val="MS Sans Serif"/>
      <family val="2"/>
    </font>
    <font>
      <sz val="12"/>
      <name val="MS Sans Serif"/>
      <family val="2"/>
    </font>
    <font>
      <b/>
      <sz val="10"/>
      <color indexed="9"/>
      <name val="Arial"/>
      <family val="2"/>
    </font>
    <font>
      <b/>
      <sz val="11"/>
      <color indexed="10"/>
      <name val="Arial"/>
      <family val="2"/>
    </font>
    <font>
      <b/>
      <u/>
      <sz val="14"/>
      <name val="Arial"/>
      <family val="2"/>
    </font>
    <font>
      <b/>
      <sz val="16"/>
      <name val="Arial"/>
      <family val="2"/>
    </font>
    <font>
      <b/>
      <u/>
      <sz val="12"/>
      <name val="Arial"/>
      <family val="2"/>
    </font>
    <font>
      <sz val="11"/>
      <name val="Arial"/>
      <family val="2"/>
    </font>
    <font>
      <sz val="11"/>
      <name val="Arial"/>
      <family val="2"/>
    </font>
    <font>
      <b/>
      <sz val="14"/>
      <name val="Arial"/>
      <family val="2"/>
    </font>
    <font>
      <sz val="12"/>
      <color indexed="45"/>
      <name val="Arial"/>
      <family val="2"/>
    </font>
    <font>
      <b/>
      <sz val="10"/>
      <color indexed="20"/>
      <name val="Arial"/>
      <family val="2"/>
    </font>
    <font>
      <i/>
      <sz val="10"/>
      <color indexed="61"/>
      <name val="Arial"/>
      <family val="2"/>
    </font>
    <font>
      <sz val="10"/>
      <color indexed="61"/>
      <name val="Arial"/>
      <family val="2"/>
    </font>
    <font>
      <i/>
      <u/>
      <sz val="10"/>
      <color indexed="22"/>
      <name val="Arial"/>
      <family val="2"/>
    </font>
    <font>
      <b/>
      <sz val="12"/>
      <name val="MS Sans Serif"/>
      <family val="2"/>
    </font>
    <font>
      <b/>
      <sz val="18"/>
      <name val="Arial"/>
      <family val="2"/>
    </font>
    <font>
      <sz val="8"/>
      <name val="Arial"/>
      <family val="2"/>
    </font>
    <font>
      <sz val="10"/>
      <color indexed="12"/>
      <name val="Arial"/>
      <family val="2"/>
    </font>
    <font>
      <b/>
      <u/>
      <sz val="7.5"/>
      <color indexed="12"/>
      <name val="Arial"/>
      <family val="2"/>
    </font>
    <font>
      <u/>
      <sz val="10"/>
      <name val="Arial"/>
      <family val="2"/>
    </font>
    <font>
      <sz val="10"/>
      <name val="MS Sans Serif"/>
      <family val="2"/>
    </font>
    <font>
      <b/>
      <i/>
      <sz val="8"/>
      <color indexed="81"/>
      <name val="Tahoma"/>
      <family val="2"/>
    </font>
    <font>
      <b/>
      <i/>
      <sz val="8"/>
      <name val="Arial"/>
      <family val="2"/>
    </font>
    <font>
      <b/>
      <sz val="10"/>
      <color indexed="10"/>
      <name val="Arial"/>
      <family val="2"/>
    </font>
    <font>
      <b/>
      <sz val="10"/>
      <color indexed="12"/>
      <name val="Arial"/>
      <family val="2"/>
    </font>
    <font>
      <sz val="10"/>
      <color indexed="9"/>
      <name val="Arial"/>
      <family val="2"/>
    </font>
    <font>
      <i/>
      <sz val="8"/>
      <name val="Arial"/>
      <family val="2"/>
    </font>
    <font>
      <u/>
      <sz val="8"/>
      <color indexed="81"/>
      <name val="Tahoma"/>
      <family val="2"/>
    </font>
    <font>
      <sz val="8"/>
      <color indexed="10"/>
      <name val="Tahoma"/>
      <family val="2"/>
    </font>
    <font>
      <i/>
      <sz val="10"/>
      <color indexed="12"/>
      <name val="Arial"/>
      <family val="2"/>
    </font>
    <font>
      <i/>
      <sz val="8"/>
      <name val="Arial"/>
      <family val="2"/>
    </font>
    <font>
      <sz val="10"/>
      <color indexed="17"/>
      <name val="Arial"/>
      <family val="2"/>
    </font>
    <font>
      <b/>
      <sz val="10"/>
      <color indexed="17"/>
      <name val="Arial"/>
      <family val="2"/>
    </font>
    <font>
      <sz val="10"/>
      <color indexed="62"/>
      <name val="Arial"/>
      <family val="2"/>
    </font>
    <font>
      <sz val="10"/>
      <color indexed="20"/>
      <name val="Arial"/>
      <family val="2"/>
    </font>
    <font>
      <sz val="10"/>
      <color indexed="8"/>
      <name val="Arial"/>
      <family val="2"/>
    </font>
    <font>
      <sz val="10"/>
      <name val="Tahoma"/>
      <family val="2"/>
    </font>
    <font>
      <i/>
      <sz val="10"/>
      <color indexed="15"/>
      <name val="Arial"/>
      <family val="2"/>
    </font>
    <font>
      <sz val="10"/>
      <color indexed="15"/>
      <name val="Arial"/>
      <family val="2"/>
    </font>
    <font>
      <b/>
      <sz val="10"/>
      <color indexed="60"/>
      <name val="Arial"/>
      <family val="2"/>
    </font>
    <font>
      <sz val="10"/>
      <color indexed="60"/>
      <name val="Arial"/>
      <family val="2"/>
    </font>
    <font>
      <b/>
      <sz val="9"/>
      <color indexed="10"/>
      <name val="Tahoma"/>
      <family val="2"/>
    </font>
    <font>
      <sz val="12"/>
      <color indexed="10"/>
      <name val="Arial"/>
      <family val="2"/>
    </font>
    <font>
      <i/>
      <sz val="10"/>
      <color indexed="57"/>
      <name val="Arial"/>
      <family val="2"/>
    </font>
    <font>
      <b/>
      <sz val="10"/>
      <color indexed="22"/>
      <name val="Arial"/>
      <family val="2"/>
    </font>
    <font>
      <b/>
      <u/>
      <sz val="18"/>
      <name val="Arial"/>
      <family val="2"/>
    </font>
    <font>
      <sz val="18"/>
      <name val="Arial"/>
      <family val="2"/>
    </font>
    <font>
      <sz val="14"/>
      <name val="Arial"/>
      <family val="2"/>
    </font>
    <font>
      <sz val="9"/>
      <name val="Arial"/>
      <family val="2"/>
    </font>
    <font>
      <b/>
      <sz val="12"/>
      <color indexed="81"/>
      <name val="Tahoma"/>
      <family val="2"/>
    </font>
    <font>
      <b/>
      <i/>
      <sz val="10"/>
      <color indexed="12"/>
      <name val="Arial"/>
      <family val="2"/>
    </font>
    <font>
      <i/>
      <u/>
      <sz val="10"/>
      <name val="Arial"/>
      <family val="2"/>
    </font>
    <font>
      <b/>
      <sz val="9"/>
      <name val="Arial"/>
      <family val="2"/>
    </font>
    <font>
      <sz val="20"/>
      <name val="Arial"/>
      <family val="2"/>
    </font>
    <font>
      <b/>
      <vertAlign val="superscript"/>
      <sz val="11"/>
      <color indexed="8"/>
      <name val="Calibri"/>
      <family val="2"/>
    </font>
    <font>
      <sz val="11"/>
      <color indexed="8"/>
      <name val="Calibri"/>
      <family val="2"/>
    </font>
    <font>
      <b/>
      <sz val="14"/>
      <color indexed="62"/>
      <name val="Arial"/>
      <family val="2"/>
    </font>
    <font>
      <sz val="10"/>
      <color indexed="22"/>
      <name val="Arial"/>
      <family val="2"/>
    </font>
    <font>
      <b/>
      <sz val="10"/>
      <color indexed="8"/>
      <name val="Arial"/>
      <family val="2"/>
    </font>
    <font>
      <sz val="10"/>
      <color indexed="10"/>
      <name val="Arial"/>
      <family val="2"/>
    </font>
    <font>
      <i/>
      <sz val="10"/>
      <color indexed="10"/>
      <name val="Arial"/>
      <family val="2"/>
    </font>
    <font>
      <b/>
      <sz val="10"/>
      <color indexed="22"/>
      <name val="Arial"/>
      <family val="2"/>
    </font>
    <font>
      <i/>
      <sz val="10"/>
      <color indexed="22"/>
      <name val="Arial"/>
      <family val="2"/>
    </font>
    <font>
      <b/>
      <i/>
      <sz val="10"/>
      <color indexed="22"/>
      <name val="Arial"/>
      <family val="2"/>
    </font>
    <font>
      <b/>
      <sz val="10"/>
      <color indexed="10"/>
      <name val="Arial"/>
      <family val="2"/>
    </font>
    <font>
      <i/>
      <sz val="10"/>
      <color indexed="23"/>
      <name val="Arial"/>
      <family val="2"/>
    </font>
    <font>
      <sz val="10"/>
      <color indexed="23"/>
      <name val="Arial"/>
      <family val="2"/>
    </font>
    <font>
      <b/>
      <sz val="10"/>
      <color indexed="23"/>
      <name val="Arial"/>
      <family val="2"/>
    </font>
    <font>
      <sz val="10"/>
      <color indexed="17"/>
      <name val="Arial"/>
      <family val="2"/>
    </font>
    <font>
      <b/>
      <i/>
      <sz val="10"/>
      <color indexed="44"/>
      <name val="Arial"/>
      <family val="2"/>
    </font>
    <font>
      <sz val="10"/>
      <color indexed="30"/>
      <name val="Arial"/>
      <family val="2"/>
    </font>
    <font>
      <b/>
      <sz val="10"/>
      <color indexed="30"/>
      <name val="Arial"/>
      <family val="2"/>
    </font>
    <font>
      <sz val="10"/>
      <color indexed="62"/>
      <name val="Arial"/>
      <family val="2"/>
    </font>
    <font>
      <sz val="10"/>
      <color indexed="55"/>
      <name val="Arial"/>
      <family val="2"/>
    </font>
    <font>
      <b/>
      <i/>
      <sz val="10"/>
      <color indexed="10"/>
      <name val="Arial"/>
      <family val="2"/>
    </font>
    <font>
      <sz val="10"/>
      <color indexed="18"/>
      <name val="Arial"/>
      <family val="2"/>
    </font>
    <font>
      <sz val="10"/>
      <color indexed="55"/>
      <name val="Arial"/>
      <family val="2"/>
    </font>
    <font>
      <sz val="10"/>
      <color indexed="8"/>
      <name val="Arial"/>
      <family val="2"/>
    </font>
    <font>
      <b/>
      <sz val="10"/>
      <color indexed="50"/>
      <name val="Arial"/>
      <family val="2"/>
    </font>
    <font>
      <i/>
      <sz val="10"/>
      <color indexed="55"/>
      <name val="Arial"/>
      <family val="2"/>
    </font>
    <font>
      <b/>
      <sz val="11"/>
      <color indexed="8"/>
      <name val="Calibri"/>
      <family val="2"/>
    </font>
    <font>
      <b/>
      <u/>
      <sz val="10"/>
      <color indexed="55"/>
      <name val="Arial"/>
      <family val="2"/>
    </font>
    <font>
      <b/>
      <sz val="10"/>
      <color indexed="55"/>
      <name val="Arial"/>
      <family val="2"/>
    </font>
    <font>
      <i/>
      <sz val="11"/>
      <color indexed="8"/>
      <name val="Calibri"/>
      <family val="2"/>
    </font>
    <font>
      <sz val="11"/>
      <color indexed="55"/>
      <name val="Calibri"/>
      <family val="2"/>
    </font>
    <font>
      <b/>
      <sz val="11"/>
      <color indexed="55"/>
      <name val="Calibri"/>
      <family val="2"/>
    </font>
    <font>
      <sz val="10"/>
      <name val="Calibri"/>
      <family val="2"/>
    </font>
    <font>
      <b/>
      <u/>
      <sz val="10"/>
      <name val="Calibri"/>
      <family val="2"/>
    </font>
    <font>
      <u/>
      <sz val="10"/>
      <name val="Calibri"/>
      <family val="2"/>
    </font>
    <font>
      <b/>
      <i/>
      <sz val="11"/>
      <color indexed="8"/>
      <name val="Calibri"/>
      <family val="2"/>
    </font>
    <font>
      <sz val="10"/>
      <color indexed="19"/>
      <name val="Arial"/>
      <family val="2"/>
    </font>
    <font>
      <sz val="10"/>
      <color indexed="57"/>
      <name val="Arial"/>
      <family val="2"/>
    </font>
    <font>
      <sz val="10"/>
      <color indexed="36"/>
      <name val="Arial"/>
      <family val="2"/>
    </font>
    <font>
      <b/>
      <sz val="10"/>
      <color indexed="9"/>
      <name val="Arial"/>
      <family val="2"/>
    </font>
    <font>
      <b/>
      <sz val="9"/>
      <color indexed="9"/>
      <name val="Arial"/>
      <family val="2"/>
    </font>
    <font>
      <sz val="9"/>
      <color indexed="9"/>
      <name val="Arial"/>
      <family val="2"/>
    </font>
    <font>
      <b/>
      <u/>
      <sz val="11"/>
      <color indexed="12"/>
      <name val="Arial"/>
      <family val="2"/>
    </font>
    <font>
      <sz val="11"/>
      <color theme="1"/>
      <name val="Calibri"/>
      <family val="2"/>
      <scheme val="minor"/>
    </font>
    <font>
      <b/>
      <sz val="10"/>
      <color theme="0"/>
      <name val="Arial"/>
      <family val="2"/>
    </font>
    <font>
      <sz val="10"/>
      <color rgb="FFFF0000"/>
      <name val="Arial"/>
      <family val="2"/>
    </font>
    <font>
      <b/>
      <sz val="10"/>
      <color rgb="FFFF0000"/>
      <name val="Arial"/>
      <family val="2"/>
    </font>
    <font>
      <b/>
      <sz val="11"/>
      <color theme="1"/>
      <name val="Arial"/>
      <family val="2"/>
    </font>
    <font>
      <sz val="11"/>
      <color rgb="FF000000"/>
      <name val="Arial"/>
      <family val="2"/>
    </font>
    <font>
      <sz val="12"/>
      <color indexed="81"/>
      <name val="Tahoma"/>
      <family val="2"/>
    </font>
    <font>
      <u/>
      <sz val="10"/>
      <color theme="0" tint="-0.499984740745262"/>
      <name val="Arial"/>
      <family val="2"/>
    </font>
    <font>
      <sz val="10"/>
      <color theme="0" tint="-0.499984740745262"/>
      <name val="Arial"/>
      <family val="2"/>
    </font>
    <font>
      <b/>
      <sz val="12"/>
      <color theme="0" tint="-0.499984740745262"/>
      <name val="Arial"/>
      <family val="2"/>
    </font>
    <font>
      <b/>
      <sz val="10"/>
      <color theme="0" tint="-0.34998626667073579"/>
      <name val="Arial"/>
      <family val="2"/>
    </font>
    <font>
      <b/>
      <sz val="16"/>
      <color indexed="56"/>
      <name val="Arial"/>
      <family val="2"/>
    </font>
    <font>
      <b/>
      <sz val="12"/>
      <color rgb="FFFF0000"/>
      <name val="Arial"/>
      <family val="2"/>
    </font>
    <font>
      <sz val="14"/>
      <color theme="1"/>
      <name val="Arial"/>
      <family val="2"/>
    </font>
    <font>
      <b/>
      <sz val="24"/>
      <name val="Arial"/>
      <family val="2"/>
    </font>
    <font>
      <b/>
      <sz val="24"/>
      <color rgb="FFFF0000"/>
      <name val="Arial"/>
      <family val="2"/>
    </font>
    <font>
      <b/>
      <sz val="24"/>
      <color theme="1"/>
      <name val="Arial"/>
      <family val="2"/>
    </font>
    <font>
      <b/>
      <u/>
      <sz val="24"/>
      <color rgb="FFFF0000"/>
      <name val="Arial"/>
      <family val="2"/>
    </font>
    <font>
      <b/>
      <sz val="22"/>
      <color theme="1"/>
      <name val="Arial"/>
      <family val="2"/>
    </font>
    <font>
      <sz val="11"/>
      <name val="Calibri"/>
      <family val="2"/>
      <scheme val="minor"/>
    </font>
    <font>
      <sz val="14"/>
      <name val="Calibri"/>
      <family val="2"/>
      <scheme val="minor"/>
    </font>
    <font>
      <i/>
      <sz val="10"/>
      <color rgb="FFFF0000"/>
      <name val="Arial"/>
      <family val="2"/>
    </font>
    <font>
      <b/>
      <sz val="11"/>
      <color theme="1"/>
      <name val="Calibri"/>
      <family val="2"/>
      <scheme val="minor"/>
    </font>
    <font>
      <vertAlign val="superscript"/>
      <sz val="11"/>
      <color indexed="8"/>
      <name val="Calibri"/>
      <family val="2"/>
    </font>
    <font>
      <sz val="7.5"/>
      <name val="Arial"/>
      <family val="2"/>
    </font>
    <font>
      <sz val="10"/>
      <color theme="0" tint="-0.249977111117893"/>
      <name val="Arial"/>
      <family val="2"/>
    </font>
    <font>
      <sz val="10"/>
      <color theme="0" tint="-0.14999847407452621"/>
      <name val="Arial"/>
      <family val="2"/>
    </font>
    <font>
      <b/>
      <sz val="20"/>
      <name val="Arial"/>
      <family val="2"/>
    </font>
    <font>
      <b/>
      <u/>
      <sz val="11"/>
      <name val="Arial"/>
      <family val="2"/>
    </font>
    <font>
      <b/>
      <sz val="18"/>
      <color theme="0" tint="-0.34998626667073579"/>
      <name val="Arial"/>
      <family val="2"/>
    </font>
    <font>
      <b/>
      <sz val="12"/>
      <color theme="0" tint="-0.34998626667073579"/>
      <name val="Arial"/>
      <family val="2"/>
    </font>
    <font>
      <sz val="10"/>
      <color theme="0" tint="-0.34998626667073579"/>
      <name val="Arial"/>
      <family val="2"/>
    </font>
    <font>
      <b/>
      <sz val="11"/>
      <color theme="0" tint="-0.34998626667073579"/>
      <name val="Arial"/>
      <family val="2"/>
    </font>
    <font>
      <i/>
      <sz val="10"/>
      <color theme="0" tint="-0.34998626667073579"/>
      <name val="Arial"/>
      <family val="2"/>
    </font>
    <font>
      <b/>
      <sz val="11"/>
      <color theme="3"/>
      <name val="Arial"/>
      <family val="2"/>
    </font>
    <font>
      <b/>
      <sz val="10"/>
      <color theme="3"/>
      <name val="Arial"/>
      <family val="2"/>
    </font>
    <font>
      <sz val="10"/>
      <color theme="1" tint="0.34998626667073579"/>
      <name val="Arial"/>
      <family val="2"/>
    </font>
    <font>
      <sz val="9"/>
      <color theme="1"/>
      <name val="Arial"/>
      <family val="2"/>
    </font>
    <font>
      <b/>
      <sz val="9"/>
      <color theme="1"/>
      <name val="Arial"/>
      <family val="2"/>
    </font>
    <font>
      <sz val="9"/>
      <color rgb="FFFF0000"/>
      <name val="Arial"/>
      <family val="2"/>
    </font>
    <font>
      <sz val="11"/>
      <color theme="0" tint="-0.249977111117893"/>
      <name val="Calibri"/>
      <family val="2"/>
      <scheme val="minor"/>
    </font>
    <font>
      <b/>
      <i/>
      <sz val="11"/>
      <color theme="1"/>
      <name val="Calibri"/>
      <family val="2"/>
      <scheme val="minor"/>
    </font>
    <font>
      <sz val="14"/>
      <color indexed="81"/>
      <name val="Tahoma"/>
      <family val="2"/>
    </font>
    <font>
      <i/>
      <sz val="10"/>
      <color theme="9" tint="-0.249977111117893"/>
      <name val="Arial"/>
      <family val="2"/>
    </font>
    <font>
      <i/>
      <sz val="10"/>
      <color rgb="FFC00000"/>
      <name val="Arial"/>
      <family val="2"/>
    </font>
    <font>
      <b/>
      <sz val="9"/>
      <color rgb="FF000000"/>
      <name val="Arial"/>
      <family val="2"/>
    </font>
    <font>
      <sz val="9"/>
      <color rgb="FF000000"/>
      <name val="Arial"/>
      <family val="2"/>
    </font>
    <font>
      <b/>
      <sz val="10"/>
      <color theme="0" tint="-0.249977111117893"/>
      <name val="Arial"/>
      <family val="2"/>
    </font>
    <font>
      <sz val="11"/>
      <color theme="0" tint="-0.34998626667073579"/>
      <name val="Arial"/>
      <family val="2"/>
    </font>
    <font>
      <b/>
      <sz val="11"/>
      <color rgb="FF002060"/>
      <name val="Arial"/>
      <family val="2"/>
    </font>
    <font>
      <b/>
      <sz val="10"/>
      <color rgb="FF002060"/>
      <name val="Arial"/>
      <family val="2"/>
    </font>
    <font>
      <b/>
      <sz val="11"/>
      <color theme="1" tint="0.34998626667073579"/>
      <name val="Arial"/>
      <family val="2"/>
    </font>
    <font>
      <sz val="10"/>
      <color theme="3"/>
      <name val="Arial"/>
      <family val="2"/>
    </font>
    <font>
      <b/>
      <i/>
      <u/>
      <sz val="10"/>
      <name val="Arial"/>
      <family val="2"/>
    </font>
    <font>
      <sz val="10"/>
      <color rgb="FF000000"/>
      <name val="Tahoma"/>
      <family val="2"/>
    </font>
    <font>
      <b/>
      <sz val="10"/>
      <color theme="1" tint="0.499984740745262"/>
      <name val="Arial"/>
      <family val="2"/>
    </font>
    <font>
      <sz val="10"/>
      <color theme="1" tint="0.499984740745262"/>
      <name val="Arial"/>
      <family val="2"/>
    </font>
    <font>
      <sz val="11"/>
      <color theme="1" tint="0.499984740745262"/>
      <name val="Arial"/>
      <family val="2"/>
    </font>
    <font>
      <i/>
      <sz val="11"/>
      <color theme="1"/>
      <name val="Calibri"/>
      <family val="2"/>
      <scheme val="minor"/>
    </font>
    <font>
      <b/>
      <sz val="11"/>
      <color theme="0" tint="-0.34998626667073579"/>
      <name val="Calibri"/>
      <family val="2"/>
      <scheme val="minor"/>
    </font>
    <font>
      <sz val="11"/>
      <color theme="0" tint="-0.34998626667073579"/>
      <name val="Calibri"/>
      <family val="2"/>
      <scheme val="minor"/>
    </font>
    <font>
      <b/>
      <sz val="11"/>
      <name val="Calibri"/>
      <family val="2"/>
      <scheme val="minor"/>
    </font>
    <font>
      <b/>
      <sz val="11"/>
      <color rgb="FF010202"/>
      <name val="Times New Roman"/>
      <family val="1"/>
    </font>
    <font>
      <sz val="11"/>
      <color rgb="FF010202"/>
      <name val="Times New Roman"/>
      <family val="1"/>
    </font>
    <font>
      <i/>
      <sz val="11"/>
      <color rgb="FF010202"/>
      <name val="Times New Roman"/>
      <family val="1"/>
    </font>
    <font>
      <sz val="11"/>
      <color theme="3"/>
      <name val="Calibri"/>
      <family val="2"/>
      <scheme val="minor"/>
    </font>
    <font>
      <sz val="11"/>
      <color theme="3"/>
      <name val="Calibri"/>
      <family val="2"/>
    </font>
    <font>
      <sz val="10"/>
      <color theme="7" tint="-0.499984740745262"/>
      <name val="Arial"/>
      <family val="2"/>
    </font>
    <font>
      <sz val="10"/>
      <color rgb="FF002060"/>
      <name val="Arial"/>
      <family val="2"/>
    </font>
    <font>
      <sz val="10"/>
      <color theme="4"/>
      <name val="Arial"/>
      <family val="2"/>
    </font>
    <font>
      <b/>
      <sz val="10"/>
      <color indexed="10"/>
      <name val="Tahoma"/>
      <family val="2"/>
    </font>
    <font>
      <b/>
      <sz val="12"/>
      <color rgb="FF7030A0"/>
      <name val="Arial"/>
      <family val="2"/>
    </font>
    <font>
      <b/>
      <sz val="10"/>
      <color rgb="FF7030A0"/>
      <name val="Arial"/>
      <family val="2"/>
    </font>
    <font>
      <b/>
      <sz val="11"/>
      <color rgb="FF7030A0"/>
      <name val="Arial"/>
      <family val="2"/>
    </font>
    <font>
      <sz val="10"/>
      <color theme="3" tint="-0.499984740745262"/>
      <name val="Arial"/>
      <family val="2"/>
    </font>
    <font>
      <b/>
      <sz val="11"/>
      <color theme="0" tint="-0.249977111117893"/>
      <name val="Calibri"/>
      <family val="2"/>
      <scheme val="minor"/>
    </font>
    <font>
      <b/>
      <sz val="12"/>
      <color rgb="FF00B050"/>
      <name val="Arial"/>
      <family val="2"/>
    </font>
    <font>
      <i/>
      <sz val="10"/>
      <color theme="0" tint="-0.249977111117893"/>
      <name val="Arial"/>
      <family val="2"/>
    </font>
    <font>
      <b/>
      <sz val="10"/>
      <color theme="0" tint="-0.14999847407452621"/>
      <name val="Arial"/>
      <family val="2"/>
    </font>
    <font>
      <sz val="10"/>
      <color theme="0"/>
      <name val="Arial"/>
      <family val="2"/>
    </font>
    <font>
      <sz val="14"/>
      <color theme="0"/>
      <name val="Arial"/>
      <family val="2"/>
    </font>
    <font>
      <b/>
      <sz val="14"/>
      <color theme="0"/>
      <name val="Arial"/>
      <family val="2"/>
    </font>
    <font>
      <b/>
      <u/>
      <sz val="10"/>
      <color indexed="10"/>
      <name val="Arial"/>
      <family val="2"/>
    </font>
    <font>
      <u/>
      <sz val="10"/>
      <color indexed="12"/>
      <name val="Arial"/>
      <family val="2"/>
    </font>
    <font>
      <b/>
      <sz val="9"/>
      <color theme="0"/>
      <name val="Arial"/>
      <family val="2"/>
    </font>
    <font>
      <sz val="9"/>
      <color theme="0"/>
      <name val="Arial"/>
      <family val="2"/>
    </font>
    <font>
      <sz val="11"/>
      <color theme="0"/>
      <name val="Calibri"/>
      <family val="2"/>
      <scheme val="minor"/>
    </font>
    <font>
      <b/>
      <sz val="11"/>
      <color theme="0"/>
      <name val="Calibri"/>
      <family val="2"/>
      <scheme val="minor"/>
    </font>
    <font>
      <b/>
      <sz val="12"/>
      <color theme="1"/>
      <name val="Calibri"/>
      <family val="2"/>
      <scheme val="minor"/>
    </font>
    <font>
      <sz val="11"/>
      <color rgb="FF000000"/>
      <name val="Calibri"/>
      <family val="2"/>
      <scheme val="minor"/>
    </font>
    <font>
      <b/>
      <sz val="14"/>
      <color rgb="FF000000"/>
      <name val="Calibri"/>
      <family val="2"/>
      <scheme val="minor"/>
    </font>
    <font>
      <sz val="12"/>
      <name val="Times New Roman"/>
      <family val="1"/>
    </font>
    <font>
      <sz val="11"/>
      <color indexed="9"/>
      <name val="Calibri"/>
      <family val="2"/>
    </font>
    <font>
      <sz val="10"/>
      <name val="Times New Roman"/>
      <family val="1"/>
    </font>
    <font>
      <sz val="11"/>
      <color indexed="20"/>
      <name val="Calibri"/>
      <family val="2"/>
    </font>
    <font>
      <i/>
      <sz val="14"/>
      <name val="Arial"/>
      <family val="2"/>
    </font>
    <font>
      <sz val="10"/>
      <name val="Helv"/>
      <charset val="177"/>
    </font>
    <font>
      <b/>
      <sz val="12"/>
      <name val="Helv"/>
    </font>
    <font>
      <b/>
      <sz val="11"/>
      <color indexed="52"/>
      <name val="Calibri"/>
      <family val="2"/>
    </font>
    <font>
      <sz val="10"/>
      <name val="Helvetica"/>
      <family val="2"/>
    </font>
    <font>
      <b/>
      <sz val="11"/>
      <color indexed="9"/>
      <name val="Calibri"/>
      <family val="2"/>
    </font>
    <font>
      <sz val="11"/>
      <color indexed="8"/>
      <name val="Palatino Linotype"/>
      <family val="2"/>
    </font>
    <font>
      <sz val="12"/>
      <name val="Helv"/>
    </font>
    <font>
      <i/>
      <sz val="11"/>
      <color indexed="23"/>
      <name val="Calibri"/>
      <family val="2"/>
    </font>
    <font>
      <sz val="10"/>
      <name val="Helv"/>
    </font>
    <font>
      <sz val="11"/>
      <color indexed="17"/>
      <name val="Calibri"/>
      <family val="2"/>
    </font>
    <font>
      <b/>
      <u/>
      <sz val="11"/>
      <color indexed="37"/>
      <name val="Arial"/>
      <family val="2"/>
    </font>
    <font>
      <b/>
      <i/>
      <sz val="14"/>
      <color indexed="9"/>
      <name val="Arial"/>
      <family val="2"/>
    </font>
    <font>
      <b/>
      <sz val="11"/>
      <color indexed="56"/>
      <name val="Calibri"/>
      <family val="2"/>
    </font>
    <font>
      <u/>
      <sz val="12"/>
      <color indexed="12"/>
      <name val="Times New Roman"/>
      <family val="1"/>
    </font>
    <font>
      <sz val="11"/>
      <color indexed="62"/>
      <name val="Calibri"/>
      <family val="2"/>
    </font>
    <font>
      <sz val="11"/>
      <color indexed="52"/>
      <name val="Calibri"/>
      <family val="2"/>
    </font>
    <font>
      <sz val="11"/>
      <color indexed="60"/>
      <name val="Calibri"/>
      <family val="2"/>
    </font>
    <font>
      <sz val="7"/>
      <name val="Small Fonts"/>
      <family val="2"/>
    </font>
    <font>
      <b/>
      <i/>
      <sz val="16"/>
      <name val="Helv"/>
    </font>
    <font>
      <sz val="10"/>
      <color theme="1"/>
      <name val="Arial"/>
      <family val="2"/>
    </font>
    <font>
      <sz val="5"/>
      <name val="Helv"/>
    </font>
    <font>
      <b/>
      <sz val="11"/>
      <color indexed="63"/>
      <name val="Calibri"/>
      <family val="2"/>
    </font>
    <font>
      <b/>
      <sz val="11"/>
      <name val="Times New Roman"/>
      <family val="1"/>
    </font>
    <font>
      <b/>
      <sz val="18"/>
      <color indexed="56"/>
      <name val="Cambria"/>
      <family val="2"/>
    </font>
    <font>
      <sz val="8"/>
      <color indexed="12"/>
      <name val="Arial"/>
      <family val="2"/>
    </font>
    <font>
      <sz val="10"/>
      <name val="Courier"/>
      <family val="3"/>
    </font>
    <font>
      <sz val="11"/>
      <color indexed="10"/>
      <name val="Calibri"/>
      <family val="2"/>
    </font>
    <font>
      <b/>
      <i/>
      <sz val="11"/>
      <color indexed="12"/>
      <name val="Arial"/>
      <family val="2"/>
    </font>
  </fonts>
  <fills count="140">
    <fill>
      <patternFill patternType="none"/>
    </fill>
    <fill>
      <patternFill patternType="gray125"/>
    </fill>
    <fill>
      <patternFill patternType="solid">
        <fgColor indexed="9"/>
        <bgColor indexed="8"/>
      </patternFill>
    </fill>
    <fill>
      <patternFill patternType="solid">
        <fgColor indexed="15"/>
        <bgColor indexed="9"/>
      </patternFill>
    </fill>
    <fill>
      <patternFill patternType="solid">
        <fgColor indexed="44"/>
        <bgColor indexed="9"/>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indexed="22"/>
        <bgColor indexed="9"/>
      </patternFill>
    </fill>
    <fill>
      <patternFill patternType="solid">
        <fgColor indexed="47"/>
        <bgColor indexed="9"/>
      </patternFill>
    </fill>
    <fill>
      <patternFill patternType="solid">
        <fgColor indexed="43"/>
        <bgColor indexed="9"/>
      </patternFill>
    </fill>
    <fill>
      <patternFill patternType="solid">
        <fgColor indexed="15"/>
        <bgColor indexed="64"/>
      </patternFill>
    </fill>
    <fill>
      <patternFill patternType="solid">
        <fgColor indexed="52"/>
        <bgColor indexed="9"/>
      </patternFill>
    </fill>
    <fill>
      <patternFill patternType="solid">
        <fgColor indexed="11"/>
        <bgColor indexed="64"/>
      </patternFill>
    </fill>
    <fill>
      <patternFill patternType="solid">
        <fgColor indexed="22"/>
        <bgColor indexed="64"/>
      </patternFill>
    </fill>
    <fill>
      <patternFill patternType="solid">
        <fgColor indexed="22"/>
        <bgColor indexed="8"/>
      </patternFill>
    </fill>
    <fill>
      <patternFill patternType="solid">
        <fgColor indexed="52"/>
        <bgColor indexed="64"/>
      </patternFill>
    </fill>
    <fill>
      <patternFill patternType="solid">
        <fgColor indexed="46"/>
        <bgColor indexed="9"/>
      </patternFill>
    </fill>
    <fill>
      <patternFill patternType="solid">
        <fgColor indexed="46"/>
        <bgColor indexed="64"/>
      </patternFill>
    </fill>
    <fill>
      <patternFill patternType="solid">
        <fgColor indexed="43"/>
        <bgColor indexed="8"/>
      </patternFill>
    </fill>
    <fill>
      <patternFill patternType="solid">
        <fgColor indexed="15"/>
        <bgColor indexed="8"/>
      </patternFill>
    </fill>
    <fill>
      <patternFill patternType="solid">
        <fgColor indexed="41"/>
        <bgColor indexed="9"/>
      </patternFill>
    </fill>
    <fill>
      <patternFill patternType="solid">
        <fgColor indexed="51"/>
        <bgColor indexed="64"/>
      </patternFill>
    </fill>
    <fill>
      <patternFill patternType="solid">
        <fgColor indexed="40"/>
        <bgColor indexed="64"/>
      </patternFill>
    </fill>
    <fill>
      <patternFill patternType="solid">
        <fgColor indexed="22"/>
        <bgColor indexed="24"/>
      </patternFill>
    </fill>
    <fill>
      <patternFill patternType="solid">
        <fgColor indexed="8"/>
        <bgColor indexed="9"/>
      </patternFill>
    </fill>
    <fill>
      <patternFill patternType="solid">
        <fgColor indexed="8"/>
        <bgColor indexed="64"/>
      </patternFill>
    </fill>
    <fill>
      <patternFill patternType="solid">
        <fgColor indexed="8"/>
        <bgColor indexed="8"/>
      </patternFill>
    </fill>
    <fill>
      <patternFill patternType="solid">
        <fgColor indexed="15"/>
        <bgColor indexed="24"/>
      </patternFill>
    </fill>
    <fill>
      <patternFill patternType="solid">
        <fgColor indexed="45"/>
        <bgColor indexed="64"/>
      </patternFill>
    </fill>
    <fill>
      <patternFill patternType="solid">
        <fgColor indexed="42"/>
        <bgColor indexed="64"/>
      </patternFill>
    </fill>
    <fill>
      <patternFill patternType="solid">
        <fgColor indexed="41"/>
        <bgColor indexed="64"/>
      </patternFill>
    </fill>
    <fill>
      <patternFill patternType="solid">
        <fgColor indexed="42"/>
        <bgColor indexed="9"/>
      </patternFill>
    </fill>
    <fill>
      <patternFill patternType="solid">
        <fgColor indexed="45"/>
        <bgColor indexed="9"/>
      </patternFill>
    </fill>
    <fill>
      <patternFill patternType="solid">
        <fgColor indexed="9"/>
        <bgColor indexed="9"/>
      </patternFill>
    </fill>
    <fill>
      <patternFill patternType="solid">
        <fgColor indexed="48"/>
        <bgColor indexed="9"/>
      </patternFill>
    </fill>
    <fill>
      <patternFill patternType="solid">
        <fgColor indexed="10"/>
        <bgColor indexed="64"/>
      </patternFill>
    </fill>
    <fill>
      <patternFill patternType="solid">
        <fgColor indexed="31"/>
        <bgColor indexed="64"/>
      </patternFill>
    </fill>
    <fill>
      <patternFill patternType="solid">
        <fgColor indexed="13"/>
        <bgColor indexed="64"/>
      </patternFill>
    </fill>
    <fill>
      <patternFill patternType="solid">
        <fgColor indexed="50"/>
        <bgColor indexed="64"/>
      </patternFill>
    </fill>
    <fill>
      <patternFill patternType="solid">
        <fgColor indexed="9"/>
        <bgColor indexed="64"/>
      </patternFill>
    </fill>
    <fill>
      <patternFill patternType="solid">
        <fgColor indexed="55"/>
        <bgColor indexed="24"/>
      </patternFill>
    </fill>
    <fill>
      <patternFill patternType="solid">
        <fgColor indexed="55"/>
        <bgColor indexed="64"/>
      </patternFill>
    </fill>
    <fill>
      <patternFill patternType="solid">
        <fgColor indexed="46"/>
        <bgColor indexed="24"/>
      </patternFill>
    </fill>
    <fill>
      <patternFill patternType="solid">
        <fgColor indexed="51"/>
        <bgColor indexed="9"/>
      </patternFill>
    </fill>
    <fill>
      <patternFill patternType="solid">
        <fgColor indexed="29"/>
        <bgColor indexed="64"/>
      </patternFill>
    </fill>
    <fill>
      <patternFill patternType="solid">
        <fgColor indexed="27"/>
        <bgColor indexed="64"/>
      </patternFill>
    </fill>
    <fill>
      <patternFill patternType="solid">
        <fgColor indexed="13"/>
        <bgColor indexed="9"/>
      </patternFill>
    </fill>
    <fill>
      <patternFill patternType="solid">
        <fgColor indexed="62"/>
        <bgColor indexed="64"/>
      </patternFill>
    </fill>
    <fill>
      <patternFill patternType="solid">
        <fgColor indexed="53"/>
        <bgColor indexed="64"/>
      </patternFill>
    </fill>
    <fill>
      <patternFill patternType="solid">
        <fgColor indexed="48"/>
        <bgColor indexed="64"/>
      </patternFill>
    </fill>
    <fill>
      <patternFill patternType="solid">
        <fgColor indexed="12"/>
        <bgColor indexed="9"/>
      </patternFill>
    </fill>
    <fill>
      <patternFill patternType="solid">
        <fgColor indexed="57"/>
        <bgColor indexed="64"/>
      </patternFill>
    </fill>
    <fill>
      <patternFill patternType="solid">
        <fgColor indexed="29"/>
        <bgColor indexed="9"/>
      </patternFill>
    </fill>
    <fill>
      <patternFill patternType="solid">
        <fgColor rgb="FF92D050"/>
        <bgColor indexed="64"/>
      </patternFill>
    </fill>
    <fill>
      <patternFill patternType="solid">
        <fgColor rgb="FFFFFF00"/>
        <bgColor indexed="64"/>
      </patternFill>
    </fill>
    <fill>
      <patternFill patternType="solid">
        <fgColor theme="3" tint="0.59999389629810485"/>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rgb="FFFFC000"/>
        <bgColor indexed="64"/>
      </patternFill>
    </fill>
    <fill>
      <patternFill patternType="solid">
        <fgColor theme="6"/>
        <bgColor indexed="64"/>
      </patternFill>
    </fill>
    <fill>
      <patternFill patternType="solid">
        <fgColor theme="6"/>
        <bgColor indexed="9"/>
      </patternFill>
    </fill>
    <fill>
      <patternFill patternType="solid">
        <fgColor rgb="FFFF99FF"/>
        <bgColor indexed="64"/>
      </patternFill>
    </fill>
    <fill>
      <patternFill patternType="solid">
        <fgColor theme="0" tint="-0.249977111117893"/>
        <bgColor indexed="9"/>
      </patternFill>
    </fill>
    <fill>
      <patternFill patternType="solid">
        <fgColor theme="0" tint="-0.14999847407452621"/>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249977111117893"/>
        <bgColor indexed="64"/>
      </patternFill>
    </fill>
    <fill>
      <patternFill patternType="solid">
        <fgColor rgb="FF92D050"/>
        <bgColor indexed="9"/>
      </patternFill>
    </fill>
    <fill>
      <patternFill patternType="solid">
        <fgColor rgb="FF92D050"/>
        <bgColor indexed="8"/>
      </patternFill>
    </fill>
    <fill>
      <patternFill patternType="solid">
        <fgColor rgb="FF00FFFF"/>
        <bgColor indexed="64"/>
      </patternFill>
    </fill>
    <fill>
      <patternFill patternType="solid">
        <fgColor rgb="FF00FFFF"/>
        <bgColor indexed="9"/>
      </patternFill>
    </fill>
    <fill>
      <patternFill patternType="solid">
        <fgColor theme="6"/>
        <bgColor indexed="8"/>
      </patternFill>
    </fill>
    <fill>
      <patternFill patternType="solid">
        <fgColor theme="6" tint="0.39997558519241921"/>
        <bgColor indexed="64"/>
      </patternFill>
    </fill>
    <fill>
      <patternFill patternType="solid">
        <fgColor rgb="FF00B0F0"/>
        <bgColor indexed="64"/>
      </patternFill>
    </fill>
    <fill>
      <patternFill patternType="solid">
        <fgColor rgb="FF00B0F0"/>
        <bgColor indexed="9"/>
      </patternFill>
    </fill>
    <fill>
      <patternFill patternType="solid">
        <fgColor rgb="FFFFFFFF"/>
        <bgColor indexed="64"/>
      </patternFill>
    </fill>
    <fill>
      <patternFill patternType="solid">
        <fgColor theme="9" tint="0.39997558519241921"/>
        <bgColor indexed="64"/>
      </patternFill>
    </fill>
    <fill>
      <patternFill patternType="solid">
        <fgColor theme="3" tint="0.39997558519241921"/>
        <bgColor indexed="64"/>
      </patternFill>
    </fill>
    <fill>
      <patternFill patternType="solid">
        <fgColor theme="9" tint="0.39997558519241921"/>
        <bgColor indexed="9"/>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DCCCB"/>
        <bgColor indexed="64"/>
      </patternFill>
    </fill>
    <fill>
      <patternFill patternType="solid">
        <fgColor theme="5" tint="0.59999389629810485"/>
        <bgColor indexed="9"/>
      </patternFill>
    </fill>
    <fill>
      <patternFill patternType="solid">
        <fgColor theme="3" tint="0.59999389629810485"/>
        <bgColor indexed="9"/>
      </patternFill>
    </fill>
    <fill>
      <patternFill patternType="solid">
        <fgColor rgb="FFFFFF00"/>
        <bgColor indexed="9"/>
      </patternFill>
    </fill>
    <fill>
      <patternFill patternType="solid">
        <fgColor theme="8" tint="0.39997558519241921"/>
        <bgColor indexed="64"/>
      </patternFill>
    </fill>
    <fill>
      <patternFill patternType="solid">
        <fgColor theme="9" tint="0.59999389629810485"/>
        <bgColor indexed="9"/>
      </patternFill>
    </fill>
    <fill>
      <patternFill patternType="solid">
        <fgColor theme="7" tint="0.59999389629810485"/>
        <bgColor indexed="9"/>
      </patternFill>
    </fill>
    <fill>
      <patternFill patternType="solid">
        <fgColor theme="8" tint="0.59999389629810485"/>
        <bgColor indexed="9"/>
      </patternFill>
    </fill>
    <fill>
      <patternFill patternType="solid">
        <fgColor theme="2" tint="-0.499984740745262"/>
        <bgColor indexed="9"/>
      </patternFill>
    </fill>
    <fill>
      <patternFill patternType="solid">
        <fgColor theme="5" tint="0.59999389629810485"/>
        <bgColor indexed="64"/>
      </patternFill>
    </fill>
    <fill>
      <patternFill patternType="solid">
        <fgColor rgb="FFCCFFCC"/>
        <bgColor indexed="64"/>
      </patternFill>
    </fill>
    <fill>
      <patternFill patternType="solid">
        <fgColor theme="0" tint="-0.34998626667073579"/>
        <bgColor indexed="24"/>
      </patternFill>
    </fill>
    <fill>
      <patternFill patternType="solid">
        <fgColor rgb="FFC00000"/>
        <bgColor indexed="64"/>
      </patternFill>
    </fill>
    <fill>
      <patternFill patternType="solid">
        <fgColor indexed="49"/>
      </patternFill>
    </fill>
    <fill>
      <patternFill patternType="solid">
        <fgColor theme="3" tint="0.79998168889431442"/>
        <bgColor indexed="64"/>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52"/>
      </patternFill>
    </fill>
    <fill>
      <patternFill patternType="gray0625">
        <fgColor indexed="11"/>
        <bgColor indexed="25"/>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4"/>
        <bgColor indexed="25"/>
      </patternFill>
    </fill>
    <fill>
      <patternFill patternType="solid">
        <fgColor indexed="26"/>
        <bgColor indexed="64"/>
      </patternFill>
    </fill>
    <fill>
      <patternFill patternType="solid">
        <fgColor indexed="22"/>
      </patternFill>
    </fill>
    <fill>
      <patternFill patternType="solid">
        <fgColor indexed="55"/>
      </patternFill>
    </fill>
    <fill>
      <patternFill patternType="solid">
        <fgColor indexed="32"/>
        <bgColor indexed="32"/>
      </patternFill>
    </fill>
    <fill>
      <patternFill patternType="solid">
        <fgColor indexed="63"/>
      </patternFill>
    </fill>
    <fill>
      <patternFill patternType="solid">
        <fgColor indexed="43"/>
      </patternFill>
    </fill>
    <fill>
      <patternFill patternType="solid">
        <fgColor indexed="26"/>
      </patternFill>
    </fill>
    <fill>
      <patternFill patternType="gray0625">
        <fgColor indexed="14"/>
        <bgColor indexed="25"/>
      </patternFill>
    </fill>
    <fill>
      <patternFill patternType="solid">
        <fgColor indexed="16"/>
        <bgColor indexed="25"/>
      </patternFill>
    </fill>
  </fills>
  <borders count="165">
    <border>
      <left/>
      <right/>
      <top/>
      <bottom/>
      <diagonal/>
    </border>
    <border>
      <left/>
      <right/>
      <top style="double">
        <color indexed="0"/>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style="double">
        <color indexed="64"/>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8"/>
      </left>
      <right style="thin">
        <color indexed="8"/>
      </right>
      <top style="thin">
        <color indexed="8"/>
      </top>
      <bottom style="thin">
        <color indexed="8"/>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64"/>
      </right>
      <top/>
      <bottom style="double">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right/>
      <top/>
      <bottom style="double">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top style="medium">
        <color indexed="64"/>
      </top>
      <bottom/>
      <diagonal/>
    </border>
    <border>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thin">
        <color indexed="64"/>
      </left>
      <right/>
      <top/>
      <bottom style="medium">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style="medium">
        <color indexed="64"/>
      </top>
      <bottom/>
      <diagonal/>
    </border>
    <border>
      <left style="thin">
        <color indexed="64"/>
      </left>
      <right/>
      <top style="medium">
        <color indexed="64"/>
      </top>
      <bottom style="thin">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64"/>
      </left>
      <right/>
      <top style="thin">
        <color indexed="64"/>
      </top>
      <bottom style="medium">
        <color indexed="64"/>
      </bottom>
      <diagonal/>
    </border>
    <border>
      <left/>
      <right/>
      <top style="medium">
        <color auto="1"/>
      </top>
      <bottom/>
      <diagonal/>
    </border>
    <border>
      <left style="medium">
        <color indexed="64"/>
      </left>
      <right style="medium">
        <color indexed="64"/>
      </right>
      <top style="thin">
        <color indexed="64"/>
      </top>
      <bottom style="double">
        <color indexed="64"/>
      </bottom>
      <diagonal/>
    </border>
    <border>
      <left style="medium">
        <color indexed="64"/>
      </left>
      <right/>
      <top style="thin">
        <color indexed="64"/>
      </top>
      <bottom style="double">
        <color indexed="64"/>
      </bottom>
      <diagonal/>
    </border>
    <border>
      <left/>
      <right/>
      <top style="dotted">
        <color auto="1"/>
      </top>
      <bottom style="thin">
        <color auto="1"/>
      </bottom>
      <diagonal/>
    </border>
    <border>
      <left/>
      <right/>
      <top/>
      <bottom style="dotted">
        <color auto="1"/>
      </bottom>
      <diagonal/>
    </border>
    <border>
      <left/>
      <right/>
      <top style="dotted">
        <color auto="1"/>
      </top>
      <bottom style="dotted">
        <color auto="1"/>
      </bottom>
      <diagonal/>
    </border>
    <border>
      <left/>
      <right/>
      <top style="thin">
        <color auto="1"/>
      </top>
      <bottom style="dotted">
        <color auto="1"/>
      </bottom>
      <diagonal/>
    </border>
    <border>
      <left/>
      <right/>
      <top style="dotted">
        <color auto="1"/>
      </top>
      <bottom/>
      <diagonal/>
    </border>
    <border>
      <left/>
      <right/>
      <top/>
      <bottom style="thin">
        <color auto="1"/>
      </bottom>
      <diagonal/>
    </border>
    <border>
      <left style="thin">
        <color auto="1"/>
      </left>
      <right/>
      <top/>
      <bottom style="thin">
        <color auto="1"/>
      </bottom>
      <diagonal/>
    </border>
    <border>
      <left/>
      <right style="thin">
        <color auto="1"/>
      </right>
      <top/>
      <bottom style="thin">
        <color auto="1"/>
      </bottom>
      <diagonal/>
    </border>
    <border>
      <left style="thick">
        <color rgb="FF010202"/>
      </left>
      <right style="medium">
        <color rgb="FF010202"/>
      </right>
      <top style="thick">
        <color rgb="FF010202"/>
      </top>
      <bottom/>
      <diagonal/>
    </border>
    <border>
      <left/>
      <right style="medium">
        <color rgb="FF010202"/>
      </right>
      <top style="thick">
        <color rgb="FF010202"/>
      </top>
      <bottom/>
      <diagonal/>
    </border>
    <border>
      <left/>
      <right style="thick">
        <color rgb="FF010202"/>
      </right>
      <top style="thick">
        <color rgb="FF010202"/>
      </top>
      <bottom/>
      <diagonal/>
    </border>
    <border>
      <left style="thick">
        <color rgb="FF010202"/>
      </left>
      <right style="medium">
        <color rgb="FF010202"/>
      </right>
      <top/>
      <bottom/>
      <diagonal/>
    </border>
    <border>
      <left/>
      <right style="medium">
        <color rgb="FF010202"/>
      </right>
      <top/>
      <bottom/>
      <diagonal/>
    </border>
    <border>
      <left/>
      <right style="thick">
        <color rgb="FF010202"/>
      </right>
      <top/>
      <bottom/>
      <diagonal/>
    </border>
    <border>
      <left style="thick">
        <color rgb="FF010202"/>
      </left>
      <right style="medium">
        <color rgb="FF010202"/>
      </right>
      <top/>
      <bottom style="medium">
        <color rgb="FF010202"/>
      </bottom>
      <diagonal/>
    </border>
    <border>
      <left/>
      <right style="medium">
        <color rgb="FF010202"/>
      </right>
      <top/>
      <bottom style="medium">
        <color rgb="FF010202"/>
      </bottom>
      <diagonal/>
    </border>
    <border>
      <left/>
      <right style="thick">
        <color rgb="FF010202"/>
      </right>
      <top/>
      <bottom style="medium">
        <color rgb="FF010202"/>
      </bottom>
      <diagonal/>
    </border>
    <border>
      <left/>
      <right style="medium">
        <color rgb="FF010202"/>
      </right>
      <top/>
      <bottom style="thick">
        <color rgb="FF010202"/>
      </bottom>
      <diagonal/>
    </border>
    <border>
      <left/>
      <right style="thick">
        <color rgb="FF010202"/>
      </right>
      <top/>
      <bottom style="thick">
        <color rgb="FF010202"/>
      </bottom>
      <diagonal/>
    </border>
    <border>
      <left/>
      <right style="medium">
        <color indexed="64"/>
      </right>
      <top/>
      <bottom style="thin">
        <color auto="1"/>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bottom style="thin">
        <color auto="1"/>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medium">
        <color indexed="64"/>
      </bottom>
      <diagonal/>
    </border>
    <border>
      <left style="medium">
        <color indexed="64"/>
      </left>
      <right/>
      <top style="thin">
        <color auto="1"/>
      </top>
      <bottom style="dotted">
        <color auto="1"/>
      </bottom>
      <diagonal/>
    </border>
    <border>
      <left/>
      <right style="medium">
        <color indexed="64"/>
      </right>
      <top style="thin">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style="medium">
        <color indexed="64"/>
      </left>
      <right/>
      <top style="dotted">
        <color auto="1"/>
      </top>
      <bottom/>
      <diagonal/>
    </border>
    <border>
      <left/>
      <right style="medium">
        <color indexed="64"/>
      </right>
      <top style="dotted">
        <color auto="1"/>
      </top>
      <bottom/>
      <diagonal/>
    </border>
    <border>
      <left style="medium">
        <color indexed="64"/>
      </left>
      <right/>
      <top style="dotted">
        <color auto="1"/>
      </top>
      <bottom style="thin">
        <color auto="1"/>
      </bottom>
      <diagonal/>
    </border>
    <border>
      <left/>
      <right style="medium">
        <color indexed="64"/>
      </right>
      <top style="dotted">
        <color auto="1"/>
      </top>
      <bottom style="thin">
        <color auto="1"/>
      </bottom>
      <diagonal/>
    </border>
    <border>
      <left style="medium">
        <color indexed="64"/>
      </left>
      <right/>
      <top/>
      <bottom style="dotted">
        <color auto="1"/>
      </bottom>
      <diagonal/>
    </border>
    <border>
      <left/>
      <right style="medium">
        <color indexed="64"/>
      </right>
      <top/>
      <bottom style="dotted">
        <color auto="1"/>
      </bottom>
      <diagonal/>
    </border>
    <border>
      <left style="medium">
        <color indexed="64"/>
      </left>
      <right/>
      <top style="dotted">
        <color auto="1"/>
      </top>
      <bottom style="medium">
        <color indexed="64"/>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thin">
        <color rgb="FFB2B2B2"/>
      </left>
      <right style="thin">
        <color rgb="FFB2B2B2"/>
      </right>
      <top style="thin">
        <color rgb="FFB2B2B2"/>
      </top>
      <bottom style="thin">
        <color rgb="FFB2B2B2"/>
      </bottom>
      <diagonal/>
    </border>
    <border>
      <left style="thin">
        <color indexed="24"/>
      </left>
      <right style="thin">
        <color indexed="24"/>
      </right>
      <top style="thin">
        <color indexed="24"/>
      </top>
      <bottom style="thin">
        <color indexed="24"/>
      </bottom>
      <diagonal/>
    </border>
    <border>
      <left style="thin">
        <color indexed="0"/>
      </left>
      <right style="thin">
        <color indexed="0"/>
      </right>
      <top style="thin">
        <color indexed="0"/>
      </top>
      <bottom style="thin">
        <color indexed="0"/>
      </bottom>
      <diagonal/>
    </border>
    <border>
      <left style="double">
        <color indexed="64"/>
      </left>
      <right/>
      <top/>
      <bottom style="hair">
        <color indexed="64"/>
      </bottom>
      <diagonal/>
    </border>
    <border>
      <left/>
      <right style="medium">
        <color indexed="8"/>
      </right>
      <top/>
      <bottom style="medium">
        <color indexed="8"/>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double">
        <color indexed="64"/>
      </left>
      <right style="thin">
        <color indexed="64"/>
      </right>
      <top/>
      <bottom/>
      <diagonal/>
    </border>
    <border>
      <left/>
      <right/>
      <top/>
      <bottom style="medium">
        <color indexed="30"/>
      </bottom>
      <diagonal/>
    </border>
    <border>
      <left style="double">
        <color indexed="64"/>
      </left>
      <right style="double">
        <color indexed="64"/>
      </right>
      <top style="double">
        <color indexed="64"/>
      </top>
      <bottom style="double">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4"/>
      </top>
      <bottom/>
      <diagonal/>
    </border>
    <border>
      <left style="thin">
        <color indexed="64"/>
      </left>
      <right style="thin">
        <color indexed="64"/>
      </right>
      <top style="thin">
        <color indexed="64"/>
      </top>
      <bottom style="thin">
        <color indexed="64"/>
      </bottom>
      <diagonal/>
    </border>
  </borders>
  <cellStyleXfs count="739">
    <xf numFmtId="0" fontId="0" fillId="0" borderId="0">
      <alignment vertical="top"/>
    </xf>
    <xf numFmtId="3" fontId="23" fillId="0" borderId="0" applyFont="0" applyFill="0" applyBorder="0" applyAlignment="0" applyProtection="0"/>
    <xf numFmtId="3" fontId="21" fillId="0" borderId="0" applyFont="0" applyFill="0" applyBorder="0" applyAlignment="0" applyProtection="0"/>
    <xf numFmtId="3" fontId="23" fillId="0" borderId="0" applyFont="0" applyFill="0" applyBorder="0" applyAlignment="0" applyProtection="0"/>
    <xf numFmtId="3" fontId="21" fillId="0" borderId="0" applyFont="0" applyFill="0" applyBorder="0" applyAlignment="0" applyProtection="0"/>
    <xf numFmtId="3" fontId="21" fillId="0" borderId="0" applyFont="0" applyFill="0" applyBorder="0" applyAlignment="0" applyProtection="0"/>
    <xf numFmtId="5" fontId="23" fillId="0" borderId="0" applyFont="0" applyFill="0" applyBorder="0" applyAlignment="0" applyProtection="0"/>
    <xf numFmtId="5" fontId="21" fillId="0" borderId="0" applyFont="0" applyFill="0" applyBorder="0" applyAlignment="0" applyProtection="0"/>
    <xf numFmtId="5" fontId="23" fillId="0" borderId="0" applyFont="0" applyFill="0" applyBorder="0" applyAlignment="0" applyProtection="0"/>
    <xf numFmtId="5" fontId="21" fillId="0" borderId="0" applyFont="0" applyFill="0" applyBorder="0" applyAlignment="0" applyProtection="0"/>
    <xf numFmtId="5" fontId="21" fillId="0" borderId="0" applyFont="0" applyFill="0" applyBorder="0" applyAlignment="0" applyProtection="0"/>
    <xf numFmtId="14" fontId="23" fillId="0" borderId="0" applyFont="0" applyFill="0" applyBorder="0" applyAlignment="0" applyProtection="0"/>
    <xf numFmtId="14" fontId="21" fillId="0" borderId="0" applyFont="0" applyFill="0" applyBorder="0" applyAlignment="0" applyProtection="0"/>
    <xf numFmtId="14" fontId="21" fillId="0" borderId="0" applyFont="0" applyFill="0" applyBorder="0" applyAlignment="0" applyProtection="0"/>
    <xf numFmtId="2" fontId="23" fillId="0" borderId="0" applyFont="0" applyFill="0" applyBorder="0" applyAlignment="0" applyProtection="0"/>
    <xf numFmtId="2" fontId="21" fillId="0" borderId="0" applyFont="0" applyFill="0" applyBorder="0" applyAlignment="0" applyProtection="0"/>
    <xf numFmtId="2" fontId="21" fillId="0" borderId="0" applyFont="0" applyFill="0" applyBorder="0" applyAlignment="0" applyProtection="0"/>
    <xf numFmtId="0" fontId="16" fillId="0" borderId="0" applyNumberFormat="0" applyFont="0" applyFill="0" applyAlignment="0" applyProtection="0"/>
    <xf numFmtId="0" fontId="76" fillId="0" borderId="0" applyNumberFormat="0" applyFont="0" applyFill="0" applyAlignment="0" applyProtection="0"/>
    <xf numFmtId="0" fontId="17" fillId="0" borderId="0" applyNumberFormat="0" applyFont="0" applyFill="0" applyAlignment="0" applyProtection="0"/>
    <xf numFmtId="0" fontId="27" fillId="0" borderId="0" applyNumberFormat="0" applyFont="0" applyFill="0" applyAlignment="0" applyProtection="0"/>
    <xf numFmtId="0" fontId="24" fillId="0" borderId="0" applyNumberFormat="0" applyFill="0" applyBorder="0" applyAlignment="0" applyProtection="0">
      <alignment vertical="top"/>
      <protection locked="0"/>
    </xf>
    <xf numFmtId="0" fontId="158" fillId="0" borderId="0"/>
    <xf numFmtId="0" fontId="21" fillId="0" borderId="0">
      <alignment vertical="top"/>
    </xf>
    <xf numFmtId="0" fontId="21" fillId="0" borderId="0">
      <alignment vertical="top"/>
    </xf>
    <xf numFmtId="0" fontId="23" fillId="0" borderId="0"/>
    <xf numFmtId="10" fontId="23" fillId="0" borderId="0" applyFont="0" applyFill="0" applyBorder="0" applyAlignment="0" applyProtection="0"/>
    <xf numFmtId="10" fontId="21" fillId="0" borderId="0" applyFont="0" applyFill="0" applyBorder="0" applyAlignment="0" applyProtection="0"/>
    <xf numFmtId="9" fontId="116" fillId="0" borderId="0" applyFont="0" applyFill="0" applyBorder="0" applyAlignment="0" applyProtection="0"/>
    <xf numFmtId="0" fontId="23" fillId="0" borderId="1" applyNumberFormat="0" applyFont="0" applyBorder="0" applyAlignment="0" applyProtection="0"/>
    <xf numFmtId="0" fontId="21" fillId="0" borderId="1" applyNumberFormat="0" applyFont="0" applyBorder="0" applyAlignment="0" applyProtection="0"/>
    <xf numFmtId="0" fontId="15" fillId="0" borderId="0"/>
    <xf numFmtId="3" fontId="21" fillId="0" borderId="0" applyFont="0" applyFill="0" applyBorder="0" applyAlignment="0" applyProtection="0"/>
    <xf numFmtId="0" fontId="17" fillId="0" borderId="0" applyNumberFormat="0" applyFont="0" applyFill="0" applyAlignment="0" applyProtection="0"/>
    <xf numFmtId="5" fontId="21" fillId="0" borderId="0" applyFont="0" applyFill="0" applyBorder="0" applyAlignment="0" applyProtection="0"/>
    <xf numFmtId="0" fontId="16" fillId="0" borderId="0" applyNumberFormat="0" applyFont="0" applyFill="0" applyAlignment="0" applyProtection="0"/>
    <xf numFmtId="14" fontId="21" fillId="0" borderId="0" applyFont="0" applyFill="0" applyBorder="0" applyAlignment="0" applyProtection="0"/>
    <xf numFmtId="2" fontId="21" fillId="0" borderId="0" applyFont="0" applyFill="0" applyBorder="0" applyAlignment="0" applyProtection="0"/>
    <xf numFmtId="2" fontId="21" fillId="0" borderId="0" applyFont="0" applyFill="0" applyBorder="0" applyAlignment="0" applyProtection="0"/>
    <xf numFmtId="0" fontId="16" fillId="0" borderId="0" applyNumberFormat="0" applyFont="0" applyFill="0" applyAlignment="0" applyProtection="0"/>
    <xf numFmtId="14" fontId="21" fillId="0" borderId="0" applyFont="0" applyFill="0" applyBorder="0" applyAlignment="0" applyProtection="0"/>
    <xf numFmtId="0" fontId="17" fillId="0" borderId="0" applyNumberFormat="0" applyFont="0" applyFill="0" applyAlignment="0" applyProtection="0"/>
    <xf numFmtId="0" fontId="15" fillId="0" borderId="0"/>
    <xf numFmtId="5" fontId="21" fillId="0" borderId="0" applyFont="0" applyFill="0" applyBorder="0" applyAlignment="0" applyProtection="0"/>
    <xf numFmtId="5" fontId="21" fillId="0" borderId="0" applyFont="0" applyFill="0" applyBorder="0" applyAlignment="0" applyProtection="0"/>
    <xf numFmtId="3" fontId="21" fillId="0" borderId="0" applyFont="0" applyFill="0" applyBorder="0" applyAlignment="0" applyProtection="0"/>
    <xf numFmtId="0" fontId="21" fillId="0" borderId="1" applyNumberFormat="0" applyFont="0" applyBorder="0" applyAlignment="0" applyProtection="0"/>
    <xf numFmtId="0" fontId="21" fillId="0" borderId="1" applyNumberFormat="0" applyFont="0" applyBorder="0" applyAlignment="0" applyProtection="0"/>
    <xf numFmtId="0" fontId="14" fillId="0" borderId="0"/>
    <xf numFmtId="0" fontId="14" fillId="0" borderId="0"/>
    <xf numFmtId="0" fontId="14" fillId="0" borderId="0"/>
    <xf numFmtId="0" fontId="13" fillId="0" borderId="0"/>
    <xf numFmtId="0" fontId="13" fillId="0" borderId="0"/>
    <xf numFmtId="0" fontId="13" fillId="0" borderId="0"/>
    <xf numFmtId="0" fontId="8"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4" fontId="6" fillId="0" borderId="0" applyFont="0" applyFill="0" applyBorder="0" applyAlignment="0" applyProtection="0"/>
    <xf numFmtId="0" fontId="5" fillId="0" borderId="0"/>
    <xf numFmtId="3" fontId="21" fillId="0" borderId="0" applyFont="0" applyFill="0" applyBorder="0" applyAlignment="0" applyProtection="0"/>
    <xf numFmtId="0" fontId="1" fillId="0" borderId="0"/>
    <xf numFmtId="202" fontId="21" fillId="0" borderId="0" applyFont="0" applyFill="0" applyBorder="0" applyAlignment="0" applyProtection="0"/>
    <xf numFmtId="202" fontId="21" fillId="0" borderId="0" applyFont="0" applyFill="0" applyBorder="0" applyAlignment="0" applyProtection="0"/>
    <xf numFmtId="202" fontId="21" fillId="0" borderId="0" applyFont="0" applyFill="0" applyBorder="0" applyAlignment="0" applyProtection="0"/>
    <xf numFmtId="202" fontId="44" fillId="0" borderId="0" applyFont="0" applyFill="0" applyBorder="0" applyAlignment="0" applyProtection="0"/>
    <xf numFmtId="202" fontId="44" fillId="0" borderId="0" applyFont="0" applyFill="0" applyBorder="0" applyAlignment="0" applyProtection="0"/>
    <xf numFmtId="0" fontId="249" fillId="0" borderId="0" applyNumberFormat="0" applyFill="0" applyBorder="0" applyAlignment="0" applyProtection="0"/>
    <xf numFmtId="203" fontId="21" fillId="0" borderId="0" applyBorder="0"/>
    <xf numFmtId="0" fontId="116" fillId="112" borderId="0" applyNumberFormat="0" applyBorder="0" applyAlignment="0" applyProtection="0"/>
    <xf numFmtId="0" fontId="1" fillId="100" borderId="0" applyNumberFormat="0" applyBorder="0" applyAlignment="0" applyProtection="0"/>
    <xf numFmtId="0" fontId="116" fillId="113" borderId="0" applyNumberFormat="0" applyBorder="0" applyAlignment="0" applyProtection="0"/>
    <xf numFmtId="0" fontId="1" fillId="102" borderId="0" applyNumberFormat="0" applyBorder="0" applyAlignment="0" applyProtection="0"/>
    <xf numFmtId="0" fontId="116" fillId="114" borderId="0" applyNumberFormat="0" applyBorder="0" applyAlignment="0" applyProtection="0"/>
    <xf numFmtId="0" fontId="1" fillId="104" borderId="0" applyNumberFormat="0" applyBorder="0" applyAlignment="0" applyProtection="0"/>
    <xf numFmtId="0" fontId="116" fillId="115" borderId="0" applyNumberFormat="0" applyBorder="0" applyAlignment="0" applyProtection="0"/>
    <xf numFmtId="0" fontId="1" fillId="106" borderId="0" applyNumberFormat="0" applyBorder="0" applyAlignment="0" applyProtection="0"/>
    <xf numFmtId="0" fontId="116" fillId="116" borderId="0" applyNumberFormat="0" applyBorder="0" applyAlignment="0" applyProtection="0"/>
    <xf numFmtId="0" fontId="1" fillId="108" borderId="0" applyNumberFormat="0" applyBorder="0" applyAlignment="0" applyProtection="0"/>
    <xf numFmtId="0" fontId="116" fillId="117" borderId="0" applyNumberFormat="0" applyBorder="0" applyAlignment="0" applyProtection="0"/>
    <xf numFmtId="0" fontId="1" fillId="110" borderId="0" applyNumberFormat="0" applyBorder="0" applyAlignment="0" applyProtection="0"/>
    <xf numFmtId="0" fontId="116" fillId="118" borderId="0" applyNumberFormat="0" applyBorder="0" applyAlignment="0" applyProtection="0"/>
    <xf numFmtId="0" fontId="1" fillId="101" borderId="0" applyNumberFormat="0" applyBorder="0" applyAlignment="0" applyProtection="0"/>
    <xf numFmtId="0" fontId="116" fillId="119" borderId="0" applyNumberFormat="0" applyBorder="0" applyAlignment="0" applyProtection="0"/>
    <xf numFmtId="0" fontId="1" fillId="103" borderId="0" applyNumberFormat="0" applyBorder="0" applyAlignment="0" applyProtection="0"/>
    <xf numFmtId="0" fontId="116" fillId="120" borderId="0" applyNumberFormat="0" applyBorder="0" applyAlignment="0" applyProtection="0"/>
    <xf numFmtId="0" fontId="1" fillId="105" borderId="0" applyNumberFormat="0" applyBorder="0" applyAlignment="0" applyProtection="0"/>
    <xf numFmtId="0" fontId="116" fillId="115" borderId="0" applyNumberFormat="0" applyBorder="0" applyAlignment="0" applyProtection="0"/>
    <xf numFmtId="0" fontId="1" fillId="107" borderId="0" applyNumberFormat="0" applyBorder="0" applyAlignment="0" applyProtection="0"/>
    <xf numFmtId="0" fontId="116" fillId="118" borderId="0" applyNumberFormat="0" applyBorder="0" applyAlignment="0" applyProtection="0"/>
    <xf numFmtId="0" fontId="1" fillId="109" borderId="0" applyNumberFormat="0" applyBorder="0" applyAlignment="0" applyProtection="0"/>
    <xf numFmtId="0" fontId="116" fillId="121" borderId="0" applyNumberFormat="0" applyBorder="0" applyAlignment="0" applyProtection="0"/>
    <xf numFmtId="0" fontId="1" fillId="111" borderId="0" applyNumberFormat="0" applyBorder="0" applyAlignment="0" applyProtection="0"/>
    <xf numFmtId="0" fontId="250" fillId="122" borderId="0" applyNumberFormat="0" applyBorder="0" applyAlignment="0" applyProtection="0"/>
    <xf numFmtId="0" fontId="250" fillId="119" borderId="0" applyNumberFormat="0" applyBorder="0" applyAlignment="0" applyProtection="0"/>
    <xf numFmtId="0" fontId="250" fillId="120" borderId="0" applyNumberFormat="0" applyBorder="0" applyAlignment="0" applyProtection="0"/>
    <xf numFmtId="0" fontId="250" fillId="123" borderId="0" applyNumberFormat="0" applyBorder="0" applyAlignment="0" applyProtection="0"/>
    <xf numFmtId="0" fontId="250" fillId="97" borderId="0" applyNumberFormat="0" applyBorder="0" applyAlignment="0" applyProtection="0"/>
    <xf numFmtId="0" fontId="250" fillId="124" borderId="0" applyNumberFormat="0" applyBorder="0" applyAlignment="0" applyProtection="0"/>
    <xf numFmtId="202" fontId="44" fillId="125" borderId="151" applyNumberFormat="0" applyFont="0" applyAlignment="0" applyProtection="0">
      <alignment vertical="top"/>
    </xf>
    <xf numFmtId="202" fontId="44" fillId="114" borderId="152" applyNumberFormat="0" applyFont="0" applyBorder="0" applyProtection="0"/>
    <xf numFmtId="0" fontId="250" fillId="126" borderId="0" applyNumberFormat="0" applyBorder="0" applyAlignment="0" applyProtection="0"/>
    <xf numFmtId="0" fontId="250" fillId="127" borderId="0" applyNumberFormat="0" applyBorder="0" applyAlignment="0" applyProtection="0"/>
    <xf numFmtId="0" fontId="250" fillId="128" borderId="0" applyNumberFormat="0" applyBorder="0" applyAlignment="0" applyProtection="0"/>
    <xf numFmtId="0" fontId="250" fillId="123" borderId="0" applyNumberFormat="0" applyBorder="0" applyAlignment="0" applyProtection="0"/>
    <xf numFmtId="0" fontId="250" fillId="97" borderId="0" applyNumberFormat="0" applyBorder="0" applyAlignment="0" applyProtection="0"/>
    <xf numFmtId="0" fontId="250" fillId="129" borderId="0" applyNumberFormat="0" applyBorder="0" applyAlignment="0" applyProtection="0"/>
    <xf numFmtId="204" fontId="251" fillId="5" borderId="153">
      <alignment horizontal="center" vertical="center"/>
    </xf>
    <xf numFmtId="0" fontId="252" fillId="113" borderId="0" applyNumberFormat="0" applyBorder="0" applyAlignment="0" applyProtection="0"/>
    <xf numFmtId="3" fontId="253" fillId="130" borderId="0" applyNumberFormat="0" applyBorder="0" applyAlignment="0" applyProtection="0">
      <alignment vertical="top"/>
    </xf>
    <xf numFmtId="202" fontId="254" fillId="0" borderId="0"/>
    <xf numFmtId="202" fontId="255" fillId="131" borderId="154" applyNumberFormat="0" applyBorder="0" applyAlignment="0" applyProtection="0"/>
    <xf numFmtId="0" fontId="256" fillId="132" borderId="155" applyNumberFormat="0" applyAlignment="0" applyProtection="0"/>
    <xf numFmtId="205" fontId="257" fillId="0" borderId="0" applyFont="0" applyAlignment="0"/>
    <xf numFmtId="0" fontId="258" fillId="133" borderId="156" applyNumberFormat="0" applyAlignment="0" applyProtection="0"/>
    <xf numFmtId="41" fontId="249" fillId="0" borderId="0" applyFont="0" applyFill="0" applyBorder="0" applyAlignment="0" applyProtection="0"/>
    <xf numFmtId="37" fontId="116" fillId="0" borderId="0" applyFont="0" applyFill="0" applyBorder="0" applyAlignment="0" applyProtection="0"/>
    <xf numFmtId="37" fontId="116" fillId="0" borderId="0" applyFont="0" applyFill="0" applyBorder="0" applyAlignment="0" applyProtection="0"/>
    <xf numFmtId="37" fontId="116" fillId="0" borderId="0" applyFont="0" applyFill="0" applyBorder="0" applyAlignment="0" applyProtection="0"/>
    <xf numFmtId="37" fontId="116" fillId="0" borderId="0" applyFont="0" applyFill="0" applyBorder="0" applyAlignment="0" applyProtection="0"/>
    <xf numFmtId="37" fontId="116" fillId="0" borderId="0" applyFont="0" applyFill="0" applyBorder="0" applyAlignment="0" applyProtection="0"/>
    <xf numFmtId="37" fontId="116" fillId="0" borderId="0" applyFont="0" applyFill="0" applyBorder="0" applyAlignment="0" applyProtection="0"/>
    <xf numFmtId="206" fontId="257" fillId="0" borderId="157" applyBorder="0">
      <alignment horizontal="center"/>
    </xf>
    <xf numFmtId="43" fontId="21"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43" fontId="9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259"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2" fontId="96" fillId="0" borderId="0"/>
    <xf numFmtId="42" fontId="96" fillId="0" borderId="0"/>
    <xf numFmtId="42" fontId="96" fillId="0" borderId="0"/>
    <xf numFmtId="43" fontId="21" fillId="0" borderId="0" applyFont="0" applyFill="0" applyBorder="0" applyAlignment="0" applyProtection="0"/>
    <xf numFmtId="43" fontId="1" fillId="0" borderId="0" applyFont="0" applyFill="0" applyBorder="0" applyAlignment="0" applyProtection="0"/>
    <xf numFmtId="43" fontId="249" fillId="0" borderId="0" applyFont="0" applyFill="0" applyBorder="0" applyAlignment="0" applyProtection="0"/>
    <xf numFmtId="43" fontId="249" fillId="0" borderId="0" applyFont="0" applyFill="0" applyBorder="0" applyAlignment="0" applyProtection="0"/>
    <xf numFmtId="43" fontId="249" fillId="0" borderId="0" applyFont="0" applyFill="0" applyBorder="0" applyAlignment="0" applyProtection="0"/>
    <xf numFmtId="43" fontId="1"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2" fontId="96" fillId="0" borderId="0"/>
    <xf numFmtId="42" fontId="96" fillId="0" borderId="0"/>
    <xf numFmtId="42" fontId="96" fillId="0" borderId="0"/>
    <xf numFmtId="43" fontId="21"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21" fillId="0" borderId="0" applyFont="0" applyFill="0" applyBorder="0" applyAlignment="0" applyProtection="0"/>
    <xf numFmtId="43" fontId="249"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116" fillId="0" borderId="0" applyFont="0" applyFill="0" applyBorder="0" applyAlignment="0" applyProtection="0"/>
    <xf numFmtId="43" fontId="249" fillId="0" borderId="0" applyFont="0" applyFill="0" applyBorder="0" applyAlignment="0" applyProtection="0"/>
    <xf numFmtId="43" fontId="249" fillId="0" borderId="0" applyFont="0" applyFill="0" applyBorder="0" applyAlignment="0" applyProtection="0"/>
    <xf numFmtId="43" fontId="249" fillId="0" borderId="0" applyFont="0" applyFill="0" applyBorder="0" applyAlignment="0" applyProtection="0"/>
    <xf numFmtId="43" fontId="249" fillId="0" borderId="0" applyFont="0" applyFill="0" applyBorder="0" applyAlignment="0" applyProtection="0"/>
    <xf numFmtId="43" fontId="249" fillId="0" borderId="0" applyFont="0" applyFill="0" applyBorder="0" applyAlignment="0" applyProtection="0"/>
    <xf numFmtId="43" fontId="249" fillId="0" borderId="0" applyFont="0" applyFill="0" applyBorder="0" applyAlignment="0" applyProtection="0"/>
    <xf numFmtId="43" fontId="21" fillId="0" borderId="0" applyFont="0" applyFill="0" applyBorder="0" applyAlignment="0" applyProtection="0"/>
    <xf numFmtId="43" fontId="249" fillId="0" borderId="0" applyFont="0" applyFill="0" applyBorder="0" applyAlignment="0" applyProtection="0"/>
    <xf numFmtId="43" fontId="21"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43" fontId="249" fillId="0" borderId="0" applyFont="0" applyFill="0" applyBorder="0" applyAlignment="0" applyProtection="0"/>
    <xf numFmtId="43" fontId="21"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43" fontId="249" fillId="0" borderId="0" applyFont="0" applyFill="0" applyBorder="0" applyAlignment="0" applyProtection="0"/>
    <xf numFmtId="43" fontId="21"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39" fontId="116" fillId="0" borderId="0" applyFont="0" applyFill="0" applyBorder="0" applyAlignment="0" applyProtection="0"/>
    <xf numFmtId="43" fontId="249" fillId="0" borderId="0" applyFont="0" applyFill="0" applyBorder="0" applyAlignment="0" applyProtection="0"/>
    <xf numFmtId="0" fontId="260" fillId="0" borderId="0"/>
    <xf numFmtId="202" fontId="254" fillId="0" borderId="0"/>
    <xf numFmtId="202" fontId="254" fillId="0" borderId="0"/>
    <xf numFmtId="5" fontId="116" fillId="0" borderId="0" applyFont="0" applyFill="0" applyBorder="0" applyAlignment="0" applyProtection="0"/>
    <xf numFmtId="5" fontId="116" fillId="0" borderId="0" applyFont="0" applyFill="0" applyBorder="0" applyAlignment="0" applyProtection="0"/>
    <xf numFmtId="5" fontId="116" fillId="0" borderId="0" applyFont="0" applyFill="0" applyBorder="0" applyAlignment="0" applyProtection="0"/>
    <xf numFmtId="5" fontId="116" fillId="0" borderId="0" applyFont="0" applyFill="0" applyBorder="0" applyAlignment="0" applyProtection="0"/>
    <xf numFmtId="5" fontId="116" fillId="0" borderId="0" applyFont="0" applyFill="0" applyBorder="0" applyAlignment="0" applyProtection="0"/>
    <xf numFmtId="5" fontId="116" fillId="0" borderId="0" applyFont="0" applyFill="0" applyBorder="0" applyAlignment="0" applyProtection="0"/>
    <xf numFmtId="207" fontId="257" fillId="0" borderId="29" applyFont="0" applyFill="0" applyBorder="0" applyAlignment="0" applyProtection="0"/>
    <xf numFmtId="44" fontId="21"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44" fontId="21"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21" fillId="0" borderId="0" applyFont="0" applyFill="0" applyBorder="0" applyAlignment="0" applyProtection="0"/>
    <xf numFmtId="44" fontId="21" fillId="0" borderId="0" applyFont="0" applyFill="0" applyBorder="0" applyAlignment="0" applyProtection="0"/>
    <xf numFmtId="44" fontId="116" fillId="0" borderId="0" applyFont="0" applyFill="0" applyBorder="0" applyAlignment="0" applyProtection="0"/>
    <xf numFmtId="44" fontId="116" fillId="0" borderId="0" applyFont="0" applyFill="0" applyBorder="0" applyAlignment="0" applyProtection="0"/>
    <xf numFmtId="44" fontId="116" fillId="0" borderId="0" applyFont="0" applyFill="0" applyBorder="0" applyAlignment="0" applyProtection="0"/>
    <xf numFmtId="44" fontId="116" fillId="0" borderId="0" applyFont="0" applyFill="0" applyBorder="0" applyAlignment="0" applyProtection="0"/>
    <xf numFmtId="44" fontId="116" fillId="0" borderId="0" applyFont="0" applyFill="0" applyBorder="0" applyAlignment="0" applyProtection="0"/>
    <xf numFmtId="44"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44" fontId="21"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44" fontId="21"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44" fontId="21"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44" fontId="21"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44" fontId="21"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7" fontId="116" fillId="0" borderId="0" applyFont="0" applyFill="0" applyBorder="0" applyAlignment="0" applyProtection="0"/>
    <xf numFmtId="37" fontId="260" fillId="134" borderId="0" applyNumberFormat="0" applyFont="0" applyBorder="0" applyAlignment="0" applyProtection="0"/>
    <xf numFmtId="208" fontId="21" fillId="0" borderId="0" applyFont="0" applyFill="0" applyBorder="0" applyAlignment="0" applyProtection="0"/>
    <xf numFmtId="0" fontId="261" fillId="0" borderId="0" applyNumberFormat="0" applyFill="0" applyBorder="0" applyAlignment="0" applyProtection="0"/>
    <xf numFmtId="0" fontId="262" fillId="0" borderId="0"/>
    <xf numFmtId="0" fontId="263" fillId="114" borderId="0" applyNumberFormat="0" applyBorder="0" applyAlignment="0" applyProtection="0"/>
    <xf numFmtId="5" fontId="44" fillId="125" borderId="151" applyNumberFormat="0" applyAlignment="0" applyProtection="0">
      <alignment vertical="top"/>
    </xf>
    <xf numFmtId="38" fontId="52" fillId="14" borderId="0" applyNumberFormat="0" applyBorder="0" applyAlignment="0" applyProtection="0"/>
    <xf numFmtId="0" fontId="264" fillId="0" borderId="0" applyNumberFormat="0" applyFill="0" applyBorder="0" applyAlignment="0" applyProtection="0"/>
    <xf numFmtId="202" fontId="265" fillId="135" borderId="0" applyProtection="0"/>
    <xf numFmtId="0" fontId="266" fillId="0" borderId="158" applyNumberFormat="0" applyFill="0" applyAlignment="0" applyProtection="0"/>
    <xf numFmtId="0" fontId="266" fillId="0" borderId="0" applyNumberFormat="0" applyFill="0" applyBorder="0" applyAlignment="0" applyProtection="0"/>
    <xf numFmtId="209" fontId="21" fillId="0" borderId="0">
      <protection locked="0"/>
    </xf>
    <xf numFmtId="209" fontId="21" fillId="0" borderId="0">
      <protection locked="0"/>
    </xf>
    <xf numFmtId="0" fontId="78" fillId="0" borderId="159" applyNumberFormat="0" applyFill="0" applyAlignment="0" applyProtection="0"/>
    <xf numFmtId="0" fontId="241" fillId="0" borderId="0" applyNumberFormat="0" applyFill="0" applyBorder="0" applyAlignment="0" applyProtection="0">
      <alignment vertical="top"/>
      <protection locked="0"/>
    </xf>
    <xf numFmtId="0" fontId="241" fillId="0" borderId="0" applyNumberFormat="0" applyFill="0" applyBorder="0" applyAlignment="0" applyProtection="0">
      <alignment vertical="top"/>
      <protection locked="0"/>
    </xf>
    <xf numFmtId="0" fontId="241" fillId="0" borderId="0" applyNumberFormat="0" applyFill="0" applyBorder="0" applyAlignment="0" applyProtection="0">
      <alignment vertical="top"/>
      <protection locked="0"/>
    </xf>
    <xf numFmtId="0" fontId="241" fillId="0" borderId="0" applyNumberFormat="0" applyFill="0" applyBorder="0" applyAlignment="0" applyProtection="0">
      <alignment vertical="top"/>
      <protection locked="0"/>
    </xf>
    <xf numFmtId="0" fontId="267" fillId="0" borderId="0" applyNumberFormat="0" applyFill="0" applyBorder="0" applyAlignment="0" applyProtection="0">
      <alignment vertical="top"/>
      <protection locked="0"/>
    </xf>
    <xf numFmtId="0" fontId="267" fillId="0" borderId="0" applyNumberFormat="0" applyFill="0" applyBorder="0" applyAlignment="0" applyProtection="0">
      <alignment vertical="top"/>
      <protection locked="0"/>
    </xf>
    <xf numFmtId="0" fontId="267" fillId="0" borderId="0" applyNumberFormat="0" applyFill="0" applyBorder="0" applyAlignment="0" applyProtection="0">
      <alignment vertical="top"/>
      <protection locked="0"/>
    </xf>
    <xf numFmtId="10" fontId="52" fillId="131" borderId="112" applyNumberFormat="0" applyBorder="0" applyAlignment="0" applyProtection="0"/>
    <xf numFmtId="0" fontId="268" fillId="117" borderId="155" applyNumberFormat="0" applyAlignment="0" applyProtection="0"/>
    <xf numFmtId="0" fontId="268" fillId="117" borderId="155" applyNumberFormat="0" applyAlignment="0" applyProtection="0"/>
    <xf numFmtId="0" fontId="268" fillId="117" borderId="155" applyNumberFormat="0" applyAlignment="0" applyProtection="0"/>
    <xf numFmtId="0" fontId="268" fillId="117" borderId="155" applyNumberFormat="0" applyAlignment="0" applyProtection="0"/>
    <xf numFmtId="0" fontId="268" fillId="117" borderId="155" applyNumberFormat="0" applyAlignment="0" applyProtection="0"/>
    <xf numFmtId="0" fontId="268" fillId="117" borderId="155" applyNumberFormat="0" applyAlignment="0" applyProtection="0"/>
    <xf numFmtId="210" fontId="44" fillId="0" borderId="0" applyFill="0" applyBorder="0" applyAlignment="0" applyProtection="0">
      <alignment horizontal="center"/>
    </xf>
    <xf numFmtId="0" fontId="269" fillId="0" borderId="160" applyNumberFormat="0" applyFill="0" applyAlignment="0" applyProtection="0"/>
    <xf numFmtId="211" fontId="44" fillId="0" borderId="0" applyFill="0" applyBorder="0" applyAlignment="0" applyProtection="0">
      <alignment horizontal="center"/>
    </xf>
    <xf numFmtId="212" fontId="21" fillId="0" borderId="0" applyFont="0" applyFill="0" applyBorder="0" applyAlignment="0" applyProtection="0"/>
    <xf numFmtId="213" fontId="21" fillId="0" borderId="0" applyFont="0" applyFill="0" applyBorder="0" applyAlignment="0" applyProtection="0"/>
    <xf numFmtId="0" fontId="270" fillId="136" borderId="0" applyNumberFormat="0" applyBorder="0" applyAlignment="0" applyProtection="0"/>
    <xf numFmtId="202" fontId="260" fillId="0" borderId="0" applyFont="0" applyFill="0" applyBorder="0" applyAlignment="0" applyProtection="0">
      <alignment horizontal="center"/>
    </xf>
    <xf numFmtId="37" fontId="271" fillId="0" borderId="0"/>
    <xf numFmtId="214" fontId="251" fillId="0" borderId="0"/>
    <xf numFmtId="202" fontId="272" fillId="0" borderId="0"/>
    <xf numFmtId="214" fontId="251" fillId="0" borderId="0"/>
    <xf numFmtId="0" fontId="21" fillId="0" borderId="0"/>
    <xf numFmtId="0" fontId="249" fillId="0" borderId="0"/>
    <xf numFmtId="0" fontId="21" fillId="0" borderId="0"/>
    <xf numFmtId="0" fontId="249" fillId="0" borderId="0"/>
    <xf numFmtId="0" fontId="21" fillId="0" borderId="0"/>
    <xf numFmtId="0" fontId="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49" fillId="0" borderId="0"/>
    <xf numFmtId="0" fontId="249" fillId="0" borderId="0"/>
    <xf numFmtId="0" fontId="249" fillId="0" borderId="0"/>
    <xf numFmtId="0" fontId="116"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1" fillId="0" borderId="0"/>
    <xf numFmtId="0" fontId="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49" fillId="0" borderId="0"/>
    <xf numFmtId="0" fontId="21" fillId="0" borderId="0"/>
    <xf numFmtId="0" fontId="21" fillId="0" borderId="0"/>
    <xf numFmtId="0" fontId="21" fillId="0" borderId="0"/>
    <xf numFmtId="0" fontId="21" fillId="0" borderId="0"/>
    <xf numFmtId="0" fontId="27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96" fillId="0" borderId="0"/>
    <xf numFmtId="0" fontId="96" fillId="0" borderId="0"/>
    <xf numFmtId="202" fontId="21" fillId="0" borderId="0"/>
    <xf numFmtId="0" fontId="1" fillId="0" borderId="0"/>
    <xf numFmtId="37" fontId="274" fillId="0" borderId="0"/>
    <xf numFmtId="0" fontId="259" fillId="0" borderId="0"/>
    <xf numFmtId="0" fontId="1" fillId="0" borderId="0"/>
    <xf numFmtId="0" fontId="1" fillId="0" borderId="0"/>
    <xf numFmtId="0" fontId="24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16" fillId="0" borderId="0"/>
    <xf numFmtId="0" fontId="21" fillId="0" borderId="0"/>
    <xf numFmtId="0" fontId="21" fillId="0" borderId="0"/>
    <xf numFmtId="0" fontId="21" fillId="0" borderId="0"/>
    <xf numFmtId="0" fontId="249" fillId="0" borderId="0"/>
    <xf numFmtId="0" fontId="249" fillId="0" borderId="0"/>
    <xf numFmtId="0" fontId="249" fillId="0" borderId="0"/>
    <xf numFmtId="0" fontId="249" fillId="0" borderId="0"/>
    <xf numFmtId="0" fontId="24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0" fontId="25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02" fontId="21" fillId="0" borderId="0"/>
    <xf numFmtId="0" fontId="21" fillId="0" borderId="0"/>
    <xf numFmtId="0" fontId="249" fillId="0" borderId="0"/>
    <xf numFmtId="0" fontId="116"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0" fontId="249" fillId="0" borderId="0"/>
    <xf numFmtId="0" fontId="249" fillId="0" borderId="0"/>
    <xf numFmtId="0" fontId="21" fillId="0" borderId="0"/>
    <xf numFmtId="0" fontId="96" fillId="0" borderId="0"/>
    <xf numFmtId="0" fontId="96" fillId="0" borderId="0"/>
    <xf numFmtId="0" fontId="96" fillId="0" borderId="0"/>
    <xf numFmtId="0" fontId="21" fillId="0" borderId="0"/>
    <xf numFmtId="0" fontId="249" fillId="0" borderId="0"/>
    <xf numFmtId="0" fontId="116"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1" fillId="0" borderId="0"/>
    <xf numFmtId="0" fontId="249" fillId="0" borderId="0"/>
    <xf numFmtId="0" fontId="21" fillId="0" borderId="0"/>
    <xf numFmtId="0" fontId="249" fillId="0" borderId="0"/>
    <xf numFmtId="0" fontId="21" fillId="0" borderId="0"/>
    <xf numFmtId="0" fontId="116" fillId="137" borderId="161" applyNumberFormat="0" applyFont="0" applyAlignment="0" applyProtection="0"/>
    <xf numFmtId="0" fontId="1" fillId="99" borderId="150" applyNumberFormat="0" applyFont="0" applyAlignment="0" applyProtection="0"/>
    <xf numFmtId="0" fontId="1" fillId="99" borderId="150" applyNumberFormat="0" applyFont="0" applyAlignment="0" applyProtection="0"/>
    <xf numFmtId="0" fontId="275" fillId="132" borderId="162" applyNumberFormat="0" applyAlignment="0" applyProtection="0"/>
    <xf numFmtId="202" fontId="254" fillId="0" borderId="0"/>
    <xf numFmtId="10" fontId="21" fillId="0" borderId="0" applyFont="0" applyFill="0" applyBorder="0" applyAlignment="0" applyProtection="0"/>
    <xf numFmtId="9" fontId="21" fillId="0" borderId="0" applyFont="0" applyFill="0" applyBorder="0" applyAlignment="0" applyProtection="0">
      <alignment vertical="top"/>
    </xf>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249" fillId="0" borderId="0" applyFont="0" applyFill="0" applyBorder="0" applyAlignment="0" applyProtection="0"/>
    <xf numFmtId="9" fontId="249" fillId="0" borderId="0" applyFont="0" applyFill="0" applyBorder="0" applyAlignment="0" applyProtection="0"/>
    <xf numFmtId="9" fontId="249"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164" fontId="116" fillId="0" borderId="0" applyFont="0" applyFill="0" applyBorder="0" applyAlignment="0" applyProtection="0"/>
    <xf numFmtId="164" fontId="116" fillId="0" borderId="0" applyFont="0" applyFill="0" applyBorder="0" applyAlignment="0" applyProtection="0"/>
    <xf numFmtId="164" fontId="116" fillId="0" borderId="0" applyFont="0" applyFill="0" applyBorder="0" applyAlignment="0" applyProtection="0"/>
    <xf numFmtId="164" fontId="116" fillId="0" borderId="0" applyFont="0" applyFill="0" applyBorder="0" applyAlignment="0" applyProtection="0"/>
    <xf numFmtId="164" fontId="116" fillId="0" borderId="0" applyFont="0" applyFill="0" applyBorder="0" applyAlignment="0" applyProtection="0"/>
    <xf numFmtId="164" fontId="116" fillId="0" borderId="0" applyFont="0" applyFill="0" applyBorder="0" applyAlignment="0" applyProtection="0"/>
    <xf numFmtId="9" fontId="21"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116"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3" fontId="44" fillId="138" borderId="0" applyNumberFormat="0" applyBorder="0" applyAlignment="0" applyProtection="0">
      <alignment vertical="top"/>
    </xf>
    <xf numFmtId="3" fontId="44" fillId="139" borderId="0" applyNumberFormat="0" applyFont="0" applyBorder="0" applyAlignment="0" applyProtection="0">
      <alignment vertical="top"/>
    </xf>
    <xf numFmtId="202" fontId="44" fillId="0" borderId="0" applyFont="0" applyFill="0" applyBorder="0" applyAlignment="0" applyProtection="0">
      <alignment vertical="top"/>
    </xf>
    <xf numFmtId="202" fontId="44" fillId="0" borderId="0" applyFont="0" applyFill="0" applyBorder="0" applyAlignment="0" applyProtection="0"/>
    <xf numFmtId="202" fontId="44" fillId="0" borderId="0" applyFont="0" applyFill="0" applyBorder="0" applyAlignment="0" applyProtection="0"/>
    <xf numFmtId="215" fontId="18" fillId="0" borderId="0" applyFill="0" applyBorder="0" applyAlignment="0" applyProtection="0">
      <alignment horizontal="center"/>
    </xf>
    <xf numFmtId="216" fontId="21" fillId="0" borderId="0">
      <alignment horizontal="left" wrapText="1"/>
    </xf>
    <xf numFmtId="0" fontId="21" fillId="0" borderId="0">
      <alignment horizontal="left" wrapText="1"/>
    </xf>
    <xf numFmtId="40" fontId="276" fillId="0" borderId="0"/>
    <xf numFmtId="0" fontId="277" fillId="0" borderId="0" applyNumberFormat="0" applyFill="0" applyBorder="0" applyAlignment="0" applyProtection="0"/>
    <xf numFmtId="37" fontId="52" fillId="7" borderId="0" applyNumberFormat="0" applyBorder="0" applyAlignment="0" applyProtection="0"/>
    <xf numFmtId="37" fontId="52" fillId="0" borderId="0"/>
    <xf numFmtId="37" fontId="52" fillId="7" borderId="0" applyNumberFormat="0" applyBorder="0" applyAlignment="0" applyProtection="0"/>
    <xf numFmtId="3" fontId="278" fillId="0" borderId="159" applyProtection="0"/>
    <xf numFmtId="0" fontId="279" fillId="0" borderId="0"/>
    <xf numFmtId="0" fontId="280" fillId="0" borderId="0" applyNumberFormat="0" applyFill="0" applyBorder="0" applyAlignment="0" applyProtection="0"/>
    <xf numFmtId="14" fontId="21" fillId="131" borderId="112" applyNumberFormat="0" applyFont="0" applyAlignment="0" applyProtection="0">
      <alignment horizontal="centerContinuous"/>
    </xf>
  </cellStyleXfs>
  <cellXfs count="4651">
    <xf numFmtId="0" fontId="0" fillId="0" borderId="0" xfId="0" applyAlignment="1"/>
    <xf numFmtId="0" fontId="18" fillId="0" borderId="0" xfId="0" applyFont="1" applyAlignment="1"/>
    <xf numFmtId="0" fontId="21" fillId="0" borderId="0" xfId="0" applyFont="1" applyAlignment="1"/>
    <xf numFmtId="0" fontId="0" fillId="0" borderId="0" xfId="0" applyAlignment="1">
      <alignment horizontal="center"/>
    </xf>
    <xf numFmtId="10" fontId="0" fillId="0" borderId="0" xfId="26" applyFont="1"/>
    <xf numFmtId="10" fontId="0" fillId="0" borderId="0" xfId="0" applyNumberFormat="1" applyAlignment="1"/>
    <xf numFmtId="2" fontId="0" fillId="0" borderId="0" xfId="0" applyNumberFormat="1" applyAlignment="1"/>
    <xf numFmtId="0" fontId="0" fillId="0" borderId="0" xfId="0" applyBorder="1" applyAlignment="1"/>
    <xf numFmtId="1" fontId="0" fillId="0" borderId="0" xfId="0" applyNumberFormat="1" applyAlignment="1"/>
    <xf numFmtId="0" fontId="0" fillId="0" borderId="0" xfId="0" applyFill="1" applyBorder="1" applyAlignment="1"/>
    <xf numFmtId="0" fontId="0" fillId="0" borderId="2" xfId="0" applyBorder="1" applyAlignment="1"/>
    <xf numFmtId="0" fontId="0" fillId="0" borderId="3" xfId="0" applyBorder="1" applyAlignment="1"/>
    <xf numFmtId="0" fontId="21" fillId="0" borderId="3" xfId="0" applyFont="1" applyBorder="1" applyAlignment="1"/>
    <xf numFmtId="0" fontId="18" fillId="0" borderId="4" xfId="0" applyFont="1" applyBorder="1" applyAlignment="1"/>
    <xf numFmtId="0" fontId="0" fillId="0" borderId="5" xfId="0" applyBorder="1" applyAlignment="1"/>
    <xf numFmtId="0" fontId="0" fillId="0" borderId="6" xfId="0" applyBorder="1" applyAlignment="1"/>
    <xf numFmtId="0" fontId="18" fillId="0" borderId="3" xfId="0" applyFont="1" applyBorder="1" applyAlignment="1"/>
    <xf numFmtId="0" fontId="18" fillId="0" borderId="0" xfId="0" applyFont="1" applyBorder="1" applyAlignment="1"/>
    <xf numFmtId="0" fontId="21" fillId="0" borderId="6" xfId="0" applyFont="1" applyFill="1" applyBorder="1" applyAlignment="1"/>
    <xf numFmtId="0" fontId="0" fillId="0" borderId="3" xfId="0" applyFill="1" applyBorder="1" applyAlignment="1"/>
    <xf numFmtId="0" fontId="18" fillId="0" borderId="3" xfId="0" applyFont="1" applyFill="1" applyBorder="1" applyAlignment="1"/>
    <xf numFmtId="0" fontId="21" fillId="0" borderId="3" xfId="0" applyFont="1" applyFill="1" applyBorder="1" applyAlignment="1"/>
    <xf numFmtId="171" fontId="0" fillId="0" borderId="0" xfId="0" applyNumberFormat="1" applyFill="1" applyBorder="1" applyAlignment="1"/>
    <xf numFmtId="170" fontId="0" fillId="0" borderId="0" xfId="1" applyNumberFormat="1" applyFont="1" applyBorder="1"/>
    <xf numFmtId="171" fontId="18" fillId="0" borderId="0" xfId="0" applyNumberFormat="1" applyFont="1" applyFill="1" applyBorder="1" applyAlignment="1"/>
    <xf numFmtId="169" fontId="18" fillId="0" borderId="0" xfId="0" applyNumberFormat="1" applyFont="1" applyBorder="1" applyAlignment="1"/>
    <xf numFmtId="164" fontId="21" fillId="0" borderId="0" xfId="0" applyNumberFormat="1" applyFont="1" applyFill="1" applyBorder="1" applyAlignment="1"/>
    <xf numFmtId="0" fontId="21" fillId="0" borderId="6" xfId="0" applyFont="1" applyBorder="1" applyAlignment="1"/>
    <xf numFmtId="0" fontId="21" fillId="0" borderId="0" xfId="0" applyFont="1" applyBorder="1" applyAlignment="1"/>
    <xf numFmtId="0" fontId="21" fillId="0" borderId="7" xfId="0" applyFont="1" applyBorder="1" applyAlignment="1"/>
    <xf numFmtId="0" fontId="21" fillId="0" borderId="0" xfId="0" applyFont="1" applyFill="1" applyBorder="1" applyAlignment="1"/>
    <xf numFmtId="0" fontId="18" fillId="0" borderId="0" xfId="0" applyFont="1" applyBorder="1" applyAlignment="1">
      <alignment horizontal="center"/>
    </xf>
    <xf numFmtId="0" fontId="0" fillId="0" borderId="4" xfId="0" applyBorder="1" applyAlignment="1"/>
    <xf numFmtId="174" fontId="0" fillId="0" borderId="5" xfId="0" applyNumberFormat="1" applyBorder="1" applyAlignment="1"/>
    <xf numFmtId="0" fontId="18" fillId="0" borderId="8" xfId="0" applyFont="1" applyBorder="1" applyAlignment="1"/>
    <xf numFmtId="7" fontId="21" fillId="0" borderId="6" xfId="0" applyNumberFormat="1" applyFont="1" applyBorder="1" applyAlignment="1"/>
    <xf numFmtId="0" fontId="21" fillId="0" borderId="9" xfId="0" applyFont="1" applyBorder="1" applyAlignment="1"/>
    <xf numFmtId="171" fontId="21" fillId="0" borderId="0" xfId="0" applyNumberFormat="1" applyFont="1" applyBorder="1" applyAlignment="1"/>
    <xf numFmtId="7" fontId="21" fillId="0" borderId="0" xfId="0" applyNumberFormat="1" applyFont="1" applyBorder="1" applyAlignment="1"/>
    <xf numFmtId="7" fontId="21" fillId="0" borderId="0" xfId="0" applyNumberFormat="1" applyFont="1" applyFill="1" applyBorder="1" applyAlignment="1"/>
    <xf numFmtId="6" fontId="21" fillId="0" borderId="0" xfId="0" applyNumberFormat="1" applyFont="1" applyBorder="1" applyAlignment="1"/>
    <xf numFmtId="169" fontId="21" fillId="0" borderId="0" xfId="0" applyNumberFormat="1" applyFont="1" applyBorder="1" applyAlignment="1"/>
    <xf numFmtId="0" fontId="21" fillId="0" borderId="2" xfId="0" applyFont="1" applyBorder="1" applyAlignment="1"/>
    <xf numFmtId="0" fontId="21" fillId="0" borderId="10" xfId="0" applyFont="1" applyBorder="1" applyAlignment="1"/>
    <xf numFmtId="0" fontId="21" fillId="0" borderId="5" xfId="0" applyFont="1" applyBorder="1" applyAlignment="1"/>
    <xf numFmtId="3" fontId="21" fillId="0" borderId="3" xfId="0" applyNumberFormat="1" applyFont="1" applyFill="1" applyBorder="1" applyAlignment="1" applyProtection="1"/>
    <xf numFmtId="3" fontId="21" fillId="2" borderId="3" xfId="0" applyNumberFormat="1" applyFont="1" applyFill="1" applyBorder="1" applyAlignment="1" applyProtection="1"/>
    <xf numFmtId="3" fontId="21" fillId="0" borderId="0" xfId="1" applyNumberFormat="1" applyFont="1" applyFill="1" applyBorder="1"/>
    <xf numFmtId="164" fontId="21" fillId="0" borderId="0" xfId="26" applyNumberFormat="1" applyFont="1" applyFill="1" applyBorder="1"/>
    <xf numFmtId="3" fontId="21" fillId="2" borderId="9" xfId="0" applyNumberFormat="1" applyFont="1" applyFill="1" applyBorder="1" applyAlignment="1" applyProtection="1"/>
    <xf numFmtId="0" fontId="21" fillId="0" borderId="3" xfId="0" applyFont="1" applyBorder="1" applyAlignment="1">
      <alignment horizontal="left"/>
    </xf>
    <xf numFmtId="9" fontId="21" fillId="0" borderId="0" xfId="26" applyNumberFormat="1" applyFont="1"/>
    <xf numFmtId="0" fontId="21" fillId="0" borderId="11" xfId="0" applyFont="1" applyFill="1" applyBorder="1" applyAlignment="1"/>
    <xf numFmtId="0" fontId="21" fillId="0" borderId="3" xfId="0" applyFont="1" applyFill="1" applyBorder="1" applyAlignment="1">
      <alignment horizontal="left"/>
    </xf>
    <xf numFmtId="0" fontId="21" fillId="0" borderId="11" xfId="0" applyFont="1" applyBorder="1" applyAlignment="1"/>
    <xf numFmtId="0" fontId="21" fillId="0" borderId="12" xfId="0" applyFont="1" applyBorder="1" applyAlignment="1"/>
    <xf numFmtId="0" fontId="21" fillId="3" borderId="0" xfId="0" applyFont="1" applyFill="1" applyBorder="1" applyAlignment="1" applyProtection="1">
      <protection locked="0"/>
    </xf>
    <xf numFmtId="0" fontId="21" fillId="0" borderId="0" xfId="0" applyFont="1" applyAlignment="1" applyProtection="1">
      <protection locked="0"/>
    </xf>
    <xf numFmtId="3" fontId="21" fillId="0" borderId="0" xfId="1" applyNumberFormat="1" applyFont="1" applyBorder="1"/>
    <xf numFmtId="7" fontId="18" fillId="0" borderId="0" xfId="0" applyNumberFormat="1" applyFont="1" applyBorder="1" applyAlignment="1"/>
    <xf numFmtId="0" fontId="18" fillId="0" borderId="9" xfId="0" applyFont="1" applyBorder="1" applyAlignment="1"/>
    <xf numFmtId="0" fontId="19" fillId="0" borderId="4" xfId="0" applyFont="1" applyBorder="1" applyAlignment="1"/>
    <xf numFmtId="0" fontId="19" fillId="0" borderId="3" xfId="0" applyFont="1" applyBorder="1" applyAlignment="1"/>
    <xf numFmtId="164" fontId="21" fillId="0" borderId="0" xfId="0" applyNumberFormat="1" applyFont="1" applyFill="1" applyBorder="1" applyAlignment="1" applyProtection="1">
      <protection locked="0"/>
    </xf>
    <xf numFmtId="170" fontId="21" fillId="0" borderId="0" xfId="1" applyNumberFormat="1" applyFont="1" applyBorder="1"/>
    <xf numFmtId="7" fontId="21" fillId="0" borderId="0" xfId="0" applyNumberFormat="1" applyFont="1" applyAlignment="1"/>
    <xf numFmtId="0" fontId="21" fillId="0" borderId="0" xfId="0" applyFont="1" applyFill="1" applyAlignment="1"/>
    <xf numFmtId="0" fontId="21" fillId="0" borderId="0" xfId="0" applyFont="1" applyAlignment="1" applyProtection="1">
      <alignment horizontal="left"/>
      <protection locked="0"/>
    </xf>
    <xf numFmtId="3" fontId="21" fillId="2" borderId="0" xfId="0" applyNumberFormat="1" applyFont="1" applyFill="1" applyBorder="1" applyAlignment="1" applyProtection="1"/>
    <xf numFmtId="0" fontId="21" fillId="0" borderId="0" xfId="0" applyFont="1" applyBorder="1" applyAlignment="1">
      <alignment vertical="top"/>
    </xf>
    <xf numFmtId="0" fontId="21" fillId="0" borderId="0" xfId="0" applyFont="1" applyFill="1" applyBorder="1" applyAlignment="1">
      <alignment horizontal="right"/>
    </xf>
    <xf numFmtId="0" fontId="18" fillId="0" borderId="3" xfId="0" applyFont="1" applyBorder="1" applyAlignment="1">
      <alignment horizontal="left"/>
    </xf>
    <xf numFmtId="41" fontId="21" fillId="0" borderId="0" xfId="0" applyNumberFormat="1" applyFont="1" applyBorder="1" applyAlignment="1"/>
    <xf numFmtId="2" fontId="18" fillId="0" borderId="0" xfId="0" applyNumberFormat="1" applyFont="1" applyBorder="1" applyAlignment="1"/>
    <xf numFmtId="6" fontId="21" fillId="0" borderId="0" xfId="0" applyNumberFormat="1" applyFont="1" applyAlignment="1"/>
    <xf numFmtId="9" fontId="21" fillId="0" borderId="0" xfId="0" applyNumberFormat="1" applyFont="1" applyFill="1" applyBorder="1" applyAlignment="1" applyProtection="1">
      <protection locked="0"/>
    </xf>
    <xf numFmtId="0" fontId="21" fillId="0" borderId="0" xfId="0" applyFont="1" applyFill="1" applyBorder="1" applyAlignment="1" applyProtection="1">
      <alignment horizontal="right"/>
      <protection locked="0"/>
    </xf>
    <xf numFmtId="10" fontId="21" fillId="0" borderId="0" xfId="0" applyNumberFormat="1" applyFont="1" applyFill="1" applyBorder="1" applyAlignment="1" applyProtection="1">
      <protection locked="0"/>
    </xf>
    <xf numFmtId="0" fontId="27" fillId="0" borderId="0" xfId="0" applyFont="1" applyAlignment="1"/>
    <xf numFmtId="0" fontId="18" fillId="0" borderId="13" xfId="0" applyFont="1" applyBorder="1" applyAlignment="1"/>
    <xf numFmtId="0" fontId="18" fillId="0" borderId="11" xfId="0" applyFont="1" applyBorder="1" applyAlignment="1"/>
    <xf numFmtId="0" fontId="18" fillId="0" borderId="11" xfId="0" applyFont="1" applyFill="1" applyBorder="1" applyAlignment="1"/>
    <xf numFmtId="0" fontId="18" fillId="0" borderId="13" xfId="0" applyFont="1" applyFill="1" applyBorder="1" applyAlignment="1">
      <alignment horizontal="left"/>
    </xf>
    <xf numFmtId="5" fontId="21" fillId="0" borderId="12" xfId="0" applyNumberFormat="1" applyFont="1" applyBorder="1" applyAlignment="1"/>
    <xf numFmtId="0" fontId="18" fillId="0" borderId="2" xfId="0" applyFont="1" applyBorder="1" applyAlignment="1"/>
    <xf numFmtId="0" fontId="21" fillId="0" borderId="14" xfId="0" applyFont="1" applyBorder="1" applyAlignment="1"/>
    <xf numFmtId="0" fontId="18" fillId="0" borderId="0" xfId="0" applyFont="1" applyBorder="1" applyAlignment="1">
      <alignment horizontal="right"/>
    </xf>
    <xf numFmtId="10" fontId="23" fillId="0" borderId="0" xfId="26" applyFont="1"/>
    <xf numFmtId="0" fontId="0" fillId="0" borderId="0" xfId="0" applyAlignment="1">
      <alignment horizontal="center" wrapText="1"/>
    </xf>
    <xf numFmtId="0" fontId="0" fillId="0" borderId="0" xfId="0" applyFill="1" applyAlignment="1"/>
    <xf numFmtId="0" fontId="21" fillId="0" borderId="11" xfId="0" applyFont="1" applyBorder="1" applyAlignment="1">
      <alignment horizontal="left"/>
    </xf>
    <xf numFmtId="9" fontId="21" fillId="0" borderId="0" xfId="0" applyNumberFormat="1" applyFont="1" applyFill="1" applyBorder="1" applyAlignment="1"/>
    <xf numFmtId="0" fontId="18" fillId="0" borderId="4" xfId="0" applyFont="1" applyFill="1" applyBorder="1" applyAlignment="1">
      <alignment horizontal="left"/>
    </xf>
    <xf numFmtId="1" fontId="0" fillId="0" borderId="0" xfId="0" applyNumberFormat="1" applyBorder="1" applyAlignment="1"/>
    <xf numFmtId="165" fontId="0" fillId="0" borderId="0" xfId="0" applyNumberFormat="1" applyFill="1" applyBorder="1" applyAlignment="1"/>
    <xf numFmtId="10" fontId="0" fillId="0" borderId="0" xfId="0" applyNumberFormat="1" applyFill="1" applyBorder="1" applyAlignment="1"/>
    <xf numFmtId="164" fontId="0" fillId="0" borderId="0" xfId="0" applyNumberFormat="1" applyFill="1" applyBorder="1" applyAlignment="1"/>
    <xf numFmtId="10" fontId="21" fillId="0" borderId="0" xfId="26" applyFont="1" applyFill="1" applyBorder="1"/>
    <xf numFmtId="7" fontId="23" fillId="0" borderId="0" xfId="6" applyNumberFormat="1"/>
    <xf numFmtId="0" fontId="0" fillId="0" borderId="0" xfId="0" applyAlignment="1">
      <alignment wrapText="1"/>
    </xf>
    <xf numFmtId="0" fontId="23" fillId="0" borderId="0" xfId="0" applyFont="1" applyAlignment="1"/>
    <xf numFmtId="1" fontId="23" fillId="0" borderId="0" xfId="0" applyNumberFormat="1" applyFont="1" applyAlignment="1"/>
    <xf numFmtId="0" fontId="36" fillId="0" borderId="0" xfId="0" applyFont="1" applyAlignment="1"/>
    <xf numFmtId="0" fontId="36" fillId="0" borderId="0" xfId="0" applyFont="1" applyFill="1" applyAlignment="1"/>
    <xf numFmtId="0" fontId="36" fillId="0" borderId="0" xfId="0" applyFont="1" applyFill="1" applyBorder="1" applyAlignment="1"/>
    <xf numFmtId="0" fontId="36" fillId="0" borderId="0" xfId="0" applyFont="1" applyBorder="1" applyAlignment="1"/>
    <xf numFmtId="0" fontId="35" fillId="0" borderId="0" xfId="0" applyFont="1" applyFill="1" applyBorder="1" applyAlignment="1"/>
    <xf numFmtId="0" fontId="37" fillId="0" borderId="0" xfId="0" applyFont="1" applyAlignment="1"/>
    <xf numFmtId="0" fontId="36" fillId="0" borderId="2" xfId="0" applyFont="1" applyBorder="1" applyAlignment="1"/>
    <xf numFmtId="0" fontId="38" fillId="0" borderId="0" xfId="0" applyFont="1" applyAlignment="1"/>
    <xf numFmtId="0" fontId="36" fillId="0" borderId="3" xfId="0" applyFont="1" applyBorder="1" applyAlignment="1"/>
    <xf numFmtId="0" fontId="36" fillId="0" borderId="3" xfId="0" applyFont="1" applyFill="1" applyBorder="1" applyAlignment="1"/>
    <xf numFmtId="0" fontId="36" fillId="0" borderId="9" xfId="0" applyFont="1" applyFill="1" applyBorder="1" applyAlignment="1"/>
    <xf numFmtId="0" fontId="36" fillId="0" borderId="6" xfId="0" applyFont="1" applyBorder="1" applyAlignment="1"/>
    <xf numFmtId="0" fontId="35" fillId="0" borderId="3" xfId="0" applyFont="1" applyFill="1" applyBorder="1" applyAlignment="1"/>
    <xf numFmtId="3" fontId="36" fillId="0" borderId="3" xfId="0" applyNumberFormat="1" applyFont="1" applyFill="1" applyBorder="1" applyAlignment="1" applyProtection="1"/>
    <xf numFmtId="0" fontId="36" fillId="0" borderId="7" xfId="0" applyFont="1" applyBorder="1" applyAlignment="1"/>
    <xf numFmtId="0" fontId="39" fillId="0" borderId="0" xfId="0" applyFont="1" applyAlignment="1"/>
    <xf numFmtId="0" fontId="41" fillId="0" borderId="0" xfId="0" applyFont="1" applyAlignment="1"/>
    <xf numFmtId="0" fontId="41" fillId="0" borderId="16" xfId="0" applyFont="1" applyBorder="1" applyAlignment="1"/>
    <xf numFmtId="0" fontId="41" fillId="0" borderId="17" xfId="0" applyFont="1" applyBorder="1" applyAlignment="1"/>
    <xf numFmtId="0" fontId="21" fillId="0" borderId="4" xfId="0" applyFont="1" applyBorder="1" applyAlignment="1"/>
    <xf numFmtId="171" fontId="21" fillId="0" borderId="0" xfId="0" applyNumberFormat="1" applyFont="1" applyFill="1" applyBorder="1" applyAlignment="1" applyProtection="1">
      <protection locked="0"/>
    </xf>
    <xf numFmtId="171" fontId="21" fillId="0" borderId="0" xfId="0" applyNumberFormat="1" applyFont="1" applyFill="1" applyBorder="1" applyAlignment="1"/>
    <xf numFmtId="0" fontId="27" fillId="0" borderId="0" xfId="0" applyFont="1" applyFill="1" applyBorder="1" applyAlignment="1"/>
    <xf numFmtId="0" fontId="0" fillId="0" borderId="0" xfId="0" applyAlignment="1">
      <alignment vertical="top" wrapText="1"/>
    </xf>
    <xf numFmtId="37" fontId="36" fillId="0" borderId="6" xfId="0" applyNumberFormat="1" applyFont="1" applyFill="1" applyBorder="1" applyAlignment="1"/>
    <xf numFmtId="3" fontId="35" fillId="0" borderId="9" xfId="0" applyNumberFormat="1" applyFont="1" applyFill="1" applyBorder="1" applyAlignment="1" applyProtection="1"/>
    <xf numFmtId="0" fontId="45" fillId="0" borderId="0" xfId="0" applyFont="1" applyBorder="1" applyAlignment="1"/>
    <xf numFmtId="2" fontId="50" fillId="0" borderId="0" xfId="0" applyNumberFormat="1" applyFont="1" applyFill="1" applyAlignment="1"/>
    <xf numFmtId="0" fontId="51" fillId="0" borderId="0" xfId="0" applyFont="1" applyAlignment="1"/>
    <xf numFmtId="0" fontId="50" fillId="0" borderId="0" xfId="0" applyFont="1" applyFill="1" applyAlignment="1"/>
    <xf numFmtId="1" fontId="50" fillId="0" borderId="0" xfId="0" applyNumberFormat="1" applyFont="1" applyFill="1" applyAlignment="1"/>
    <xf numFmtId="0" fontId="50" fillId="0" borderId="0" xfId="0" applyFont="1" applyAlignment="1"/>
    <xf numFmtId="1" fontId="50" fillId="0" borderId="0" xfId="0" applyNumberFormat="1" applyFont="1" applyAlignment="1"/>
    <xf numFmtId="171" fontId="50" fillId="0" borderId="0" xfId="6" applyNumberFormat="1" applyFont="1"/>
    <xf numFmtId="3" fontId="36" fillId="0" borderId="6" xfId="1" applyFont="1" applyFill="1" applyBorder="1"/>
    <xf numFmtId="3" fontId="36" fillId="0" borderId="6" xfId="1" applyFont="1" applyBorder="1"/>
    <xf numFmtId="3" fontId="36" fillId="0" borderId="6" xfId="1" applyFont="1" applyFill="1" applyBorder="1" applyProtection="1">
      <protection locked="0"/>
    </xf>
    <xf numFmtId="0" fontId="36" fillId="0" borderId="18" xfId="0" applyFont="1" applyBorder="1" applyAlignment="1"/>
    <xf numFmtId="0" fontId="35" fillId="0" borderId="0" xfId="0" applyFont="1" applyFill="1" applyAlignment="1"/>
    <xf numFmtId="1" fontId="36" fillId="0" borderId="0" xfId="0" applyNumberFormat="1" applyFont="1" applyAlignment="1"/>
    <xf numFmtId="10" fontId="21" fillId="0" borderId="0" xfId="0" applyNumberFormat="1" applyFont="1" applyFill="1" applyBorder="1" applyAlignment="1"/>
    <xf numFmtId="3" fontId="0" fillId="0" borderId="0" xfId="1" applyFont="1" applyBorder="1"/>
    <xf numFmtId="3" fontId="21" fillId="0" borderId="0" xfId="1" applyFont="1" applyBorder="1"/>
    <xf numFmtId="171" fontId="18" fillId="0" borderId="0" xfId="6" applyNumberFormat="1" applyFont="1" applyFill="1"/>
    <xf numFmtId="0" fontId="21" fillId="4" borderId="0" xfId="0" applyFont="1" applyFill="1" applyBorder="1" applyAlignment="1"/>
    <xf numFmtId="0" fontId="39" fillId="0" borderId="16" xfId="0" applyFont="1" applyBorder="1" applyAlignment="1"/>
    <xf numFmtId="0" fontId="39" fillId="0" borderId="17" xfId="0" applyFont="1" applyBorder="1" applyAlignment="1"/>
    <xf numFmtId="0" fontId="0" fillId="0" borderId="16" xfId="0" applyBorder="1" applyAlignment="1"/>
    <xf numFmtId="0" fontId="54" fillId="0" borderId="0" xfId="0" applyFont="1" applyAlignment="1"/>
    <xf numFmtId="0" fontId="54" fillId="0" borderId="0" xfId="0" applyFont="1" applyFill="1" applyAlignment="1"/>
    <xf numFmtId="0" fontId="54" fillId="0" borderId="19" xfId="0" applyFont="1" applyBorder="1" applyAlignment="1"/>
    <xf numFmtId="0" fontId="54" fillId="0" borderId="16" xfId="0" applyFont="1" applyBorder="1" applyAlignment="1"/>
    <xf numFmtId="0" fontId="54" fillId="0" borderId="20" xfId="0" applyFont="1" applyBorder="1" applyAlignment="1"/>
    <xf numFmtId="0" fontId="54" fillId="0" borderId="21" xfId="0" applyFont="1" applyBorder="1" applyAlignment="1"/>
    <xf numFmtId="0" fontId="54" fillId="0" borderId="17" xfId="0" applyFont="1" applyBorder="1" applyAlignment="1"/>
    <xf numFmtId="0" fontId="54" fillId="0" borderId="22" xfId="0" applyFont="1" applyBorder="1" applyAlignment="1"/>
    <xf numFmtId="7" fontId="54" fillId="0" borderId="0" xfId="0" applyNumberFormat="1" applyFont="1" applyBorder="1" applyAlignment="1"/>
    <xf numFmtId="0" fontId="53" fillId="0" borderId="23" xfId="0" applyFont="1" applyBorder="1" applyAlignment="1"/>
    <xf numFmtId="0" fontId="53" fillId="0" borderId="24" xfId="0" applyFont="1" applyBorder="1" applyAlignment="1"/>
    <xf numFmtId="0" fontId="54" fillId="0" borderId="23" xfId="0" applyFont="1" applyBorder="1" applyAlignment="1"/>
    <xf numFmtId="3" fontId="54" fillId="0" borderId="25" xfId="1" applyFont="1" applyBorder="1"/>
    <xf numFmtId="3" fontId="54" fillId="0" borderId="21" xfId="1" applyNumberFormat="1" applyFont="1" applyBorder="1"/>
    <xf numFmtId="3" fontId="54" fillId="0" borderId="26" xfId="1" applyNumberFormat="1" applyFont="1" applyBorder="1"/>
    <xf numFmtId="0" fontId="18" fillId="0" borderId="0" xfId="0" applyFont="1" applyFill="1" applyAlignment="1"/>
    <xf numFmtId="0" fontId="34" fillId="0" borderId="0" xfId="0" applyFont="1" applyBorder="1" applyAlignment="1">
      <alignment horizontal="center"/>
    </xf>
    <xf numFmtId="0" fontId="0" fillId="0" borderId="0" xfId="0">
      <alignment vertical="top"/>
    </xf>
    <xf numFmtId="0" fontId="18" fillId="0" borderId="27" xfId="0" applyFont="1" applyBorder="1" applyAlignment="1">
      <alignment horizontal="center" wrapText="1"/>
    </xf>
    <xf numFmtId="0" fontId="21" fillId="0" borderId="27" xfId="0" applyFont="1" applyBorder="1" applyAlignment="1">
      <alignment wrapText="1"/>
    </xf>
    <xf numFmtId="0" fontId="21" fillId="0" borderId="0" xfId="0" applyFont="1" applyBorder="1" applyAlignment="1">
      <alignment wrapText="1"/>
    </xf>
    <xf numFmtId="0" fontId="18" fillId="0" borderId="27" xfId="0" applyFont="1" applyFill="1" applyBorder="1" applyAlignment="1">
      <alignment horizontal="center" wrapText="1"/>
    </xf>
    <xf numFmtId="9" fontId="0" fillId="0" borderId="0" xfId="26" applyNumberFormat="1" applyFont="1" applyBorder="1"/>
    <xf numFmtId="10" fontId="0" fillId="0" borderId="0" xfId="0" applyNumberFormat="1" applyBorder="1" applyAlignment="1"/>
    <xf numFmtId="0" fontId="18" fillId="0" borderId="28" xfId="0" applyFont="1" applyBorder="1" applyAlignment="1">
      <alignment wrapText="1"/>
    </xf>
    <xf numFmtId="0" fontId="21" fillId="0" borderId="28" xfId="0" applyFont="1" applyBorder="1" applyAlignment="1">
      <alignment wrapText="1"/>
    </xf>
    <xf numFmtId="10" fontId="0" fillId="0" borderId="3" xfId="0" applyNumberFormat="1" applyBorder="1" applyAlignment="1"/>
    <xf numFmtId="10" fontId="0" fillId="0" borderId="6" xfId="0" applyNumberFormat="1" applyBorder="1" applyAlignment="1"/>
    <xf numFmtId="0" fontId="21" fillId="0" borderId="0" xfId="0" applyFont="1" applyBorder="1" applyAlignment="1">
      <alignment horizontal="right"/>
    </xf>
    <xf numFmtId="0" fontId="20" fillId="0" borderId="0" xfId="0" applyFont="1" applyBorder="1" applyAlignment="1">
      <alignment horizontal="center"/>
    </xf>
    <xf numFmtId="0" fontId="20" fillId="0" borderId="0" xfId="0" applyFont="1" applyFill="1" applyBorder="1" applyAlignment="1"/>
    <xf numFmtId="6" fontId="21" fillId="0" borderId="0" xfId="0" applyNumberFormat="1" applyFont="1" applyFill="1" applyBorder="1" applyAlignment="1"/>
    <xf numFmtId="6" fontId="20" fillId="0" borderId="0" xfId="0" applyNumberFormat="1" applyFont="1" applyFill="1" applyAlignment="1"/>
    <xf numFmtId="6" fontId="33" fillId="0" borderId="0" xfId="0" applyNumberFormat="1" applyFont="1" applyFill="1" applyAlignment="1"/>
    <xf numFmtId="0" fontId="18" fillId="0" borderId="9" xfId="0" applyFont="1" applyFill="1" applyBorder="1" applyAlignment="1"/>
    <xf numFmtId="9" fontId="0" fillId="0" borderId="0" xfId="0" applyNumberFormat="1" applyBorder="1" applyAlignment="1"/>
    <xf numFmtId="164" fontId="0" fillId="0" borderId="0" xfId="0" applyNumberFormat="1">
      <alignment vertical="top"/>
    </xf>
    <xf numFmtId="0" fontId="61" fillId="0" borderId="0" xfId="0" applyFont="1" applyAlignment="1">
      <alignment horizontal="centerContinuous"/>
    </xf>
    <xf numFmtId="0" fontId="60" fillId="0" borderId="0" xfId="0" applyFont="1" applyAlignment="1"/>
    <xf numFmtId="0" fontId="61" fillId="0" borderId="0" xfId="0" applyFont="1" applyAlignment="1"/>
    <xf numFmtId="0" fontId="21" fillId="0" borderId="0" xfId="0" quotePrefix="1" applyFont="1" applyFill="1" applyBorder="1" applyAlignment="1">
      <alignment horizontal="right"/>
    </xf>
    <xf numFmtId="0" fontId="41" fillId="0" borderId="20" xfId="0" applyFont="1" applyBorder="1" applyAlignment="1"/>
    <xf numFmtId="0" fontId="39" fillId="0" borderId="0" xfId="0" applyFont="1" applyAlignment="1">
      <alignment wrapText="1"/>
    </xf>
    <xf numFmtId="0" fontId="40" fillId="0" borderId="23" xfId="0" applyFont="1" applyBorder="1" applyAlignment="1">
      <alignment horizontal="center" wrapText="1"/>
    </xf>
    <xf numFmtId="0" fontId="39" fillId="0" borderId="0" xfId="0" applyFont="1" applyAlignment="1">
      <alignment horizontal="center" wrapText="1"/>
    </xf>
    <xf numFmtId="0" fontId="58" fillId="0" borderId="0" xfId="21" applyFont="1" applyAlignment="1" applyProtection="1"/>
    <xf numFmtId="0" fontId="18" fillId="0" borderId="0" xfId="0" applyFont="1" applyFill="1" applyBorder="1" applyAlignment="1">
      <alignment horizontal="right"/>
    </xf>
    <xf numFmtId="0" fontId="21" fillId="5" borderId="0" xfId="0" applyFont="1" applyFill="1" applyBorder="1" applyAlignment="1">
      <alignment horizontal="right"/>
    </xf>
    <xf numFmtId="0" fontId="0" fillId="0" borderId="0" xfId="0" applyAlignment="1">
      <alignment horizontal="right"/>
    </xf>
    <xf numFmtId="0" fontId="22" fillId="0" borderId="0" xfId="0" applyFont="1" applyBorder="1" applyAlignment="1"/>
    <xf numFmtId="8" fontId="21" fillId="0" borderId="0" xfId="0" applyNumberFormat="1" applyFont="1" applyFill="1" applyBorder="1" applyAlignment="1"/>
    <xf numFmtId="0" fontId="22" fillId="0" borderId="0" xfId="0" applyFont="1" applyFill="1" applyBorder="1" applyAlignment="1"/>
    <xf numFmtId="6" fontId="22" fillId="0" borderId="0" xfId="0" applyNumberFormat="1" applyFont="1" applyFill="1" applyBorder="1" applyAlignment="1"/>
    <xf numFmtId="3" fontId="35" fillId="0" borderId="0" xfId="1" applyFont="1" applyFill="1"/>
    <xf numFmtId="3" fontId="35" fillId="0" borderId="0" xfId="1" applyFont="1" applyFill="1" applyBorder="1"/>
    <xf numFmtId="3" fontId="21" fillId="2" borderId="4" xfId="0" applyNumberFormat="1" applyFont="1" applyFill="1" applyBorder="1" applyAlignment="1" applyProtection="1"/>
    <xf numFmtId="165" fontId="0" fillId="0" borderId="0" xfId="0" applyNumberFormat="1" applyBorder="1" applyAlignment="1"/>
    <xf numFmtId="172" fontId="0" fillId="0" borderId="0" xfId="0" applyNumberFormat="1" applyFill="1" applyBorder="1" applyAlignment="1"/>
    <xf numFmtId="0" fontId="21" fillId="0" borderId="0" xfId="0" applyFont="1" applyFill="1" applyBorder="1" applyAlignment="1">
      <alignment horizontal="left"/>
    </xf>
    <xf numFmtId="0" fontId="21" fillId="0" borderId="9" xfId="0" applyFont="1" applyFill="1" applyBorder="1" applyAlignment="1">
      <alignment horizontal="left"/>
    </xf>
    <xf numFmtId="175" fontId="21" fillId="3" borderId="6" xfId="1" applyNumberFormat="1" applyFont="1" applyFill="1" applyBorder="1" applyAlignment="1">
      <alignment horizontal="right" vertical="center"/>
    </xf>
    <xf numFmtId="175" fontId="21" fillId="0" borderId="6" xfId="1" applyNumberFormat="1" applyFont="1" applyBorder="1"/>
    <xf numFmtId="175" fontId="21" fillId="3" borderId="6" xfId="1" applyNumberFormat="1" applyFont="1" applyFill="1" applyBorder="1"/>
    <xf numFmtId="175" fontId="21" fillId="0" borderId="7" xfId="1" applyNumberFormat="1" applyFont="1" applyBorder="1"/>
    <xf numFmtId="0" fontId="0" fillId="0" borderId="27" xfId="0" applyBorder="1" applyAlignment="1">
      <alignment horizontal="center" wrapText="1"/>
    </xf>
    <xf numFmtId="7" fontId="0" fillId="0" borderId="0" xfId="0" applyNumberFormat="1" applyBorder="1" applyAlignment="1"/>
    <xf numFmtId="0" fontId="20" fillId="0" borderId="0" xfId="0" applyFont="1" applyBorder="1" applyAlignment="1"/>
    <xf numFmtId="9" fontId="20" fillId="0" borderId="0" xfId="26" applyNumberFormat="1" applyFont="1" applyBorder="1"/>
    <xf numFmtId="1" fontId="0" fillId="0" borderId="0" xfId="0" applyNumberFormat="1" applyFill="1" applyBorder="1" applyAlignment="1"/>
    <xf numFmtId="3" fontId="21" fillId="2" borderId="3" xfId="0" applyNumberFormat="1" applyFont="1" applyFill="1" applyBorder="1" applyAlignment="1" applyProtection="1">
      <alignment wrapText="1"/>
    </xf>
    <xf numFmtId="0" fontId="41" fillId="0" borderId="20" xfId="0" applyFont="1" applyFill="1" applyBorder="1" applyAlignment="1"/>
    <xf numFmtId="0" fontId="41" fillId="0" borderId="22" xfId="0" applyFont="1" applyBorder="1" applyAlignment="1"/>
    <xf numFmtId="10" fontId="36" fillId="0" borderId="0" xfId="26" applyFont="1" applyFill="1" applyBorder="1"/>
    <xf numFmtId="10" fontId="36" fillId="0" borderId="0" xfId="0" applyNumberFormat="1" applyFont="1" applyFill="1" applyBorder="1" applyAlignment="1" applyProtection="1">
      <protection locked="0"/>
    </xf>
    <xf numFmtId="0" fontId="21" fillId="0" borderId="18" xfId="0" applyFont="1" applyBorder="1" applyAlignment="1"/>
    <xf numFmtId="0" fontId="18" fillId="0" borderId="4" xfId="0" applyFont="1" applyBorder="1" applyAlignment="1">
      <alignment horizontal="left" wrapText="1"/>
    </xf>
    <xf numFmtId="0" fontId="18" fillId="0" borderId="3" xfId="0" applyFont="1" applyBorder="1" applyAlignment="1">
      <alignment horizontal="left" wrapText="1"/>
    </xf>
    <xf numFmtId="0" fontId="21" fillId="0" borderId="21" xfId="0" applyFont="1" applyBorder="1" applyAlignment="1"/>
    <xf numFmtId="0" fontId="21" fillId="0" borderId="22" xfId="0" applyFont="1" applyBorder="1" applyAlignment="1"/>
    <xf numFmtId="0" fontId="63" fillId="0" borderId="5" xfId="0" applyFont="1" applyBorder="1" applyAlignment="1">
      <alignment horizontal="left"/>
    </xf>
    <xf numFmtId="0" fontId="21" fillId="0" borderId="29" xfId="0" applyFont="1" applyBorder="1" applyAlignment="1">
      <alignment wrapText="1"/>
    </xf>
    <xf numFmtId="0" fontId="20" fillId="0" borderId="20" xfId="0" applyFont="1" applyBorder="1" applyAlignment="1"/>
    <xf numFmtId="0" fontId="21" fillId="0" borderId="21" xfId="0" applyFont="1" applyFill="1" applyBorder="1" applyAlignment="1"/>
    <xf numFmtId="3" fontId="21" fillId="0" borderId="21" xfId="0" applyNumberFormat="1" applyFont="1" applyFill="1" applyBorder="1" applyAlignment="1" applyProtection="1"/>
    <xf numFmtId="0" fontId="20" fillId="0" borderId="20" xfId="0" applyFont="1" applyFill="1" applyBorder="1" applyAlignment="1"/>
    <xf numFmtId="0" fontId="21" fillId="0" borderId="16" xfId="0" applyFont="1" applyFill="1" applyBorder="1" applyAlignment="1" applyProtection="1">
      <alignment horizontal="right"/>
      <protection locked="0"/>
    </xf>
    <xf numFmtId="9" fontId="21" fillId="0" borderId="16" xfId="0" applyNumberFormat="1" applyFont="1" applyFill="1" applyBorder="1" applyAlignment="1" applyProtection="1">
      <protection locked="0"/>
    </xf>
    <xf numFmtId="10" fontId="21" fillId="0" borderId="16" xfId="0" applyNumberFormat="1" applyFont="1" applyFill="1" applyBorder="1" applyAlignment="1" applyProtection="1">
      <protection locked="0"/>
    </xf>
    <xf numFmtId="9" fontId="21" fillId="0" borderId="16" xfId="0" applyNumberFormat="1" applyFont="1" applyFill="1" applyBorder="1" applyAlignment="1"/>
    <xf numFmtId="10" fontId="21" fillId="0" borderId="16" xfId="0" applyNumberFormat="1" applyFont="1" applyFill="1" applyBorder="1" applyAlignment="1"/>
    <xf numFmtId="5" fontId="0" fillId="0" borderId="16" xfId="6" applyFont="1" applyBorder="1"/>
    <xf numFmtId="5" fontId="0" fillId="0" borderId="0" xfId="6" applyFont="1" applyBorder="1"/>
    <xf numFmtId="164" fontId="21" fillId="0" borderId="0" xfId="26" applyNumberFormat="1" applyFont="1" applyBorder="1"/>
    <xf numFmtId="0" fontId="21" fillId="0" borderId="21" xfId="0" applyFont="1" applyBorder="1" applyAlignment="1">
      <alignment horizontal="left"/>
    </xf>
    <xf numFmtId="164" fontId="21" fillId="0" borderId="0" xfId="0" applyNumberFormat="1" applyFont="1" applyFill="1" applyBorder="1" applyAlignment="1">
      <alignment horizontal="right"/>
    </xf>
    <xf numFmtId="0" fontId="42" fillId="0" borderId="0" xfId="0" applyFont="1" applyFill="1" applyBorder="1" applyAlignment="1"/>
    <xf numFmtId="0" fontId="18" fillId="0" borderId="0" xfId="0" applyFont="1" applyAlignment="1">
      <alignment horizontal="center" wrapText="1"/>
    </xf>
    <xf numFmtId="0" fontId="18" fillId="6" borderId="30" xfId="0" applyFont="1" applyFill="1" applyBorder="1" applyAlignment="1">
      <alignment horizontal="center" wrapText="1"/>
    </xf>
    <xf numFmtId="0" fontId="18" fillId="6" borderId="31" xfId="0" applyFont="1" applyFill="1" applyBorder="1" applyAlignment="1">
      <alignment horizontal="center" wrapText="1"/>
    </xf>
    <xf numFmtId="0" fontId="18" fillId="7" borderId="23" xfId="0" applyFont="1" applyFill="1" applyBorder="1" applyAlignment="1">
      <alignment horizontal="center" wrapText="1"/>
    </xf>
    <xf numFmtId="0" fontId="22" fillId="0" borderId="0" xfId="0" applyFont="1" applyFill="1" applyAlignment="1"/>
    <xf numFmtId="0" fontId="18" fillId="0" borderId="0" xfId="0" applyFont="1" applyFill="1" applyBorder="1" applyAlignment="1"/>
    <xf numFmtId="0" fontId="36" fillId="0" borderId="0" xfId="0" applyFont="1" applyAlignment="1">
      <alignment horizontal="center"/>
    </xf>
    <xf numFmtId="7" fontId="36" fillId="0" borderId="0" xfId="6" applyNumberFormat="1" applyFont="1" applyAlignment="1">
      <alignment horizontal="center"/>
    </xf>
    <xf numFmtId="181" fontId="65" fillId="0" borderId="0" xfId="0" applyNumberFormat="1" applyFont="1" applyAlignment="1"/>
    <xf numFmtId="5" fontId="36" fillId="0" borderId="0" xfId="0" applyNumberFormat="1" applyFont="1" applyFill="1" applyBorder="1" applyAlignment="1"/>
    <xf numFmtId="0" fontId="35" fillId="8" borderId="8" xfId="0" applyFont="1" applyFill="1" applyBorder="1" applyAlignment="1"/>
    <xf numFmtId="0" fontId="36" fillId="8" borderId="33" xfId="0" applyFont="1" applyFill="1" applyBorder="1" applyAlignment="1"/>
    <xf numFmtId="0" fontId="18" fillId="8" borderId="8" xfId="0" applyFont="1" applyFill="1" applyBorder="1" applyAlignment="1"/>
    <xf numFmtId="0" fontId="21" fillId="8" borderId="32" xfId="0" applyFont="1" applyFill="1" applyBorder="1" applyAlignment="1"/>
    <xf numFmtId="0" fontId="18" fillId="8" borderId="4" xfId="0" applyFont="1" applyFill="1" applyBorder="1" applyAlignment="1"/>
    <xf numFmtId="0" fontId="18" fillId="8" borderId="2" xfId="0" applyFont="1" applyFill="1" applyBorder="1" applyAlignment="1"/>
    <xf numFmtId="0" fontId="18" fillId="8" borderId="8" xfId="0" applyFont="1" applyFill="1" applyBorder="1" applyAlignment="1">
      <alignment horizontal="left"/>
    </xf>
    <xf numFmtId="0" fontId="68" fillId="0" borderId="0" xfId="0" applyFont="1" applyAlignment="1"/>
    <xf numFmtId="0" fontId="42" fillId="0" borderId="0" xfId="0" applyFont="1" applyFill="1" applyBorder="1" applyAlignment="1">
      <alignment horizontal="left"/>
    </xf>
    <xf numFmtId="0" fontId="36" fillId="0" borderId="0" xfId="0" applyFont="1" applyFill="1" applyBorder="1" applyAlignment="1">
      <alignment horizontal="right"/>
    </xf>
    <xf numFmtId="0" fontId="42" fillId="0" borderId="34" xfId="0" applyFont="1" applyBorder="1" applyAlignment="1">
      <alignment horizontal="left"/>
    </xf>
    <xf numFmtId="0" fontId="23" fillId="0" borderId="0" xfId="0" applyFont="1" applyFill="1" applyAlignment="1"/>
    <xf numFmtId="0" fontId="18" fillId="0" borderId="29" xfId="0" applyFont="1" applyFill="1" applyBorder="1" applyAlignment="1">
      <alignment horizontal="center" wrapText="1"/>
    </xf>
    <xf numFmtId="164" fontId="21" fillId="0" borderId="29" xfId="0" applyNumberFormat="1" applyFont="1" applyFill="1" applyBorder="1" applyAlignment="1">
      <alignment horizontal="right"/>
    </xf>
    <xf numFmtId="0" fontId="21" fillId="0" borderId="29" xfId="0" applyFont="1" applyBorder="1" applyAlignment="1">
      <alignment horizontal="right"/>
    </xf>
    <xf numFmtId="0" fontId="21" fillId="9" borderId="30" xfId="0" applyFont="1" applyFill="1" applyBorder="1" applyAlignment="1">
      <alignment horizontal="left" wrapText="1"/>
    </xf>
    <xf numFmtId="0" fontId="21" fillId="9" borderId="31" xfId="0" applyFont="1" applyFill="1" applyBorder="1" applyAlignment="1">
      <alignment wrapText="1"/>
    </xf>
    <xf numFmtId="0" fontId="21" fillId="10" borderId="30" xfId="0" applyFont="1" applyFill="1" applyBorder="1" applyAlignment="1">
      <alignment horizontal="left" wrapText="1"/>
    </xf>
    <xf numFmtId="0" fontId="21" fillId="7" borderId="31" xfId="0" applyFont="1" applyFill="1" applyBorder="1" applyAlignment="1">
      <alignment wrapText="1"/>
    </xf>
    <xf numFmtId="14" fontId="20" fillId="0" borderId="6" xfId="0" applyNumberFormat="1" applyFont="1" applyBorder="1" applyAlignment="1"/>
    <xf numFmtId="0" fontId="18" fillId="0" borderId="30" xfId="0" applyFont="1" applyBorder="1" applyAlignment="1">
      <alignment horizontal="center" wrapText="1"/>
    </xf>
    <xf numFmtId="0" fontId="49" fillId="0" borderId="0" xfId="0" applyFont="1" applyFill="1" applyAlignment="1"/>
    <xf numFmtId="0" fontId="42" fillId="0" borderId="0" xfId="0" applyFont="1" applyFill="1" applyAlignment="1"/>
    <xf numFmtId="1" fontId="21" fillId="0" borderId="0" xfId="0" applyNumberFormat="1" applyFont="1" applyFill="1" applyBorder="1" applyAlignment="1"/>
    <xf numFmtId="183" fontId="0" fillId="0" borderId="5" xfId="0" applyNumberFormat="1" applyBorder="1" applyAlignment="1"/>
    <xf numFmtId="183" fontId="0" fillId="0" borderId="2" xfId="0" applyNumberFormat="1" applyBorder="1" applyAlignment="1"/>
    <xf numFmtId="179" fontId="0" fillId="0" borderId="0" xfId="26" applyNumberFormat="1" applyFont="1"/>
    <xf numFmtId="0" fontId="45" fillId="0" borderId="0" xfId="0" applyFont="1" applyFill="1" applyBorder="1" applyAlignment="1"/>
    <xf numFmtId="0" fontId="42" fillId="0" borderId="0" xfId="0" applyFont="1" applyFill="1" applyAlignment="1">
      <alignment horizontal="center" wrapText="1"/>
    </xf>
    <xf numFmtId="3" fontId="42" fillId="0" borderId="0" xfId="1" applyFont="1" applyFill="1" applyBorder="1"/>
    <xf numFmtId="0" fontId="0" fillId="0" borderId="6" xfId="0" applyFill="1" applyBorder="1" applyAlignment="1"/>
    <xf numFmtId="183" fontId="0" fillId="0" borderId="0" xfId="0" applyNumberFormat="1" applyFill="1" applyAlignment="1"/>
    <xf numFmtId="171" fontId="0" fillId="0" borderId="10" xfId="0" applyNumberFormat="1" applyFill="1" applyBorder="1" applyAlignment="1"/>
    <xf numFmtId="0" fontId="0" fillId="0" borderId="7" xfId="0" applyFill="1" applyBorder="1" applyAlignment="1"/>
    <xf numFmtId="171" fontId="0" fillId="0" borderId="7" xfId="0" applyNumberFormat="1" applyFill="1" applyBorder="1" applyAlignment="1"/>
    <xf numFmtId="0" fontId="0" fillId="0" borderId="4" xfId="0" applyFill="1" applyBorder="1" applyAlignment="1"/>
    <xf numFmtId="0" fontId="0" fillId="0" borderId="5" xfId="0" applyFill="1" applyBorder="1" applyAlignment="1"/>
    <xf numFmtId="0" fontId="0" fillId="0" borderId="2" xfId="0" applyFill="1" applyBorder="1" applyAlignment="1"/>
    <xf numFmtId="169" fontId="18" fillId="0" borderId="0" xfId="6" applyNumberFormat="1" applyFont="1" applyFill="1"/>
    <xf numFmtId="169" fontId="35" fillId="0" borderId="0" xfId="0" applyNumberFormat="1" applyFont="1" applyFill="1" applyAlignment="1"/>
    <xf numFmtId="0" fontId="0" fillId="0" borderId="0" xfId="0" applyAlignment="1">
      <alignment horizontal="right" wrapText="1"/>
    </xf>
    <xf numFmtId="164" fontId="0" fillId="0" borderId="0" xfId="0" applyNumberFormat="1" applyFill="1">
      <alignment vertical="top"/>
    </xf>
    <xf numFmtId="174" fontId="0" fillId="0" borderId="0" xfId="0" applyNumberFormat="1" applyBorder="1" applyAlignment="1"/>
    <xf numFmtId="0" fontId="42" fillId="0" borderId="0" xfId="0" applyNumberFormat="1" applyFont="1" applyFill="1" applyAlignment="1"/>
    <xf numFmtId="9" fontId="42" fillId="0" borderId="0" xfId="26" applyNumberFormat="1" applyFont="1" applyFill="1"/>
    <xf numFmtId="9" fontId="21" fillId="0" borderId="0" xfId="26" applyNumberFormat="1" applyFont="1" applyFill="1"/>
    <xf numFmtId="7" fontId="42" fillId="0" borderId="0" xfId="0" applyNumberFormat="1" applyFont="1" applyFill="1" applyAlignment="1"/>
    <xf numFmtId="7" fontId="21" fillId="0" borderId="0" xfId="0" applyNumberFormat="1" applyFont="1" applyFill="1" applyAlignment="1"/>
    <xf numFmtId="10" fontId="36" fillId="0" borderId="6" xfId="26" applyNumberFormat="1" applyFont="1" applyFill="1" applyBorder="1"/>
    <xf numFmtId="170" fontId="21" fillId="0" borderId="0" xfId="1" applyNumberFormat="1" applyFont="1" applyFill="1" applyBorder="1"/>
    <xf numFmtId="41" fontId="18" fillId="0" borderId="0" xfId="0" applyNumberFormat="1" applyFont="1" applyBorder="1" applyAlignment="1">
      <alignment horizontal="right"/>
    </xf>
    <xf numFmtId="0" fontId="18" fillId="0" borderId="6" xfId="0" applyFont="1" applyBorder="1" applyAlignment="1">
      <alignment horizontal="right"/>
    </xf>
    <xf numFmtId="183" fontId="0" fillId="0" borderId="3" xfId="0" applyNumberFormat="1" applyFill="1" applyBorder="1" applyAlignment="1"/>
    <xf numFmtId="0" fontId="35" fillId="12" borderId="8" xfId="0" applyFont="1" applyFill="1" applyBorder="1" applyAlignment="1">
      <alignment horizontal="center"/>
    </xf>
    <xf numFmtId="0" fontId="35" fillId="12" borderId="32" xfId="0" applyFont="1" applyFill="1" applyBorder="1" applyAlignment="1">
      <alignment horizontal="center"/>
    </xf>
    <xf numFmtId="10" fontId="21" fillId="0" borderId="0" xfId="26" applyNumberFormat="1" applyFont="1" applyBorder="1"/>
    <xf numFmtId="0" fontId="70" fillId="0" borderId="0" xfId="0" applyFont="1" applyAlignment="1">
      <alignment horizontal="left" vertical="top"/>
    </xf>
    <xf numFmtId="172" fontId="21" fillId="0" borderId="0" xfId="0" applyNumberFormat="1" applyFont="1" applyFill="1" applyBorder="1" applyAlignment="1"/>
    <xf numFmtId="1" fontId="21" fillId="0" borderId="0" xfId="0" applyNumberFormat="1" applyFont="1" applyBorder="1" applyAlignment="1"/>
    <xf numFmtId="0" fontId="21" fillId="11" borderId="3" xfId="0" applyFont="1" applyFill="1" applyBorder="1" applyAlignment="1">
      <alignment horizontal="left"/>
    </xf>
    <xf numFmtId="0" fontId="42" fillId="11" borderId="3" xfId="0" applyFont="1" applyFill="1" applyBorder="1" applyAlignment="1">
      <alignment horizontal="left"/>
    </xf>
    <xf numFmtId="0" fontId="42" fillId="11" borderId="11" xfId="0" applyFont="1" applyFill="1" applyBorder="1" applyAlignment="1">
      <alignment horizontal="left"/>
    </xf>
    <xf numFmtId="37" fontId="36" fillId="0" borderId="0" xfId="0" applyNumberFormat="1" applyFont="1" applyFill="1" applyBorder="1" applyAlignment="1"/>
    <xf numFmtId="0" fontId="18" fillId="0" borderId="2" xfId="0" applyFont="1" applyBorder="1" applyAlignment="1">
      <alignment horizontal="center"/>
    </xf>
    <xf numFmtId="3" fontId="21" fillId="0" borderId="6" xfId="1" applyFont="1" applyFill="1" applyBorder="1"/>
    <xf numFmtId="5" fontId="21" fillId="0" borderId="0" xfId="6" applyFont="1" applyFill="1" applyBorder="1" applyAlignment="1">
      <alignment vertical="top"/>
    </xf>
    <xf numFmtId="171" fontId="21" fillId="0" borderId="6" xfId="0" applyNumberFormat="1" applyFont="1" applyFill="1" applyBorder="1" applyAlignment="1"/>
    <xf numFmtId="14" fontId="21" fillId="0" borderId="0" xfId="0" applyNumberFormat="1" applyFont="1" applyFill="1" applyBorder="1" applyAlignment="1"/>
    <xf numFmtId="183" fontId="21" fillId="0" borderId="0" xfId="0" applyNumberFormat="1" applyFont="1" applyFill="1" applyBorder="1" applyAlignment="1"/>
    <xf numFmtId="183" fontId="21" fillId="0" borderId="6" xfId="0" applyNumberFormat="1" applyFont="1" applyFill="1" applyBorder="1" applyAlignment="1"/>
    <xf numFmtId="5" fontId="21" fillId="0" borderId="10" xfId="6" applyFont="1" applyFill="1" applyBorder="1" applyAlignment="1">
      <alignment vertical="top"/>
    </xf>
    <xf numFmtId="5" fontId="0" fillId="0" borderId="3" xfId="6" applyFont="1" applyBorder="1"/>
    <xf numFmtId="5" fontId="0" fillId="0" borderId="6" xfId="6" applyFont="1" applyBorder="1"/>
    <xf numFmtId="5" fontId="0" fillId="0" borderId="9" xfId="6" applyFont="1" applyBorder="1"/>
    <xf numFmtId="5" fontId="0" fillId="0" borderId="10" xfId="6" applyFont="1" applyBorder="1"/>
    <xf numFmtId="5" fontId="0" fillId="0" borderId="7" xfId="6" applyFont="1" applyBorder="1"/>
    <xf numFmtId="183" fontId="0" fillId="0" borderId="0" xfId="0" applyNumberFormat="1" applyFill="1" applyBorder="1" applyAlignment="1"/>
    <xf numFmtId="183" fontId="0" fillId="0" borderId="4" xfId="0" applyNumberFormat="1" applyBorder="1" applyAlignment="1"/>
    <xf numFmtId="171" fontId="21" fillId="0" borderId="3" xfId="0" applyNumberFormat="1" applyFont="1" applyFill="1" applyBorder="1" applyAlignment="1"/>
    <xf numFmtId="14" fontId="21" fillId="0" borderId="3" xfId="0" applyNumberFormat="1" applyFont="1" applyFill="1" applyBorder="1" applyAlignment="1"/>
    <xf numFmtId="183" fontId="21" fillId="0" borderId="3" xfId="0" applyNumberFormat="1" applyFont="1" applyFill="1" applyBorder="1" applyAlignment="1"/>
    <xf numFmtId="171" fontId="0" fillId="0" borderId="9" xfId="0" applyNumberFormat="1" applyFill="1" applyBorder="1" applyAlignment="1"/>
    <xf numFmtId="183" fontId="0" fillId="0" borderId="6" xfId="0" applyNumberFormat="1" applyFill="1" applyBorder="1" applyAlignment="1"/>
    <xf numFmtId="3" fontId="21" fillId="0" borderId="0" xfId="0" applyNumberFormat="1" applyFont="1" applyFill="1" applyBorder="1" applyAlignment="1"/>
    <xf numFmtId="7" fontId="0" fillId="0" borderId="0" xfId="0" applyNumberFormat="1" applyFill="1" applyBorder="1" applyAlignment="1"/>
    <xf numFmtId="7" fontId="18" fillId="0" borderId="0" xfId="0" applyNumberFormat="1" applyFont="1" applyFill="1" applyBorder="1" applyAlignment="1"/>
    <xf numFmtId="0" fontId="34" fillId="0" borderId="0" xfId="0" applyFont="1" applyFill="1" applyAlignment="1"/>
    <xf numFmtId="10" fontId="21" fillId="0" borderId="0" xfId="26" applyNumberFormat="1" applyFont="1" applyFill="1" applyBorder="1"/>
    <xf numFmtId="0" fontId="18" fillId="0" borderId="0" xfId="0" applyFont="1" applyFill="1" applyBorder="1" applyAlignment="1">
      <alignment horizontal="center"/>
    </xf>
    <xf numFmtId="3" fontId="36" fillId="0" borderId="0" xfId="1" applyFont="1" applyBorder="1"/>
    <xf numFmtId="0" fontId="41" fillId="0" borderId="0" xfId="0" applyFont="1" applyBorder="1" applyAlignment="1"/>
    <xf numFmtId="0" fontId="23" fillId="3" borderId="35" xfId="0" applyFont="1" applyFill="1" applyBorder="1" applyAlignment="1">
      <alignment horizontal="left"/>
    </xf>
    <xf numFmtId="0" fontId="23" fillId="10" borderId="36" xfId="0" applyFont="1" applyFill="1" applyBorder="1" applyAlignment="1">
      <alignment horizontal="left"/>
    </xf>
    <xf numFmtId="0" fontId="21" fillId="0" borderId="16" xfId="0" applyFont="1" applyFill="1" applyBorder="1" applyAlignment="1">
      <alignment horizontal="right"/>
    </xf>
    <xf numFmtId="0" fontId="21" fillId="0" borderId="4" xfId="0" applyFont="1" applyFill="1" applyBorder="1" applyAlignment="1"/>
    <xf numFmtId="0" fontId="21" fillId="0" borderId="9" xfId="0" applyFont="1" applyFill="1" applyBorder="1" applyAlignment="1"/>
    <xf numFmtId="0" fontId="23" fillId="0" borderId="0" xfId="0" applyFont="1" applyBorder="1" applyAlignment="1"/>
    <xf numFmtId="0" fontId="18" fillId="0" borderId="3" xfId="0" applyFont="1" applyFill="1" applyBorder="1" applyAlignment="1">
      <alignment horizontal="center"/>
    </xf>
    <xf numFmtId="0" fontId="18" fillId="0" borderId="37" xfId="0" applyFont="1" applyBorder="1" applyAlignment="1">
      <alignment horizontal="center"/>
    </xf>
    <xf numFmtId="0" fontId="18" fillId="8" borderId="37" xfId="0" applyFont="1" applyFill="1" applyBorder="1" applyAlignment="1">
      <alignment horizontal="center"/>
    </xf>
    <xf numFmtId="0" fontId="18" fillId="8" borderId="38" xfId="0" applyFont="1" applyFill="1" applyBorder="1" applyAlignment="1">
      <alignment horizontal="center"/>
    </xf>
    <xf numFmtId="0" fontId="18" fillId="8" borderId="7" xfId="0" applyFont="1" applyFill="1" applyBorder="1" applyAlignment="1">
      <alignment horizontal="center"/>
    </xf>
    <xf numFmtId="0" fontId="18" fillId="8" borderId="15" xfId="0" applyFont="1" applyFill="1" applyBorder="1" applyAlignment="1">
      <alignment horizontal="center"/>
    </xf>
    <xf numFmtId="37" fontId="36" fillId="3" borderId="39" xfId="0" applyNumberFormat="1" applyFont="1" applyFill="1" applyBorder="1" applyAlignment="1" applyProtection="1">
      <protection locked="0"/>
    </xf>
    <xf numFmtId="37" fontId="36" fillId="3" borderId="40" xfId="0" applyNumberFormat="1" applyFont="1" applyFill="1" applyBorder="1" applyAlignment="1" applyProtection="1">
      <protection locked="0"/>
    </xf>
    <xf numFmtId="10" fontId="36" fillId="3" borderId="41" xfId="0" applyNumberFormat="1" applyFont="1" applyFill="1" applyBorder="1" applyAlignment="1"/>
    <xf numFmtId="164" fontId="36" fillId="0" borderId="39" xfId="26" applyNumberFormat="1" applyFont="1" applyFill="1" applyBorder="1"/>
    <xf numFmtId="0" fontId="36" fillId="0" borderId="39" xfId="0" applyFont="1" applyBorder="1" applyAlignment="1"/>
    <xf numFmtId="10" fontId="39" fillId="0" borderId="39" xfId="26" applyFont="1" applyBorder="1"/>
    <xf numFmtId="164" fontId="36" fillId="6" borderId="38" xfId="0" applyNumberFormat="1" applyFont="1" applyFill="1" applyBorder="1" applyAlignment="1"/>
    <xf numFmtId="3" fontId="36" fillId="3" borderId="39" xfId="1" applyNumberFormat="1" applyFont="1" applyFill="1" applyBorder="1" applyProtection="1">
      <protection locked="0"/>
    </xf>
    <xf numFmtId="0" fontId="36" fillId="3" borderId="39" xfId="0" applyFont="1" applyFill="1" applyBorder="1" applyAlignment="1" applyProtection="1">
      <protection locked="0"/>
    </xf>
    <xf numFmtId="0" fontId="36" fillId="3" borderId="15" xfId="0" applyFont="1" applyFill="1" applyBorder="1" applyAlignment="1" applyProtection="1">
      <protection locked="0"/>
    </xf>
    <xf numFmtId="3" fontId="18" fillId="14" borderId="37" xfId="0" applyNumberFormat="1" applyFont="1" applyFill="1" applyBorder="1" applyAlignment="1" applyProtection="1"/>
    <xf numFmtId="3" fontId="18" fillId="14" borderId="2" xfId="0" applyNumberFormat="1" applyFont="1" applyFill="1" applyBorder="1" applyAlignment="1" applyProtection="1"/>
    <xf numFmtId="164" fontId="21" fillId="2" borderId="39" xfId="0" applyNumberFormat="1" applyFont="1" applyFill="1" applyBorder="1" applyAlignment="1"/>
    <xf numFmtId="0" fontId="21" fillId="3" borderId="39" xfId="0" applyFont="1" applyFill="1" applyBorder="1" applyAlignment="1">
      <alignment horizontal="right"/>
    </xf>
    <xf numFmtId="0" fontId="21" fillId="0" borderId="39" xfId="0" applyFont="1" applyBorder="1" applyAlignment="1"/>
    <xf numFmtId="0" fontId="21" fillId="0" borderId="39" xfId="0" applyFont="1" applyBorder="1" applyAlignment="1">
      <alignment horizontal="right"/>
    </xf>
    <xf numFmtId="0" fontId="21" fillId="0" borderId="15" xfId="0" applyFont="1" applyFill="1" applyBorder="1" applyAlignment="1">
      <alignment horizontal="right"/>
    </xf>
    <xf numFmtId="0" fontId="21" fillId="3" borderId="39" xfId="0" applyFont="1" applyFill="1" applyBorder="1" applyAlignment="1"/>
    <xf numFmtId="0" fontId="21" fillId="0" borderId="41" xfId="0" applyFont="1" applyBorder="1" applyAlignment="1"/>
    <xf numFmtId="0" fontId="21" fillId="11" borderId="39" xfId="0" applyFont="1" applyFill="1" applyBorder="1" applyAlignment="1">
      <alignment horizontal="right"/>
    </xf>
    <xf numFmtId="0" fontId="21" fillId="0" borderId="15" xfId="0" applyFont="1" applyBorder="1" applyAlignment="1"/>
    <xf numFmtId="0" fontId="36" fillId="14" borderId="4" xfId="0" applyFont="1" applyFill="1" applyBorder="1" applyAlignment="1"/>
    <xf numFmtId="3" fontId="18" fillId="15" borderId="8" xfId="0" applyNumberFormat="1" applyFont="1" applyFill="1" applyBorder="1" applyAlignment="1" applyProtection="1"/>
    <xf numFmtId="164" fontId="21" fillId="15" borderId="33" xfId="0" applyNumberFormat="1" applyFont="1" applyFill="1" applyBorder="1" applyAlignment="1">
      <alignment horizontal="center"/>
    </xf>
    <xf numFmtId="7" fontId="21" fillId="8" borderId="5" xfId="0" applyNumberFormat="1" applyFont="1" applyFill="1" applyBorder="1" applyAlignment="1">
      <alignment horizontal="centerContinuous"/>
    </xf>
    <xf numFmtId="7" fontId="21" fillId="8" borderId="2" xfId="0" applyNumberFormat="1" applyFont="1" applyFill="1" applyBorder="1" applyAlignment="1">
      <alignment horizontal="centerContinuous"/>
    </xf>
    <xf numFmtId="172" fontId="21" fillId="11" borderId="3" xfId="0" applyNumberFormat="1" applyFont="1" applyFill="1" applyBorder="1" applyAlignment="1" applyProtection="1">
      <protection locked="0"/>
    </xf>
    <xf numFmtId="177" fontId="21" fillId="11" borderId="3" xfId="1" applyNumberFormat="1" applyFont="1" applyFill="1" applyBorder="1" applyProtection="1">
      <protection locked="0"/>
    </xf>
    <xf numFmtId="0" fontId="21" fillId="11" borderId="3" xfId="0" applyFont="1" applyFill="1" applyBorder="1" applyAlignment="1" applyProtection="1">
      <protection locked="0"/>
    </xf>
    <xf numFmtId="165" fontId="21" fillId="11" borderId="3" xfId="0" applyNumberFormat="1" applyFont="1" applyFill="1" applyBorder="1" applyAlignment="1" applyProtection="1">
      <protection locked="0"/>
    </xf>
    <xf numFmtId="0" fontId="18" fillId="0" borderId="39" xfId="0" applyFont="1" applyBorder="1" applyAlignment="1"/>
    <xf numFmtId="2" fontId="21" fillId="0" borderId="39" xfId="0" applyNumberFormat="1" applyFont="1" applyFill="1" applyBorder="1" applyAlignment="1" applyProtection="1">
      <protection locked="0"/>
    </xf>
    <xf numFmtId="2" fontId="21" fillId="0" borderId="39" xfId="0" applyNumberFormat="1" applyFont="1" applyBorder="1" applyAlignment="1"/>
    <xf numFmtId="2" fontId="21" fillId="0" borderId="41" xfId="0" applyNumberFormat="1" applyFont="1" applyFill="1" applyBorder="1" applyAlignment="1" applyProtection="1">
      <protection locked="0"/>
    </xf>
    <xf numFmtId="3" fontId="21" fillId="0" borderId="3" xfId="1" applyFont="1" applyFill="1" applyBorder="1" applyAlignment="1" applyProtection="1">
      <alignment horizontal="center"/>
      <protection locked="0"/>
    </xf>
    <xf numFmtId="3" fontId="21" fillId="3" borderId="39" xfId="1" applyNumberFormat="1" applyFont="1" applyFill="1" applyBorder="1" applyProtection="1">
      <protection locked="0"/>
    </xf>
    <xf numFmtId="0" fontId="21" fillId="3" borderId="39" xfId="0" applyFont="1" applyFill="1" applyBorder="1" applyAlignment="1" applyProtection="1">
      <protection locked="0"/>
    </xf>
    <xf numFmtId="0" fontId="36" fillId="3" borderId="39" xfId="0" applyFont="1" applyFill="1" applyBorder="1" applyAlignment="1"/>
    <xf numFmtId="0" fontId="36" fillId="3" borderId="41" xfId="0" applyFont="1" applyFill="1" applyBorder="1" applyAlignment="1"/>
    <xf numFmtId="0" fontId="18" fillId="0" borderId="38" xfId="0" applyFont="1" applyBorder="1" applyAlignment="1"/>
    <xf numFmtId="0" fontId="18" fillId="0" borderId="37" xfId="0" applyFont="1" applyBorder="1" applyAlignment="1"/>
    <xf numFmtId="41" fontId="21" fillId="0" borderId="39" xfId="0" applyNumberFormat="1" applyFont="1" applyFill="1" applyBorder="1" applyAlignment="1"/>
    <xf numFmtId="167" fontId="18" fillId="0" borderId="7" xfId="6" applyNumberFormat="1" applyFont="1" applyBorder="1"/>
    <xf numFmtId="172" fontId="21" fillId="11" borderId="11" xfId="0" applyNumberFormat="1" applyFont="1" applyFill="1" applyBorder="1" applyAlignment="1" applyProtection="1">
      <protection locked="0"/>
    </xf>
    <xf numFmtId="3" fontId="21" fillId="0" borderId="11" xfId="1" applyFont="1" applyFill="1" applyBorder="1" applyAlignment="1" applyProtection="1">
      <alignment horizontal="center"/>
      <protection locked="0"/>
    </xf>
    <xf numFmtId="7" fontId="21" fillId="0" borderId="39" xfId="0" applyNumberFormat="1" applyFont="1" applyFill="1" applyBorder="1" applyAlignment="1" applyProtection="1">
      <protection locked="0"/>
    </xf>
    <xf numFmtId="3" fontId="21" fillId="0" borderId="39" xfId="1" applyFont="1" applyFill="1" applyBorder="1" applyProtection="1">
      <protection locked="0"/>
    </xf>
    <xf numFmtId="0" fontId="21" fillId="0" borderId="39" xfId="0" applyFont="1" applyBorder="1" applyAlignment="1">
      <alignment horizontal="center"/>
    </xf>
    <xf numFmtId="0" fontId="18" fillId="0" borderId="39" xfId="0" applyFont="1" applyBorder="1" applyAlignment="1">
      <alignment horizontal="center"/>
    </xf>
    <xf numFmtId="5" fontId="18" fillId="0" borderId="38" xfId="0" applyNumberFormat="1" applyFont="1" applyFill="1" applyBorder="1" applyAlignment="1"/>
    <xf numFmtId="5" fontId="35" fillId="0" borderId="15" xfId="0" applyNumberFormat="1" applyFont="1" applyFill="1" applyBorder="1" applyAlignment="1"/>
    <xf numFmtId="0" fontId="27" fillId="16" borderId="8" xfId="0" applyFont="1" applyFill="1" applyBorder="1" applyAlignment="1"/>
    <xf numFmtId="0" fontId="18" fillId="12" borderId="32" xfId="0" applyFont="1" applyFill="1" applyBorder="1" applyAlignment="1"/>
    <xf numFmtId="7" fontId="18" fillId="0" borderId="38" xfId="0" applyNumberFormat="1" applyFont="1" applyBorder="1" applyAlignment="1"/>
    <xf numFmtId="7" fontId="18" fillId="0" borderId="39" xfId="0" applyNumberFormat="1" applyFont="1" applyBorder="1" applyAlignment="1"/>
    <xf numFmtId="7" fontId="18" fillId="0" borderId="15" xfId="0" applyNumberFormat="1" applyFont="1" applyBorder="1" applyAlignment="1"/>
    <xf numFmtId="6" fontId="21" fillId="0" borderId="39" xfId="0" applyNumberFormat="1" applyFont="1" applyBorder="1" applyAlignment="1"/>
    <xf numFmtId="6" fontId="21" fillId="3" borderId="39" xfId="0" applyNumberFormat="1" applyFont="1" applyFill="1" applyBorder="1" applyAlignment="1" applyProtection="1">
      <protection locked="0"/>
    </xf>
    <xf numFmtId="6" fontId="21" fillId="3" borderId="39" xfId="0" applyNumberFormat="1" applyFont="1" applyFill="1" applyBorder="1" applyAlignment="1"/>
    <xf numFmtId="0" fontId="18" fillId="8" borderId="8" xfId="0" applyFont="1" applyFill="1" applyBorder="1" applyAlignment="1">
      <alignment horizontal="center"/>
    </xf>
    <xf numFmtId="0" fontId="18" fillId="8" borderId="32" xfId="0" applyFont="1" applyFill="1" applyBorder="1" applyAlignment="1">
      <alignment horizontal="center"/>
    </xf>
    <xf numFmtId="0" fontId="18" fillId="0" borderId="8" xfId="0" applyFont="1" applyFill="1" applyBorder="1" applyAlignment="1">
      <alignment horizontal="left" vertical="top"/>
    </xf>
    <xf numFmtId="0" fontId="21" fillId="0" borderId="32" xfId="0" applyFont="1" applyFill="1" applyBorder="1" applyAlignment="1">
      <alignment horizontal="center"/>
    </xf>
    <xf numFmtId="0" fontId="21" fillId="0" borderId="38" xfId="0" applyFont="1" applyBorder="1" applyAlignment="1"/>
    <xf numFmtId="0" fontId="18" fillId="0" borderId="39" xfId="0" applyFont="1" applyFill="1" applyBorder="1" applyAlignment="1"/>
    <xf numFmtId="0" fontId="21" fillId="0" borderId="39" xfId="0" applyFont="1" applyFill="1" applyBorder="1" applyAlignment="1"/>
    <xf numFmtId="0" fontId="18" fillId="0" borderId="15" xfId="0" applyFont="1" applyFill="1" applyBorder="1" applyAlignment="1"/>
    <xf numFmtId="3" fontId="21" fillId="3" borderId="39" xfId="0" applyNumberFormat="1" applyFont="1" applyFill="1" applyBorder="1" applyAlignment="1" applyProtection="1">
      <protection locked="0"/>
    </xf>
    <xf numFmtId="6" fontId="21" fillId="0" borderId="39" xfId="0" applyNumberFormat="1" applyFont="1" applyFill="1" applyBorder="1" applyAlignment="1"/>
    <xf numFmtId="8" fontId="21" fillId="3" borderId="39" xfId="0" applyNumberFormat="1" applyFont="1" applyFill="1" applyBorder="1" applyAlignment="1" applyProtection="1">
      <protection locked="0"/>
    </xf>
    <xf numFmtId="0" fontId="21" fillId="3" borderId="41" xfId="0" applyFont="1" applyFill="1" applyBorder="1" applyAlignment="1" applyProtection="1">
      <protection locked="0"/>
    </xf>
    <xf numFmtId="0" fontId="21" fillId="0" borderId="40" xfId="0" applyFont="1" applyBorder="1" applyAlignment="1"/>
    <xf numFmtId="6" fontId="18" fillId="0" borderId="39" xfId="0" applyNumberFormat="1" applyFont="1" applyBorder="1" applyAlignment="1"/>
    <xf numFmtId="6" fontId="21" fillId="0" borderId="41" xfId="0" applyNumberFormat="1" applyFont="1" applyFill="1" applyBorder="1" applyAlignment="1"/>
    <xf numFmtId="6" fontId="18" fillId="0" borderId="37" xfId="0" applyNumberFormat="1" applyFont="1" applyBorder="1" applyAlignment="1"/>
    <xf numFmtId="0" fontId="21" fillId="0" borderId="42" xfId="0" applyFont="1" applyBorder="1" applyAlignment="1"/>
    <xf numFmtId="171" fontId="18" fillId="0" borderId="15" xfId="0" applyNumberFormat="1" applyFont="1" applyBorder="1" applyAlignment="1"/>
    <xf numFmtId="8" fontId="21" fillId="3" borderId="39" xfId="0" applyNumberFormat="1" applyFont="1" applyFill="1" applyBorder="1" applyAlignment="1"/>
    <xf numFmtId="8" fontId="21" fillId="0" borderId="39" xfId="0" applyNumberFormat="1" applyFont="1" applyBorder="1" applyAlignment="1"/>
    <xf numFmtId="6" fontId="21" fillId="0" borderId="15" xfId="0" applyNumberFormat="1" applyFont="1" applyBorder="1" applyAlignment="1"/>
    <xf numFmtId="37" fontId="21" fillId="3" borderId="39" xfId="0" applyNumberFormat="1" applyFont="1" applyFill="1" applyBorder="1" applyAlignment="1"/>
    <xf numFmtId="5" fontId="21" fillId="3" borderId="39" xfId="0" applyNumberFormat="1" applyFont="1" applyFill="1" applyBorder="1" applyAlignment="1"/>
    <xf numFmtId="7" fontId="21" fillId="3" borderId="39" xfId="0" applyNumberFormat="1" applyFont="1" applyFill="1" applyBorder="1" applyAlignment="1"/>
    <xf numFmtId="7" fontId="21" fillId="11" borderId="39" xfId="0" applyNumberFormat="1" applyFont="1" applyFill="1" applyBorder="1" applyAlignment="1"/>
    <xf numFmtId="37" fontId="21" fillId="11" borderId="39" xfId="0" applyNumberFormat="1" applyFont="1" applyFill="1" applyBorder="1" applyAlignment="1"/>
    <xf numFmtId="37" fontId="21" fillId="11" borderId="41" xfId="0" applyNumberFormat="1" applyFont="1" applyFill="1" applyBorder="1" applyAlignment="1"/>
    <xf numFmtId="5" fontId="18" fillId="0" borderId="41" xfId="0" applyNumberFormat="1" applyFont="1" applyFill="1" applyBorder="1" applyAlignment="1"/>
    <xf numFmtId="5" fontId="21" fillId="0" borderId="39" xfId="6" applyFont="1" applyFill="1" applyBorder="1"/>
    <xf numFmtId="171" fontId="21" fillId="11" borderId="39" xfId="0" applyNumberFormat="1" applyFont="1" applyFill="1" applyBorder="1" applyAlignment="1" applyProtection="1">
      <protection locked="0"/>
    </xf>
    <xf numFmtId="7" fontId="21" fillId="3" borderId="41" xfId="0" applyNumberFormat="1" applyFont="1" applyFill="1" applyBorder="1" applyAlignment="1"/>
    <xf numFmtId="5" fontId="21" fillId="3" borderId="39" xfId="0" applyNumberFormat="1" applyFont="1" applyFill="1" applyBorder="1" applyAlignment="1" applyProtection="1">
      <protection locked="0"/>
    </xf>
    <xf numFmtId="5" fontId="21" fillId="0" borderId="41" xfId="0" applyNumberFormat="1" applyFont="1" applyBorder="1" applyAlignment="1"/>
    <xf numFmtId="3" fontId="21" fillId="11" borderId="39" xfId="1" applyNumberFormat="1" applyFont="1" applyFill="1" applyBorder="1" applyProtection="1">
      <protection locked="0"/>
    </xf>
    <xf numFmtId="5" fontId="21" fillId="11" borderId="39" xfId="0" applyNumberFormat="1" applyFont="1" applyFill="1" applyBorder="1" applyAlignment="1" applyProtection="1">
      <protection locked="0"/>
    </xf>
    <xf numFmtId="3" fontId="21" fillId="11" borderId="41" xfId="1" applyNumberFormat="1" applyFont="1" applyFill="1" applyBorder="1" applyProtection="1">
      <protection locked="0"/>
    </xf>
    <xf numFmtId="3" fontId="21" fillId="0" borderId="39" xfId="0" applyNumberFormat="1" applyFont="1" applyBorder="1" applyAlignment="1"/>
    <xf numFmtId="6" fontId="21" fillId="3" borderId="41" xfId="0" applyNumberFormat="1" applyFont="1" applyFill="1" applyBorder="1" applyAlignment="1" applyProtection="1">
      <protection locked="0"/>
    </xf>
    <xf numFmtId="5" fontId="18" fillId="0" borderId="41" xfId="0" applyNumberFormat="1" applyFont="1" applyBorder="1" applyAlignment="1"/>
    <xf numFmtId="7" fontId="21" fillId="3" borderId="38" xfId="0" applyNumberFormat="1" applyFont="1" applyFill="1" applyBorder="1" applyAlignment="1"/>
    <xf numFmtId="0" fontId="18" fillId="0" borderId="3" xfId="0" applyFont="1" applyFill="1" applyBorder="1" applyAlignment="1">
      <alignment horizontal="left"/>
    </xf>
    <xf numFmtId="0" fontId="18" fillId="0" borderId="30" xfId="0" applyFont="1" applyFill="1" applyBorder="1" applyAlignment="1">
      <alignment horizontal="left"/>
    </xf>
    <xf numFmtId="39" fontId="21" fillId="3" borderId="39" xfId="0" applyNumberFormat="1" applyFont="1" applyFill="1" applyBorder="1" applyAlignment="1"/>
    <xf numFmtId="5" fontId="18" fillId="0" borderId="25" xfId="0" applyNumberFormat="1" applyFont="1" applyBorder="1" applyAlignment="1"/>
    <xf numFmtId="0" fontId="18" fillId="0" borderId="30" xfId="0" applyFont="1" applyFill="1" applyBorder="1" applyAlignment="1"/>
    <xf numFmtId="5" fontId="18" fillId="0" borderId="43" xfId="6" applyNumberFormat="1" applyFont="1" applyFill="1" applyBorder="1"/>
    <xf numFmtId="3" fontId="21" fillId="0" borderId="0" xfId="1" applyFont="1" applyFill="1" applyBorder="1"/>
    <xf numFmtId="0" fontId="18" fillId="0" borderId="29" xfId="0" applyFont="1" applyBorder="1" applyAlignment="1"/>
    <xf numFmtId="0" fontId="18" fillId="0" borderId="39" xfId="0" applyFont="1" applyBorder="1" applyAlignment="1">
      <alignment horizontal="right"/>
    </xf>
    <xf numFmtId="0" fontId="18" fillId="0" borderId="39" xfId="0" applyFont="1" applyFill="1" applyBorder="1" applyAlignment="1">
      <alignment horizontal="right"/>
    </xf>
    <xf numFmtId="0" fontId="18" fillId="0" borderId="15" xfId="0" applyFont="1" applyBorder="1" applyAlignment="1">
      <alignment horizontal="right"/>
    </xf>
    <xf numFmtId="0" fontId="69" fillId="17" borderId="4" xfId="0" applyFont="1" applyFill="1" applyBorder="1" applyAlignment="1"/>
    <xf numFmtId="0" fontId="69" fillId="18" borderId="5" xfId="0" applyFont="1" applyFill="1" applyBorder="1" applyAlignment="1">
      <alignment horizontal="right"/>
    </xf>
    <xf numFmtId="0" fontId="69" fillId="18" borderId="5" xfId="0" applyFont="1" applyFill="1" applyBorder="1" applyAlignment="1"/>
    <xf numFmtId="0" fontId="21" fillId="17" borderId="5" xfId="0" applyFont="1" applyFill="1" applyBorder="1" applyAlignment="1"/>
    <xf numFmtId="0" fontId="21" fillId="17" borderId="2" xfId="0" applyFont="1" applyFill="1" applyBorder="1" applyAlignment="1"/>
    <xf numFmtId="5" fontId="20" fillId="0" borderId="39" xfId="6" applyFont="1" applyBorder="1"/>
    <xf numFmtId="0" fontId="65" fillId="0" borderId="0" xfId="0" applyFont="1" applyAlignment="1">
      <alignment horizontal="center"/>
    </xf>
    <xf numFmtId="0" fontId="0" fillId="0" borderId="3" xfId="0" applyBorder="1">
      <alignment vertical="top"/>
    </xf>
    <xf numFmtId="0" fontId="0" fillId="0" borderId="9" xfId="0" applyBorder="1" applyAlignment="1"/>
    <xf numFmtId="0" fontId="35" fillId="0" borderId="0" xfId="0" applyFont="1" applyAlignment="1"/>
    <xf numFmtId="0" fontId="18" fillId="8" borderId="37" xfId="0" applyFont="1" applyFill="1" applyBorder="1" applyAlignment="1"/>
    <xf numFmtId="0" fontId="18" fillId="8" borderId="10" xfId="0" applyFont="1" applyFill="1" applyBorder="1" applyAlignment="1">
      <alignment horizontal="center"/>
    </xf>
    <xf numFmtId="0" fontId="18" fillId="8" borderId="38" xfId="0" applyFont="1" applyFill="1" applyBorder="1" applyAlignment="1"/>
    <xf numFmtId="5" fontId="18" fillId="14" borderId="15" xfId="6" applyFont="1" applyFill="1" applyBorder="1" applyAlignment="1">
      <alignment horizontal="center"/>
    </xf>
    <xf numFmtId="0" fontId="18" fillId="0" borderId="15" xfId="0" applyFont="1" applyBorder="1" applyAlignment="1">
      <alignment horizontal="left"/>
    </xf>
    <xf numFmtId="0" fontId="21" fillId="0" borderId="38" xfId="0" applyFont="1" applyFill="1" applyBorder="1" applyAlignment="1"/>
    <xf numFmtId="0" fontId="0" fillId="0" borderId="10" xfId="0" applyBorder="1" applyAlignment="1"/>
    <xf numFmtId="0" fontId="0" fillId="0" borderId="7" xfId="0" applyBorder="1" applyAlignment="1"/>
    <xf numFmtId="178" fontId="65" fillId="0" borderId="0" xfId="0" applyNumberFormat="1" applyFont="1" applyAlignment="1"/>
    <xf numFmtId="0" fontId="23" fillId="0" borderId="39" xfId="0" applyFont="1" applyFill="1" applyBorder="1" applyAlignment="1"/>
    <xf numFmtId="0" fontId="20" fillId="0" borderId="0" xfId="0" applyFont="1" applyBorder="1" applyAlignment="1">
      <alignment vertical="top" wrapText="1"/>
    </xf>
    <xf numFmtId="0" fontId="21" fillId="0" borderId="0" xfId="0" applyFont="1" applyBorder="1" applyAlignment="1">
      <alignment vertical="top" wrapText="1"/>
    </xf>
    <xf numFmtId="0" fontId="21" fillId="0" borderId="0" xfId="0" applyFont="1" applyFill="1" applyBorder="1" applyAlignment="1">
      <alignment horizontal="right" vertical="top" wrapText="1"/>
    </xf>
    <xf numFmtId="37" fontId="23" fillId="11" borderId="39" xfId="0" applyNumberFormat="1" applyFont="1" applyFill="1" applyBorder="1" applyAlignment="1" applyProtection="1">
      <protection locked="0"/>
    </xf>
    <xf numFmtId="0" fontId="18" fillId="0" borderId="44" xfId="0" applyFont="1" applyFill="1" applyBorder="1" applyAlignment="1"/>
    <xf numFmtId="5" fontId="18" fillId="0" borderId="36" xfId="0" applyNumberFormat="1" applyFont="1" applyBorder="1" applyAlignment="1"/>
    <xf numFmtId="0" fontId="18" fillId="0" borderId="10" xfId="0" applyFont="1" applyFill="1" applyBorder="1" applyAlignment="1"/>
    <xf numFmtId="5" fontId="18" fillId="0" borderId="10" xfId="0" applyNumberFormat="1" applyFont="1" applyBorder="1" applyAlignment="1"/>
    <xf numFmtId="0" fontId="18" fillId="0" borderId="4" xfId="0" applyFont="1" applyFill="1" applyBorder="1" applyAlignment="1"/>
    <xf numFmtId="5" fontId="18" fillId="0" borderId="38" xfId="0" applyNumberFormat="1" applyFont="1" applyBorder="1" applyAlignment="1"/>
    <xf numFmtId="0" fontId="18" fillId="0" borderId="33" xfId="0" applyFont="1" applyBorder="1" applyAlignment="1"/>
    <xf numFmtId="5" fontId="21" fillId="0" borderId="33" xfId="0" applyNumberFormat="1" applyFont="1" applyBorder="1" applyAlignment="1"/>
    <xf numFmtId="171" fontId="18" fillId="0" borderId="39" xfId="0" applyNumberFormat="1" applyFont="1" applyFill="1" applyBorder="1" applyAlignment="1" applyProtection="1">
      <protection locked="0"/>
    </xf>
    <xf numFmtId="171" fontId="18" fillId="0" borderId="33" xfId="0" applyNumberFormat="1" applyFont="1" applyBorder="1" applyAlignment="1"/>
    <xf numFmtId="0" fontId="18" fillId="0" borderId="2" xfId="0" applyFont="1" applyFill="1" applyBorder="1" applyAlignment="1"/>
    <xf numFmtId="0" fontId="18" fillId="0" borderId="45" xfId="0" applyFont="1" applyBorder="1" applyAlignment="1"/>
    <xf numFmtId="171" fontId="18" fillId="0" borderId="46" xfId="0" applyNumberFormat="1" applyFont="1" applyBorder="1" applyAlignment="1"/>
    <xf numFmtId="0" fontId="18" fillId="0" borderId="47" xfId="0" applyFont="1" applyBorder="1" applyAlignment="1"/>
    <xf numFmtId="171" fontId="18" fillId="0" borderId="48" xfId="0" applyNumberFormat="1" applyFont="1" applyFill="1" applyBorder="1" applyAlignment="1" applyProtection="1">
      <protection locked="0"/>
    </xf>
    <xf numFmtId="166" fontId="21" fillId="0" borderId="0" xfId="0" applyNumberFormat="1" applyFont="1" applyFill="1" applyBorder="1" applyAlignment="1"/>
    <xf numFmtId="3" fontId="36" fillId="0" borderId="0" xfId="1" applyFont="1" applyFill="1" applyBorder="1"/>
    <xf numFmtId="3" fontId="36" fillId="0" borderId="0" xfId="1" applyFont="1" applyFill="1" applyBorder="1" applyProtection="1">
      <protection locked="0"/>
    </xf>
    <xf numFmtId="0" fontId="18" fillId="0" borderId="6" xfId="0" applyFont="1" applyFill="1" applyBorder="1" applyAlignment="1"/>
    <xf numFmtId="0" fontId="36" fillId="0" borderId="0" xfId="0" applyFont="1" applyAlignment="1">
      <alignment wrapText="1"/>
    </xf>
    <xf numFmtId="0" fontId="23" fillId="8" borderId="32" xfId="0" applyFont="1" applyFill="1" applyBorder="1" applyAlignment="1">
      <alignment wrapText="1"/>
    </xf>
    <xf numFmtId="0" fontId="36" fillId="0" borderId="3" xfId="0" applyFont="1" applyFill="1" applyBorder="1" applyAlignment="1">
      <alignment wrapText="1"/>
    </xf>
    <xf numFmtId="0" fontId="36" fillId="0" borderId="6" xfId="0" applyFont="1" applyBorder="1" applyAlignment="1">
      <alignment wrapText="1"/>
    </xf>
    <xf numFmtId="0" fontId="18" fillId="8" borderId="32" xfId="0" applyFont="1" applyFill="1" applyBorder="1" applyAlignment="1">
      <alignment horizontal="center" wrapText="1"/>
    </xf>
    <xf numFmtId="0" fontId="18" fillId="0" borderId="6" xfId="0" applyFont="1" applyFill="1" applyBorder="1" applyAlignment="1">
      <alignment horizontal="center"/>
    </xf>
    <xf numFmtId="9" fontId="21" fillId="0" borderId="2" xfId="26" applyNumberFormat="1" applyFont="1" applyBorder="1"/>
    <xf numFmtId="0" fontId="21" fillId="8" borderId="5" xfId="0" applyFont="1" applyFill="1" applyBorder="1" applyAlignment="1"/>
    <xf numFmtId="0" fontId="21" fillId="8" borderId="2" xfId="0" applyFont="1" applyFill="1" applyBorder="1" applyAlignment="1"/>
    <xf numFmtId="3" fontId="21" fillId="0" borderId="9" xfId="0" applyNumberFormat="1" applyFont="1" applyFill="1" applyBorder="1" applyAlignment="1" applyProtection="1"/>
    <xf numFmtId="0" fontId="21" fillId="0" borderId="7" xfId="0" applyFont="1" applyFill="1" applyBorder="1" applyAlignment="1"/>
    <xf numFmtId="0" fontId="21" fillId="0" borderId="10" xfId="0" applyFont="1" applyFill="1" applyBorder="1" applyAlignment="1"/>
    <xf numFmtId="179" fontId="21" fillId="7" borderId="38" xfId="0" applyNumberFormat="1" applyFont="1" applyFill="1" applyBorder="1" applyAlignment="1" applyProtection="1">
      <protection locked="0"/>
    </xf>
    <xf numFmtId="179" fontId="21" fillId="19" borderId="39" xfId="0" applyNumberFormat="1" applyFont="1" applyFill="1" applyBorder="1" applyAlignment="1" applyProtection="1">
      <protection locked="0"/>
    </xf>
    <xf numFmtId="179" fontId="21" fillId="20" borderId="15" xfId="0" applyNumberFormat="1" applyFont="1" applyFill="1" applyBorder="1" applyAlignment="1" applyProtection="1">
      <protection locked="0"/>
    </xf>
    <xf numFmtId="7" fontId="18" fillId="0" borderId="10" xfId="0" applyNumberFormat="1" applyFont="1" applyFill="1" applyBorder="1" applyAlignment="1"/>
    <xf numFmtId="0" fontId="18" fillId="8" borderId="32" xfId="0" applyFont="1" applyFill="1" applyBorder="1" applyAlignment="1">
      <alignment horizontal="left"/>
    </xf>
    <xf numFmtId="0" fontId="35" fillId="0" borderId="0" xfId="0" applyFont="1" applyBorder="1" applyAlignment="1"/>
    <xf numFmtId="5" fontId="35" fillId="0" borderId="0" xfId="0" applyNumberFormat="1" applyFont="1" applyBorder="1" applyAlignment="1"/>
    <xf numFmtId="0" fontId="35" fillId="14" borderId="37" xfId="0" applyFont="1" applyFill="1" applyBorder="1" applyAlignment="1"/>
    <xf numFmtId="1" fontId="18" fillId="0" borderId="0" xfId="0" applyNumberFormat="1" applyFont="1" applyAlignment="1"/>
    <xf numFmtId="1" fontId="18" fillId="0" borderId="0" xfId="0" applyNumberFormat="1" applyFont="1" applyFill="1" applyAlignment="1"/>
    <xf numFmtId="0" fontId="21" fillId="0" borderId="4" xfId="0" applyFont="1" applyFill="1" applyBorder="1" applyAlignment="1">
      <alignment horizontal="left"/>
    </xf>
    <xf numFmtId="0" fontId="23" fillId="0" borderId="3" xfId="0" applyFont="1" applyFill="1" applyBorder="1" applyAlignment="1">
      <alignment horizontal="left"/>
    </xf>
    <xf numFmtId="0" fontId="23" fillId="0" borderId="9" xfId="0" applyFont="1" applyFill="1" applyBorder="1" applyAlignment="1">
      <alignment horizontal="left"/>
    </xf>
    <xf numFmtId="0" fontId="36" fillId="0" borderId="4" xfId="0" applyFont="1" applyBorder="1" applyAlignment="1">
      <alignment horizontal="left"/>
    </xf>
    <xf numFmtId="0" fontId="36" fillId="0" borderId="3" xfId="0" applyFont="1" applyBorder="1" applyAlignment="1">
      <alignment horizontal="left"/>
    </xf>
    <xf numFmtId="0" fontId="36" fillId="0" borderId="3" xfId="0" applyFont="1" applyFill="1" applyBorder="1" applyAlignment="1">
      <alignment horizontal="left"/>
    </xf>
    <xf numFmtId="0" fontId="36" fillId="0" borderId="13" xfId="0" applyFont="1" applyBorder="1" applyAlignment="1">
      <alignment horizontal="left"/>
    </xf>
    <xf numFmtId="0" fontId="35" fillId="0" borderId="11" xfId="0" applyFont="1" applyFill="1" applyBorder="1" applyAlignment="1">
      <alignment horizontal="left"/>
    </xf>
    <xf numFmtId="10" fontId="23" fillId="0" borderId="39" xfId="26" applyNumberFormat="1" applyFont="1" applyFill="1" applyBorder="1" applyAlignment="1">
      <alignment horizontal="right"/>
    </xf>
    <xf numFmtId="179" fontId="21" fillId="0" borderId="0" xfId="0" applyNumberFormat="1" applyFont="1" applyFill="1" applyBorder="1" applyAlignment="1" applyProtection="1">
      <protection locked="0"/>
    </xf>
    <xf numFmtId="10" fontId="36" fillId="9" borderId="6" xfId="26" applyFont="1" applyFill="1" applyBorder="1"/>
    <xf numFmtId="0" fontId="0" fillId="21" borderId="0" xfId="0" applyFill="1" applyAlignment="1"/>
    <xf numFmtId="0" fontId="53" fillId="0" borderId="0" xfId="0" applyFont="1" applyBorder="1" applyAlignment="1"/>
    <xf numFmtId="0" fontId="54" fillId="0" borderId="0" xfId="0" applyFont="1" applyBorder="1" applyAlignment="1">
      <alignment horizontal="right"/>
    </xf>
    <xf numFmtId="0" fontId="21" fillId="0" borderId="0" xfId="0" applyFont="1" applyAlignment="1">
      <alignment wrapText="1"/>
    </xf>
    <xf numFmtId="0" fontId="79" fillId="0" borderId="0" xfId="21" applyFont="1" applyAlignment="1" applyProtection="1"/>
    <xf numFmtId="10" fontId="0" fillId="0" borderId="10" xfId="0" applyNumberFormat="1" applyBorder="1" applyAlignment="1"/>
    <xf numFmtId="0" fontId="80" fillId="0" borderId="4" xfId="0" applyFont="1" applyBorder="1" applyAlignment="1"/>
    <xf numFmtId="10" fontId="21" fillId="0" borderId="0" xfId="0" applyNumberFormat="1" applyFont="1" applyBorder="1" applyAlignment="1"/>
    <xf numFmtId="10" fontId="0" fillId="0" borderId="9" xfId="0" applyNumberFormat="1" applyBorder="1" applyAlignment="1"/>
    <xf numFmtId="1" fontId="23" fillId="0" borderId="18" xfId="0" applyNumberFormat="1" applyFont="1" applyFill="1" applyBorder="1" applyAlignment="1"/>
    <xf numFmtId="0" fontId="81" fillId="0" borderId="0" xfId="0" applyFont="1" applyAlignment="1">
      <alignment horizontal="left"/>
    </xf>
    <xf numFmtId="0" fontId="42" fillId="0" borderId="5" xfId="0" applyFont="1" applyBorder="1" applyAlignment="1">
      <alignment horizontal="center"/>
    </xf>
    <xf numFmtId="0" fontId="18" fillId="0" borderId="0" xfId="25" applyFont="1"/>
    <xf numFmtId="0" fontId="23" fillId="0" borderId="0" xfId="25"/>
    <xf numFmtId="0" fontId="20" fillId="0" borderId="0" xfId="25" applyFont="1"/>
    <xf numFmtId="169" fontId="20" fillId="0" borderId="0" xfId="25" applyNumberFormat="1" applyFont="1"/>
    <xf numFmtId="176" fontId="23" fillId="0" borderId="0" xfId="25" applyNumberFormat="1"/>
    <xf numFmtId="0" fontId="48" fillId="0" borderId="0" xfId="25" applyFont="1" applyAlignment="1">
      <alignment horizontal="centerContinuous"/>
    </xf>
    <xf numFmtId="0" fontId="23" fillId="0" borderId="0" xfId="25" applyAlignment="1">
      <alignment horizontal="right" wrapText="1"/>
    </xf>
    <xf numFmtId="0" fontId="20" fillId="0" borderId="0" xfId="25" applyFont="1" applyAlignment="1">
      <alignment horizontal="right" wrapText="1"/>
    </xf>
    <xf numFmtId="169" fontId="20" fillId="0" borderId="0" xfId="25" applyNumberFormat="1" applyFont="1" applyAlignment="1">
      <alignment horizontal="right" wrapText="1"/>
    </xf>
    <xf numFmtId="0" fontId="23" fillId="22" borderId="0" xfId="25" applyFill="1" applyAlignment="1">
      <alignment horizontal="right" wrapText="1"/>
    </xf>
    <xf numFmtId="0" fontId="23" fillId="6" borderId="0" xfId="25" applyFill="1" applyAlignment="1">
      <alignment horizontal="right" wrapText="1"/>
    </xf>
    <xf numFmtId="8" fontId="23" fillId="0" borderId="0" xfId="25" applyNumberFormat="1"/>
    <xf numFmtId="8" fontId="20" fillId="0" borderId="0" xfId="25" applyNumberFormat="1" applyFont="1"/>
    <xf numFmtId="0" fontId="23" fillId="22" borderId="0" xfId="25" applyFill="1"/>
    <xf numFmtId="8" fontId="23" fillId="6" borderId="0" xfId="25" applyNumberFormat="1" applyFill="1"/>
    <xf numFmtId="0" fontId="23" fillId="6" borderId="0" xfId="25" applyFill="1"/>
    <xf numFmtId="6" fontId="23" fillId="0" borderId="0" xfId="25" applyNumberFormat="1"/>
    <xf numFmtId="6" fontId="20" fillId="0" borderId="0" xfId="25" applyNumberFormat="1" applyFont="1"/>
    <xf numFmtId="6" fontId="23" fillId="6" borderId="0" xfId="25" applyNumberFormat="1" applyFill="1"/>
    <xf numFmtId="165" fontId="18" fillId="0" borderId="0" xfId="25" applyNumberFormat="1" applyFont="1"/>
    <xf numFmtId="165" fontId="20" fillId="0" borderId="0" xfId="25" applyNumberFormat="1" applyFont="1"/>
    <xf numFmtId="165" fontId="23" fillId="0" borderId="0" xfId="25" applyNumberFormat="1"/>
    <xf numFmtId="165" fontId="23" fillId="6" borderId="0" xfId="25" applyNumberFormat="1" applyFill="1"/>
    <xf numFmtId="177" fontId="20" fillId="0" borderId="0" xfId="25" applyNumberFormat="1" applyFont="1"/>
    <xf numFmtId="177" fontId="23" fillId="0" borderId="0" xfId="25" applyNumberFormat="1"/>
    <xf numFmtId="177" fontId="23" fillId="22" borderId="0" xfId="25" applyNumberFormat="1" applyFill="1"/>
    <xf numFmtId="165" fontId="18" fillId="6" borderId="0" xfId="25" applyNumberFormat="1" applyFont="1" applyFill="1"/>
    <xf numFmtId="177" fontId="18" fillId="22" borderId="0" xfId="25" applyNumberFormat="1" applyFont="1" applyFill="1"/>
    <xf numFmtId="0" fontId="21" fillId="0" borderId="0" xfId="0" applyFont="1" applyBorder="1">
      <alignment vertical="top"/>
    </xf>
    <xf numFmtId="0" fontId="21" fillId="0" borderId="0" xfId="0" applyFont="1" applyFill="1" applyBorder="1">
      <alignment vertical="top"/>
    </xf>
    <xf numFmtId="0" fontId="23" fillId="23" borderId="0" xfId="25" applyFill="1" applyAlignment="1">
      <alignment horizontal="right" wrapText="1"/>
    </xf>
    <xf numFmtId="0" fontId="23" fillId="23" borderId="0" xfId="25" applyFill="1"/>
    <xf numFmtId="177" fontId="23" fillId="23" borderId="0" xfId="25" applyNumberFormat="1" applyFill="1"/>
    <xf numFmtId="177" fontId="18" fillId="23" borderId="0" xfId="25" applyNumberFormat="1" applyFont="1" applyFill="1"/>
    <xf numFmtId="0" fontId="23" fillId="5" borderId="0" xfId="25" applyFill="1" applyAlignment="1">
      <alignment horizontal="right" wrapText="1"/>
    </xf>
    <xf numFmtId="8" fontId="23" fillId="5" borderId="0" xfId="25" applyNumberFormat="1" applyFill="1"/>
    <xf numFmtId="0" fontId="23" fillId="5" borderId="0" xfId="25" applyFill="1"/>
    <xf numFmtId="6" fontId="23" fillId="5" borderId="0" xfId="25" applyNumberFormat="1" applyFill="1"/>
    <xf numFmtId="165" fontId="23" fillId="5" borderId="0" xfId="25" applyNumberFormat="1" applyFill="1"/>
    <xf numFmtId="165" fontId="18" fillId="5" borderId="0" xfId="25" applyNumberFormat="1" applyFont="1" applyFill="1"/>
    <xf numFmtId="0" fontId="19" fillId="0" borderId="0" xfId="0" applyFont="1" applyFill="1" applyBorder="1">
      <alignment vertical="top"/>
    </xf>
    <xf numFmtId="0" fontId="83" fillId="0" borderId="0" xfId="0" applyFont="1" applyAlignment="1"/>
    <xf numFmtId="0" fontId="18" fillId="24" borderId="47" xfId="0" applyFont="1" applyFill="1" applyBorder="1" applyAlignment="1">
      <alignment horizontal="center" wrapText="1"/>
    </xf>
    <xf numFmtId="0" fontId="18" fillId="24" borderId="49" xfId="0" applyFont="1" applyFill="1" applyBorder="1" applyAlignment="1">
      <alignment horizontal="center" wrapText="1"/>
    </xf>
    <xf numFmtId="0" fontId="18" fillId="24" borderId="48" xfId="0" applyFont="1" applyFill="1" applyBorder="1" applyAlignment="1">
      <alignment horizontal="center" wrapText="1"/>
    </xf>
    <xf numFmtId="2" fontId="21" fillId="0" borderId="16" xfId="0" applyNumberFormat="1" applyFont="1" applyFill="1" applyBorder="1" applyAlignment="1">
      <alignment horizontal="center"/>
    </xf>
    <xf numFmtId="0" fontId="42" fillId="0" borderId="5" xfId="0" applyFont="1" applyBorder="1" applyAlignment="1"/>
    <xf numFmtId="0" fontId="18" fillId="0" borderId="5" xfId="0" applyFont="1" applyBorder="1" applyAlignment="1"/>
    <xf numFmtId="4" fontId="0" fillId="0" borderId="0" xfId="0" applyNumberFormat="1" applyFill="1" applyBorder="1" applyAlignment="1"/>
    <xf numFmtId="2" fontId="21" fillId="0" borderId="50" xfId="0" applyNumberFormat="1" applyFont="1" applyFill="1" applyBorder="1" applyAlignment="1">
      <alignment horizontal="center"/>
    </xf>
    <xf numFmtId="37" fontId="21" fillId="0" borderId="39" xfId="0" applyNumberFormat="1" applyFont="1" applyFill="1" applyBorder="1" applyAlignment="1">
      <alignment horizontal="right"/>
    </xf>
    <xf numFmtId="0" fontId="23" fillId="0" borderId="39" xfId="0" applyFont="1" applyBorder="1" applyAlignment="1"/>
    <xf numFmtId="10" fontId="23" fillId="3" borderId="39" xfId="0" applyNumberFormat="1" applyFont="1" applyFill="1" applyBorder="1" applyAlignment="1"/>
    <xf numFmtId="37" fontId="23" fillId="3" borderId="39" xfId="0" applyNumberFormat="1" applyFont="1" applyFill="1" applyBorder="1" applyAlignment="1" applyProtection="1">
      <protection locked="0"/>
    </xf>
    <xf numFmtId="0" fontId="23" fillId="0" borderId="15" xfId="0" applyFont="1" applyFill="1" applyBorder="1" applyAlignment="1"/>
    <xf numFmtId="4" fontId="0" fillId="0" borderId="0" xfId="1" applyNumberFormat="1" applyFont="1" applyFill="1" applyBorder="1"/>
    <xf numFmtId="8" fontId="21" fillId="11" borderId="6" xfId="0" applyNumberFormat="1" applyFont="1" applyFill="1" applyBorder="1" applyAlignment="1" applyProtection="1">
      <protection locked="0"/>
    </xf>
    <xf numFmtId="0" fontId="75" fillId="0" borderId="0" xfId="0" applyFont="1" applyFill="1" applyAlignment="1">
      <alignment horizontal="left"/>
    </xf>
    <xf numFmtId="0" fontId="75" fillId="0" borderId="0" xfId="0" applyFont="1" applyFill="1" applyAlignment="1"/>
    <xf numFmtId="0" fontId="75" fillId="0" borderId="0" xfId="0" applyFont="1" applyFill="1" applyAlignment="1">
      <alignment horizontal="centerContinuous"/>
    </xf>
    <xf numFmtId="0" fontId="63" fillId="0" borderId="0" xfId="0" applyFont="1" applyFill="1" applyAlignment="1"/>
    <xf numFmtId="164" fontId="21" fillId="0" borderId="16" xfId="0" applyNumberFormat="1" applyFont="1" applyFill="1" applyBorder="1" applyAlignment="1" applyProtection="1">
      <protection locked="0"/>
    </xf>
    <xf numFmtId="0" fontId="19" fillId="0" borderId="14" xfId="0" applyFont="1" applyFill="1" applyBorder="1" applyAlignment="1"/>
    <xf numFmtId="7" fontId="20" fillId="0" borderId="42" xfId="0" applyNumberFormat="1" applyFont="1" applyFill="1" applyBorder="1" applyAlignment="1" applyProtection="1"/>
    <xf numFmtId="164" fontId="18" fillId="7" borderId="38" xfId="0" applyNumberFormat="1" applyFont="1" applyFill="1" applyBorder="1" applyAlignment="1" applyProtection="1">
      <protection locked="0"/>
    </xf>
    <xf numFmtId="3" fontId="21" fillId="0" borderId="0" xfId="1" applyFont="1" applyFill="1" applyBorder="1" applyProtection="1">
      <protection locked="0"/>
    </xf>
    <xf numFmtId="8" fontId="21" fillId="0" borderId="6" xfId="0" applyNumberFormat="1" applyFont="1" applyFill="1" applyBorder="1" applyAlignment="1" applyProtection="1">
      <protection locked="0"/>
    </xf>
    <xf numFmtId="37" fontId="18" fillId="0" borderId="39" xfId="0" applyNumberFormat="1" applyFont="1" applyBorder="1" applyAlignment="1">
      <alignment horizontal="right"/>
    </xf>
    <xf numFmtId="3" fontId="23" fillId="0" borderId="15" xfId="1" applyNumberFormat="1" applyFont="1" applyBorder="1" applyAlignment="1">
      <alignment horizontal="right"/>
    </xf>
    <xf numFmtId="10" fontId="18" fillId="19" borderId="39" xfId="0" applyNumberFormat="1" applyFont="1" applyFill="1" applyBorder="1" applyAlignment="1" applyProtection="1">
      <protection locked="0"/>
    </xf>
    <xf numFmtId="10" fontId="18" fillId="7" borderId="15" xfId="0" applyNumberFormat="1" applyFont="1" applyFill="1" applyBorder="1" applyAlignment="1" applyProtection="1">
      <protection locked="0"/>
    </xf>
    <xf numFmtId="6" fontId="21" fillId="0" borderId="0" xfId="0" applyNumberFormat="1" applyFont="1" applyFill="1" applyBorder="1" applyAlignment="1" applyProtection="1">
      <protection locked="0"/>
    </xf>
    <xf numFmtId="8" fontId="21" fillId="0" borderId="0" xfId="0" applyNumberFormat="1" applyFont="1" applyFill="1" applyBorder="1" applyAlignment="1" applyProtection="1">
      <protection locked="0"/>
    </xf>
    <xf numFmtId="169" fontId="21" fillId="0" borderId="0" xfId="0" applyNumberFormat="1" applyFont="1" applyFill="1" applyBorder="1" applyAlignment="1"/>
    <xf numFmtId="3" fontId="23" fillId="2" borderId="0" xfId="0" applyNumberFormat="1" applyFont="1" applyFill="1" applyBorder="1" applyAlignment="1" applyProtection="1"/>
    <xf numFmtId="1" fontId="23" fillId="0" borderId="0" xfId="0" applyNumberFormat="1" applyFont="1" applyFill="1" applyAlignment="1"/>
    <xf numFmtId="1" fontId="23" fillId="2" borderId="0" xfId="0" applyNumberFormat="1" applyFont="1" applyFill="1" applyAlignment="1"/>
    <xf numFmtId="3" fontId="23" fillId="2" borderId="18" xfId="0" applyNumberFormat="1" applyFont="1" applyFill="1" applyBorder="1" applyAlignment="1" applyProtection="1"/>
    <xf numFmtId="1" fontId="23" fillId="0" borderId="18" xfId="0" applyNumberFormat="1" applyFont="1" applyBorder="1" applyAlignment="1"/>
    <xf numFmtId="0" fontId="23" fillId="0" borderId="18" xfId="0" applyFont="1" applyBorder="1" applyAlignment="1"/>
    <xf numFmtId="169" fontId="35" fillId="0" borderId="0" xfId="6" applyNumberFormat="1" applyFont="1" applyFill="1"/>
    <xf numFmtId="3" fontId="36" fillId="0" borderId="0" xfId="0" applyNumberFormat="1" applyFont="1" applyFill="1" applyBorder="1" applyAlignment="1" applyProtection="1"/>
    <xf numFmtId="1" fontId="36" fillId="0" borderId="0" xfId="0" applyNumberFormat="1" applyFont="1" applyFill="1" applyAlignment="1"/>
    <xf numFmtId="169" fontId="36" fillId="0" borderId="0" xfId="6" applyNumberFormat="1" applyFont="1" applyFill="1"/>
    <xf numFmtId="171" fontId="36" fillId="0" borderId="0" xfId="6" applyNumberFormat="1" applyFont="1" applyFill="1"/>
    <xf numFmtId="2" fontId="36" fillId="0" borderId="0" xfId="0" applyNumberFormat="1" applyFont="1" applyFill="1" applyAlignment="1"/>
    <xf numFmtId="9" fontId="50" fillId="0" borderId="0" xfId="26" applyNumberFormat="1" applyFont="1" applyFill="1"/>
    <xf numFmtId="9" fontId="50" fillId="0" borderId="0" xfId="26" applyNumberFormat="1" applyFont="1" applyFill="1" applyBorder="1"/>
    <xf numFmtId="9" fontId="50" fillId="0" borderId="0" xfId="26" applyNumberFormat="1" applyFont="1" applyFill="1" applyBorder="1" applyAlignment="1">
      <alignment horizontal="center"/>
    </xf>
    <xf numFmtId="3" fontId="51" fillId="0" borderId="0" xfId="0" applyNumberFormat="1" applyFont="1" applyFill="1" applyBorder="1" applyAlignment="1" applyProtection="1"/>
    <xf numFmtId="1" fontId="51" fillId="0" borderId="0" xfId="0" applyNumberFormat="1" applyFont="1" applyFill="1" applyAlignment="1"/>
    <xf numFmtId="169" fontId="51" fillId="0" borderId="0" xfId="6" applyNumberFormat="1" applyFont="1" applyFill="1"/>
    <xf numFmtId="171" fontId="51" fillId="0" borderId="0" xfId="6" applyNumberFormat="1" applyFont="1" applyFill="1"/>
    <xf numFmtId="2" fontId="51" fillId="0" borderId="0" xfId="0" applyNumberFormat="1" applyFont="1" applyFill="1" applyAlignment="1"/>
    <xf numFmtId="0" fontId="51" fillId="0" borderId="0" xfId="0" applyFont="1" applyFill="1" applyAlignment="1"/>
    <xf numFmtId="3" fontId="51" fillId="2" borderId="0" xfId="0" applyNumberFormat="1" applyFont="1" applyFill="1" applyBorder="1" applyAlignment="1" applyProtection="1"/>
    <xf numFmtId="1" fontId="51" fillId="0" borderId="18" xfId="0" applyNumberFormat="1" applyFont="1" applyBorder="1" applyAlignment="1"/>
    <xf numFmtId="169" fontId="51" fillId="0" borderId="18" xfId="6" applyNumberFormat="1" applyFont="1" applyFill="1" applyBorder="1"/>
    <xf numFmtId="171" fontId="51" fillId="0" borderId="18" xfId="6" applyNumberFormat="1" applyFont="1" applyBorder="1"/>
    <xf numFmtId="2" fontId="51" fillId="0" borderId="18" xfId="0" applyNumberFormat="1" applyFont="1" applyFill="1" applyBorder="1" applyAlignment="1"/>
    <xf numFmtId="3" fontId="35" fillId="2" borderId="0" xfId="0" applyNumberFormat="1" applyFont="1" applyFill="1" applyBorder="1" applyAlignment="1" applyProtection="1"/>
    <xf numFmtId="1" fontId="35" fillId="0" borderId="0" xfId="0" applyNumberFormat="1" applyFont="1" applyAlignment="1"/>
    <xf numFmtId="171" fontId="35" fillId="0" borderId="0" xfId="6" applyNumberFormat="1" applyFont="1"/>
    <xf numFmtId="4" fontId="35" fillId="0" borderId="0" xfId="1" applyNumberFormat="1" applyFont="1" applyFill="1"/>
    <xf numFmtId="3" fontId="36" fillId="2" borderId="0" xfId="0" applyNumberFormat="1" applyFont="1" applyFill="1" applyBorder="1" applyAlignment="1" applyProtection="1"/>
    <xf numFmtId="171" fontId="36" fillId="0" borderId="0" xfId="6" applyNumberFormat="1" applyFont="1"/>
    <xf numFmtId="3" fontId="36" fillId="0" borderId="0" xfId="1" applyFont="1" applyFill="1"/>
    <xf numFmtId="3" fontId="36" fillId="2" borderId="0" xfId="1" applyFont="1" applyFill="1"/>
    <xf numFmtId="1" fontId="36" fillId="2" borderId="0" xfId="0" applyNumberFormat="1" applyFont="1" applyFill="1" applyAlignment="1"/>
    <xf numFmtId="3" fontId="50" fillId="2" borderId="0" xfId="0" applyNumberFormat="1" applyFont="1" applyFill="1" applyBorder="1" applyAlignment="1" applyProtection="1"/>
    <xf numFmtId="7" fontId="50" fillId="0" borderId="0" xfId="6" applyNumberFormat="1" applyFont="1" applyFill="1"/>
    <xf numFmtId="7" fontId="50" fillId="0" borderId="0" xfId="6" applyNumberFormat="1" applyFont="1"/>
    <xf numFmtId="3" fontId="50" fillId="0" borderId="0" xfId="0" applyNumberFormat="1" applyFont="1" applyFill="1" applyBorder="1" applyAlignment="1" applyProtection="1"/>
    <xf numFmtId="1" fontId="51" fillId="0" borderId="0" xfId="0" applyNumberFormat="1" applyFont="1" applyAlignment="1"/>
    <xf numFmtId="1" fontId="51" fillId="0" borderId="18" xfId="0" applyNumberFormat="1" applyFont="1" applyFill="1" applyBorder="1" applyAlignment="1"/>
    <xf numFmtId="171" fontId="51" fillId="0" borderId="18" xfId="6" applyNumberFormat="1" applyFont="1" applyFill="1" applyBorder="1"/>
    <xf numFmtId="169" fontId="36" fillId="0" borderId="18" xfId="0" applyNumberFormat="1" applyFont="1" applyFill="1" applyBorder="1" applyAlignment="1"/>
    <xf numFmtId="171" fontId="36" fillId="0" borderId="18" xfId="0" applyNumberFormat="1" applyFont="1" applyBorder="1" applyAlignment="1"/>
    <xf numFmtId="3" fontId="36" fillId="0" borderId="18" xfId="0" applyNumberFormat="1" applyFont="1" applyFill="1" applyBorder="1" applyAlignment="1"/>
    <xf numFmtId="3" fontId="36" fillId="0" borderId="18" xfId="0" applyNumberFormat="1" applyFont="1" applyBorder="1" applyAlignment="1"/>
    <xf numFmtId="1" fontId="36" fillId="0" borderId="51" xfId="0" applyNumberFormat="1" applyFont="1" applyBorder="1" applyAlignment="1"/>
    <xf numFmtId="0" fontId="36" fillId="0" borderId="51" xfId="0" applyFont="1" applyBorder="1" applyAlignment="1"/>
    <xf numFmtId="169" fontId="36" fillId="0" borderId="51" xfId="6" applyNumberFormat="1" applyFont="1" applyFill="1" applyBorder="1"/>
    <xf numFmtId="171" fontId="36" fillId="0" borderId="51" xfId="6" applyNumberFormat="1" applyFont="1" applyBorder="1"/>
    <xf numFmtId="3" fontId="36" fillId="0" borderId="51" xfId="6" applyNumberFormat="1" applyFont="1" applyFill="1" applyBorder="1"/>
    <xf numFmtId="3" fontId="36" fillId="0" borderId="51" xfId="0" applyNumberFormat="1" applyFont="1" applyBorder="1" applyAlignment="1"/>
    <xf numFmtId="2" fontId="36" fillId="0" borderId="0" xfId="0" applyNumberFormat="1" applyFont="1" applyAlignment="1"/>
    <xf numFmtId="1" fontId="36" fillId="0" borderId="0" xfId="0" applyNumberFormat="1" applyFont="1" applyBorder="1" applyAlignment="1"/>
    <xf numFmtId="169" fontId="36" fillId="0" borderId="0" xfId="6" applyNumberFormat="1" applyFont="1" applyFill="1" applyBorder="1"/>
    <xf numFmtId="171" fontId="36" fillId="0" borderId="0" xfId="6" applyNumberFormat="1" applyFont="1" applyBorder="1"/>
    <xf numFmtId="1" fontId="36" fillId="0" borderId="0" xfId="0" applyNumberFormat="1" applyFont="1" applyFill="1" applyBorder="1" applyAlignment="1"/>
    <xf numFmtId="2" fontId="36" fillId="0" borderId="0" xfId="0" applyNumberFormat="1" applyFont="1" applyFill="1" applyBorder="1" applyAlignment="1"/>
    <xf numFmtId="2" fontId="36" fillId="2" borderId="0" xfId="0" applyNumberFormat="1" applyFont="1" applyFill="1" applyBorder="1" applyAlignment="1"/>
    <xf numFmtId="1" fontId="36" fillId="0" borderId="18" xfId="0" applyNumberFormat="1" applyFont="1" applyFill="1" applyBorder="1" applyAlignment="1"/>
    <xf numFmtId="169" fontId="36" fillId="0" borderId="18" xfId="6" applyNumberFormat="1" applyFont="1" applyFill="1" applyBorder="1"/>
    <xf numFmtId="171" fontId="36" fillId="0" borderId="18" xfId="6" applyNumberFormat="1" applyFont="1" applyFill="1" applyBorder="1"/>
    <xf numFmtId="169" fontId="36" fillId="0" borderId="0" xfId="0" applyNumberFormat="1" applyFont="1" applyFill="1" applyBorder="1" applyAlignment="1"/>
    <xf numFmtId="171" fontId="36" fillId="0" borderId="0" xfId="0" applyNumberFormat="1" applyFont="1" applyBorder="1" applyAlignment="1"/>
    <xf numFmtId="171" fontId="36" fillId="0" borderId="0" xfId="0" applyNumberFormat="1" applyFont="1" applyAlignment="1"/>
    <xf numFmtId="10" fontId="50" fillId="0" borderId="0" xfId="26" applyFont="1" applyFill="1"/>
    <xf numFmtId="3" fontId="51" fillId="0" borderId="0" xfId="1" applyFont="1"/>
    <xf numFmtId="169" fontId="51" fillId="0" borderId="0" xfId="0" applyNumberFormat="1" applyFont="1" applyFill="1" applyAlignment="1"/>
    <xf numFmtId="171" fontId="51" fillId="0" borderId="0" xfId="0" applyNumberFormat="1" applyFont="1" applyFill="1" applyAlignment="1"/>
    <xf numFmtId="5" fontId="51" fillId="0" borderId="0" xfId="6" applyNumberFormat="1" applyFont="1" applyFill="1"/>
    <xf numFmtId="5" fontId="51" fillId="0" borderId="0" xfId="6" applyNumberFormat="1" applyFont="1"/>
    <xf numFmtId="6" fontId="51" fillId="0" borderId="0" xfId="0" applyNumberFormat="1" applyFont="1" applyFill="1" applyAlignment="1"/>
    <xf numFmtId="6" fontId="51" fillId="0" borderId="0" xfId="0" applyNumberFormat="1" applyFont="1" applyAlignment="1"/>
    <xf numFmtId="3" fontId="51" fillId="0" borderId="0" xfId="1" applyFont="1" applyFill="1"/>
    <xf numFmtId="0" fontId="50" fillId="0" borderId="0" xfId="0" applyFont="1" applyFill="1">
      <alignment vertical="top"/>
    </xf>
    <xf numFmtId="0" fontId="50" fillId="0" borderId="0" xfId="0" applyFont="1" applyFill="1" applyBorder="1">
      <alignment vertical="top"/>
    </xf>
    <xf numFmtId="9" fontId="50" fillId="0" borderId="0" xfId="0" applyNumberFormat="1" applyFont="1" applyFill="1" applyBorder="1">
      <alignment vertical="top"/>
    </xf>
    <xf numFmtId="0" fontId="51" fillId="0" borderId="0" xfId="0" applyFont="1" applyBorder="1" applyAlignment="1"/>
    <xf numFmtId="8" fontId="36" fillId="0" borderId="0" xfId="0" applyNumberFormat="1" applyFont="1" applyAlignment="1"/>
    <xf numFmtId="10" fontId="50" fillId="0" borderId="0" xfId="0" applyNumberFormat="1" applyFont="1" applyFill="1" applyAlignment="1"/>
    <xf numFmtId="10" fontId="50" fillId="0" borderId="0" xfId="26" applyFont="1"/>
    <xf numFmtId="1" fontId="51" fillId="0" borderId="0" xfId="0" applyNumberFormat="1" applyFont="1" applyFill="1" applyBorder="1" applyAlignment="1"/>
    <xf numFmtId="10" fontId="50" fillId="2" borderId="0" xfId="0" applyNumberFormat="1" applyFont="1" applyFill="1" applyAlignment="1"/>
    <xf numFmtId="9" fontId="50" fillId="0" borderId="0" xfId="0" applyNumberFormat="1" applyFont="1" applyAlignment="1"/>
    <xf numFmtId="2" fontId="50" fillId="0" borderId="0" xfId="0" applyNumberFormat="1" applyFont="1" applyAlignment="1"/>
    <xf numFmtId="10" fontId="51" fillId="0" borderId="0" xfId="0" applyNumberFormat="1" applyFont="1" applyFill="1" applyAlignment="1"/>
    <xf numFmtId="10" fontId="51" fillId="2" borderId="0" xfId="0" applyNumberFormat="1" applyFont="1" applyFill="1" applyAlignment="1"/>
    <xf numFmtId="2" fontId="51" fillId="2" borderId="0" xfId="0" applyNumberFormat="1" applyFont="1" applyFill="1" applyAlignment="1"/>
    <xf numFmtId="4" fontId="50" fillId="0" borderId="0" xfId="0" applyNumberFormat="1" applyFont="1" applyFill="1" applyAlignment="1"/>
    <xf numFmtId="4" fontId="36" fillId="0" borderId="0" xfId="0" applyNumberFormat="1" applyFont="1" applyFill="1" applyAlignment="1"/>
    <xf numFmtId="169" fontId="35" fillId="0" borderId="0" xfId="6" applyNumberFormat="1" applyFont="1" applyFill="1" applyBorder="1"/>
    <xf numFmtId="171" fontId="35" fillId="0" borderId="0" xfId="6" applyNumberFormat="1" applyFont="1" applyFill="1" applyBorder="1"/>
    <xf numFmtId="173" fontId="36" fillId="0" borderId="0" xfId="0" applyNumberFormat="1" applyFont="1" applyFill="1" applyAlignment="1"/>
    <xf numFmtId="2" fontId="36" fillId="2" borderId="0" xfId="0" applyNumberFormat="1" applyFont="1" applyFill="1" applyAlignment="1"/>
    <xf numFmtId="7" fontId="36" fillId="2" borderId="0" xfId="6" applyNumberFormat="1" applyFont="1" applyFill="1"/>
    <xf numFmtId="164" fontId="36" fillId="2" borderId="0" xfId="0" applyNumberFormat="1" applyFont="1" applyFill="1" applyAlignment="1"/>
    <xf numFmtId="4" fontId="36" fillId="2" borderId="0" xfId="0" applyNumberFormat="1" applyFont="1" applyFill="1" applyAlignment="1"/>
    <xf numFmtId="165" fontId="36" fillId="2" borderId="0" xfId="0" applyNumberFormat="1" applyFont="1" applyFill="1" applyAlignment="1"/>
    <xf numFmtId="7" fontId="36" fillId="2" borderId="0" xfId="0" applyNumberFormat="1" applyFont="1" applyFill="1" applyAlignment="1"/>
    <xf numFmtId="7" fontId="36" fillId="2" borderId="0" xfId="0" applyNumberFormat="1" applyFont="1" applyFill="1" applyBorder="1" applyAlignment="1" applyProtection="1"/>
    <xf numFmtId="10" fontId="36" fillId="0" borderId="0" xfId="26" applyFont="1"/>
    <xf numFmtId="0" fontId="36" fillId="25" borderId="0" xfId="0" applyFont="1" applyFill="1" applyAlignment="1"/>
    <xf numFmtId="2" fontId="36" fillId="26" borderId="0" xfId="0" applyNumberFormat="1" applyFont="1" applyFill="1" applyAlignment="1"/>
    <xf numFmtId="2" fontId="36" fillId="27" borderId="0" xfId="0" applyNumberFormat="1" applyFont="1" applyFill="1" applyAlignment="1"/>
    <xf numFmtId="2" fontId="36" fillId="25" borderId="0" xfId="0" applyNumberFormat="1" applyFont="1" applyFill="1" applyAlignment="1"/>
    <xf numFmtId="7" fontId="36" fillId="27" borderId="0" xfId="6" applyNumberFormat="1" applyFont="1" applyFill="1"/>
    <xf numFmtId="4" fontId="36" fillId="26" borderId="0" xfId="0" applyNumberFormat="1" applyFont="1" applyFill="1" applyAlignment="1"/>
    <xf numFmtId="164" fontId="36" fillId="27" borderId="0" xfId="0" applyNumberFormat="1" applyFont="1" applyFill="1" applyAlignment="1"/>
    <xf numFmtId="4" fontId="36" fillId="27" borderId="0" xfId="0" applyNumberFormat="1" applyFont="1" applyFill="1" applyAlignment="1"/>
    <xf numFmtId="165" fontId="36" fillId="27" borderId="0" xfId="0" applyNumberFormat="1" applyFont="1" applyFill="1" applyAlignment="1"/>
    <xf numFmtId="7" fontId="36" fillId="27" borderId="0" xfId="0" applyNumberFormat="1" applyFont="1" applyFill="1" applyAlignment="1"/>
    <xf numFmtId="7" fontId="36" fillId="27" borderId="0" xfId="0" applyNumberFormat="1" applyFont="1" applyFill="1" applyBorder="1" applyAlignment="1" applyProtection="1"/>
    <xf numFmtId="1" fontId="36" fillId="27" borderId="0" xfId="0" applyNumberFormat="1" applyFont="1" applyFill="1" applyAlignment="1"/>
    <xf numFmtId="10" fontId="36" fillId="25" borderId="0" xfId="26" applyFont="1" applyFill="1"/>
    <xf numFmtId="5" fontId="35" fillId="0" borderId="0" xfId="6" applyNumberFormat="1" applyFont="1"/>
    <xf numFmtId="5" fontId="35" fillId="0" borderId="0" xfId="6" applyNumberFormat="1" applyFont="1" applyAlignment="1">
      <alignment horizontal="right"/>
    </xf>
    <xf numFmtId="3" fontId="36" fillId="0" borderId="19" xfId="0" applyNumberFormat="1" applyFont="1" applyFill="1" applyBorder="1" applyAlignment="1" applyProtection="1"/>
    <xf numFmtId="0" fontId="36" fillId="0" borderId="29" xfId="0" applyFont="1" applyFill="1" applyBorder="1" applyAlignment="1"/>
    <xf numFmtId="1" fontId="36" fillId="0" borderId="29" xfId="0" applyNumberFormat="1" applyFont="1" applyFill="1" applyBorder="1" applyAlignment="1"/>
    <xf numFmtId="10" fontId="36" fillId="0" borderId="29" xfId="0" applyNumberFormat="1" applyFont="1" applyFill="1" applyBorder="1" applyAlignment="1"/>
    <xf numFmtId="0" fontId="36" fillId="0" borderId="25" xfId="0" applyFont="1" applyFill="1" applyBorder="1" applyAlignment="1"/>
    <xf numFmtId="0" fontId="50" fillId="0" borderId="20" xfId="0" applyFont="1" applyFill="1" applyBorder="1" applyAlignment="1"/>
    <xf numFmtId="0" fontId="51" fillId="0" borderId="0" xfId="0" applyFont="1" applyFill="1" applyBorder="1" applyAlignment="1"/>
    <xf numFmtId="10" fontId="51" fillId="0" borderId="0" xfId="0" applyNumberFormat="1" applyFont="1" applyFill="1" applyBorder="1" applyAlignment="1"/>
    <xf numFmtId="0" fontId="51" fillId="0" borderId="21" xfId="0" applyFont="1" applyFill="1" applyBorder="1" applyAlignment="1"/>
    <xf numFmtId="0" fontId="51" fillId="0" borderId="20" xfId="0" applyFont="1" applyFill="1" applyBorder="1" applyAlignment="1"/>
    <xf numFmtId="0" fontId="51" fillId="0" borderId="22" xfId="0" applyFont="1" applyFill="1" applyBorder="1" applyAlignment="1"/>
    <xf numFmtId="0" fontId="51" fillId="0" borderId="18" xfId="0" applyFont="1" applyFill="1" applyBorder="1" applyAlignment="1"/>
    <xf numFmtId="10" fontId="51" fillId="0" borderId="18" xfId="0" applyNumberFormat="1" applyFont="1" applyFill="1" applyBorder="1" applyAlignment="1"/>
    <xf numFmtId="0" fontId="51" fillId="0" borderId="26" xfId="0" applyFont="1" applyFill="1" applyBorder="1" applyAlignment="1"/>
    <xf numFmtId="0" fontId="51" fillId="0" borderId="0" xfId="0" applyFont="1" applyAlignment="1">
      <alignment horizontal="right"/>
    </xf>
    <xf numFmtId="5" fontId="35" fillId="0" borderId="0" xfId="6" applyNumberFormat="1" applyFont="1" applyFill="1"/>
    <xf numFmtId="5" fontId="35" fillId="0" borderId="0" xfId="6" applyNumberFormat="1" applyFont="1" applyFill="1" applyAlignment="1">
      <alignment horizontal="right"/>
    </xf>
    <xf numFmtId="0" fontId="51" fillId="0" borderId="0" xfId="0" applyFont="1" applyFill="1">
      <alignment vertical="top"/>
    </xf>
    <xf numFmtId="0" fontId="51" fillId="0" borderId="19" xfId="0" applyFont="1" applyFill="1" applyBorder="1">
      <alignment vertical="top"/>
    </xf>
    <xf numFmtId="0" fontId="51" fillId="0" borderId="29" xfId="0" applyFont="1" applyFill="1" applyBorder="1">
      <alignment vertical="top"/>
    </xf>
    <xf numFmtId="0" fontId="35" fillId="0" borderId="29" xfId="0" applyFont="1" applyFill="1" applyBorder="1" applyAlignment="1">
      <alignment horizontal="center"/>
    </xf>
    <xf numFmtId="0" fontId="35" fillId="0" borderId="25" xfId="0" applyFont="1" applyFill="1" applyBorder="1" applyAlignment="1">
      <alignment horizontal="center"/>
    </xf>
    <xf numFmtId="0" fontId="36" fillId="0" borderId="0" xfId="0" applyFont="1" applyFill="1">
      <alignment vertical="top"/>
    </xf>
    <xf numFmtId="0" fontId="36" fillId="0" borderId="22" xfId="0" applyFont="1" applyFill="1" applyBorder="1">
      <alignment vertical="top"/>
    </xf>
    <xf numFmtId="0" fontId="36" fillId="0" borderId="18" xfId="0" applyFont="1" applyFill="1" applyBorder="1">
      <alignment vertical="top"/>
    </xf>
    <xf numFmtId="9" fontId="36" fillId="0" borderId="18" xfId="0" applyNumberFormat="1" applyFont="1" applyFill="1" applyBorder="1">
      <alignment vertical="top"/>
    </xf>
    <xf numFmtId="9" fontId="36" fillId="0" borderId="26" xfId="0" applyNumberFormat="1" applyFont="1" applyFill="1" applyBorder="1">
      <alignment vertical="top"/>
    </xf>
    <xf numFmtId="10" fontId="36" fillId="0" borderId="19" xfId="26" applyFont="1" applyBorder="1"/>
    <xf numFmtId="9" fontId="36" fillId="0" borderId="29" xfId="26" applyNumberFormat="1" applyFont="1" applyBorder="1" applyAlignment="1">
      <alignment horizontal="right"/>
    </xf>
    <xf numFmtId="10" fontId="36" fillId="2" borderId="29" xfId="26" applyFont="1" applyFill="1" applyBorder="1" applyAlignment="1" applyProtection="1"/>
    <xf numFmtId="10" fontId="36" fillId="0" borderId="29" xfId="26" applyFont="1" applyBorder="1"/>
    <xf numFmtId="10" fontId="36" fillId="0" borderId="29" xfId="26" applyFont="1" applyFill="1" applyBorder="1"/>
    <xf numFmtId="0" fontId="36" fillId="0" borderId="22" xfId="0" applyFont="1" applyBorder="1" applyAlignment="1"/>
    <xf numFmtId="10" fontId="36" fillId="0" borderId="18" xfId="0" applyNumberFormat="1" applyFont="1" applyBorder="1" applyAlignment="1"/>
    <xf numFmtId="10" fontId="36" fillId="0" borderId="18" xfId="26" applyFont="1" applyFill="1" applyBorder="1"/>
    <xf numFmtId="10" fontId="36" fillId="0" borderId="18" xfId="26" applyFont="1" applyBorder="1"/>
    <xf numFmtId="0" fontId="36" fillId="0" borderId="0" xfId="0" applyFont="1" applyBorder="1" applyAlignment="1">
      <alignment horizontal="center"/>
    </xf>
    <xf numFmtId="10" fontId="36" fillId="0" borderId="0" xfId="0" applyNumberFormat="1" applyFont="1" applyBorder="1" applyAlignment="1"/>
    <xf numFmtId="10" fontId="36" fillId="0" borderId="0" xfId="26" applyFont="1" applyBorder="1"/>
    <xf numFmtId="0" fontId="36" fillId="0" borderId="0" xfId="0" applyFont="1" applyFill="1" applyBorder="1" applyAlignment="1">
      <alignment horizontal="center"/>
    </xf>
    <xf numFmtId="10" fontId="36" fillId="0" borderId="0" xfId="0" applyNumberFormat="1" applyFont="1" applyFill="1" applyBorder="1" applyAlignment="1"/>
    <xf numFmtId="0" fontId="36" fillId="0" borderId="19" xfId="0" applyFont="1" applyFill="1" applyBorder="1" applyAlignment="1"/>
    <xf numFmtId="0" fontId="36" fillId="0" borderId="29" xfId="0" applyFont="1" applyFill="1" applyBorder="1" applyAlignment="1">
      <alignment horizontal="center"/>
    </xf>
    <xf numFmtId="0" fontId="36" fillId="0" borderId="29" xfId="0" applyFont="1" applyFill="1" applyBorder="1" applyAlignment="1">
      <alignment horizontal="right"/>
    </xf>
    <xf numFmtId="2" fontId="36" fillId="0" borderId="29" xfId="0" applyNumberFormat="1" applyFont="1" applyFill="1" applyBorder="1">
      <alignment vertical="top"/>
    </xf>
    <xf numFmtId="2" fontId="36" fillId="0" borderId="25" xfId="0" applyNumberFormat="1" applyFont="1" applyFill="1" applyBorder="1">
      <alignment vertical="top"/>
    </xf>
    <xf numFmtId="2" fontId="36" fillId="0" borderId="0" xfId="0" applyNumberFormat="1" applyFont="1" applyFill="1">
      <alignment vertical="top"/>
    </xf>
    <xf numFmtId="0" fontId="36" fillId="0" borderId="20" xfId="0" applyFont="1" applyFill="1" applyBorder="1" applyAlignment="1"/>
    <xf numFmtId="2" fontId="36" fillId="0" borderId="0" xfId="0" applyNumberFormat="1" applyFont="1" applyFill="1" applyBorder="1">
      <alignment vertical="top"/>
    </xf>
    <xf numFmtId="2" fontId="36" fillId="0" borderId="21" xfId="0" applyNumberFormat="1" applyFont="1" applyFill="1" applyBorder="1">
      <alignment vertical="top"/>
    </xf>
    <xf numFmtId="0" fontId="36" fillId="0" borderId="22" xfId="0" applyFont="1" applyFill="1" applyBorder="1" applyAlignment="1"/>
    <xf numFmtId="0" fontId="36" fillId="0" borderId="18" xfId="0" applyFont="1" applyFill="1" applyBorder="1" applyAlignment="1"/>
    <xf numFmtId="0" fontId="36" fillId="0" borderId="18" xfId="0" applyFont="1" applyFill="1" applyBorder="1" applyAlignment="1">
      <alignment horizontal="right"/>
    </xf>
    <xf numFmtId="2" fontId="36" fillId="0" borderId="18" xfId="0" applyNumberFormat="1" applyFont="1" applyFill="1" applyBorder="1">
      <alignment vertical="top"/>
    </xf>
    <xf numFmtId="2" fontId="36" fillId="0" borderId="26" xfId="0" applyNumberFormat="1" applyFont="1" applyFill="1" applyBorder="1">
      <alignment vertical="top"/>
    </xf>
    <xf numFmtId="0" fontId="78" fillId="0" borderId="0" xfId="0" applyFont="1" applyAlignment="1"/>
    <xf numFmtId="10" fontId="21" fillId="3" borderId="38" xfId="26" applyNumberFormat="1" applyFont="1" applyFill="1" applyBorder="1" applyProtection="1">
      <protection locked="0"/>
    </xf>
    <xf numFmtId="0" fontId="18" fillId="0" borderId="33" xfId="0" applyFont="1" applyFill="1" applyBorder="1" applyAlignment="1">
      <alignment horizontal="left" wrapText="1"/>
    </xf>
    <xf numFmtId="41" fontId="21" fillId="0" borderId="3" xfId="0" applyNumberFormat="1" applyFont="1" applyFill="1" applyBorder="1" applyAlignment="1"/>
    <xf numFmtId="41" fontId="21" fillId="0" borderId="11" xfId="0" applyNumberFormat="1" applyFont="1" applyFill="1" applyBorder="1" applyAlignment="1"/>
    <xf numFmtId="5" fontId="18" fillId="0" borderId="10" xfId="6" applyFont="1" applyFill="1" applyBorder="1" applyProtection="1">
      <protection locked="0"/>
    </xf>
    <xf numFmtId="41" fontId="18" fillId="0" borderId="0" xfId="0" applyNumberFormat="1" applyFont="1" applyFill="1" applyBorder="1" applyAlignment="1">
      <alignment horizontal="right"/>
    </xf>
    <xf numFmtId="41" fontId="21" fillId="0" borderId="0" xfId="0" applyNumberFormat="1" applyFont="1" applyFill="1" applyBorder="1" applyAlignment="1"/>
    <xf numFmtId="2" fontId="18" fillId="0" borderId="0" xfId="0" applyNumberFormat="1" applyFont="1" applyFill="1" applyBorder="1" applyAlignment="1"/>
    <xf numFmtId="0" fontId="21" fillId="0" borderId="0" xfId="0" applyFont="1" applyAlignment="1">
      <alignment horizontal="left"/>
    </xf>
    <xf numFmtId="0" fontId="35" fillId="0" borderId="45" xfId="0" applyFont="1" applyBorder="1" applyAlignment="1"/>
    <xf numFmtId="0" fontId="35" fillId="0" borderId="13" xfId="0" applyFont="1" applyBorder="1" applyAlignment="1"/>
    <xf numFmtId="0" fontId="36" fillId="11" borderId="3" xfId="0" applyFont="1" applyFill="1" applyBorder="1" applyAlignment="1"/>
    <xf numFmtId="0" fontId="36" fillId="3" borderId="3" xfId="0" applyFont="1" applyFill="1" applyBorder="1" applyAlignment="1"/>
    <xf numFmtId="0" fontId="36" fillId="3" borderId="11" xfId="0" applyFont="1" applyFill="1" applyBorder="1" applyAlignment="1"/>
    <xf numFmtId="0" fontId="35" fillId="0" borderId="11" xfId="0" applyFont="1" applyBorder="1" applyAlignment="1"/>
    <xf numFmtId="0" fontId="35" fillId="0" borderId="3" xfId="0" applyFont="1" applyBorder="1" applyAlignment="1"/>
    <xf numFmtId="0" fontId="36" fillId="0" borderId="11" xfId="0" applyFont="1" applyBorder="1" applyAlignment="1"/>
    <xf numFmtId="0" fontId="35" fillId="0" borderId="11" xfId="0" applyFont="1" applyFill="1" applyBorder="1" applyAlignment="1"/>
    <xf numFmtId="0" fontId="36" fillId="0" borderId="11" xfId="0" applyFont="1" applyFill="1" applyBorder="1" applyAlignment="1"/>
    <xf numFmtId="0" fontId="35" fillId="0" borderId="13" xfId="0" applyFont="1" applyFill="1" applyBorder="1" applyAlignment="1"/>
    <xf numFmtId="0" fontId="35" fillId="0" borderId="9" xfId="0" applyFont="1" applyBorder="1" applyAlignment="1"/>
    <xf numFmtId="164" fontId="36" fillId="10" borderId="34" xfId="0" applyNumberFormat="1" applyFont="1" applyFill="1" applyBorder="1" applyAlignment="1"/>
    <xf numFmtId="0" fontId="36" fillId="0" borderId="40" xfId="0" applyFont="1" applyBorder="1" applyAlignment="1"/>
    <xf numFmtId="5" fontId="38" fillId="11" borderId="39" xfId="0" applyNumberFormat="1" applyFont="1" applyFill="1" applyBorder="1" applyAlignment="1" applyProtection="1">
      <protection locked="0"/>
    </xf>
    <xf numFmtId="5" fontId="36" fillId="11" borderId="39" xfId="0" applyNumberFormat="1" applyFont="1" applyFill="1" applyBorder="1" applyAlignment="1" applyProtection="1">
      <protection locked="0"/>
    </xf>
    <xf numFmtId="171" fontId="36" fillId="3" borderId="39" xfId="0" applyNumberFormat="1" applyFont="1" applyFill="1" applyBorder="1" applyAlignment="1"/>
    <xf numFmtId="5" fontId="35" fillId="0" borderId="41" xfId="0" applyNumberFormat="1" applyFont="1" applyBorder="1" applyAlignment="1"/>
    <xf numFmtId="2" fontId="36" fillId="3" borderId="39" xfId="0" applyNumberFormat="1" applyFont="1" applyFill="1" applyBorder="1" applyAlignment="1"/>
    <xf numFmtId="3" fontId="36" fillId="3" borderId="39" xfId="0" applyNumberFormat="1" applyFont="1" applyFill="1" applyBorder="1" applyAlignment="1"/>
    <xf numFmtId="3" fontId="36" fillId="0" borderId="39" xfId="0" applyNumberFormat="1" applyFont="1" applyBorder="1" applyAlignment="1"/>
    <xf numFmtId="171" fontId="36" fillId="3" borderId="39" xfId="1" applyNumberFormat="1" applyFont="1" applyFill="1" applyBorder="1" applyProtection="1">
      <protection locked="0"/>
    </xf>
    <xf numFmtId="6" fontId="36" fillId="0" borderId="39" xfId="0" applyNumberFormat="1" applyFont="1" applyFill="1" applyBorder="1" applyAlignment="1" applyProtection="1"/>
    <xf numFmtId="6" fontId="36" fillId="11" borderId="39" xfId="0" applyNumberFormat="1" applyFont="1" applyFill="1" applyBorder="1" applyAlignment="1"/>
    <xf numFmtId="6" fontId="36" fillId="0" borderId="41" xfId="0" applyNumberFormat="1" applyFont="1" applyFill="1" applyBorder="1" applyAlignment="1" applyProtection="1">
      <protection locked="0"/>
    </xf>
    <xf numFmtId="6" fontId="35" fillId="0" borderId="41" xfId="0" applyNumberFormat="1" applyFont="1" applyBorder="1" applyAlignment="1"/>
    <xf numFmtId="171" fontId="36" fillId="3" borderId="39" xfId="0" applyNumberFormat="1" applyFont="1" applyFill="1" applyBorder="1" applyAlignment="1" applyProtection="1">
      <protection locked="0"/>
    </xf>
    <xf numFmtId="5" fontId="21" fillId="0" borderId="41" xfId="6" applyNumberFormat="1" applyFont="1" applyFill="1" applyBorder="1" applyProtection="1"/>
    <xf numFmtId="6" fontId="36" fillId="3" borderId="39" xfId="0" applyNumberFormat="1" applyFont="1" applyFill="1" applyBorder="1" applyAlignment="1" applyProtection="1">
      <protection locked="0"/>
    </xf>
    <xf numFmtId="0" fontId="36" fillId="3" borderId="41" xfId="0" applyFont="1" applyFill="1" applyBorder="1" applyAlignment="1" applyProtection="1">
      <protection locked="0"/>
    </xf>
    <xf numFmtId="6" fontId="36" fillId="0" borderId="39" xfId="0" applyNumberFormat="1" applyFont="1" applyFill="1" applyBorder="1" applyAlignment="1" applyProtection="1">
      <protection locked="0"/>
    </xf>
    <xf numFmtId="10" fontId="36" fillId="11" borderId="39" xfId="26" applyNumberFormat="1" applyFont="1" applyFill="1" applyBorder="1"/>
    <xf numFmtId="3" fontId="21" fillId="0" borderId="0" xfId="1" applyFont="1"/>
    <xf numFmtId="7" fontId="18" fillId="0" borderId="38" xfId="0" applyNumberFormat="1" applyFont="1" applyFill="1" applyBorder="1" applyAlignment="1">
      <alignment horizontal="center" wrapText="1"/>
    </xf>
    <xf numFmtId="7" fontId="18" fillId="0" borderId="39" xfId="0" applyNumberFormat="1" applyFont="1" applyFill="1" applyBorder="1" applyAlignment="1">
      <alignment horizontal="center" wrapText="1"/>
    </xf>
    <xf numFmtId="7" fontId="18" fillId="0" borderId="15" xfId="0" applyNumberFormat="1" applyFont="1" applyFill="1" applyBorder="1" applyAlignment="1">
      <alignment horizontal="center" wrapText="1"/>
    </xf>
    <xf numFmtId="9" fontId="21" fillId="3" borderId="39" xfId="0" applyNumberFormat="1" applyFont="1" applyFill="1" applyBorder="1" applyAlignment="1"/>
    <xf numFmtId="9" fontId="21" fillId="3" borderId="15" xfId="0" applyNumberFormat="1" applyFont="1" applyFill="1" applyBorder="1" applyAlignment="1"/>
    <xf numFmtId="9" fontId="21" fillId="0" borderId="2" xfId="0" applyNumberFormat="1" applyFont="1" applyFill="1" applyBorder="1" applyAlignment="1">
      <alignment horizontal="right" vertical="center"/>
    </xf>
    <xf numFmtId="5" fontId="35" fillId="0" borderId="15" xfId="0" applyNumberFormat="1" applyFont="1" applyBorder="1" applyAlignment="1"/>
    <xf numFmtId="10" fontId="0" fillId="0" borderId="10" xfId="0" applyNumberFormat="1" applyFill="1" applyBorder="1" applyAlignment="1"/>
    <xf numFmtId="3" fontId="36" fillId="11" borderId="39" xfId="1" applyFont="1" applyFill="1" applyBorder="1" applyAlignment="1">
      <alignment horizontal="center"/>
    </xf>
    <xf numFmtId="3" fontId="21" fillId="11" borderId="15" xfId="1" applyFont="1" applyFill="1" applyBorder="1" applyAlignment="1">
      <alignment horizontal="center"/>
    </xf>
    <xf numFmtId="9" fontId="41" fillId="0" borderId="0" xfId="26" applyNumberFormat="1" applyFont="1" applyBorder="1" applyAlignment="1">
      <alignment horizontal="right"/>
    </xf>
    <xf numFmtId="1" fontId="20" fillId="0" borderId="0" xfId="0" applyNumberFormat="1" applyFont="1" applyFill="1" applyBorder="1" applyAlignment="1"/>
    <xf numFmtId="1" fontId="21" fillId="0" borderId="0" xfId="26" applyNumberFormat="1" applyFont="1" applyFill="1" applyBorder="1"/>
    <xf numFmtId="0" fontId="83" fillId="0" borderId="0" xfId="0" applyFont="1" applyBorder="1" applyAlignment="1">
      <alignment horizontal="left"/>
    </xf>
    <xf numFmtId="0" fontId="40" fillId="0" borderId="24" xfId="0" applyFont="1" applyFill="1" applyBorder="1" applyAlignment="1">
      <alignment horizontal="center" wrapText="1"/>
    </xf>
    <xf numFmtId="0" fontId="41" fillId="0" borderId="17" xfId="0" applyFont="1" applyFill="1" applyBorder="1" applyAlignment="1">
      <alignment horizontal="center"/>
    </xf>
    <xf numFmtId="0" fontId="21" fillId="0" borderId="39" xfId="0" applyFont="1" applyBorder="1" applyAlignment="1">
      <alignment horizontal="left"/>
    </xf>
    <xf numFmtId="0" fontId="87" fillId="0" borderId="0" xfId="0" applyFont="1" applyFill="1" applyBorder="1">
      <alignment vertical="top"/>
    </xf>
    <xf numFmtId="6" fontId="87" fillId="0" borderId="0" xfId="0" applyNumberFormat="1" applyFont="1" applyFill="1" applyBorder="1">
      <alignment vertical="top"/>
    </xf>
    <xf numFmtId="9" fontId="87" fillId="0" borderId="0" xfId="0" applyNumberFormat="1" applyFont="1" applyFill="1" applyBorder="1">
      <alignment vertical="top"/>
    </xf>
    <xf numFmtId="0" fontId="87" fillId="0" borderId="0" xfId="0" applyFont="1" applyFill="1">
      <alignment vertical="top"/>
    </xf>
    <xf numFmtId="5" fontId="21" fillId="11" borderId="39" xfId="0" applyNumberFormat="1" applyFont="1" applyFill="1" applyBorder="1" applyAlignment="1"/>
    <xf numFmtId="0" fontId="0" fillId="0" borderId="0" xfId="0" applyFill="1" applyBorder="1" applyAlignment="1">
      <alignment horizontal="center"/>
    </xf>
    <xf numFmtId="10" fontId="36" fillId="0" borderId="0" xfId="26" applyFont="1" applyFill="1" applyBorder="1" applyProtection="1">
      <protection locked="0"/>
    </xf>
    <xf numFmtId="0" fontId="0" fillId="0" borderId="23" xfId="0" applyBorder="1" applyAlignment="1"/>
    <xf numFmtId="0" fontId="0" fillId="0" borderId="52" xfId="0" applyBorder="1" applyAlignment="1"/>
    <xf numFmtId="0" fontId="0" fillId="0" borderId="23" xfId="0" applyFill="1" applyBorder="1" applyAlignment="1"/>
    <xf numFmtId="2" fontId="0" fillId="0" borderId="23" xfId="0" applyNumberFormat="1" applyFill="1" applyBorder="1" applyAlignment="1"/>
    <xf numFmtId="2" fontId="0" fillId="0" borderId="23" xfId="0" applyNumberFormat="1" applyBorder="1" applyAlignment="1"/>
    <xf numFmtId="2" fontId="21" fillId="0" borderId="23" xfId="0" applyNumberFormat="1" applyFont="1" applyFill="1" applyBorder="1" applyAlignment="1"/>
    <xf numFmtId="5" fontId="21" fillId="0" borderId="0" xfId="0" applyNumberFormat="1" applyFont="1" applyAlignment="1">
      <alignment horizontal="left"/>
    </xf>
    <xf numFmtId="2" fontId="0" fillId="0" borderId="43" xfId="0" applyNumberFormat="1" applyFill="1" applyBorder="1" applyAlignment="1"/>
    <xf numFmtId="0" fontId="18" fillId="24" borderId="54" xfId="0" applyFont="1" applyFill="1" applyBorder="1" applyAlignment="1">
      <alignment horizontal="center" wrapText="1"/>
    </xf>
    <xf numFmtId="2" fontId="54" fillId="0" borderId="23" xfId="0" applyNumberFormat="1" applyFont="1" applyBorder="1" applyAlignment="1"/>
    <xf numFmtId="2" fontId="49" fillId="0" borderId="23" xfId="0" applyNumberFormat="1" applyFont="1" applyBorder="1" applyAlignment="1"/>
    <xf numFmtId="4" fontId="21" fillId="0" borderId="23" xfId="0" applyNumberFormat="1" applyFont="1" applyFill="1" applyBorder="1" applyAlignment="1">
      <alignment horizontal="right"/>
    </xf>
    <xf numFmtId="0" fontId="18" fillId="24" borderId="24" xfId="0" applyFont="1" applyFill="1" applyBorder="1" applyAlignment="1">
      <alignment horizontal="center" wrapText="1"/>
    </xf>
    <xf numFmtId="2" fontId="0" fillId="0" borderId="55" xfId="0" applyNumberFormat="1" applyBorder="1" applyAlignment="1"/>
    <xf numFmtId="2" fontId="0" fillId="0" borderId="52" xfId="0" applyNumberFormat="1" applyBorder="1" applyAlignment="1"/>
    <xf numFmtId="2" fontId="54" fillId="0" borderId="52" xfId="0" applyNumberFormat="1" applyFont="1" applyBorder="1" applyAlignment="1"/>
    <xf numFmtId="2" fontId="49" fillId="0" borderId="52" xfId="0" applyNumberFormat="1" applyFont="1" applyBorder="1" applyAlignment="1"/>
    <xf numFmtId="2" fontId="0" fillId="0" borderId="43" xfId="0" applyNumberFormat="1" applyBorder="1" applyAlignment="1"/>
    <xf numFmtId="2" fontId="21" fillId="11" borderId="38" xfId="1" applyNumberFormat="1" applyFont="1" applyFill="1" applyBorder="1" applyProtection="1">
      <protection locked="0"/>
    </xf>
    <xf numFmtId="2" fontId="21" fillId="0" borderId="39" xfId="26" applyNumberFormat="1" applyFont="1" applyFill="1" applyBorder="1"/>
    <xf numFmtId="2" fontId="18" fillId="0" borderId="15" xfId="0" applyNumberFormat="1" applyFont="1" applyFill="1" applyBorder="1" applyAlignment="1"/>
    <xf numFmtId="0" fontId="21" fillId="0" borderId="23" xfId="0" applyFont="1" applyBorder="1" applyAlignment="1"/>
    <xf numFmtId="0" fontId="21" fillId="0" borderId="56" xfId="0" applyFont="1" applyFill="1" applyBorder="1" applyAlignment="1"/>
    <xf numFmtId="10" fontId="36" fillId="3" borderId="39" xfId="26" applyNumberFormat="1" applyFont="1" applyFill="1" applyBorder="1" applyProtection="1">
      <protection locked="0"/>
    </xf>
    <xf numFmtId="0" fontId="22" fillId="0" borderId="38" xfId="0" applyFont="1" applyBorder="1" applyAlignment="1"/>
    <xf numFmtId="0" fontId="22" fillId="0" borderId="39" xfId="0" applyFont="1" applyBorder="1" applyAlignment="1"/>
    <xf numFmtId="0" fontId="21" fillId="0" borderId="0" xfId="0" applyFont="1" applyFill="1" applyAlignment="1">
      <alignment horizontal="center"/>
    </xf>
    <xf numFmtId="9" fontId="21" fillId="0" borderId="0" xfId="0" applyNumberFormat="1" applyFont="1" applyFill="1" applyAlignment="1">
      <alignment horizontal="center"/>
    </xf>
    <xf numFmtId="0" fontId="21" fillId="0" borderId="0" xfId="0" applyFont="1" applyFill="1" applyBorder="1" applyAlignment="1">
      <alignment horizontal="center"/>
    </xf>
    <xf numFmtId="0" fontId="18" fillId="6" borderId="23" xfId="0" applyFont="1" applyFill="1" applyBorder="1" applyAlignment="1">
      <alignment horizontal="center" wrapText="1"/>
    </xf>
    <xf numFmtId="0" fontId="18" fillId="0" borderId="15" xfId="0" applyFont="1" applyFill="1" applyBorder="1" applyAlignment="1">
      <alignment horizontal="left"/>
    </xf>
    <xf numFmtId="0" fontId="20" fillId="21" borderId="0" xfId="0" applyFont="1" applyFill="1" applyBorder="1" applyAlignment="1"/>
    <xf numFmtId="0" fontId="21" fillId="31" borderId="0" xfId="0" applyFont="1" applyFill="1" applyBorder="1" applyAlignment="1">
      <alignment horizontal="right"/>
    </xf>
    <xf numFmtId="0" fontId="20" fillId="7" borderId="0" xfId="0" applyFont="1" applyFill="1" applyBorder="1" applyAlignment="1"/>
    <xf numFmtId="0" fontId="21" fillId="7" borderId="0" xfId="0" applyFont="1" applyFill="1" applyBorder="1" applyAlignment="1"/>
    <xf numFmtId="0" fontId="18" fillId="10" borderId="0" xfId="0" applyFont="1" applyFill="1" applyBorder="1" applyAlignment="1">
      <alignment horizontal="right"/>
    </xf>
    <xf numFmtId="0" fontId="21" fillId="10" borderId="0" xfId="0" applyFont="1" applyFill="1" applyBorder="1" applyAlignment="1">
      <alignment horizontal="right"/>
    </xf>
    <xf numFmtId="10" fontId="21" fillId="7" borderId="0" xfId="0" applyNumberFormat="1" applyFont="1" applyFill="1" applyBorder="1" applyAlignment="1"/>
    <xf numFmtId="0" fontId="20" fillId="10" borderId="0" xfId="0" applyFont="1" applyFill="1" applyBorder="1" applyAlignment="1"/>
    <xf numFmtId="0" fontId="21" fillId="10" borderId="0" xfId="0" applyFont="1" applyFill="1" applyBorder="1" applyAlignment="1"/>
    <xf numFmtId="9" fontId="21" fillId="10" borderId="0" xfId="0" applyNumberFormat="1" applyFont="1" applyFill="1" applyBorder="1" applyAlignment="1"/>
    <xf numFmtId="9" fontId="21" fillId="10" borderId="0" xfId="26" applyNumberFormat="1" applyFont="1" applyFill="1" applyBorder="1" applyAlignment="1">
      <alignment horizontal="right"/>
    </xf>
    <xf numFmtId="1" fontId="20" fillId="7" borderId="0" xfId="0" applyNumberFormat="1" applyFont="1" applyFill="1" applyBorder="1" applyAlignment="1"/>
    <xf numFmtId="1" fontId="21" fillId="7" borderId="0" xfId="0" applyNumberFormat="1" applyFont="1" applyFill="1" applyBorder="1" applyAlignment="1"/>
    <xf numFmtId="1" fontId="21" fillId="7" borderId="0" xfId="26" applyNumberFormat="1" applyFont="1" applyFill="1" applyBorder="1" applyAlignment="1">
      <alignment horizontal="right"/>
    </xf>
    <xf numFmtId="9" fontId="20" fillId="32" borderId="0" xfId="26" applyNumberFormat="1" applyFont="1" applyFill="1" applyBorder="1"/>
    <xf numFmtId="0" fontId="20" fillId="32" borderId="0" xfId="0" applyFont="1" applyFill="1" applyBorder="1" applyAlignment="1"/>
    <xf numFmtId="0" fontId="21" fillId="32" borderId="0" xfId="0" applyFont="1" applyFill="1" applyBorder="1" applyAlignment="1"/>
    <xf numFmtId="9" fontId="21" fillId="30" borderId="0" xfId="26" applyNumberFormat="1" applyFont="1" applyFill="1" applyBorder="1"/>
    <xf numFmtId="9" fontId="21" fillId="32" borderId="0" xfId="26" applyNumberFormat="1" applyFont="1" applyFill="1" applyBorder="1" applyAlignment="1">
      <alignment horizontal="right"/>
    </xf>
    <xf numFmtId="0" fontId="21" fillId="32" borderId="0" xfId="0" applyFont="1" applyFill="1" applyBorder="1" applyAlignment="1">
      <alignment horizontal="right"/>
    </xf>
    <xf numFmtId="0" fontId="21" fillId="30" borderId="0" xfId="0" applyFont="1" applyFill="1" applyBorder="1" applyAlignment="1">
      <alignment horizontal="right"/>
    </xf>
    <xf numFmtId="0" fontId="18" fillId="32" borderId="0" xfId="0" applyFont="1" applyFill="1" applyBorder="1" applyAlignment="1">
      <alignment horizontal="right"/>
    </xf>
    <xf numFmtId="0" fontId="20" fillId="4" borderId="0" xfId="0" applyFont="1" applyFill="1" applyBorder="1" applyAlignment="1"/>
    <xf numFmtId="0" fontId="18" fillId="5" borderId="0" xfId="0" applyFont="1" applyFill="1" applyBorder="1" applyAlignment="1">
      <alignment horizontal="right"/>
    </xf>
    <xf numFmtId="0" fontId="20" fillId="5" borderId="0" xfId="0" applyFont="1" applyFill="1" applyBorder="1" applyAlignment="1"/>
    <xf numFmtId="3" fontId="21" fillId="5" borderId="0" xfId="0" applyNumberFormat="1" applyFont="1" applyFill="1" applyBorder="1" applyAlignment="1"/>
    <xf numFmtId="0" fontId="21" fillId="5" borderId="0" xfId="0" applyFont="1" applyFill="1" applyBorder="1" applyAlignment="1"/>
    <xf numFmtId="3" fontId="18" fillId="5" borderId="0" xfId="0" applyNumberFormat="1" applyFont="1" applyFill="1" applyBorder="1" applyAlignment="1" applyProtection="1">
      <alignment horizontal="right"/>
    </xf>
    <xf numFmtId="10" fontId="20" fillId="5" borderId="0" xfId="0" applyNumberFormat="1" applyFont="1" applyFill="1" applyBorder="1" applyAlignment="1"/>
    <xf numFmtId="10" fontId="21" fillId="5" borderId="0" xfId="0" applyNumberFormat="1" applyFont="1" applyFill="1" applyBorder="1" applyAlignment="1"/>
    <xf numFmtId="10" fontId="21" fillId="5" borderId="0" xfId="0" applyNumberFormat="1" applyFont="1" applyFill="1" applyBorder="1" applyAlignment="1" applyProtection="1">
      <alignment horizontal="right"/>
    </xf>
    <xf numFmtId="8" fontId="20" fillId="5" borderId="0" xfId="0" applyNumberFormat="1" applyFont="1" applyFill="1" applyBorder="1" applyAlignment="1"/>
    <xf numFmtId="8" fontId="21" fillId="5" borderId="0" xfId="0" applyNumberFormat="1" applyFont="1" applyFill="1" applyBorder="1" applyAlignment="1"/>
    <xf numFmtId="8" fontId="21" fillId="5" borderId="0" xfId="0" applyNumberFormat="1" applyFont="1" applyFill="1" applyBorder="1" applyAlignment="1">
      <alignment horizontal="right"/>
    </xf>
    <xf numFmtId="5" fontId="21" fillId="32" borderId="0" xfId="0" applyNumberFormat="1" applyFont="1" applyFill="1" applyBorder="1" applyAlignment="1"/>
    <xf numFmtId="0" fontId="20" fillId="30" borderId="0" xfId="0" applyFont="1" applyFill="1" applyBorder="1" applyAlignment="1"/>
    <xf numFmtId="3" fontId="20" fillId="10" borderId="0" xfId="1" applyFont="1" applyFill="1" applyBorder="1"/>
    <xf numFmtId="3" fontId="21" fillId="10" borderId="0" xfId="1" applyFont="1" applyFill="1" applyBorder="1"/>
    <xf numFmtId="3" fontId="21" fillId="10" borderId="0" xfId="1" applyFont="1" applyFill="1" applyBorder="1" applyAlignment="1">
      <alignment horizontal="right"/>
    </xf>
    <xf numFmtId="3" fontId="21" fillId="7" borderId="0" xfId="1" applyFont="1" applyFill="1" applyBorder="1" applyAlignment="1">
      <alignment horizontal="right"/>
    </xf>
    <xf numFmtId="3" fontId="20" fillId="7" borderId="0" xfId="1" applyFont="1" applyFill="1" applyBorder="1"/>
    <xf numFmtId="0" fontId="21" fillId="7" borderId="0" xfId="0" applyFont="1" applyFill="1" applyBorder="1" applyAlignment="1">
      <alignment horizontal="right"/>
    </xf>
    <xf numFmtId="3" fontId="21" fillId="10" borderId="0" xfId="0" applyNumberFormat="1" applyFont="1" applyFill="1" applyBorder="1" applyAlignment="1"/>
    <xf numFmtId="0" fontId="0" fillId="7" borderId="0" xfId="0" applyFill="1" applyBorder="1" applyAlignment="1">
      <alignment horizontal="right"/>
    </xf>
    <xf numFmtId="6" fontId="21" fillId="10" borderId="0" xfId="0" applyNumberFormat="1" applyFont="1" applyFill="1" applyBorder="1" applyAlignment="1"/>
    <xf numFmtId="0" fontId="18" fillId="30" borderId="0" xfId="0" applyFont="1" applyFill="1" applyBorder="1" applyAlignment="1">
      <alignment horizontal="right"/>
    </xf>
    <xf numFmtId="37" fontId="21" fillId="32" borderId="0" xfId="0" applyNumberFormat="1" applyFont="1" applyFill="1" applyBorder="1" applyAlignment="1"/>
    <xf numFmtId="0" fontId="21" fillId="30" borderId="0" xfId="0" applyFont="1" applyFill="1" applyBorder="1" applyAlignment="1"/>
    <xf numFmtId="0" fontId="72" fillId="30" borderId="0" xfId="0" applyFont="1" applyFill="1" applyBorder="1" applyAlignment="1"/>
    <xf numFmtId="0" fontId="73" fillId="30" borderId="0" xfId="0" applyFont="1" applyFill="1" applyBorder="1" applyAlignment="1"/>
    <xf numFmtId="0" fontId="73" fillId="30" borderId="0" xfId="0" applyFont="1" applyFill="1" applyBorder="1" applyAlignment="1">
      <alignment horizontal="right"/>
    </xf>
    <xf numFmtId="0" fontId="20" fillId="9" borderId="0" xfId="0" applyFont="1" applyFill="1" applyBorder="1" applyAlignment="1"/>
    <xf numFmtId="0" fontId="18" fillId="9" borderId="0" xfId="0" applyFont="1" applyFill="1" applyBorder="1" applyAlignment="1">
      <alignment horizontal="right"/>
    </xf>
    <xf numFmtId="0" fontId="21" fillId="6" borderId="0" xfId="0" applyFont="1" applyFill="1" applyBorder="1" applyAlignment="1">
      <alignment horizontal="right"/>
    </xf>
    <xf numFmtId="0" fontId="18" fillId="6" borderId="0" xfId="0" applyFont="1" applyFill="1" applyBorder="1" applyAlignment="1">
      <alignment horizontal="right"/>
    </xf>
    <xf numFmtId="0" fontId="0" fillId="9" borderId="0" xfId="0" applyFill="1" applyBorder="1" applyAlignment="1"/>
    <xf numFmtId="0" fontId="20" fillId="31" borderId="0" xfId="0" applyFont="1" applyFill="1" applyBorder="1" applyAlignment="1"/>
    <xf numFmtId="0" fontId="21" fillId="31" borderId="0" xfId="0" applyFont="1" applyFill="1" applyBorder="1" applyAlignment="1"/>
    <xf numFmtId="0" fontId="20" fillId="31" borderId="0" xfId="0" applyFont="1" applyFill="1" applyAlignment="1"/>
    <xf numFmtId="0" fontId="0" fillId="21" borderId="0" xfId="0" applyFill="1" applyBorder="1" applyAlignment="1"/>
    <xf numFmtId="0" fontId="18" fillId="0" borderId="38" xfId="0" applyFont="1" applyFill="1" applyBorder="1" applyAlignment="1"/>
    <xf numFmtId="0" fontId="20" fillId="11" borderId="0" xfId="0" applyFont="1" applyFill="1" applyBorder="1" applyAlignment="1"/>
    <xf numFmtId="0" fontId="0" fillId="3" borderId="0" xfId="0" applyFill="1" applyBorder="1" applyAlignment="1"/>
    <xf numFmtId="0" fontId="21" fillId="11" borderId="0" xfId="0" applyFont="1" applyFill="1" applyBorder="1" applyAlignment="1">
      <alignment horizontal="right"/>
    </xf>
    <xf numFmtId="9" fontId="21" fillId="3" borderId="38" xfId="26" applyNumberFormat="1" applyFont="1" applyFill="1" applyBorder="1"/>
    <xf numFmtId="7" fontId="21" fillId="3" borderId="39" xfId="0" applyNumberFormat="1" applyFont="1" applyFill="1" applyBorder="1" applyAlignment="1">
      <alignment horizontal="right"/>
    </xf>
    <xf numFmtId="0" fontId="21" fillId="0" borderId="15" xfId="0" quotePrefix="1" applyFont="1" applyBorder="1" applyAlignment="1"/>
    <xf numFmtId="0" fontId="23" fillId="9" borderId="40" xfId="0" applyFont="1" applyFill="1" applyBorder="1" applyAlignment="1">
      <alignment horizontal="left"/>
    </xf>
    <xf numFmtId="5" fontId="21" fillId="3" borderId="15" xfId="0" applyNumberFormat="1" applyFont="1" applyFill="1" applyBorder="1" applyAlignment="1">
      <alignment horizontal="right"/>
    </xf>
    <xf numFmtId="0" fontId="0" fillId="0" borderId="0" xfId="0" applyFill="1" applyBorder="1">
      <alignment vertical="top"/>
    </xf>
    <xf numFmtId="0" fontId="35" fillId="0" borderId="38" xfId="0" applyFont="1" applyFill="1" applyBorder="1" applyAlignment="1">
      <alignment horizontal="left"/>
    </xf>
    <xf numFmtId="0" fontId="21" fillId="0" borderId="0" xfId="0" applyFont="1" applyFill="1" applyBorder="1" applyAlignment="1">
      <alignment vertical="top" wrapText="1"/>
    </xf>
    <xf numFmtId="9" fontId="0" fillId="0" borderId="0" xfId="26" applyNumberFormat="1" applyFont="1" applyFill="1" applyBorder="1"/>
    <xf numFmtId="165" fontId="0" fillId="0" borderId="0" xfId="0" applyNumberFormat="1">
      <alignment vertical="top"/>
    </xf>
    <xf numFmtId="5" fontId="21" fillId="0" borderId="3" xfId="6" applyFont="1" applyFill="1" applyBorder="1"/>
    <xf numFmtId="38" fontId="21" fillId="0" borderId="3" xfId="1" applyNumberFormat="1" applyFont="1" applyFill="1" applyBorder="1"/>
    <xf numFmtId="38" fontId="21" fillId="0" borderId="9" xfId="1" applyNumberFormat="1" applyFont="1" applyFill="1" applyBorder="1"/>
    <xf numFmtId="5" fontId="21" fillId="7" borderId="6" xfId="6" applyFont="1" applyFill="1" applyBorder="1"/>
    <xf numFmtId="9" fontId="21" fillId="7" borderId="6" xfId="26" applyNumberFormat="1" applyFont="1" applyFill="1" applyBorder="1"/>
    <xf numFmtId="9" fontId="21" fillId="7" borderId="39" xfId="0" applyNumberFormat="1" applyFont="1" applyFill="1" applyBorder="1" applyAlignment="1" applyProtection="1">
      <alignment horizontal="right"/>
      <protection locked="0"/>
    </xf>
    <xf numFmtId="169" fontId="23" fillId="0" borderId="18" xfId="6" applyNumberFormat="1" applyFont="1" applyFill="1" applyBorder="1"/>
    <xf numFmtId="171" fontId="23" fillId="0" borderId="18" xfId="6" applyNumberFormat="1" applyFont="1" applyFill="1" applyBorder="1"/>
    <xf numFmtId="9" fontId="21" fillId="0" borderId="16" xfId="0" applyNumberFormat="1" applyFont="1" applyFill="1" applyBorder="1" applyAlignment="1" applyProtection="1">
      <alignment horizontal="right"/>
      <protection locked="0"/>
    </xf>
    <xf numFmtId="10" fontId="21" fillId="0" borderId="16" xfId="0" applyNumberFormat="1" applyFont="1" applyFill="1" applyBorder="1" applyAlignment="1" applyProtection="1">
      <alignment horizontal="right"/>
      <protection locked="0"/>
    </xf>
    <xf numFmtId="10" fontId="18" fillId="19" borderId="39" xfId="0" applyNumberFormat="1" applyFont="1" applyFill="1" applyBorder="1" applyAlignment="1" applyProtection="1">
      <alignment horizontal="right"/>
      <protection locked="0"/>
    </xf>
    <xf numFmtId="179" fontId="18" fillId="0" borderId="0" xfId="26" applyNumberFormat="1" applyFont="1"/>
    <xf numFmtId="179" fontId="18" fillId="0" borderId="0" xfId="26" applyNumberFormat="1" applyFont="1" applyFill="1"/>
    <xf numFmtId="184" fontId="21" fillId="0" borderId="0" xfId="0" applyNumberFormat="1" applyFont="1" applyFill="1" applyAlignment="1">
      <alignment horizontal="center"/>
    </xf>
    <xf numFmtId="9" fontId="20" fillId="0" borderId="0" xfId="26" applyNumberFormat="1" applyFont="1" applyFill="1" applyBorder="1"/>
    <xf numFmtId="9" fontId="21" fillId="0" borderId="0" xfId="26" applyNumberFormat="1" applyFont="1" applyFill="1" applyBorder="1"/>
    <xf numFmtId="0" fontId="18" fillId="0" borderId="5" xfId="0" applyFont="1" applyBorder="1" applyAlignment="1">
      <alignment horizontal="center"/>
    </xf>
    <xf numFmtId="0" fontId="18" fillId="0" borderId="5" xfId="0" applyFont="1" applyBorder="1" applyAlignment="1">
      <alignment horizontal="centerContinuous"/>
    </xf>
    <xf numFmtId="0" fontId="78" fillId="0" borderId="0" xfId="0" applyFont="1" applyBorder="1" applyAlignment="1"/>
    <xf numFmtId="0" fontId="78" fillId="0" borderId="18" xfId="0" applyFont="1" applyBorder="1" applyAlignment="1"/>
    <xf numFmtId="0" fontId="93" fillId="0" borderId="58" xfId="0" applyFont="1" applyFill="1" applyBorder="1" applyAlignment="1"/>
    <xf numFmtId="0" fontId="36" fillId="0" borderId="58" xfId="0" applyFont="1" applyBorder="1" applyAlignment="1"/>
    <xf numFmtId="0" fontId="36" fillId="0" borderId="58" xfId="0" applyFont="1" applyFill="1" applyBorder="1" applyAlignment="1"/>
    <xf numFmtId="0" fontId="92" fillId="0" borderId="0" xfId="0" applyFont="1" applyAlignment="1"/>
    <xf numFmtId="1" fontId="92" fillId="0" borderId="0" xfId="0" applyNumberFormat="1" applyFont="1" applyAlignment="1"/>
    <xf numFmtId="169" fontId="92" fillId="0" borderId="0" xfId="6" applyNumberFormat="1" applyFont="1" applyFill="1"/>
    <xf numFmtId="171" fontId="92" fillId="0" borderId="0" xfId="6" applyNumberFormat="1" applyFont="1"/>
    <xf numFmtId="169" fontId="92" fillId="0" borderId="0" xfId="6" applyNumberFormat="1" applyFont="1" applyFill="1" applyBorder="1"/>
    <xf numFmtId="0" fontId="23" fillId="0" borderId="0" xfId="0" applyFont="1" applyAlignment="1">
      <alignment horizontal="right"/>
    </xf>
    <xf numFmtId="9" fontId="50" fillId="0" borderId="0" xfId="0" applyNumberFormat="1" applyFont="1" applyFill="1" applyAlignment="1"/>
    <xf numFmtId="8" fontId="50" fillId="0" borderId="0" xfId="0" applyNumberFormat="1" applyFont="1" applyFill="1" applyAlignment="1"/>
    <xf numFmtId="10" fontId="50" fillId="0" borderId="0" xfId="26" applyNumberFormat="1" applyFont="1" applyFill="1"/>
    <xf numFmtId="8" fontId="50" fillId="0" borderId="0" xfId="0" applyNumberFormat="1" applyFont="1" applyAlignment="1"/>
    <xf numFmtId="0" fontId="20" fillId="33" borderId="0" xfId="0" applyFont="1" applyFill="1" applyBorder="1" applyAlignment="1"/>
    <xf numFmtId="0" fontId="21" fillId="33" borderId="0" xfId="0" applyFont="1" applyFill="1" applyBorder="1" applyAlignment="1"/>
    <xf numFmtId="0" fontId="21" fillId="29" borderId="0" xfId="0" applyFont="1" applyFill="1" applyBorder="1" applyAlignment="1">
      <alignment horizontal="right"/>
    </xf>
    <xf numFmtId="0" fontId="20" fillId="29" borderId="0" xfId="0" applyFont="1" applyFill="1" applyBorder="1" applyAlignment="1"/>
    <xf numFmtId="0" fontId="21" fillId="33" borderId="0" xfId="0" applyFont="1" applyFill="1" applyBorder="1" applyAlignment="1">
      <alignment horizontal="right"/>
    </xf>
    <xf numFmtId="37" fontId="21" fillId="33" borderId="0" xfId="0" applyNumberFormat="1" applyFont="1" applyFill="1" applyBorder="1" applyAlignment="1"/>
    <xf numFmtId="1" fontId="21" fillId="0" borderId="0" xfId="0" applyNumberFormat="1" applyFont="1" applyFill="1" applyAlignment="1"/>
    <xf numFmtId="1" fontId="21" fillId="0" borderId="0" xfId="0" applyNumberFormat="1" applyFont="1" applyAlignment="1"/>
    <xf numFmtId="169" fontId="21" fillId="0" borderId="0" xfId="6" applyNumberFormat="1" applyFont="1" applyFill="1"/>
    <xf numFmtId="171" fontId="21" fillId="0" borderId="0" xfId="6" applyNumberFormat="1" applyFont="1"/>
    <xf numFmtId="2" fontId="21" fillId="0" borderId="0" xfId="0" applyNumberFormat="1" applyFont="1" applyFill="1" applyAlignment="1"/>
    <xf numFmtId="1" fontId="21" fillId="0" borderId="18" xfId="0" applyNumberFormat="1" applyFont="1" applyFill="1" applyBorder="1" applyAlignment="1"/>
    <xf numFmtId="1" fontId="21" fillId="0" borderId="18" xfId="0" applyNumberFormat="1" applyFont="1" applyBorder="1" applyAlignment="1"/>
    <xf numFmtId="169" fontId="21" fillId="0" borderId="18" xfId="6" applyNumberFormat="1" applyFont="1" applyFill="1" applyBorder="1"/>
    <xf numFmtId="171" fontId="21" fillId="0" borderId="18" xfId="6" applyNumberFormat="1" applyFont="1" applyBorder="1"/>
    <xf numFmtId="2" fontId="21" fillId="0" borderId="18" xfId="0" applyNumberFormat="1" applyFont="1" applyFill="1" applyBorder="1" applyAlignment="1"/>
    <xf numFmtId="1" fontId="78" fillId="0" borderId="0" xfId="0" applyNumberFormat="1" applyFont="1" applyAlignment="1"/>
    <xf numFmtId="171" fontId="18" fillId="0" borderId="0" xfId="6" applyNumberFormat="1" applyFont="1"/>
    <xf numFmtId="2" fontId="18" fillId="0" borderId="0" xfId="0" applyNumberFormat="1" applyFont="1" applyFill="1" applyAlignment="1"/>
    <xf numFmtId="1" fontId="95" fillId="0" borderId="18" xfId="0" applyNumberFormat="1" applyFont="1" applyFill="1" applyBorder="1" applyAlignment="1"/>
    <xf numFmtId="169" fontId="78" fillId="0" borderId="0" xfId="6" applyNumberFormat="1" applyFont="1" applyFill="1"/>
    <xf numFmtId="171" fontId="92" fillId="0" borderId="0" xfId="6" applyNumberFormat="1" applyFont="1" applyFill="1" applyBorder="1"/>
    <xf numFmtId="0" fontId="92" fillId="0" borderId="0" xfId="0" applyFont="1" applyFill="1" applyAlignment="1"/>
    <xf numFmtId="4" fontId="78" fillId="0" borderId="0" xfId="0" applyNumberFormat="1" applyFont="1" applyFill="1" applyAlignment="1"/>
    <xf numFmtId="9" fontId="39" fillId="0" borderId="0" xfId="0" applyNumberFormat="1" applyFont="1" applyAlignment="1"/>
    <xf numFmtId="4" fontId="39" fillId="0" borderId="0" xfId="0" applyNumberFormat="1" applyFont="1" applyAlignment="1"/>
    <xf numFmtId="2" fontId="21" fillId="0" borderId="0" xfId="0" applyNumberFormat="1" applyFont="1" applyFill="1" applyBorder="1" applyAlignment="1"/>
    <xf numFmtId="0" fontId="69" fillId="0" borderId="0" xfId="0" applyFont="1" applyAlignment="1"/>
    <xf numFmtId="0" fontId="41" fillId="21" borderId="0" xfId="0" applyFont="1" applyFill="1" applyAlignment="1"/>
    <xf numFmtId="4" fontId="0" fillId="0" borderId="60" xfId="0" applyNumberFormat="1" applyFill="1" applyBorder="1" applyAlignment="1"/>
    <xf numFmtId="0" fontId="23" fillId="0" borderId="15" xfId="0" applyFont="1" applyBorder="1" applyAlignment="1">
      <alignment horizontal="left"/>
    </xf>
    <xf numFmtId="167" fontId="35" fillId="31" borderId="38" xfId="0" applyNumberFormat="1" applyFont="1" applyFill="1" applyBorder="1" applyAlignment="1">
      <alignment horizontal="center"/>
    </xf>
    <xf numFmtId="0" fontId="20" fillId="0" borderId="23" xfId="0" applyFont="1" applyBorder="1" applyAlignment="1">
      <alignment horizontal="left"/>
    </xf>
    <xf numFmtId="3" fontId="21" fillId="0" borderId="23" xfId="0" applyNumberFormat="1" applyFont="1" applyFill="1" applyBorder="1" applyAlignment="1" applyProtection="1">
      <alignment horizontal="left"/>
    </xf>
    <xf numFmtId="164" fontId="21" fillId="0" borderId="23" xfId="0" applyNumberFormat="1" applyFont="1" applyFill="1" applyBorder="1" applyAlignment="1">
      <alignment horizontal="right"/>
    </xf>
    <xf numFmtId="0" fontId="20" fillId="0" borderId="23" xfId="0" applyFont="1" applyBorder="1" applyAlignment="1"/>
    <xf numFmtId="3" fontId="21" fillId="0" borderId="23" xfId="0" applyNumberFormat="1" applyFont="1" applyFill="1" applyBorder="1" applyAlignment="1" applyProtection="1"/>
    <xf numFmtId="164" fontId="21" fillId="0" borderId="23" xfId="0" applyNumberFormat="1" applyFont="1" applyFill="1" applyBorder="1" applyAlignment="1"/>
    <xf numFmtId="0" fontId="21" fillId="0" borderId="23" xfId="0" applyFont="1" applyFill="1" applyBorder="1" applyAlignment="1"/>
    <xf numFmtId="0" fontId="21" fillId="0" borderId="23" xfId="0" applyFont="1" applyFill="1" applyBorder="1" applyAlignment="1">
      <alignment horizontal="right"/>
    </xf>
    <xf numFmtId="0" fontId="42" fillId="0" borderId="2" xfId="0" applyFont="1" applyBorder="1" applyAlignment="1">
      <alignment horizontal="center"/>
    </xf>
    <xf numFmtId="0" fontId="36" fillId="3" borderId="3" xfId="0" applyFont="1" applyFill="1" applyBorder="1" applyAlignment="1">
      <alignment horizontal="left"/>
    </xf>
    <xf numFmtId="0" fontId="36" fillId="3" borderId="0" xfId="0" applyFont="1" applyFill="1" applyBorder="1" applyAlignment="1">
      <alignment horizontal="left"/>
    </xf>
    <xf numFmtId="0" fontId="36" fillId="3" borderId="6" xfId="0" applyFont="1" applyFill="1" applyBorder="1" applyAlignment="1">
      <alignment horizontal="left"/>
    </xf>
    <xf numFmtId="0" fontId="36" fillId="9" borderId="3" xfId="0" applyFont="1" applyFill="1" applyBorder="1" applyAlignment="1">
      <alignment horizontal="left"/>
    </xf>
    <xf numFmtId="0" fontId="36" fillId="9" borderId="0" xfId="0" applyFont="1" applyFill="1" applyBorder="1" applyAlignment="1">
      <alignment horizontal="left"/>
    </xf>
    <xf numFmtId="0" fontId="36" fillId="9" borderId="6" xfId="0" applyFont="1" applyFill="1" applyBorder="1" applyAlignment="1">
      <alignment horizontal="left"/>
    </xf>
    <xf numFmtId="1" fontId="96" fillId="0" borderId="0" xfId="0" applyNumberFormat="1" applyFont="1" applyAlignment="1"/>
    <xf numFmtId="8" fontId="96" fillId="0" borderId="0" xfId="0" applyNumberFormat="1" applyFont="1" applyFill="1" applyAlignment="1"/>
    <xf numFmtId="4" fontId="96" fillId="0" borderId="0" xfId="1" applyNumberFormat="1" applyFont="1" applyFill="1"/>
    <xf numFmtId="0" fontId="96" fillId="0" borderId="0" xfId="0" applyFont="1" applyAlignment="1"/>
    <xf numFmtId="0" fontId="36" fillId="0" borderId="4" xfId="0" applyFont="1" applyBorder="1" applyAlignment="1"/>
    <xf numFmtId="10" fontId="36" fillId="10" borderId="5" xfId="0" applyNumberFormat="1" applyFont="1" applyFill="1" applyBorder="1" applyAlignment="1" applyProtection="1">
      <protection locked="0"/>
    </xf>
    <xf numFmtId="0" fontId="36" fillId="0" borderId="5" xfId="0" applyFont="1" applyBorder="1" applyAlignment="1"/>
    <xf numFmtId="9" fontId="36" fillId="3" borderId="39" xfId="26" applyNumberFormat="1" applyFont="1" applyFill="1" applyBorder="1" applyAlignment="1" applyProtection="1">
      <protection locked="0"/>
    </xf>
    <xf numFmtId="9" fontId="36" fillId="3" borderId="15" xfId="26" applyNumberFormat="1" applyFont="1" applyFill="1" applyBorder="1" applyAlignment="1" applyProtection="1">
      <protection locked="0"/>
    </xf>
    <xf numFmtId="3" fontId="21" fillId="0" borderId="0" xfId="1" applyFont="1" applyAlignment="1"/>
    <xf numFmtId="3" fontId="21" fillId="0" borderId="0" xfId="0" applyNumberFormat="1" applyFont="1" applyFill="1" applyAlignment="1"/>
    <xf numFmtId="167" fontId="21" fillId="0" borderId="0" xfId="0" applyNumberFormat="1" applyFont="1" applyAlignment="1"/>
    <xf numFmtId="167" fontId="21" fillId="0" borderId="0" xfId="0" applyNumberFormat="1" applyFont="1" applyFill="1" applyAlignment="1"/>
    <xf numFmtId="167" fontId="35" fillId="0" borderId="3" xfId="0" applyNumberFormat="1" applyFont="1" applyFill="1" applyBorder="1" applyAlignment="1"/>
    <xf numFmtId="0" fontId="36" fillId="8" borderId="5" xfId="0" applyFont="1" applyFill="1" applyBorder="1" applyAlignment="1">
      <alignment horizontal="centerContinuous"/>
    </xf>
    <xf numFmtId="0" fontId="36" fillId="8" borderId="2" xfId="0" applyFont="1" applyFill="1" applyBorder="1" applyAlignment="1">
      <alignment horizontal="centerContinuous"/>
    </xf>
    <xf numFmtId="5" fontId="18" fillId="18" borderId="36" xfId="0" applyNumberFormat="1" applyFont="1" applyFill="1" applyBorder="1" applyAlignment="1"/>
    <xf numFmtId="0" fontId="36" fillId="17" borderId="9" xfId="0" applyFont="1" applyFill="1" applyBorder="1" applyAlignment="1">
      <alignment horizontal="left"/>
    </xf>
    <xf numFmtId="0" fontId="36" fillId="17" borderId="10" xfId="0" applyFont="1" applyFill="1" applyBorder="1" applyAlignment="1">
      <alignment horizontal="left"/>
    </xf>
    <xf numFmtId="0" fontId="36" fillId="17" borderId="7" xfId="0" applyFont="1" applyFill="1" applyBorder="1" applyAlignment="1">
      <alignment horizontal="left"/>
    </xf>
    <xf numFmtId="0" fontId="36" fillId="10" borderId="3" xfId="0" applyFont="1" applyFill="1" applyBorder="1" applyAlignment="1">
      <alignment horizontal="left"/>
    </xf>
    <xf numFmtId="0" fontId="36" fillId="10" borderId="0" xfId="0" applyFont="1" applyFill="1" applyBorder="1" applyAlignment="1">
      <alignment horizontal="left"/>
    </xf>
    <xf numFmtId="0" fontId="36" fillId="10" borderId="6" xfId="0" applyFont="1" applyFill="1" applyBorder="1" applyAlignment="1">
      <alignment horizontal="left"/>
    </xf>
    <xf numFmtId="187" fontId="21" fillId="0" borderId="0" xfId="0" applyNumberFormat="1" applyFont="1" applyAlignment="1">
      <alignment horizontal="left"/>
    </xf>
    <xf numFmtId="179" fontId="18" fillId="0" borderId="0" xfId="0" applyNumberFormat="1" applyFont="1" applyFill="1" applyBorder="1" applyAlignment="1" applyProtection="1">
      <protection locked="0"/>
    </xf>
    <xf numFmtId="188" fontId="18" fillId="0" borderId="0" xfId="0" applyNumberFormat="1" applyFont="1" applyFill="1" applyBorder="1" applyAlignment="1" applyProtection="1">
      <protection locked="0"/>
    </xf>
    <xf numFmtId="8" fontId="23" fillId="0" borderId="0" xfId="0" applyNumberFormat="1" applyFont="1" applyFill="1" applyAlignment="1"/>
    <xf numFmtId="4" fontId="23" fillId="0" borderId="0" xfId="1" applyNumberFormat="1" applyFont="1" applyFill="1"/>
    <xf numFmtId="0" fontId="98" fillId="3" borderId="0" xfId="0" applyFont="1" applyFill="1" applyBorder="1" applyAlignment="1"/>
    <xf numFmtId="0" fontId="99" fillId="3" borderId="0" xfId="0" applyFont="1" applyFill="1" applyBorder="1" applyAlignment="1"/>
    <xf numFmtId="0" fontId="99" fillId="11" borderId="0" xfId="0" applyFont="1" applyFill="1" applyBorder="1" applyAlignment="1">
      <alignment horizontal="right"/>
    </xf>
    <xf numFmtId="0" fontId="99" fillId="0" borderId="0" xfId="0" applyFont="1" applyBorder="1" applyAlignment="1">
      <alignment horizontal="center"/>
    </xf>
    <xf numFmtId="0" fontId="99" fillId="0" borderId="0" xfId="0" applyFont="1" applyBorder="1" applyAlignment="1"/>
    <xf numFmtId="171" fontId="99" fillId="0" borderId="0" xfId="0" applyNumberFormat="1" applyFont="1" applyBorder="1" applyAlignment="1">
      <alignment horizontal="center"/>
    </xf>
    <xf numFmtId="8" fontId="99" fillId="0" borderId="0" xfId="0" applyNumberFormat="1" applyFont="1" applyBorder="1" applyAlignment="1">
      <alignment horizontal="center"/>
    </xf>
    <xf numFmtId="169" fontId="99" fillId="0" borderId="0" xfId="0" applyNumberFormat="1" applyFont="1" applyFill="1" applyBorder="1" applyAlignment="1">
      <alignment horizontal="center"/>
    </xf>
    <xf numFmtId="1" fontId="41" fillId="0" borderId="0" xfId="0" applyNumberFormat="1" applyFont="1" applyAlignment="1"/>
    <xf numFmtId="1" fontId="41" fillId="0" borderId="0" xfId="0" applyNumberFormat="1" applyFont="1" applyFill="1" applyAlignment="1"/>
    <xf numFmtId="5" fontId="18" fillId="0" borderId="6" xfId="0" applyNumberFormat="1" applyFont="1" applyFill="1" applyBorder="1" applyAlignment="1"/>
    <xf numFmtId="5" fontId="35" fillId="0" borderId="7" xfId="0" applyNumberFormat="1" applyFont="1" applyFill="1" applyBorder="1" applyAlignment="1"/>
    <xf numFmtId="167" fontId="21" fillId="0" borderId="6" xfId="0" applyNumberFormat="1" applyFont="1" applyBorder="1" applyAlignment="1"/>
    <xf numFmtId="0" fontId="18" fillId="31" borderId="6" xfId="0" applyFont="1" applyFill="1" applyBorder="1" applyAlignment="1">
      <alignment horizontal="center"/>
    </xf>
    <xf numFmtId="5" fontId="18" fillId="31" borderId="6" xfId="0" applyNumberFormat="1" applyFont="1" applyFill="1" applyBorder="1" applyAlignment="1">
      <alignment horizontal="center"/>
    </xf>
    <xf numFmtId="5" fontId="36" fillId="0" borderId="0" xfId="0" applyNumberFormat="1" applyFont="1" applyFill="1" applyBorder="1" applyAlignment="1">
      <alignment horizontal="right"/>
    </xf>
    <xf numFmtId="5" fontId="23" fillId="0" borderId="6" xfId="0" applyNumberFormat="1" applyFont="1" applyFill="1" applyBorder="1" applyAlignment="1"/>
    <xf numFmtId="5" fontId="35" fillId="0" borderId="40" xfId="0" applyNumberFormat="1" applyFont="1" applyBorder="1" applyAlignment="1"/>
    <xf numFmtId="0" fontId="21" fillId="3" borderId="34" xfId="0" applyFont="1" applyFill="1" applyBorder="1" applyAlignment="1"/>
    <xf numFmtId="5" fontId="21" fillId="0" borderId="0" xfId="0" applyNumberFormat="1" applyFont="1" applyFill="1" applyAlignment="1">
      <alignment horizontal="left"/>
    </xf>
    <xf numFmtId="0" fontId="78" fillId="0" borderId="0" xfId="0" applyFont="1" applyFill="1" applyAlignment="1"/>
    <xf numFmtId="1" fontId="78" fillId="0" borderId="0" xfId="0" applyNumberFormat="1" applyFont="1" applyFill="1" applyAlignment="1"/>
    <xf numFmtId="8" fontId="78" fillId="0" borderId="0" xfId="0" applyNumberFormat="1" applyFont="1" applyFill="1" applyAlignment="1"/>
    <xf numFmtId="4" fontId="78" fillId="0" borderId="0" xfId="1" applyNumberFormat="1" applyFont="1" applyFill="1"/>
    <xf numFmtId="169" fontId="21" fillId="21" borderId="39" xfId="0" applyNumberFormat="1" applyFont="1" applyFill="1" applyBorder="1" applyAlignment="1"/>
    <xf numFmtId="169" fontId="21" fillId="31" borderId="15" xfId="0" applyNumberFormat="1" applyFont="1" applyFill="1" applyBorder="1" applyAlignment="1"/>
    <xf numFmtId="10" fontId="23" fillId="0" borderId="0" xfId="0" applyNumberFormat="1" applyFont="1" applyAlignment="1"/>
    <xf numFmtId="10" fontId="0" fillId="0" borderId="0" xfId="0" applyNumberFormat="1" applyAlignment="1">
      <alignment vertical="top" wrapText="1"/>
    </xf>
    <xf numFmtId="4" fontId="37" fillId="0" borderId="0" xfId="0" applyNumberFormat="1" applyFont="1" applyAlignment="1"/>
    <xf numFmtId="0" fontId="23" fillId="0" borderId="38" xfId="0" applyFont="1" applyFill="1" applyBorder="1" applyAlignment="1"/>
    <xf numFmtId="0" fontId="39" fillId="0" borderId="39" xfId="0" applyFont="1" applyBorder="1" applyAlignment="1"/>
    <xf numFmtId="0" fontId="35" fillId="0" borderId="0" xfId="0" applyFont="1" applyFill="1" applyBorder="1" applyAlignment="1">
      <alignment horizontal="left"/>
    </xf>
    <xf numFmtId="0" fontId="23" fillId="0" borderId="0" xfId="0" applyFont="1" applyFill="1" applyBorder="1" applyAlignment="1"/>
    <xf numFmtId="0" fontId="23" fillId="0" borderId="10" xfId="0" applyFont="1" applyBorder="1" applyAlignment="1"/>
    <xf numFmtId="0" fontId="22" fillId="0" borderId="38" xfId="0" applyFont="1" applyFill="1" applyBorder="1" applyAlignment="1">
      <alignment horizontal="left"/>
    </xf>
    <xf numFmtId="164" fontId="21" fillId="0" borderId="39" xfId="26" applyNumberFormat="1" applyFont="1" applyFill="1" applyBorder="1" applyAlignment="1">
      <alignment horizontal="center"/>
    </xf>
    <xf numFmtId="0" fontId="22" fillId="0" borderId="39" xfId="0" applyFont="1" applyFill="1" applyBorder="1" applyAlignment="1"/>
    <xf numFmtId="0" fontId="22" fillId="0" borderId="15" xfId="0" applyFont="1" applyFill="1" applyBorder="1" applyAlignment="1"/>
    <xf numFmtId="0" fontId="54" fillId="0" borderId="0" xfId="0" applyFont="1" applyFill="1" applyBorder="1" applyAlignment="1"/>
    <xf numFmtId="7" fontId="0" fillId="0" borderId="0" xfId="0" applyNumberFormat="1" applyFill="1" applyBorder="1" applyAlignment="1">
      <alignment horizontal="center"/>
    </xf>
    <xf numFmtId="0" fontId="0" fillId="0" borderId="8" xfId="0" applyBorder="1">
      <alignment vertical="top"/>
    </xf>
    <xf numFmtId="0" fontId="0" fillId="0" borderId="39" xfId="0" applyBorder="1">
      <alignment vertical="top"/>
    </xf>
    <xf numFmtId="0" fontId="18" fillId="0" borderId="53" xfId="0" applyFont="1" applyBorder="1" applyAlignment="1">
      <alignment horizontal="center"/>
    </xf>
    <xf numFmtId="0" fontId="0" fillId="0" borderId="2" xfId="0" applyBorder="1">
      <alignment vertical="top"/>
    </xf>
    <xf numFmtId="169" fontId="23" fillId="6" borderId="61" xfId="0" applyNumberFormat="1" applyFont="1" applyFill="1" applyBorder="1">
      <alignment vertical="top"/>
    </xf>
    <xf numFmtId="169" fontId="0" fillId="0" borderId="6" xfId="0" applyNumberFormat="1" applyFill="1" applyBorder="1">
      <alignment vertical="top"/>
    </xf>
    <xf numFmtId="0" fontId="0" fillId="0" borderId="39" xfId="0" quotePrefix="1" applyBorder="1" applyAlignment="1">
      <alignment horizontal="left"/>
    </xf>
    <xf numFmtId="169" fontId="0" fillId="0" borderId="61" xfId="6" applyNumberFormat="1" applyFont="1" applyFill="1" applyBorder="1"/>
    <xf numFmtId="169" fontId="0" fillId="0" borderId="6" xfId="6" applyNumberFormat="1" applyFont="1" applyFill="1" applyBorder="1"/>
    <xf numFmtId="0" fontId="0" fillId="0" borderId="15" xfId="0" applyBorder="1">
      <alignment vertical="top"/>
    </xf>
    <xf numFmtId="169" fontId="0" fillId="0" borderId="62" xfId="6" applyNumberFormat="1" applyFont="1" applyFill="1" applyBorder="1"/>
    <xf numFmtId="169" fontId="18" fillId="0" borderId="61" xfId="0" applyNumberFormat="1" applyFont="1" applyFill="1" applyBorder="1" applyAlignment="1">
      <alignment horizontal="center"/>
    </xf>
    <xf numFmtId="169" fontId="18" fillId="0" borderId="6" xfId="0" applyNumberFormat="1" applyFont="1" applyFill="1" applyBorder="1" applyAlignment="1">
      <alignment horizontal="center"/>
    </xf>
    <xf numFmtId="169" fontId="0" fillId="0" borderId="61" xfId="0" applyNumberFormat="1" applyFill="1" applyBorder="1">
      <alignment vertical="top"/>
    </xf>
    <xf numFmtId="169" fontId="23" fillId="0" borderId="62" xfId="6" applyNumberFormat="1" applyFont="1" applyFill="1" applyBorder="1"/>
    <xf numFmtId="169" fontId="0" fillId="0" borderId="7" xfId="6" applyNumberFormat="1" applyFont="1" applyFill="1" applyBorder="1"/>
    <xf numFmtId="169" fontId="23" fillId="6" borderId="61" xfId="6" applyNumberFormat="1" applyFont="1" applyFill="1" applyBorder="1"/>
    <xf numFmtId="191" fontId="0" fillId="6" borderId="6" xfId="6" applyNumberFormat="1" applyFont="1" applyFill="1" applyBorder="1"/>
    <xf numFmtId="0" fontId="18" fillId="0" borderId="61" xfId="0" applyFont="1" applyFill="1" applyBorder="1" applyAlignment="1">
      <alignment horizontal="center"/>
    </xf>
    <xf numFmtId="0" fontId="0" fillId="0" borderId="6" xfId="0" applyFill="1" applyBorder="1">
      <alignment vertical="top"/>
    </xf>
    <xf numFmtId="0" fontId="0" fillId="0" borderId="15" xfId="0" quotePrefix="1" applyBorder="1" applyAlignment="1">
      <alignment horizontal="left"/>
    </xf>
    <xf numFmtId="169" fontId="0" fillId="0" borderId="62" xfId="0" applyNumberFormat="1" applyFill="1" applyBorder="1">
      <alignment vertical="top"/>
    </xf>
    <xf numFmtId="169" fontId="23" fillId="6" borderId="62" xfId="0" applyNumberFormat="1" applyFont="1" applyFill="1" applyBorder="1">
      <alignment vertical="top"/>
    </xf>
    <xf numFmtId="169" fontId="0" fillId="0" borderId="7" xfId="0" applyNumberFormat="1" applyFill="1" applyBorder="1">
      <alignment vertical="top"/>
    </xf>
    <xf numFmtId="192" fontId="96" fillId="0" borderId="0" xfId="0" applyNumberFormat="1" applyFont="1" applyAlignment="1"/>
    <xf numFmtId="5" fontId="23" fillId="0" borderId="0" xfId="6" applyFont="1"/>
    <xf numFmtId="169" fontId="36" fillId="0" borderId="0" xfId="0" applyNumberFormat="1" applyFont="1" applyAlignment="1"/>
    <xf numFmtId="169" fontId="0" fillId="6" borderId="61" xfId="0" applyNumberFormat="1" applyFill="1" applyBorder="1">
      <alignment vertical="top"/>
    </xf>
    <xf numFmtId="0" fontId="42" fillId="0" borderId="0" xfId="0" applyFont="1" applyAlignment="1">
      <alignment horizontal="center"/>
    </xf>
    <xf numFmtId="0" fontId="0" fillId="0" borderId="39" xfId="0" applyBorder="1" applyAlignment="1">
      <alignment horizontal="left"/>
    </xf>
    <xf numFmtId="0" fontId="0" fillId="0" borderId="38" xfId="0" applyBorder="1">
      <alignment vertical="top"/>
    </xf>
    <xf numFmtId="0" fontId="100" fillId="0" borderId="39" xfId="0" applyFont="1" applyBorder="1" applyAlignment="1">
      <alignment horizontal="center"/>
    </xf>
    <xf numFmtId="169" fontId="100" fillId="0" borderId="39" xfId="0" applyNumberFormat="1" applyFont="1" applyBorder="1" applyAlignment="1">
      <alignment horizontal="right"/>
    </xf>
    <xf numFmtId="0" fontId="101" fillId="0" borderId="39" xfId="0" applyFont="1" applyBorder="1">
      <alignment vertical="top"/>
    </xf>
    <xf numFmtId="169" fontId="100" fillId="0" borderId="39" xfId="0" applyNumberFormat="1" applyFont="1" applyBorder="1" applyAlignment="1">
      <alignment horizontal="center"/>
    </xf>
    <xf numFmtId="169" fontId="78" fillId="0" borderId="0" xfId="0" applyNumberFormat="1" applyFont="1" applyFill="1" applyAlignment="1"/>
    <xf numFmtId="192" fontId="36" fillId="0" borderId="0" xfId="0" applyNumberFormat="1" applyFont="1" applyFill="1" applyAlignment="1"/>
    <xf numFmtId="169" fontId="0" fillId="6" borderId="6" xfId="6" applyNumberFormat="1" applyFont="1" applyFill="1" applyBorder="1"/>
    <xf numFmtId="0" fontId="85" fillId="30" borderId="0" xfId="0" applyFont="1" applyFill="1" applyAlignment="1"/>
    <xf numFmtId="0" fontId="85" fillId="30" borderId="0" xfId="0" applyFont="1" applyFill="1" applyBorder="1" applyAlignment="1"/>
    <xf numFmtId="169" fontId="85" fillId="30" borderId="0" xfId="6" applyNumberFormat="1" applyFont="1" applyFill="1"/>
    <xf numFmtId="171" fontId="85" fillId="30" borderId="0" xfId="6" applyNumberFormat="1" applyFont="1" applyFill="1"/>
    <xf numFmtId="3" fontId="85" fillId="30" borderId="0" xfId="1" applyFont="1" applyFill="1"/>
    <xf numFmtId="0" fontId="36" fillId="0" borderId="0" xfId="0" applyFont="1" applyFill="1" applyAlignment="1">
      <alignment horizontal="center"/>
    </xf>
    <xf numFmtId="3" fontId="50" fillId="0" borderId="0" xfId="1" applyFont="1" applyFill="1"/>
    <xf numFmtId="3" fontId="51" fillId="0" borderId="0" xfId="0" applyNumberFormat="1" applyFont="1" applyFill="1" applyAlignment="1"/>
    <xf numFmtId="175" fontId="51" fillId="0" borderId="18" xfId="0" applyNumberFormat="1" applyFont="1" applyFill="1" applyBorder="1" applyAlignment="1"/>
    <xf numFmtId="4" fontId="92" fillId="0" borderId="0" xfId="0" applyNumberFormat="1" applyFont="1" applyFill="1" applyAlignment="1"/>
    <xf numFmtId="169" fontId="92" fillId="0" borderId="0" xfId="1" applyNumberFormat="1" applyFont="1" applyFill="1"/>
    <xf numFmtId="1" fontId="41" fillId="32" borderId="0" xfId="0" applyNumberFormat="1" applyFont="1" applyFill="1" applyAlignment="1"/>
    <xf numFmtId="169" fontId="41" fillId="30" borderId="0" xfId="6" applyNumberFormat="1" applyFont="1" applyFill="1"/>
    <xf numFmtId="171" fontId="41" fillId="32" borderId="0" xfId="6" applyNumberFormat="1" applyFont="1" applyFill="1"/>
    <xf numFmtId="169" fontId="41" fillId="30" borderId="0" xfId="1" applyNumberFormat="1" applyFont="1" applyFill="1"/>
    <xf numFmtId="169" fontId="41" fillId="30" borderId="0" xfId="0" applyNumberFormat="1" applyFont="1" applyFill="1" applyAlignment="1"/>
    <xf numFmtId="0" fontId="92" fillId="32" borderId="0" xfId="0" applyFont="1" applyFill="1" applyBorder="1" applyAlignment="1"/>
    <xf numFmtId="0" fontId="41" fillId="32" borderId="0" xfId="0" applyFont="1" applyFill="1" applyAlignment="1"/>
    <xf numFmtId="1" fontId="92" fillId="0" borderId="0" xfId="0" applyNumberFormat="1" applyFont="1" applyFill="1" applyBorder="1" applyAlignment="1"/>
    <xf numFmtId="169" fontId="92" fillId="0" borderId="0" xfId="0" applyNumberFormat="1" applyFont="1" applyFill="1" applyBorder="1" applyAlignment="1"/>
    <xf numFmtId="0" fontId="92" fillId="0" borderId="0" xfId="0" applyFont="1" applyFill="1" applyBorder="1" applyAlignment="1"/>
    <xf numFmtId="169" fontId="23" fillId="0" borderId="0" xfId="1" applyNumberFormat="1" applyFont="1" applyFill="1"/>
    <xf numFmtId="169" fontId="51" fillId="0" borderId="0" xfId="1" applyNumberFormat="1" applyFont="1" applyFill="1"/>
    <xf numFmtId="1" fontId="94" fillId="0" borderId="0" xfId="0" applyNumberFormat="1" applyFont="1" applyFill="1" applyAlignment="1"/>
    <xf numFmtId="4" fontId="51" fillId="0" borderId="0" xfId="1" applyNumberFormat="1" applyFont="1" applyFill="1"/>
    <xf numFmtId="3" fontId="23" fillId="0" borderId="18" xfId="1" applyNumberFormat="1" applyFont="1" applyFill="1" applyBorder="1"/>
    <xf numFmtId="169" fontId="100" fillId="0" borderId="39" xfId="0" applyNumberFormat="1" applyFont="1" applyBorder="1" applyAlignment="1">
      <alignment horizontal="center" vertical="top"/>
    </xf>
    <xf numFmtId="1" fontId="35" fillId="0" borderId="0" xfId="0" applyNumberFormat="1" applyFont="1" applyFill="1" applyAlignment="1"/>
    <xf numFmtId="171" fontId="35" fillId="0" borderId="0" xfId="6" applyNumberFormat="1" applyFont="1" applyFill="1"/>
    <xf numFmtId="169" fontId="100" fillId="0" borderId="15" xfId="0" applyNumberFormat="1" applyFont="1" applyBorder="1" applyAlignment="1">
      <alignment horizontal="center" vertical="top"/>
    </xf>
    <xf numFmtId="171" fontId="23" fillId="0" borderId="0" xfId="0" applyNumberFormat="1" applyFont="1" applyFill="1" applyAlignment="1"/>
    <xf numFmtId="37" fontId="50" fillId="0" borderId="0" xfId="0" applyNumberFormat="1" applyFont="1" applyFill="1" applyAlignment="1">
      <alignment horizontal="right"/>
    </xf>
    <xf numFmtId="193" fontId="21" fillId="0" borderId="0" xfId="0" applyNumberFormat="1" applyFont="1" applyAlignment="1"/>
    <xf numFmtId="1" fontId="84" fillId="32" borderId="0" xfId="0" applyNumberFormat="1" applyFont="1" applyFill="1" applyBorder="1" applyAlignment="1">
      <alignment horizontal="center"/>
    </xf>
    <xf numFmtId="7" fontId="100" fillId="0" borderId="0" xfId="6" applyNumberFormat="1" applyFont="1" applyBorder="1" applyAlignment="1">
      <alignment horizontal="center"/>
    </xf>
    <xf numFmtId="10" fontId="36" fillId="0" borderId="39" xfId="26" applyFont="1" applyFill="1" applyBorder="1" applyAlignment="1">
      <alignment wrapText="1"/>
    </xf>
    <xf numFmtId="10" fontId="36" fillId="0" borderId="39" xfId="0" applyNumberFormat="1" applyFont="1" applyFill="1" applyBorder="1" applyAlignment="1" applyProtection="1">
      <protection locked="0"/>
    </xf>
    <xf numFmtId="0" fontId="0" fillId="0" borderId="37" xfId="0" quotePrefix="1" applyBorder="1" applyAlignment="1">
      <alignment horizontal="left"/>
    </xf>
    <xf numFmtId="10" fontId="18" fillId="0" borderId="0" xfId="26" applyFont="1" applyFill="1" applyBorder="1"/>
    <xf numFmtId="0" fontId="75" fillId="0" borderId="0" xfId="0" applyFont="1" applyFill="1" applyBorder="1" applyAlignment="1">
      <alignment horizontal="left"/>
    </xf>
    <xf numFmtId="0" fontId="75" fillId="0" borderId="0" xfId="0" applyFont="1" applyFill="1" applyBorder="1" applyAlignment="1"/>
    <xf numFmtId="0" fontId="75" fillId="0" borderId="0" xfId="0" applyFont="1" applyFill="1" applyBorder="1" applyAlignment="1">
      <alignment horizontal="centerContinuous"/>
    </xf>
    <xf numFmtId="0" fontId="61" fillId="0" borderId="0" xfId="0" applyFont="1" applyFill="1" applyBorder="1" applyAlignment="1">
      <alignment horizontal="left"/>
    </xf>
    <xf numFmtId="0" fontId="61" fillId="0" borderId="0" xfId="0" applyFont="1" applyFill="1" applyBorder="1" applyAlignment="1"/>
    <xf numFmtId="0" fontId="61" fillId="0" borderId="0" xfId="0" applyFont="1" applyFill="1" applyBorder="1" applyAlignment="1">
      <alignment horizontal="centerContinuous"/>
    </xf>
    <xf numFmtId="164" fontId="0" fillId="0" borderId="0" xfId="0" applyNumberFormat="1" applyFill="1" applyBorder="1">
      <alignment vertical="top"/>
    </xf>
    <xf numFmtId="10" fontId="0" fillId="0" borderId="0" xfId="26" applyFont="1" applyFill="1" applyBorder="1"/>
    <xf numFmtId="0" fontId="60" fillId="0" borderId="0" xfId="0" applyFont="1" applyFill="1" applyBorder="1" applyAlignment="1"/>
    <xf numFmtId="5" fontId="21" fillId="0" borderId="0" xfId="0" applyNumberFormat="1" applyFont="1" applyFill="1" applyBorder="1" applyAlignment="1"/>
    <xf numFmtId="5" fontId="21" fillId="3" borderId="15" xfId="6" applyFont="1" applyFill="1" applyBorder="1"/>
    <xf numFmtId="0" fontId="35" fillId="0" borderId="8" xfId="0" applyFont="1" applyBorder="1" applyAlignment="1"/>
    <xf numFmtId="5" fontId="35" fillId="0" borderId="37" xfId="0" applyNumberFormat="1" applyFont="1" applyBorder="1" applyAlignment="1"/>
    <xf numFmtId="6" fontId="21" fillId="11" borderId="6" xfId="0" applyNumberFormat="1" applyFont="1" applyFill="1" applyBorder="1" applyAlignment="1" applyProtection="1">
      <alignment horizontal="right"/>
      <protection locked="0"/>
    </xf>
    <xf numFmtId="0" fontId="18" fillId="0" borderId="46" xfId="0" applyFont="1" applyBorder="1" applyAlignment="1">
      <alignment horizontal="right"/>
    </xf>
    <xf numFmtId="0" fontId="18" fillId="0" borderId="45" xfId="0" applyFont="1" applyBorder="1" applyAlignment="1">
      <alignment horizontal="center"/>
    </xf>
    <xf numFmtId="0" fontId="21" fillId="3" borderId="3" xfId="0" applyFont="1" applyFill="1" applyBorder="1" applyAlignment="1" applyProtection="1">
      <protection locked="0"/>
    </xf>
    <xf numFmtId="0" fontId="18" fillId="0" borderId="52" xfId="0" applyFont="1" applyBorder="1" applyAlignment="1">
      <alignment horizontal="center"/>
    </xf>
    <xf numFmtId="3" fontId="21" fillId="3" borderId="16" xfId="1" applyFont="1" applyFill="1" applyBorder="1" applyProtection="1">
      <protection locked="0"/>
    </xf>
    <xf numFmtId="3" fontId="18" fillId="0" borderId="9" xfId="0" applyNumberFormat="1" applyFont="1" applyFill="1" applyBorder="1" applyAlignment="1" applyProtection="1"/>
    <xf numFmtId="0" fontId="21" fillId="0" borderId="10" xfId="0" applyFont="1" applyBorder="1" applyAlignment="1">
      <alignment horizontal="center"/>
    </xf>
    <xf numFmtId="2" fontId="18" fillId="3" borderId="11" xfId="0" applyNumberFormat="1" applyFont="1" applyFill="1" applyBorder="1" applyAlignment="1"/>
    <xf numFmtId="3" fontId="21" fillId="0" borderId="20" xfId="1" applyFont="1" applyFill="1" applyBorder="1" applyProtection="1">
      <protection locked="0"/>
    </xf>
    <xf numFmtId="0" fontId="21" fillId="0" borderId="20" xfId="0" applyFont="1" applyBorder="1" applyAlignment="1"/>
    <xf numFmtId="2" fontId="21" fillId="0" borderId="20" xfId="0" applyNumberFormat="1" applyFont="1" applyBorder="1" applyAlignment="1"/>
    <xf numFmtId="0" fontId="52" fillId="0" borderId="22" xfId="0" applyFont="1" applyBorder="1" applyAlignment="1"/>
    <xf numFmtId="0" fontId="18" fillId="0" borderId="20" xfId="0" applyFont="1" applyBorder="1" applyAlignment="1">
      <alignment horizontal="center"/>
    </xf>
    <xf numFmtId="7" fontId="18" fillId="3" borderId="11" xfId="6" applyNumberFormat="1" applyFont="1" applyFill="1" applyBorder="1"/>
    <xf numFmtId="0" fontId="20" fillId="0" borderId="12" xfId="0" applyFont="1" applyFill="1" applyBorder="1" applyAlignment="1"/>
    <xf numFmtId="5" fontId="21" fillId="0" borderId="4" xfId="0" applyNumberFormat="1" applyFont="1" applyFill="1" applyBorder="1" applyAlignment="1"/>
    <xf numFmtId="175" fontId="21" fillId="11" borderId="3" xfId="1" applyNumberFormat="1" applyFont="1" applyFill="1" applyBorder="1" applyProtection="1">
      <protection locked="0"/>
    </xf>
    <xf numFmtId="182" fontId="18" fillId="0" borderId="3" xfId="0" applyNumberFormat="1" applyFont="1" applyBorder="1" applyAlignment="1"/>
    <xf numFmtId="37" fontId="22" fillId="3" borderId="3" xfId="0" applyNumberFormat="1" applyFont="1" applyFill="1" applyBorder="1" applyAlignment="1" applyProtection="1">
      <protection locked="0"/>
    </xf>
    <xf numFmtId="5" fontId="21" fillId="11" borderId="3" xfId="0" applyNumberFormat="1" applyFont="1" applyFill="1" applyBorder="1" applyAlignment="1" applyProtection="1">
      <protection locked="0"/>
    </xf>
    <xf numFmtId="8" fontId="18" fillId="0" borderId="3" xfId="0" applyNumberFormat="1" applyFont="1" applyFill="1" applyBorder="1" applyAlignment="1" applyProtection="1">
      <protection locked="0"/>
    </xf>
    <xf numFmtId="7" fontId="18" fillId="31" borderId="11" xfId="0" applyNumberFormat="1" applyFont="1" applyFill="1" applyBorder="1" applyAlignment="1"/>
    <xf numFmtId="2" fontId="18" fillId="11" borderId="11" xfId="0" applyNumberFormat="1" applyFont="1" applyFill="1" applyBorder="1" applyAlignment="1">
      <alignment horizontal="center"/>
    </xf>
    <xf numFmtId="0" fontId="21" fillId="0" borderId="63" xfId="0" applyFont="1" applyFill="1" applyBorder="1" applyAlignment="1"/>
    <xf numFmtId="0" fontId="18" fillId="0" borderId="20" xfId="0" applyFont="1" applyFill="1" applyBorder="1" applyAlignment="1">
      <alignment horizontal="center"/>
    </xf>
    <xf numFmtId="0" fontId="42" fillId="0" borderId="13" xfId="0" applyFont="1" applyBorder="1" applyAlignment="1">
      <alignment horizontal="center"/>
    </xf>
    <xf numFmtId="0" fontId="42" fillId="0" borderId="45" xfId="0" applyFont="1" applyBorder="1" applyAlignment="1"/>
    <xf numFmtId="6" fontId="21" fillId="0" borderId="6" xfId="0" applyNumberFormat="1" applyFont="1" applyBorder="1" applyAlignment="1"/>
    <xf numFmtId="6" fontId="21" fillId="3" borderId="6" xfId="0" applyNumberFormat="1" applyFont="1" applyFill="1" applyBorder="1" applyAlignment="1" applyProtection="1">
      <protection locked="0"/>
    </xf>
    <xf numFmtId="3" fontId="21" fillId="3" borderId="6" xfId="0" applyNumberFormat="1" applyFont="1" applyFill="1" applyBorder="1" applyAlignment="1" applyProtection="1">
      <protection locked="0"/>
    </xf>
    <xf numFmtId="6" fontId="21" fillId="0" borderId="6" xfId="0" applyNumberFormat="1" applyFont="1" applyFill="1" applyBorder="1" applyAlignment="1"/>
    <xf numFmtId="8" fontId="21" fillId="3" borderId="6" xfId="0" applyNumberFormat="1" applyFont="1" applyFill="1" applyBorder="1" applyAlignment="1" applyProtection="1">
      <protection locked="0"/>
    </xf>
    <xf numFmtId="0" fontId="21" fillId="3" borderId="12" xfId="0" applyFont="1" applyFill="1" applyBorder="1" applyAlignment="1" applyProtection="1">
      <protection locked="0"/>
    </xf>
    <xf numFmtId="6" fontId="18" fillId="0" borderId="15" xfId="0" applyNumberFormat="1" applyFont="1" applyBorder="1" applyAlignment="1"/>
    <xf numFmtId="0" fontId="35" fillId="8" borderId="8" xfId="0" applyFont="1" applyFill="1" applyBorder="1" applyAlignment="1">
      <alignment vertical="center" wrapText="1"/>
    </xf>
    <xf numFmtId="10" fontId="18" fillId="7" borderId="39" xfId="0" applyNumberFormat="1" applyFont="1" applyFill="1" applyBorder="1" applyAlignment="1" applyProtection="1">
      <protection locked="0"/>
    </xf>
    <xf numFmtId="0" fontId="21" fillId="0" borderId="0" xfId="0" applyFont="1" applyBorder="1" applyAlignment="1">
      <alignment horizontal="center"/>
    </xf>
    <xf numFmtId="0" fontId="104" fillId="0" borderId="0" xfId="0" applyFont="1" applyFill="1" applyAlignment="1"/>
    <xf numFmtId="7" fontId="51" fillId="0" borderId="0" xfId="6" applyNumberFormat="1" applyFont="1"/>
    <xf numFmtId="0" fontId="18" fillId="24" borderId="63" xfId="0" applyFont="1" applyFill="1" applyBorder="1" applyAlignment="1">
      <alignment horizontal="center" wrapText="1"/>
    </xf>
    <xf numFmtId="0" fontId="41" fillId="0" borderId="0" xfId="0" applyFont="1" applyFill="1" applyAlignment="1"/>
    <xf numFmtId="0" fontId="42" fillId="0" borderId="0" xfId="0" applyFont="1" applyFill="1" applyAlignment="1">
      <alignment horizontal="center"/>
    </xf>
    <xf numFmtId="0" fontId="18" fillId="29" borderId="25" xfId="0" applyFont="1" applyFill="1" applyBorder="1" applyAlignment="1">
      <alignment horizontal="center" wrapText="1"/>
    </xf>
    <xf numFmtId="0" fontId="21" fillId="0" borderId="21" xfId="0" applyFont="1" applyFill="1" applyBorder="1" applyAlignment="1" applyProtection="1">
      <alignment horizontal="right"/>
      <protection locked="0"/>
    </xf>
    <xf numFmtId="0" fontId="85" fillId="32" borderId="0" xfId="0" applyFont="1" applyFill="1" applyBorder="1" applyAlignment="1"/>
    <xf numFmtId="0" fontId="85" fillId="32" borderId="0" xfId="0" applyFont="1" applyFill="1" applyAlignment="1"/>
    <xf numFmtId="169" fontId="85" fillId="32" borderId="0" xfId="0" applyNumberFormat="1" applyFont="1" applyFill="1" applyAlignment="1"/>
    <xf numFmtId="171" fontId="85" fillId="32" borderId="0" xfId="0" applyNumberFormat="1" applyFont="1" applyFill="1" applyAlignment="1"/>
    <xf numFmtId="1" fontId="105" fillId="32" borderId="0" xfId="0" applyNumberFormat="1" applyFont="1" applyFill="1" applyBorder="1" applyAlignment="1">
      <alignment horizontal="center"/>
    </xf>
    <xf numFmtId="3" fontId="20" fillId="0" borderId="0" xfId="25" applyNumberFormat="1" applyFont="1"/>
    <xf numFmtId="5" fontId="23" fillId="0" borderId="0" xfId="25" applyNumberFormat="1"/>
    <xf numFmtId="2" fontId="20" fillId="0" borderId="0" xfId="25" applyNumberFormat="1" applyFont="1"/>
    <xf numFmtId="7" fontId="23" fillId="0" borderId="0" xfId="25" applyNumberFormat="1"/>
    <xf numFmtId="2" fontId="23" fillId="0" borderId="0" xfId="25" applyNumberFormat="1"/>
    <xf numFmtId="0" fontId="42" fillId="0" borderId="0" xfId="0" applyFont="1" applyFill="1" applyBorder="1" applyAlignment="1">
      <alignment horizontal="center" vertical="center" wrapText="1"/>
    </xf>
    <xf numFmtId="2" fontId="0" fillId="0" borderId="0" xfId="0" applyNumberFormat="1" applyBorder="1" applyAlignment="1">
      <alignment horizontal="center"/>
    </xf>
    <xf numFmtId="2" fontId="21" fillId="0" borderId="0" xfId="0" applyNumberFormat="1" applyFont="1" applyAlignment="1"/>
    <xf numFmtId="7" fontId="18" fillId="0" borderId="0" xfId="0" applyNumberFormat="1" applyFont="1" applyFill="1" applyBorder="1" applyAlignment="1">
      <alignment horizontal="center"/>
    </xf>
    <xf numFmtId="0" fontId="64" fillId="0" borderId="0" xfId="23" applyFont="1" applyFill="1">
      <alignment vertical="top"/>
    </xf>
    <xf numFmtId="0" fontId="21" fillId="0" borderId="0" xfId="23">
      <alignment vertical="top"/>
    </xf>
    <xf numFmtId="0" fontId="27" fillId="0" borderId="0" xfId="23" applyFont="1" applyFill="1">
      <alignment vertical="top"/>
    </xf>
    <xf numFmtId="0" fontId="21" fillId="0" borderId="0" xfId="23" applyFont="1" applyFill="1">
      <alignment vertical="top"/>
    </xf>
    <xf numFmtId="0" fontId="21" fillId="0" borderId="0" xfId="23" applyFont="1">
      <alignment vertical="top"/>
    </xf>
    <xf numFmtId="0" fontId="44" fillId="0" borderId="0" xfId="23" applyFont="1" applyFill="1">
      <alignment vertical="top"/>
    </xf>
    <xf numFmtId="0" fontId="21" fillId="0" borderId="0" xfId="23" applyFill="1">
      <alignment vertical="top"/>
    </xf>
    <xf numFmtId="0" fontId="103" fillId="0" borderId="0" xfId="23" applyFont="1" applyFill="1">
      <alignment vertical="top"/>
    </xf>
    <xf numFmtId="0" fontId="18" fillId="0" borderId="0" xfId="23" applyFont="1" applyFill="1">
      <alignment vertical="top"/>
    </xf>
    <xf numFmtId="0" fontId="71" fillId="0" borderId="0" xfId="23" applyFont="1" applyFill="1">
      <alignment vertical="top"/>
    </xf>
    <xf numFmtId="0" fontId="44" fillId="0" borderId="0" xfId="23" applyFont="1" applyAlignment="1">
      <alignment horizontal="left"/>
    </xf>
    <xf numFmtId="0" fontId="21" fillId="0" borderId="0" xfId="23" applyFill="1" applyBorder="1">
      <alignment vertical="top"/>
    </xf>
    <xf numFmtId="0" fontId="21" fillId="0" borderId="0" xfId="23" applyBorder="1">
      <alignment vertical="top"/>
    </xf>
    <xf numFmtId="0" fontId="18" fillId="0" borderId="0" xfId="23" applyFont="1" applyFill="1" applyBorder="1">
      <alignment vertical="top"/>
    </xf>
    <xf numFmtId="0" fontId="34" fillId="0" borderId="0" xfId="23" applyFont="1" applyFill="1" applyBorder="1" applyAlignment="1"/>
    <xf numFmtId="0" fontId="106" fillId="0" borderId="0" xfId="23" applyFont="1" applyFill="1">
      <alignment vertical="top"/>
    </xf>
    <xf numFmtId="0" fontId="107" fillId="0" borderId="0" xfId="23" applyFont="1">
      <alignment vertical="top"/>
    </xf>
    <xf numFmtId="0" fontId="0" fillId="0" borderId="0" xfId="0" applyFill="1" applyAlignment="1">
      <alignment vertical="center" wrapText="1"/>
    </xf>
    <xf numFmtId="0" fontId="0" fillId="0" borderId="0" xfId="0" applyFill="1" applyAlignment="1">
      <alignment vertical="center"/>
    </xf>
    <xf numFmtId="0" fontId="21" fillId="0" borderId="0" xfId="0" applyFont="1" applyFill="1" applyAlignment="1">
      <alignment vertical="center" wrapText="1"/>
    </xf>
    <xf numFmtId="0" fontId="21" fillId="0" borderId="0" xfId="0" applyFont="1" applyFill="1" applyAlignment="1">
      <alignment vertical="center"/>
    </xf>
    <xf numFmtId="0" fontId="117" fillId="0" borderId="0" xfId="0" applyFont="1" applyAlignment="1"/>
    <xf numFmtId="10" fontId="0" fillId="0" borderId="39" xfId="0" applyNumberFormat="1" applyFill="1" applyBorder="1">
      <alignment vertical="top"/>
    </xf>
    <xf numFmtId="10" fontId="21" fillId="0" borderId="39" xfId="0" applyNumberFormat="1" applyFont="1" applyFill="1" applyBorder="1">
      <alignment vertical="top"/>
    </xf>
    <xf numFmtId="10" fontId="21" fillId="0" borderId="15" xfId="0" applyNumberFormat="1" applyFont="1" applyFill="1" applyBorder="1">
      <alignment vertical="top"/>
    </xf>
    <xf numFmtId="177" fontId="0" fillId="0" borderId="0" xfId="0" applyNumberFormat="1" applyAlignment="1"/>
    <xf numFmtId="0" fontId="0" fillId="0" borderId="75" xfId="0" applyBorder="1" applyAlignment="1"/>
    <xf numFmtId="0" fontId="0" fillId="0" borderId="31" xfId="0" applyBorder="1" applyAlignment="1"/>
    <xf numFmtId="0" fontId="0" fillId="0" borderId="31" xfId="0" applyFill="1" applyBorder="1" applyAlignment="1"/>
    <xf numFmtId="2" fontId="0" fillId="0" borderId="31" xfId="0" applyNumberFormat="1" applyFill="1" applyBorder="1" applyAlignment="1"/>
    <xf numFmtId="2" fontId="21" fillId="0" borderId="31" xfId="0" applyNumberFormat="1" applyFont="1" applyFill="1" applyBorder="1" applyAlignment="1"/>
    <xf numFmtId="0" fontId="21" fillId="0" borderId="76" xfId="0" applyFont="1" applyFill="1" applyBorder="1" applyAlignment="1"/>
    <xf numFmtId="0" fontId="0" fillId="0" borderId="72" xfId="0" applyBorder="1" applyAlignment="1"/>
    <xf numFmtId="0" fontId="0" fillId="0" borderId="65" xfId="0" applyBorder="1" applyAlignment="1"/>
    <xf numFmtId="0" fontId="119" fillId="0" borderId="0" xfId="0" applyFont="1" applyFill="1" applyAlignment="1"/>
    <xf numFmtId="0" fontId="119" fillId="0" borderId="0" xfId="0" applyFont="1" applyFill="1" applyBorder="1" applyAlignment="1"/>
    <xf numFmtId="3" fontId="119" fillId="0" borderId="0" xfId="1" applyFont="1" applyFill="1"/>
    <xf numFmtId="2" fontId="119" fillId="0" borderId="0" xfId="0" applyNumberFormat="1" applyFont="1" applyFill="1" applyAlignment="1"/>
    <xf numFmtId="2" fontId="119" fillId="0" borderId="0" xfId="0" applyNumberFormat="1" applyFont="1" applyFill="1" applyBorder="1" applyAlignment="1"/>
    <xf numFmtId="2" fontId="119" fillId="0" borderId="0" xfId="1" applyNumberFormat="1" applyFont="1" applyFill="1" applyBorder="1"/>
    <xf numFmtId="2" fontId="119" fillId="0" borderId="0" xfId="1" applyNumberFormat="1" applyFont="1" applyFill="1"/>
    <xf numFmtId="0" fontId="18" fillId="39" borderId="0" xfId="0" applyFont="1" applyFill="1" applyAlignment="1"/>
    <xf numFmtId="0" fontId="18" fillId="39" borderId="0" xfId="0" applyFont="1" applyFill="1" applyBorder="1" applyAlignment="1"/>
    <xf numFmtId="171" fontId="18" fillId="39" borderId="0" xfId="6" applyNumberFormat="1" applyFont="1" applyFill="1"/>
    <xf numFmtId="3" fontId="18" fillId="39" borderId="0" xfId="1" applyFont="1" applyFill="1"/>
    <xf numFmtId="169" fontId="18" fillId="40" borderId="0" xfId="0" applyNumberFormat="1" applyFont="1" applyFill="1" applyBorder="1" applyAlignment="1">
      <alignment horizontal="right"/>
    </xf>
    <xf numFmtId="0" fontId="36" fillId="34" borderId="0" xfId="0" applyFont="1" applyFill="1" applyAlignment="1"/>
    <xf numFmtId="10" fontId="36" fillId="34" borderId="0" xfId="26" applyFont="1" applyFill="1"/>
    <xf numFmtId="5" fontId="18" fillId="39" borderId="0" xfId="6" applyNumberFormat="1" applyFont="1" applyFill="1"/>
    <xf numFmtId="10" fontId="20" fillId="10" borderId="0" xfId="26" applyFont="1" applyFill="1" applyBorder="1" applyAlignment="1"/>
    <xf numFmtId="10" fontId="21" fillId="10" borderId="0" xfId="26" applyFont="1" applyFill="1" applyBorder="1" applyAlignment="1"/>
    <xf numFmtId="10" fontId="18" fillId="7" borderId="0" xfId="26" applyFont="1" applyFill="1" applyBorder="1" applyAlignment="1">
      <alignment horizontal="right"/>
    </xf>
    <xf numFmtId="10" fontId="0" fillId="0" borderId="0" xfId="26" applyFont="1" applyBorder="1" applyAlignment="1"/>
    <xf numFmtId="0" fontId="120" fillId="0" borderId="0" xfId="25" applyFont="1"/>
    <xf numFmtId="0" fontId="121" fillId="0" borderId="0" xfId="25" applyFont="1" applyAlignment="1">
      <alignment horizontal="right"/>
    </xf>
    <xf numFmtId="172" fontId="121" fillId="0" borderId="0" xfId="25" applyNumberFormat="1" applyFont="1"/>
    <xf numFmtId="169" fontId="78" fillId="40" borderId="0" xfId="0" applyNumberFormat="1" applyFont="1" applyFill="1" applyBorder="1" applyAlignment="1"/>
    <xf numFmtId="7" fontId="18" fillId="0" borderId="10" xfId="0" applyNumberFormat="1" applyFont="1" applyFill="1" applyBorder="1" applyAlignment="1">
      <alignment horizontal="center"/>
    </xf>
    <xf numFmtId="3" fontId="19" fillId="0" borderId="3" xfId="1" applyFont="1" applyFill="1" applyBorder="1" applyAlignment="1" applyProtection="1">
      <alignment horizontal="center"/>
      <protection locked="0"/>
    </xf>
    <xf numFmtId="0" fontId="118" fillId="0" borderId="0" xfId="0" applyFont="1" applyBorder="1" applyAlignment="1"/>
    <xf numFmtId="0" fontId="118" fillId="0" borderId="0" xfId="0" applyFont="1" applyFill="1" applyBorder="1" applyAlignment="1"/>
    <xf numFmtId="0" fontId="122" fillId="0" borderId="0" xfId="0" applyFont="1" applyBorder="1" applyAlignment="1"/>
    <xf numFmtId="0" fontId="123" fillId="0" borderId="0" xfId="0" applyFont="1" applyBorder="1" applyAlignment="1"/>
    <xf numFmtId="0" fontId="124" fillId="0" borderId="0" xfId="0" applyFont="1" applyBorder="1" applyAlignment="1"/>
    <xf numFmtId="0" fontId="125" fillId="0" borderId="39" xfId="0" applyFont="1" applyBorder="1" applyAlignment="1">
      <alignment horizontal="right"/>
    </xf>
    <xf numFmtId="0" fontId="18" fillId="0" borderId="23" xfId="0" applyFont="1" applyBorder="1" applyAlignment="1">
      <alignment horizontal="center" wrapText="1"/>
    </xf>
    <xf numFmtId="3" fontId="21" fillId="0" borderId="39" xfId="0" applyNumberFormat="1" applyFont="1" applyFill="1" applyBorder="1" applyAlignment="1" applyProtection="1">
      <protection locked="0"/>
    </xf>
    <xf numFmtId="0" fontId="126" fillId="32" borderId="0" xfId="0" applyFont="1" applyFill="1" applyBorder="1" applyAlignment="1"/>
    <xf numFmtId="0" fontId="127" fillId="32" borderId="0" xfId="0" applyFont="1" applyFill="1" applyBorder="1" applyAlignment="1"/>
    <xf numFmtId="0" fontId="128" fillId="32" borderId="0" xfId="0" applyFont="1" applyFill="1" applyBorder="1" applyAlignment="1">
      <alignment horizontal="right"/>
    </xf>
    <xf numFmtId="37" fontId="127" fillId="32" borderId="0" xfId="0" applyNumberFormat="1" applyFont="1" applyFill="1" applyBorder="1" applyAlignment="1"/>
    <xf numFmtId="0" fontId="127" fillId="32" borderId="0" xfId="0" applyFont="1" applyFill="1" applyBorder="1" applyAlignment="1">
      <alignment horizontal="right"/>
    </xf>
    <xf numFmtId="5" fontId="127" fillId="32" borderId="0" xfId="0" applyNumberFormat="1" applyFont="1" applyFill="1" applyBorder="1" applyAlignment="1"/>
    <xf numFmtId="3" fontId="127" fillId="32" borderId="0" xfId="0" applyNumberFormat="1" applyFont="1" applyFill="1" applyBorder="1" applyAlignment="1"/>
    <xf numFmtId="6" fontId="127" fillId="32" borderId="0" xfId="0" applyNumberFormat="1" applyFont="1" applyFill="1" applyBorder="1" applyAlignment="1"/>
    <xf numFmtId="0" fontId="126" fillId="9" borderId="0" xfId="0" applyFont="1" applyFill="1" applyBorder="1" applyAlignment="1"/>
    <xf numFmtId="0" fontId="127" fillId="9" borderId="0" xfId="0" applyFont="1" applyFill="1" applyBorder="1" applyAlignment="1"/>
    <xf numFmtId="0" fontId="128" fillId="9" borderId="0" xfId="0" applyFont="1" applyFill="1" applyBorder="1" applyAlignment="1">
      <alignment horizontal="right"/>
    </xf>
    <xf numFmtId="0" fontId="127" fillId="6" borderId="0" xfId="0" applyFont="1" applyFill="1" applyBorder="1" applyAlignment="1">
      <alignment horizontal="right"/>
    </xf>
    <xf numFmtId="6" fontId="127" fillId="9" borderId="0" xfId="0" applyNumberFormat="1" applyFont="1" applyFill="1" applyBorder="1" applyAlignment="1"/>
    <xf numFmtId="0" fontId="127" fillId="9" borderId="0" xfId="0" applyFont="1" applyFill="1" applyBorder="1" applyAlignment="1">
      <alignment horizontal="right"/>
    </xf>
    <xf numFmtId="0" fontId="126" fillId="6" borderId="0" xfId="0" applyFont="1" applyFill="1" applyBorder="1" applyAlignment="1"/>
    <xf numFmtId="3" fontId="127" fillId="6" borderId="0" xfId="0" applyNumberFormat="1" applyFont="1" applyFill="1" applyBorder="1" applyAlignment="1"/>
    <xf numFmtId="6" fontId="127" fillId="6" borderId="0" xfId="0" applyNumberFormat="1" applyFont="1" applyFill="1" applyBorder="1" applyAlignment="1"/>
    <xf numFmtId="0" fontId="127" fillId="6" borderId="0" xfId="0" applyFont="1" applyFill="1" applyBorder="1" applyAlignment="1"/>
    <xf numFmtId="0" fontId="128" fillId="6" borderId="0" xfId="0" applyFont="1" applyFill="1" applyBorder="1" applyAlignment="1">
      <alignment horizontal="right"/>
    </xf>
    <xf numFmtId="0" fontId="18" fillId="41" borderId="54" xfId="0" applyFont="1" applyFill="1" applyBorder="1" applyAlignment="1">
      <alignment horizontal="center" wrapText="1"/>
    </xf>
    <xf numFmtId="0" fontId="18" fillId="43" borderId="2" xfId="0" applyFont="1" applyFill="1" applyBorder="1" applyAlignment="1">
      <alignment horizontal="center" wrapText="1"/>
    </xf>
    <xf numFmtId="9" fontId="20" fillId="30" borderId="0" xfId="26" applyNumberFormat="1" applyFont="1" applyFill="1" applyBorder="1"/>
    <xf numFmtId="0" fontId="121" fillId="0" borderId="0" xfId="0" applyFont="1" applyAlignment="1"/>
    <xf numFmtId="169" fontId="121" fillId="0" borderId="0" xfId="0" applyNumberFormat="1" applyFont="1" applyAlignment="1"/>
    <xf numFmtId="7" fontId="0" fillId="0" borderId="0" xfId="6" applyNumberFormat="1" applyFont="1" applyAlignment="1"/>
    <xf numFmtId="7" fontId="0" fillId="0" borderId="55" xfId="6" applyNumberFormat="1" applyFont="1" applyBorder="1" applyAlignment="1"/>
    <xf numFmtId="7" fontId="0" fillId="0" borderId="52" xfId="6" applyNumberFormat="1" applyFont="1" applyBorder="1" applyAlignment="1"/>
    <xf numFmtId="3" fontId="19" fillId="0" borderId="0" xfId="1" applyFont="1" applyAlignment="1">
      <alignment horizontal="right"/>
    </xf>
    <xf numFmtId="0" fontId="18" fillId="42" borderId="0" xfId="0" applyFont="1" applyFill="1" applyBorder="1" applyAlignment="1"/>
    <xf numFmtId="0" fontId="36" fillId="42" borderId="0" xfId="0" applyFont="1" applyFill="1" applyBorder="1" applyAlignment="1"/>
    <xf numFmtId="0" fontId="21" fillId="34" borderId="0" xfId="0" applyFont="1" applyFill="1" applyBorder="1" applyAlignment="1">
      <alignment horizontal="right"/>
    </xf>
    <xf numFmtId="171" fontId="0" fillId="18" borderId="0" xfId="0" applyNumberFormat="1" applyFill="1" applyBorder="1" applyAlignment="1"/>
    <xf numFmtId="0" fontId="21" fillId="0" borderId="0" xfId="0" applyFont="1" applyAlignment="1">
      <alignment horizontal="right"/>
    </xf>
    <xf numFmtId="1" fontId="0" fillId="22" borderId="0" xfId="0" applyNumberFormat="1" applyFill="1" applyBorder="1" applyAlignment="1"/>
    <xf numFmtId="8" fontId="21" fillId="44" borderId="0" xfId="0" applyNumberFormat="1" applyFont="1" applyFill="1" applyBorder="1" applyAlignment="1"/>
    <xf numFmtId="1" fontId="36" fillId="39" borderId="0" xfId="0" applyNumberFormat="1" applyFont="1" applyFill="1" applyBorder="1" applyAlignment="1"/>
    <xf numFmtId="169" fontId="21" fillId="0" borderId="0" xfId="0" applyNumberFormat="1" applyFont="1" applyAlignment="1"/>
    <xf numFmtId="10" fontId="111" fillId="0" borderId="0" xfId="26" applyFont="1"/>
    <xf numFmtId="0" fontId="85" fillId="0" borderId="0" xfId="0" applyFont="1" applyAlignment="1"/>
    <xf numFmtId="1" fontId="90" fillId="0" borderId="0" xfId="0" applyNumberFormat="1" applyFont="1" applyAlignment="1"/>
    <xf numFmtId="3" fontId="21" fillId="0" borderId="0" xfId="1" applyFont="1" applyFill="1"/>
    <xf numFmtId="3" fontId="51" fillId="0" borderId="0" xfId="6" applyNumberFormat="1" applyFont="1" applyFill="1"/>
    <xf numFmtId="1" fontId="20" fillId="0" borderId="0" xfId="0" applyNumberFormat="1" applyFont="1" applyAlignment="1"/>
    <xf numFmtId="2" fontId="51" fillId="0" borderId="0" xfId="0" applyNumberFormat="1" applyFont="1" applyFill="1" applyAlignment="1">
      <alignment horizontal="right"/>
    </xf>
    <xf numFmtId="0" fontId="36" fillId="42" borderId="0" xfId="0" applyFont="1" applyFill="1" applyAlignment="1"/>
    <xf numFmtId="0" fontId="51" fillId="42" borderId="0" xfId="0" applyFont="1" applyFill="1" applyAlignment="1"/>
    <xf numFmtId="171" fontId="51" fillId="42" borderId="0" xfId="0" applyNumberFormat="1" applyFont="1" applyFill="1" applyAlignment="1"/>
    <xf numFmtId="3" fontId="51" fillId="42" borderId="0" xfId="1" applyFont="1" applyFill="1"/>
    <xf numFmtId="169" fontId="51" fillId="42" borderId="0" xfId="0" applyNumberFormat="1" applyFont="1" applyFill="1" applyBorder="1" applyAlignment="1" applyProtection="1"/>
    <xf numFmtId="4" fontId="36" fillId="42" borderId="0" xfId="0" applyNumberFormat="1" applyFont="1" applyFill="1" applyAlignment="1"/>
    <xf numFmtId="0" fontId="36" fillId="14" borderId="0" xfId="0" applyFont="1" applyFill="1" applyAlignment="1"/>
    <xf numFmtId="0" fontId="18" fillId="14" borderId="0" xfId="0" applyFont="1" applyFill="1" applyAlignment="1"/>
    <xf numFmtId="0" fontId="35" fillId="14" borderId="0" xfId="0" applyFont="1" applyFill="1" applyAlignment="1"/>
    <xf numFmtId="169" fontId="35" fillId="14" borderId="0" xfId="0" applyNumberFormat="1" applyFont="1" applyFill="1" applyAlignment="1"/>
    <xf numFmtId="0" fontId="49" fillId="14" borderId="0" xfId="0" applyFont="1" applyFill="1" applyAlignment="1"/>
    <xf numFmtId="3" fontId="36" fillId="14" borderId="0" xfId="0" applyNumberFormat="1" applyFont="1" applyFill="1" applyBorder="1" applyAlignment="1" applyProtection="1"/>
    <xf numFmtId="10" fontId="36" fillId="14" borderId="0" xfId="0" applyNumberFormat="1" applyFont="1" applyFill="1" applyAlignment="1"/>
    <xf numFmtId="173" fontId="36" fillId="14" borderId="0" xfId="0" applyNumberFormat="1" applyFont="1" applyFill="1" applyAlignment="1"/>
    <xf numFmtId="0" fontId="21" fillId="14" borderId="0" xfId="0" applyFont="1" applyFill="1" applyAlignment="1"/>
    <xf numFmtId="171" fontId="36" fillId="14" borderId="0" xfId="6" applyNumberFormat="1" applyFont="1" applyFill="1" applyBorder="1"/>
    <xf numFmtId="169" fontId="19" fillId="14" borderId="0" xfId="0" applyNumberFormat="1" applyFont="1" applyFill="1" applyAlignment="1"/>
    <xf numFmtId="169" fontId="36" fillId="14" borderId="0" xfId="0" applyNumberFormat="1" applyFont="1" applyFill="1" applyAlignment="1"/>
    <xf numFmtId="0" fontId="20" fillId="14" borderId="0" xfId="0" applyFont="1" applyFill="1" applyAlignment="1"/>
    <xf numFmtId="169" fontId="21" fillId="14" borderId="0" xfId="6" applyNumberFormat="1" applyFont="1" applyFill="1" applyBorder="1"/>
    <xf numFmtId="171" fontId="21" fillId="14" borderId="0" xfId="6" applyNumberFormat="1" applyFont="1" applyFill="1" applyBorder="1"/>
    <xf numFmtId="169" fontId="21" fillId="14" borderId="0" xfId="0" applyNumberFormat="1" applyFont="1" applyFill="1" applyAlignment="1"/>
    <xf numFmtId="169" fontId="20" fillId="14" borderId="0" xfId="6" applyNumberFormat="1" applyFont="1" applyFill="1" applyBorder="1"/>
    <xf numFmtId="171" fontId="20" fillId="14" borderId="0" xfId="6" applyNumberFormat="1" applyFont="1" applyFill="1" applyBorder="1"/>
    <xf numFmtId="169" fontId="20" fillId="14" borderId="0" xfId="0" applyNumberFormat="1" applyFont="1" applyFill="1" applyAlignment="1"/>
    <xf numFmtId="173" fontId="20" fillId="14" borderId="0" xfId="0" applyNumberFormat="1" applyFont="1" applyFill="1" applyAlignment="1"/>
    <xf numFmtId="171" fontId="78" fillId="0" borderId="0" xfId="6" applyNumberFormat="1" applyFont="1" applyFill="1"/>
    <xf numFmtId="8" fontId="36" fillId="0" borderId="0" xfId="0" applyNumberFormat="1" applyFont="1" applyFill="1" applyAlignment="1"/>
    <xf numFmtId="7" fontId="51" fillId="0" borderId="0" xfId="6" applyNumberFormat="1" applyFont="1" applyFill="1"/>
    <xf numFmtId="169" fontId="50" fillId="0" borderId="0" xfId="6" applyNumberFormat="1" applyFont="1" applyFill="1"/>
    <xf numFmtId="171" fontId="50" fillId="0" borderId="0" xfId="6" applyNumberFormat="1" applyFont="1" applyFill="1"/>
    <xf numFmtId="0" fontId="20" fillId="7" borderId="3" xfId="0" applyFont="1" applyFill="1" applyBorder="1" applyAlignment="1"/>
    <xf numFmtId="1" fontId="20" fillId="0" borderId="0" xfId="0" applyNumberFormat="1" applyFont="1" applyFill="1" applyAlignment="1"/>
    <xf numFmtId="1" fontId="18" fillId="0" borderId="18" xfId="0" applyNumberFormat="1" applyFont="1" applyFill="1" applyBorder="1" applyAlignment="1"/>
    <xf numFmtId="0" fontId="78" fillId="0" borderId="4" xfId="0" applyFont="1" applyBorder="1" applyAlignment="1"/>
    <xf numFmtId="0" fontId="78" fillId="0" borderId="5" xfId="0" applyFont="1" applyBorder="1" applyAlignment="1"/>
    <xf numFmtId="169" fontId="78" fillId="45" borderId="2" xfId="26" applyNumberFormat="1" applyFont="1" applyFill="1" applyBorder="1"/>
    <xf numFmtId="3" fontId="78" fillId="0" borderId="3" xfId="1" applyFont="1" applyFill="1" applyBorder="1"/>
    <xf numFmtId="0" fontId="78" fillId="0" borderId="0" xfId="0" applyFont="1" applyFill="1" applyBorder="1" applyAlignment="1"/>
    <xf numFmtId="169" fontId="78" fillId="45" borderId="6" xfId="0" applyNumberFormat="1" applyFont="1" applyFill="1" applyBorder="1" applyAlignment="1"/>
    <xf numFmtId="0" fontId="78" fillId="0" borderId="3" xfId="0" applyFont="1" applyBorder="1" applyAlignment="1"/>
    <xf numFmtId="0" fontId="78" fillId="0" borderId="9" xfId="0" applyFont="1" applyBorder="1" applyAlignment="1"/>
    <xf numFmtId="0" fontId="78" fillId="0" borderId="10" xfId="0" applyFont="1" applyBorder="1" applyAlignment="1"/>
    <xf numFmtId="169" fontId="78" fillId="45" borderId="7" xfId="0" applyNumberFormat="1" applyFont="1" applyFill="1" applyBorder="1" applyAlignment="1"/>
    <xf numFmtId="0" fontId="78" fillId="40" borderId="3" xfId="0" applyFont="1" applyFill="1" applyBorder="1" applyAlignment="1"/>
    <xf numFmtId="0" fontId="20" fillId="0" borderId="0" xfId="0" applyFont="1" applyFill="1" applyAlignment="1"/>
    <xf numFmtId="169" fontId="20" fillId="0" borderId="0" xfId="6" applyNumberFormat="1" applyFont="1" applyFill="1"/>
    <xf numFmtId="171" fontId="20" fillId="0" borderId="0" xfId="6" applyNumberFormat="1" applyFont="1" applyFill="1"/>
    <xf numFmtId="3" fontId="20" fillId="0" borderId="0" xfId="0" applyNumberFormat="1" applyFont="1" applyFill="1" applyAlignment="1"/>
    <xf numFmtId="0" fontId="21" fillId="45" borderId="39" xfId="0" applyFont="1" applyFill="1" applyBorder="1" applyAlignment="1"/>
    <xf numFmtId="1" fontId="51" fillId="0" borderId="29" xfId="0" applyNumberFormat="1" applyFont="1" applyFill="1" applyBorder="1" applyAlignment="1"/>
    <xf numFmtId="7" fontId="21" fillId="0" borderId="0" xfId="6" applyNumberFormat="1" applyFont="1" applyFill="1" applyBorder="1"/>
    <xf numFmtId="194" fontId="21" fillId="0" borderId="0" xfId="1" applyNumberFormat="1" applyFont="1" applyFill="1" applyBorder="1"/>
    <xf numFmtId="175" fontId="119" fillId="0" borderId="0" xfId="1" applyNumberFormat="1" applyFont="1" applyFill="1" applyBorder="1"/>
    <xf numFmtId="7" fontId="35" fillId="0" borderId="0" xfId="6" applyNumberFormat="1" applyFont="1" applyFill="1" applyAlignment="1"/>
    <xf numFmtId="7" fontId="35" fillId="0" borderId="0" xfId="6" applyNumberFormat="1" applyFont="1" applyFill="1"/>
    <xf numFmtId="0" fontId="129" fillId="0" borderId="0" xfId="0" applyFont="1" applyAlignment="1"/>
    <xf numFmtId="1" fontId="129" fillId="0" borderId="0" xfId="0" applyNumberFormat="1" applyFont="1" applyAlignment="1"/>
    <xf numFmtId="169" fontId="129" fillId="0" borderId="0" xfId="6" applyNumberFormat="1" applyFont="1" applyFill="1"/>
    <xf numFmtId="171" fontId="129" fillId="0" borderId="0" xfId="6" applyNumberFormat="1" applyFont="1" applyFill="1"/>
    <xf numFmtId="2" fontId="129" fillId="0" borderId="0" xfId="0" applyNumberFormat="1" applyFont="1" applyFill="1" applyAlignment="1"/>
    <xf numFmtId="171" fontId="129" fillId="0" borderId="0" xfId="6" applyNumberFormat="1" applyFont="1"/>
    <xf numFmtId="4" fontId="129" fillId="0" borderId="0" xfId="0" applyNumberFormat="1" applyFont="1" applyFill="1" applyAlignment="1"/>
    <xf numFmtId="1" fontId="129" fillId="0" borderId="51" xfId="0" applyNumberFormat="1" applyFont="1" applyBorder="1" applyAlignment="1"/>
    <xf numFmtId="0" fontId="129" fillId="0" borderId="51" xfId="0" applyFont="1" applyBorder="1" applyAlignment="1"/>
    <xf numFmtId="169" fontId="129" fillId="0" borderId="51" xfId="6" applyNumberFormat="1" applyFont="1" applyFill="1" applyBorder="1"/>
    <xf numFmtId="171" fontId="129" fillId="0" borderId="51" xfId="6" applyNumberFormat="1" applyFont="1" applyBorder="1"/>
    <xf numFmtId="7" fontId="129" fillId="0" borderId="51" xfId="6" applyNumberFormat="1" applyFont="1" applyFill="1" applyBorder="1"/>
    <xf numFmtId="169" fontId="20" fillId="0" borderId="0" xfId="1" applyNumberFormat="1" applyFont="1" applyFill="1"/>
    <xf numFmtId="169" fontId="90" fillId="0" borderId="0" xfId="6" applyNumberFormat="1" applyFont="1" applyFill="1"/>
    <xf numFmtId="169" fontId="0" fillId="0" borderId="0" xfId="0" applyNumberFormat="1" applyFill="1" applyBorder="1">
      <alignment vertical="top"/>
    </xf>
    <xf numFmtId="169" fontId="0" fillId="0" borderId="0" xfId="6" applyNumberFormat="1" applyFont="1" applyFill="1" applyBorder="1"/>
    <xf numFmtId="169" fontId="18" fillId="0" borderId="0" xfId="0" applyNumberFormat="1" applyFont="1" applyFill="1" applyBorder="1" applyAlignment="1">
      <alignment horizontal="center"/>
    </xf>
    <xf numFmtId="0" fontId="0" fillId="0" borderId="0" xfId="0" applyBorder="1">
      <alignment vertical="top"/>
    </xf>
    <xf numFmtId="169" fontId="23" fillId="0" borderId="0" xfId="6" applyNumberFormat="1" applyFont="1" applyFill="1" applyBorder="1"/>
    <xf numFmtId="169" fontId="23" fillId="0" borderId="0" xfId="0" applyNumberFormat="1" applyFont="1" applyFill="1" applyBorder="1">
      <alignment vertical="top"/>
    </xf>
    <xf numFmtId="191" fontId="0" fillId="0" borderId="0" xfId="6" applyNumberFormat="1" applyFont="1" applyFill="1" applyBorder="1"/>
    <xf numFmtId="169" fontId="36" fillId="0" borderId="0" xfId="0" applyNumberFormat="1" applyFont="1" applyFill="1" applyAlignment="1"/>
    <xf numFmtId="10" fontId="23" fillId="0" borderId="0" xfId="26" applyNumberFormat="1"/>
    <xf numFmtId="10" fontId="36" fillId="0" borderId="0" xfId="0" applyNumberFormat="1" applyFont="1" applyFill="1" applyBorder="1" applyAlignment="1">
      <alignment horizontal="right"/>
    </xf>
    <xf numFmtId="10" fontId="36" fillId="0" borderId="0" xfId="26" applyFont="1" applyFill="1" applyBorder="1" applyAlignment="1">
      <alignment vertical="top"/>
    </xf>
    <xf numFmtId="0" fontId="18" fillId="38" borderId="23" xfId="0" applyFont="1" applyFill="1" applyBorder="1" applyAlignment="1">
      <alignment horizontal="center" wrapText="1"/>
    </xf>
    <xf numFmtId="169" fontId="78" fillId="0" borderId="0" xfId="26" applyNumberFormat="1" applyFont="1"/>
    <xf numFmtId="169" fontId="78" fillId="0" borderId="0" xfId="0" applyNumberFormat="1" applyFont="1" applyAlignment="1"/>
    <xf numFmtId="169" fontId="78" fillId="0" borderId="18" xfId="0" applyNumberFormat="1" applyFont="1" applyBorder="1" applyAlignment="1"/>
    <xf numFmtId="7" fontId="36" fillId="0" borderId="0" xfId="6" applyNumberFormat="1" applyFont="1" applyFill="1" applyBorder="1" applyAlignment="1"/>
    <xf numFmtId="7" fontId="36" fillId="0" borderId="18" xfId="6" applyNumberFormat="1" applyFont="1" applyFill="1" applyBorder="1" applyAlignment="1"/>
    <xf numFmtId="2" fontId="0" fillId="46" borderId="23" xfId="0" applyNumberFormat="1" applyFill="1" applyBorder="1" applyAlignment="1"/>
    <xf numFmtId="43" fontId="0" fillId="46" borderId="23" xfId="0" applyNumberFormat="1" applyFill="1" applyBorder="1" applyAlignment="1"/>
    <xf numFmtId="2" fontId="21" fillId="46" borderId="23" xfId="0" applyNumberFormat="1" applyFont="1" applyFill="1" applyBorder="1" applyAlignment="1"/>
    <xf numFmtId="43" fontId="21" fillId="46" borderId="23" xfId="0" applyNumberFormat="1" applyFont="1" applyFill="1" applyBorder="1" applyAlignment="1"/>
    <xf numFmtId="0" fontId="0" fillId="0" borderId="0" xfId="0" applyFill="1" applyAlignment="1">
      <alignment horizontal="center" wrapText="1"/>
    </xf>
    <xf numFmtId="7" fontId="0" fillId="0" borderId="72" xfId="6" applyNumberFormat="1" applyFont="1" applyBorder="1" applyAlignment="1"/>
    <xf numFmtId="7" fontId="0" fillId="0" borderId="43" xfId="6" applyNumberFormat="1" applyFont="1" applyBorder="1" applyAlignment="1"/>
    <xf numFmtId="7" fontId="0" fillId="0" borderId="23" xfId="6" applyNumberFormat="1" applyFont="1" applyBorder="1" applyAlignment="1"/>
    <xf numFmtId="7" fontId="0" fillId="0" borderId="65" xfId="6" applyNumberFormat="1" applyFont="1" applyBorder="1" applyAlignment="1"/>
    <xf numFmtId="0" fontId="18" fillId="13" borderId="2" xfId="0" applyFont="1" applyFill="1" applyBorder="1" applyAlignment="1">
      <alignment horizontal="center" wrapText="1"/>
    </xf>
    <xf numFmtId="0" fontId="18" fillId="13" borderId="53" xfId="0" applyFont="1" applyFill="1" applyBorder="1" applyAlignment="1">
      <alignment horizontal="center" wrapText="1"/>
    </xf>
    <xf numFmtId="0" fontId="18" fillId="13" borderId="54" xfId="0" applyFont="1" applyFill="1" applyBorder="1" applyAlignment="1">
      <alignment horizontal="center" wrapText="1"/>
    </xf>
    <xf numFmtId="0" fontId="18" fillId="13" borderId="77" xfId="0" applyFont="1" applyFill="1" applyBorder="1" applyAlignment="1">
      <alignment horizontal="center" wrapText="1"/>
    </xf>
    <xf numFmtId="7" fontId="51" fillId="0" borderId="0" xfId="6" applyNumberFormat="1" applyFont="1" applyFill="1" applyAlignment="1"/>
    <xf numFmtId="7" fontId="51" fillId="0" borderId="18" xfId="6" applyNumberFormat="1" applyFont="1" applyFill="1" applyBorder="1" applyAlignment="1"/>
    <xf numFmtId="0" fontId="131" fillId="0" borderId="5" xfId="0" applyFont="1" applyFill="1" applyBorder="1" applyAlignment="1"/>
    <xf numFmtId="169" fontId="132" fillId="45" borderId="2" xfId="0" applyNumberFormat="1" applyFont="1" applyFill="1" applyBorder="1" applyAlignment="1" applyProtection="1"/>
    <xf numFmtId="0" fontId="131" fillId="0" borderId="0" xfId="0" applyFont="1" applyFill="1" applyBorder="1" applyAlignment="1"/>
    <xf numFmtId="169" fontId="131" fillId="45" borderId="6" xfId="0" applyNumberFormat="1" applyFont="1" applyFill="1" applyBorder="1" applyAlignment="1"/>
    <xf numFmtId="0" fontId="131" fillId="0" borderId="10" xfId="0" applyFont="1" applyFill="1" applyBorder="1" applyAlignment="1"/>
    <xf numFmtId="169" fontId="131" fillId="45" borderId="7" xfId="0" applyNumberFormat="1" applyFont="1" applyFill="1" applyBorder="1" applyAlignment="1"/>
    <xf numFmtId="7" fontId="133" fillId="0" borderId="0" xfId="0" applyNumberFormat="1" applyFont="1" applyFill="1" applyAlignment="1"/>
    <xf numFmtId="2" fontId="18" fillId="0" borderId="39" xfId="0" applyNumberFormat="1" applyFont="1" applyFill="1" applyBorder="1" applyAlignment="1"/>
    <xf numFmtId="2" fontId="18" fillId="0" borderId="39" xfId="0" applyNumberFormat="1" applyFont="1" applyFill="1" applyBorder="1" applyAlignment="1">
      <alignment horizontal="left"/>
    </xf>
    <xf numFmtId="0" fontId="21" fillId="0" borderId="15" xfId="0" applyFont="1" applyBorder="1" applyAlignment="1">
      <alignment horizontal="left"/>
    </xf>
    <xf numFmtId="0" fontId="134" fillId="0" borderId="0" xfId="0" applyFont="1" applyFill="1" applyAlignment="1"/>
    <xf numFmtId="0" fontId="134" fillId="0" borderId="0" xfId="0" applyFont="1" applyFill="1" applyBorder="1" applyAlignment="1"/>
    <xf numFmtId="0" fontId="109" fillId="0" borderId="0" xfId="0" applyFont="1" applyAlignment="1"/>
    <xf numFmtId="17" fontId="20" fillId="9" borderId="8" xfId="0" applyNumberFormat="1" applyFont="1" applyFill="1" applyBorder="1" applyAlignment="1"/>
    <xf numFmtId="14" fontId="20" fillId="9" borderId="32" xfId="0" applyNumberFormat="1" applyFont="1" applyFill="1" applyBorder="1" applyAlignment="1"/>
    <xf numFmtId="0" fontId="21" fillId="0" borderId="0" xfId="0" quotePrefix="1" applyFont="1" applyAlignment="1"/>
    <xf numFmtId="0" fontId="18" fillId="0" borderId="0" xfId="0" applyFont="1" applyFill="1" applyBorder="1" applyAlignment="1">
      <alignment wrapText="1"/>
    </xf>
    <xf numFmtId="0" fontId="21" fillId="0" borderId="0" xfId="0" applyFont="1" applyFill="1" applyBorder="1" applyAlignment="1">
      <alignment wrapText="1"/>
    </xf>
    <xf numFmtId="0" fontId="18" fillId="0" borderId="0" xfId="0" applyFont="1" applyFill="1" applyBorder="1" applyAlignment="1">
      <alignment horizontal="right" wrapText="1"/>
    </xf>
    <xf numFmtId="0" fontId="21" fillId="0" borderId="0" xfId="0" applyFont="1" applyFill="1" applyBorder="1" applyAlignment="1">
      <alignment horizontal="right" wrapText="1"/>
    </xf>
    <xf numFmtId="10" fontId="19" fillId="0" borderId="0" xfId="0" applyNumberFormat="1" applyFont="1" applyBorder="1" applyAlignment="1"/>
    <xf numFmtId="0" fontId="80" fillId="0" borderId="0" xfId="0" applyFont="1" applyAlignment="1"/>
    <xf numFmtId="0" fontId="0" fillId="22" borderId="0" xfId="0" applyFill="1" applyAlignment="1"/>
    <xf numFmtId="0" fontId="21" fillId="0" borderId="0" xfId="0" applyFont="1" applyFill="1" applyAlignment="1">
      <alignment horizontal="left"/>
    </xf>
    <xf numFmtId="0" fontId="21" fillId="0" borderId="0" xfId="0" applyFont="1" applyFill="1" applyAlignment="1">
      <alignment horizontal="left" indent="1"/>
    </xf>
    <xf numFmtId="165" fontId="0" fillId="14" borderId="0" xfId="0" applyNumberFormat="1" applyFill="1">
      <alignment vertical="top"/>
    </xf>
    <xf numFmtId="165" fontId="0" fillId="14" borderId="0" xfId="0" applyNumberFormat="1" applyFont="1" applyFill="1" applyBorder="1" applyAlignment="1">
      <alignment vertical="top"/>
    </xf>
    <xf numFmtId="165" fontId="21" fillId="14" borderId="0" xfId="0" applyNumberFormat="1" applyFont="1" applyFill="1" applyBorder="1" applyAlignment="1"/>
    <xf numFmtId="164" fontId="20" fillId="0" borderId="0" xfId="26" applyNumberFormat="1" applyFont="1" applyFill="1" applyBorder="1"/>
    <xf numFmtId="186" fontId="67" fillId="0" borderId="0" xfId="6" applyNumberFormat="1" applyFont="1" applyFill="1" applyBorder="1"/>
    <xf numFmtId="10" fontId="35" fillId="0" borderId="39" xfId="26" applyFont="1" applyFill="1" applyBorder="1" applyAlignment="1"/>
    <xf numFmtId="0" fontId="18" fillId="0" borderId="10" xfId="0" applyFont="1" applyBorder="1" applyAlignment="1">
      <alignment horizontal="right"/>
    </xf>
    <xf numFmtId="0" fontId="19" fillId="44" borderId="0" xfId="0" applyFont="1" applyFill="1" applyAlignment="1"/>
    <xf numFmtId="6" fontId="21" fillId="5" borderId="10" xfId="0" applyNumberFormat="1" applyFont="1" applyFill="1" applyBorder="1" applyAlignment="1"/>
    <xf numFmtId="5" fontId="21" fillId="29" borderId="3" xfId="0" applyNumberFormat="1" applyFont="1" applyFill="1" applyBorder="1" applyAlignment="1" applyProtection="1">
      <protection locked="0"/>
    </xf>
    <xf numFmtId="6" fontId="18" fillId="29" borderId="7" xfId="0" applyNumberFormat="1" applyFont="1" applyFill="1" applyBorder="1" applyAlignment="1"/>
    <xf numFmtId="0" fontId="63" fillId="0" borderId="5" xfId="23" applyFont="1" applyBorder="1" applyAlignment="1">
      <alignment horizontal="left"/>
    </xf>
    <xf numFmtId="0" fontId="21" fillId="0" borderId="0" xfId="23" applyAlignment="1"/>
    <xf numFmtId="0" fontId="21" fillId="0" borderId="0" xfId="23" applyAlignment="1">
      <alignment horizontal="right"/>
    </xf>
    <xf numFmtId="0" fontId="21" fillId="0" borderId="0" xfId="23" applyFont="1" applyAlignment="1"/>
    <xf numFmtId="0" fontId="21" fillId="0" borderId="0" xfId="23" applyFill="1" applyAlignment="1"/>
    <xf numFmtId="0" fontId="18" fillId="0" borderId="23" xfId="23" applyFont="1" applyBorder="1" applyAlignment="1">
      <alignment horizontal="center" wrapText="1"/>
    </xf>
    <xf numFmtId="0" fontId="18" fillId="0" borderId="0" xfId="23" applyFont="1" applyAlignment="1">
      <alignment horizontal="center" wrapText="1"/>
    </xf>
    <xf numFmtId="0" fontId="18" fillId="0" borderId="30" xfId="23" applyFont="1" applyBorder="1" applyAlignment="1">
      <alignment horizontal="center" wrapText="1"/>
    </xf>
    <xf numFmtId="0" fontId="18" fillId="11" borderId="23" xfId="23" applyFont="1" applyFill="1" applyBorder="1" applyAlignment="1">
      <alignment horizontal="center" wrapText="1"/>
    </xf>
    <xf numFmtId="0" fontId="18" fillId="0" borderId="23" xfId="23" applyFont="1" applyFill="1" applyBorder="1" applyAlignment="1">
      <alignment horizontal="center" wrapText="1"/>
    </xf>
    <xf numFmtId="0" fontId="21" fillId="0" borderId="27" xfId="23" applyBorder="1" applyAlignment="1">
      <alignment horizontal="center" wrapText="1"/>
    </xf>
    <xf numFmtId="0" fontId="20" fillId="0" borderId="0" xfId="23" applyFont="1" applyBorder="1" applyAlignment="1">
      <alignment vertical="top" wrapText="1"/>
    </xf>
    <xf numFmtId="0" fontId="21" fillId="0" borderId="0" xfId="23" applyFont="1" applyBorder="1" applyAlignment="1">
      <alignment vertical="top" wrapText="1"/>
    </xf>
    <xf numFmtId="0" fontId="21" fillId="0" borderId="0" xfId="23" applyFont="1" applyFill="1" applyBorder="1" applyAlignment="1">
      <alignment horizontal="right" vertical="top" wrapText="1"/>
    </xf>
    <xf numFmtId="0" fontId="21" fillId="0" borderId="0" xfId="23" applyFont="1" applyFill="1" applyBorder="1" applyAlignment="1">
      <alignment vertical="top" wrapText="1"/>
    </xf>
    <xf numFmtId="0" fontId="20" fillId="0" borderId="0" xfId="23" applyFont="1" applyBorder="1" applyAlignment="1"/>
    <xf numFmtId="0" fontId="21" fillId="0" borderId="0" xfId="23" applyFont="1" applyBorder="1" applyAlignment="1"/>
    <xf numFmtId="0" fontId="21" fillId="0" borderId="0" xfId="23" applyFont="1" applyFill="1" applyBorder="1" applyAlignment="1">
      <alignment horizontal="right"/>
    </xf>
    <xf numFmtId="0" fontId="21" fillId="0" borderId="0" xfId="23" applyFont="1" applyFill="1" applyBorder="1" applyAlignment="1"/>
    <xf numFmtId="0" fontId="127" fillId="0" borderId="0" xfId="23" applyFont="1" applyBorder="1" applyAlignment="1"/>
    <xf numFmtId="0" fontId="20" fillId="33" borderId="0" xfId="23" applyFont="1" applyFill="1" applyBorder="1" applyAlignment="1"/>
    <xf numFmtId="0" fontId="21" fillId="33" borderId="0" xfId="23" applyFont="1" applyFill="1" applyBorder="1" applyAlignment="1"/>
    <xf numFmtId="0" fontId="21" fillId="29" borderId="0" xfId="23" applyFont="1" applyFill="1" applyBorder="1" applyAlignment="1">
      <alignment horizontal="right"/>
    </xf>
    <xf numFmtId="0" fontId="21" fillId="0" borderId="0" xfId="23" applyFont="1" applyBorder="1" applyAlignment="1">
      <alignment horizontal="right"/>
    </xf>
    <xf numFmtId="0" fontId="127" fillId="0" borderId="0" xfId="23" applyFont="1" applyFill="1" applyBorder="1" applyAlignment="1">
      <alignment horizontal="right"/>
    </xf>
    <xf numFmtId="0" fontId="20" fillId="7" borderId="0" xfId="23" applyFont="1" applyFill="1" applyBorder="1" applyAlignment="1"/>
    <xf numFmtId="0" fontId="21" fillId="7" borderId="0" xfId="23" applyFont="1" applyFill="1" applyBorder="1" applyAlignment="1"/>
    <xf numFmtId="0" fontId="18" fillId="10" borderId="0" xfId="23" applyFont="1" applyFill="1" applyBorder="1" applyAlignment="1">
      <alignment horizontal="right"/>
    </xf>
    <xf numFmtId="0" fontId="21" fillId="10" borderId="0" xfId="23" applyFont="1" applyFill="1" applyBorder="1" applyAlignment="1">
      <alignment horizontal="right"/>
    </xf>
    <xf numFmtId="10" fontId="21" fillId="0" borderId="0" xfId="27" applyNumberFormat="1" applyFont="1" applyFill="1" applyBorder="1"/>
    <xf numFmtId="10" fontId="21" fillId="0" borderId="0" xfId="27" applyNumberFormat="1" applyFont="1" applyBorder="1"/>
    <xf numFmtId="164" fontId="21" fillId="0" borderId="0" xfId="27" applyNumberFormat="1" applyFont="1" applyBorder="1"/>
    <xf numFmtId="10" fontId="21" fillId="7" borderId="0" xfId="23" applyNumberFormat="1" applyFont="1" applyFill="1" applyBorder="1" applyAlignment="1"/>
    <xf numFmtId="10" fontId="21" fillId="0" borderId="0" xfId="23" applyNumberFormat="1" applyFont="1" applyFill="1" applyBorder="1" applyAlignment="1"/>
    <xf numFmtId="10" fontId="127" fillId="0" borderId="0" xfId="23" applyNumberFormat="1" applyFont="1" applyFill="1" applyBorder="1" applyAlignment="1"/>
    <xf numFmtId="10" fontId="127" fillId="0" borderId="0" xfId="27" applyNumberFormat="1" applyFont="1" applyFill="1" applyBorder="1"/>
    <xf numFmtId="0" fontId="97" fillId="0" borderId="0" xfId="23" applyFont="1" applyAlignment="1"/>
    <xf numFmtId="0" fontId="20" fillId="21" borderId="0" xfId="23" applyFont="1" applyFill="1" applyBorder="1" applyAlignment="1"/>
    <xf numFmtId="0" fontId="21" fillId="31" borderId="0" xfId="23" applyFont="1" applyFill="1" applyBorder="1" applyAlignment="1">
      <alignment horizontal="right"/>
    </xf>
    <xf numFmtId="0" fontId="127" fillId="0" borderId="0" xfId="23" applyFont="1" applyFill="1" applyBorder="1" applyAlignment="1"/>
    <xf numFmtId="0" fontId="18" fillId="0" borderId="0" xfId="23" applyFont="1" applyBorder="1" applyAlignment="1">
      <alignment horizontal="right"/>
    </xf>
    <xf numFmtId="0" fontId="22" fillId="0" borderId="0" xfId="23" applyFont="1" applyFill="1" applyBorder="1" applyAlignment="1"/>
    <xf numFmtId="0" fontId="20" fillId="29" borderId="0" xfId="23" applyFont="1" applyFill="1" applyBorder="1" applyAlignment="1"/>
    <xf numFmtId="0" fontId="21" fillId="33" borderId="0" xfId="23" applyFont="1" applyFill="1" applyBorder="1" applyAlignment="1">
      <alignment horizontal="right"/>
    </xf>
    <xf numFmtId="37" fontId="21" fillId="33" borderId="0" xfId="23" applyNumberFormat="1" applyFont="1" applyFill="1" applyBorder="1" applyAlignment="1"/>
    <xf numFmtId="0" fontId="21" fillId="0" borderId="0" xfId="23" applyBorder="1" applyAlignment="1"/>
    <xf numFmtId="0" fontId="21" fillId="0" borderId="0" xfId="23" applyFill="1" applyBorder="1" applyAlignment="1"/>
    <xf numFmtId="9" fontId="21" fillId="0" borderId="0" xfId="23" applyNumberFormat="1" applyFill="1" applyBorder="1" applyAlignment="1"/>
    <xf numFmtId="9" fontId="21" fillId="0" borderId="0" xfId="23" applyNumberFormat="1" applyFont="1" applyFill="1" applyBorder="1" applyAlignment="1"/>
    <xf numFmtId="0" fontId="20" fillId="10" borderId="0" xfId="23" applyFont="1" applyFill="1" applyBorder="1" applyAlignment="1"/>
    <xf numFmtId="0" fontId="21" fillId="10" borderId="0" xfId="23" applyFont="1" applyFill="1" applyBorder="1" applyAlignment="1"/>
    <xf numFmtId="9" fontId="21" fillId="10" borderId="0" xfId="23" applyNumberFormat="1" applyFont="1" applyFill="1" applyBorder="1" applyAlignment="1"/>
    <xf numFmtId="9" fontId="21" fillId="10" borderId="0" xfId="27" applyNumberFormat="1" applyFont="1" applyFill="1" applyBorder="1" applyAlignment="1">
      <alignment horizontal="right"/>
    </xf>
    <xf numFmtId="9" fontId="125" fillId="0" borderId="0" xfId="27" applyNumberFormat="1" applyFont="1" applyFill="1" applyBorder="1"/>
    <xf numFmtId="9" fontId="0" fillId="0" borderId="0" xfId="27" applyNumberFormat="1" applyFont="1" applyFill="1" applyBorder="1"/>
    <xf numFmtId="9" fontId="21" fillId="0" borderId="0" xfId="27" applyNumberFormat="1" applyFont="1" applyFill="1" applyBorder="1"/>
    <xf numFmtId="1" fontId="20" fillId="7" borderId="0" xfId="23" applyNumberFormat="1" applyFont="1" applyFill="1" applyBorder="1" applyAlignment="1"/>
    <xf numFmtId="1" fontId="21" fillId="7" borderId="0" xfId="23" applyNumberFormat="1" applyFont="1" applyFill="1" applyBorder="1" applyAlignment="1"/>
    <xf numFmtId="1" fontId="21" fillId="7" borderId="0" xfId="27" applyNumberFormat="1" applyFont="1" applyFill="1" applyBorder="1" applyAlignment="1">
      <alignment horizontal="right"/>
    </xf>
    <xf numFmtId="1" fontId="21" fillId="0" borderId="0" xfId="27" applyNumberFormat="1" applyFont="1" applyFill="1" applyBorder="1"/>
    <xf numFmtId="1" fontId="0" fillId="0" borderId="0" xfId="27" applyNumberFormat="1" applyFont="1" applyFill="1" applyBorder="1"/>
    <xf numFmtId="1" fontId="120" fillId="0" borderId="0" xfId="27" applyNumberFormat="1" applyFont="1" applyFill="1" applyBorder="1"/>
    <xf numFmtId="1" fontId="127" fillId="0" borderId="0" xfId="27" applyNumberFormat="1" applyFont="1" applyFill="1" applyBorder="1"/>
    <xf numFmtId="1" fontId="21" fillId="0" borderId="0" xfId="23" applyNumberFormat="1" applyFill="1" applyBorder="1" applyAlignment="1"/>
    <xf numFmtId="1" fontId="20" fillId="0" borderId="0" xfId="23" applyNumberFormat="1" applyFont="1" applyFill="1" applyBorder="1" applyAlignment="1"/>
    <xf numFmtId="1" fontId="21" fillId="0" borderId="0" xfId="23" applyNumberFormat="1" applyFont="1" applyFill="1" applyBorder="1" applyAlignment="1"/>
    <xf numFmtId="164" fontId="21" fillId="0" borderId="0" xfId="27" applyNumberFormat="1" applyFont="1" applyFill="1" applyBorder="1"/>
    <xf numFmtId="9" fontId="120" fillId="0" borderId="0" xfId="23" applyNumberFormat="1" applyFont="1" applyFill="1" applyBorder="1" applyAlignment="1"/>
    <xf numFmtId="164" fontId="127" fillId="0" borderId="0" xfId="27" applyNumberFormat="1" applyFont="1" applyFill="1" applyBorder="1"/>
    <xf numFmtId="164" fontId="127" fillId="0" borderId="0" xfId="23" applyNumberFormat="1" applyFont="1" applyFill="1" applyBorder="1" applyAlignment="1"/>
    <xf numFmtId="9" fontId="127" fillId="0" borderId="0" xfId="27" applyNumberFormat="1" applyFont="1" applyFill="1" applyBorder="1"/>
    <xf numFmtId="164" fontId="0" fillId="0" borderId="0" xfId="27" applyNumberFormat="1" applyFont="1" applyFill="1" applyBorder="1"/>
    <xf numFmtId="9" fontId="20" fillId="0" borderId="0" xfId="27" applyNumberFormat="1" applyFont="1" applyFill="1" applyBorder="1"/>
    <xf numFmtId="9" fontId="20" fillId="0" borderId="0" xfId="27" applyNumberFormat="1" applyFont="1" applyBorder="1"/>
    <xf numFmtId="0" fontId="20" fillId="32" borderId="0" xfId="23" applyFont="1" applyFill="1" applyBorder="1" applyAlignment="1"/>
    <xf numFmtId="0" fontId="21" fillId="32" borderId="0" xfId="23" applyFont="1" applyFill="1" applyBorder="1" applyAlignment="1"/>
    <xf numFmtId="164" fontId="20" fillId="0" borderId="0" xfId="27" applyNumberFormat="1" applyFont="1" applyFill="1" applyBorder="1"/>
    <xf numFmtId="9" fontId="20" fillId="30" borderId="0" xfId="27" applyNumberFormat="1" applyFont="1" applyFill="1" applyBorder="1"/>
    <xf numFmtId="9" fontId="21" fillId="30" borderId="0" xfId="27" applyNumberFormat="1" applyFont="1" applyFill="1" applyBorder="1"/>
    <xf numFmtId="9" fontId="21" fillId="32" borderId="0" xfId="27" applyNumberFormat="1" applyFont="1" applyFill="1" applyBorder="1" applyAlignment="1">
      <alignment horizontal="right"/>
    </xf>
    <xf numFmtId="164" fontId="120" fillId="0" borderId="0" xfId="23" applyNumberFormat="1" applyFont="1" applyFill="1" applyBorder="1" applyAlignment="1"/>
    <xf numFmtId="9" fontId="0" fillId="0" borderId="0" xfId="27" applyNumberFormat="1" applyFont="1" applyBorder="1"/>
    <xf numFmtId="0" fontId="21" fillId="32" borderId="0" xfId="23" applyFont="1" applyFill="1" applyBorder="1" applyAlignment="1">
      <alignment horizontal="right"/>
    </xf>
    <xf numFmtId="1" fontId="21" fillId="0" borderId="0" xfId="23" applyNumberFormat="1" applyBorder="1" applyAlignment="1"/>
    <xf numFmtId="1" fontId="127" fillId="0" borderId="0" xfId="23" applyNumberFormat="1" applyFont="1" applyFill="1" applyBorder="1" applyAlignment="1"/>
    <xf numFmtId="0" fontId="21" fillId="30" borderId="0" xfId="23" applyFont="1" applyFill="1" applyBorder="1" applyAlignment="1">
      <alignment horizontal="right"/>
    </xf>
    <xf numFmtId="0" fontId="18" fillId="32" borderId="0" xfId="23" applyFont="1" applyFill="1" applyBorder="1" applyAlignment="1">
      <alignment horizontal="right"/>
    </xf>
    <xf numFmtId="166" fontId="21" fillId="0" borderId="0" xfId="23" applyNumberFormat="1" applyFill="1" applyBorder="1" applyAlignment="1"/>
    <xf numFmtId="0" fontId="18" fillId="0" borderId="0" xfId="23" applyFont="1" applyFill="1" applyBorder="1" applyAlignment="1">
      <alignment horizontal="right"/>
    </xf>
    <xf numFmtId="0" fontId="21" fillId="5" borderId="0" xfId="23" applyFont="1" applyFill="1" applyBorder="1" applyAlignment="1">
      <alignment horizontal="right"/>
    </xf>
    <xf numFmtId="0" fontId="18" fillId="5" borderId="0" xfId="23" applyFont="1" applyFill="1" applyBorder="1" applyAlignment="1">
      <alignment horizontal="right"/>
    </xf>
    <xf numFmtId="0" fontId="20" fillId="5" borderId="0" xfId="23" applyFont="1" applyFill="1" applyBorder="1" applyAlignment="1"/>
    <xf numFmtId="3" fontId="21" fillId="0" borderId="0" xfId="2" applyFont="1" applyFill="1" applyBorder="1" applyProtection="1">
      <protection locked="0"/>
    </xf>
    <xf numFmtId="3" fontId="127" fillId="0" borderId="0" xfId="2" applyFont="1" applyFill="1" applyBorder="1" applyProtection="1">
      <protection locked="0"/>
    </xf>
    <xf numFmtId="0" fontId="21" fillId="5" borderId="0" xfId="23" applyFont="1" applyFill="1" applyBorder="1" applyAlignment="1"/>
    <xf numFmtId="6" fontId="21" fillId="5" borderId="0" xfId="23" applyNumberFormat="1" applyFont="1" applyFill="1" applyBorder="1" applyAlignment="1"/>
    <xf numFmtId="6" fontId="21" fillId="0" borderId="0" xfId="23" applyNumberFormat="1" applyFont="1" applyFill="1" applyBorder="1" applyAlignment="1" applyProtection="1">
      <protection locked="0"/>
    </xf>
    <xf numFmtId="7" fontId="21" fillId="0" borderId="0" xfId="23" applyNumberFormat="1" applyFont="1" applyFill="1" applyBorder="1" applyAlignment="1"/>
    <xf numFmtId="171" fontId="21" fillId="0" borderId="0" xfId="23" applyNumberFormat="1" applyFont="1" applyFill="1" applyBorder="1" applyAlignment="1"/>
    <xf numFmtId="7" fontId="127" fillId="0" borderId="0" xfId="23" applyNumberFormat="1" applyFont="1" applyFill="1" applyBorder="1" applyAlignment="1"/>
    <xf numFmtId="171" fontId="127" fillId="0" borderId="0" xfId="23" applyNumberFormat="1" applyFont="1" applyFill="1" applyBorder="1" applyAlignment="1"/>
    <xf numFmtId="6" fontId="127" fillId="0" borderId="0" xfId="23" applyNumberFormat="1" applyFont="1" applyFill="1" applyBorder="1" applyAlignment="1" applyProtection="1">
      <protection locked="0"/>
    </xf>
    <xf numFmtId="8" fontId="21" fillId="0" borderId="0" xfId="23" applyNumberFormat="1" applyFont="1" applyFill="1" applyBorder="1" applyAlignment="1" applyProtection="1">
      <protection locked="0"/>
    </xf>
    <xf numFmtId="169" fontId="21" fillId="0" borderId="0" xfId="23" applyNumberFormat="1" applyFont="1" applyFill="1" applyBorder="1" applyAlignment="1"/>
    <xf numFmtId="169" fontId="127" fillId="0" borderId="0" xfId="23" applyNumberFormat="1" applyFont="1" applyFill="1" applyBorder="1" applyAlignment="1"/>
    <xf numFmtId="8" fontId="127" fillId="0" borderId="0" xfId="23" applyNumberFormat="1" applyFont="1" applyFill="1" applyBorder="1" applyAlignment="1" applyProtection="1">
      <protection locked="0"/>
    </xf>
    <xf numFmtId="3" fontId="18" fillId="5" borderId="0" xfId="23" applyNumberFormat="1" applyFont="1" applyFill="1" applyBorder="1" applyAlignment="1" applyProtection="1">
      <alignment horizontal="right"/>
    </xf>
    <xf numFmtId="10" fontId="20" fillId="5" borderId="0" xfId="23" applyNumberFormat="1" applyFont="1" applyFill="1" applyBorder="1" applyAlignment="1"/>
    <xf numFmtId="10" fontId="21" fillId="5" borderId="0" xfId="23" applyNumberFormat="1" applyFont="1" applyFill="1" applyBorder="1" applyAlignment="1"/>
    <xf numFmtId="10" fontId="21" fillId="5" borderId="0" xfId="23" applyNumberFormat="1" applyFont="1" applyFill="1" applyBorder="1" applyAlignment="1" applyProtection="1">
      <alignment horizontal="right"/>
    </xf>
    <xf numFmtId="172" fontId="21" fillId="0" borderId="0" xfId="23" applyNumberFormat="1" applyFont="1" applyFill="1" applyBorder="1" applyAlignment="1"/>
    <xf numFmtId="172" fontId="127" fillId="0" borderId="0" xfId="23" applyNumberFormat="1" applyFont="1" applyFill="1" applyBorder="1" applyAlignment="1"/>
    <xf numFmtId="8" fontId="20" fillId="5" borderId="0" xfId="23" applyNumberFormat="1" applyFont="1" applyFill="1" applyBorder="1" applyAlignment="1"/>
    <xf numFmtId="8" fontId="21" fillId="5" borderId="0" xfId="23" applyNumberFormat="1" applyFont="1" applyFill="1" applyBorder="1" applyAlignment="1"/>
    <xf numFmtId="8" fontId="21" fillId="5" borderId="0" xfId="23" applyNumberFormat="1" applyFont="1" applyFill="1" applyBorder="1" applyAlignment="1">
      <alignment horizontal="right"/>
    </xf>
    <xf numFmtId="8" fontId="21" fillId="0" borderId="0" xfId="23" applyNumberFormat="1" applyFont="1" applyFill="1" applyBorder="1" applyAlignment="1"/>
    <xf numFmtId="8" fontId="127" fillId="0" borderId="0" xfId="23" applyNumberFormat="1" applyFont="1" applyFill="1" applyBorder="1" applyAlignment="1"/>
    <xf numFmtId="5" fontId="21" fillId="32" borderId="0" xfId="23" applyNumberFormat="1" applyFont="1" applyFill="1" applyBorder="1" applyAlignment="1"/>
    <xf numFmtId="0" fontId="20" fillId="30" borderId="0" xfId="23" applyFont="1" applyFill="1" applyBorder="1" applyAlignment="1"/>
    <xf numFmtId="172" fontId="21" fillId="0" borderId="0" xfId="23" applyNumberFormat="1" applyFill="1" applyBorder="1" applyAlignment="1"/>
    <xf numFmtId="3" fontId="21" fillId="0" borderId="0" xfId="23" applyNumberFormat="1" applyFont="1" applyFill="1" applyBorder="1" applyAlignment="1"/>
    <xf numFmtId="7" fontId="21" fillId="0" borderId="0" xfId="23" applyNumberFormat="1" applyFill="1" applyBorder="1" applyAlignment="1"/>
    <xf numFmtId="5" fontId="21" fillId="0" borderId="0" xfId="23" applyNumberFormat="1" applyFill="1" applyAlignment="1"/>
    <xf numFmtId="3" fontId="20" fillId="10" borderId="0" xfId="2" applyFont="1" applyFill="1" applyBorder="1"/>
    <xf numFmtId="3" fontId="21" fillId="10" borderId="0" xfId="2" applyFont="1" applyFill="1" applyBorder="1"/>
    <xf numFmtId="3" fontId="21" fillId="10" borderId="0" xfId="2" applyFont="1" applyFill="1" applyBorder="1" applyAlignment="1">
      <alignment horizontal="right"/>
    </xf>
    <xf numFmtId="3" fontId="21" fillId="0" borderId="0" xfId="2" applyFont="1" applyFill="1" applyBorder="1"/>
    <xf numFmtId="3" fontId="21" fillId="0" borderId="0" xfId="2" applyFont="1" applyBorder="1"/>
    <xf numFmtId="3" fontId="21" fillId="7" borderId="0" xfId="2" applyFont="1" applyFill="1" applyBorder="1" applyAlignment="1">
      <alignment horizontal="right"/>
    </xf>
    <xf numFmtId="3" fontId="0" fillId="0" borderId="0" xfId="2" applyFont="1" applyBorder="1"/>
    <xf numFmtId="3" fontId="0" fillId="0" borderId="0" xfId="2" applyFont="1" applyFill="1" applyBorder="1"/>
    <xf numFmtId="3" fontId="20" fillId="7" borderId="0" xfId="2" applyFont="1" applyFill="1" applyBorder="1"/>
    <xf numFmtId="0" fontId="21" fillId="7" borderId="0" xfId="23" applyFont="1" applyFill="1" applyBorder="1" applyAlignment="1">
      <alignment horizontal="right"/>
    </xf>
    <xf numFmtId="0" fontId="21" fillId="0" borderId="0" xfId="23" applyFont="1" applyFill="1" applyAlignment="1">
      <alignment horizontal="left"/>
    </xf>
    <xf numFmtId="0" fontId="21" fillId="0" borderId="0" xfId="23" applyFont="1" applyFill="1" applyAlignment="1">
      <alignment horizontal="left" indent="1"/>
    </xf>
    <xf numFmtId="10" fontId="20" fillId="10" borderId="0" xfId="27" applyFont="1" applyFill="1" applyBorder="1" applyAlignment="1"/>
    <xf numFmtId="10" fontId="21" fillId="10" borderId="0" xfId="27" applyFont="1" applyFill="1" applyBorder="1" applyAlignment="1"/>
    <xf numFmtId="10" fontId="18" fillId="7" borderId="0" xfId="27" applyFont="1" applyFill="1" applyBorder="1" applyAlignment="1">
      <alignment horizontal="right"/>
    </xf>
    <xf numFmtId="10" fontId="21" fillId="0" borderId="0" xfId="27" applyFont="1" applyBorder="1" applyAlignment="1"/>
    <xf numFmtId="10" fontId="0" fillId="0" borderId="0" xfId="27" applyFont="1" applyBorder="1" applyAlignment="1"/>
    <xf numFmtId="10" fontId="0" fillId="0" borderId="0" xfId="27" applyFont="1" applyFill="1" applyBorder="1" applyAlignment="1"/>
    <xf numFmtId="0" fontId="20" fillId="7" borderId="3" xfId="23" applyFont="1" applyFill="1" applyBorder="1" applyAlignment="1"/>
    <xf numFmtId="10" fontId="135" fillId="7" borderId="0" xfId="27" applyFont="1" applyFill="1" applyBorder="1" applyAlignment="1">
      <alignment horizontal="right"/>
    </xf>
    <xf numFmtId="7" fontId="21" fillId="0" borderId="0" xfId="23" applyNumberFormat="1" applyFill="1">
      <alignment vertical="top"/>
    </xf>
    <xf numFmtId="3" fontId="21" fillId="10" borderId="0" xfId="23" applyNumberFormat="1" applyFont="1" applyFill="1" applyBorder="1" applyAlignment="1"/>
    <xf numFmtId="166" fontId="21" fillId="0" borderId="0" xfId="23" applyNumberFormat="1" applyFont="1" applyFill="1" applyBorder="1" applyAlignment="1"/>
    <xf numFmtId="0" fontId="21" fillId="7" borderId="0" xfId="23" applyFill="1" applyBorder="1" applyAlignment="1">
      <alignment horizontal="right"/>
    </xf>
    <xf numFmtId="7" fontId="21" fillId="0" borderId="0" xfId="23" applyNumberFormat="1" applyBorder="1" applyAlignment="1"/>
    <xf numFmtId="171" fontId="21" fillId="0" borderId="0" xfId="23" applyNumberFormat="1" applyFill="1" applyBorder="1" applyAlignment="1"/>
    <xf numFmtId="6" fontId="21" fillId="10" borderId="0" xfId="23" applyNumberFormat="1" applyFont="1" applyFill="1" applyBorder="1" applyAlignment="1"/>
    <xf numFmtId="186" fontId="67" fillId="0" borderId="0" xfId="7" applyNumberFormat="1" applyFont="1" applyFill="1" applyBorder="1"/>
    <xf numFmtId="0" fontId="40" fillId="0" borderId="0" xfId="23" applyFont="1" applyBorder="1" applyAlignment="1"/>
    <xf numFmtId="6" fontId="21" fillId="0" borderId="0" xfId="23" applyNumberFormat="1" applyFont="1" applyBorder="1" applyAlignment="1"/>
    <xf numFmtId="0" fontId="41" fillId="0" borderId="0" xfId="23" applyFont="1" applyBorder="1" applyAlignment="1">
      <alignment horizontal="right"/>
    </xf>
    <xf numFmtId="0" fontId="18" fillId="30" borderId="0" xfId="23" applyFont="1" applyFill="1" applyBorder="1" applyAlignment="1">
      <alignment horizontal="right"/>
    </xf>
    <xf numFmtId="37" fontId="21" fillId="32" borderId="0" xfId="23" applyNumberFormat="1" applyFont="1" applyFill="1" applyBorder="1" applyAlignment="1"/>
    <xf numFmtId="0" fontId="21" fillId="30" borderId="0" xfId="23" applyFont="1" applyFill="1" applyBorder="1" applyAlignment="1"/>
    <xf numFmtId="171" fontId="21" fillId="0" borderId="0" xfId="23" applyNumberFormat="1" applyFont="1" applyFill="1" applyBorder="1" applyAlignment="1" applyProtection="1">
      <protection locked="0"/>
    </xf>
    <xf numFmtId="0" fontId="72" fillId="30" borderId="0" xfId="23" applyFont="1" applyFill="1" applyBorder="1" applyAlignment="1"/>
    <xf numFmtId="0" fontId="73" fillId="30" borderId="0" xfId="23" applyFont="1" applyFill="1" applyBorder="1" applyAlignment="1"/>
    <xf numFmtId="0" fontId="73" fillId="30" borderId="0" xfId="23" applyFont="1" applyFill="1" applyBorder="1" applyAlignment="1">
      <alignment horizontal="right"/>
    </xf>
    <xf numFmtId="0" fontId="126" fillId="32" borderId="0" xfId="23" applyFont="1" applyFill="1" applyBorder="1" applyAlignment="1"/>
    <xf numFmtId="0" fontId="127" fillId="32" borderId="0" xfId="23" applyFont="1" applyFill="1" applyBorder="1" applyAlignment="1"/>
    <xf numFmtId="0" fontId="128" fillId="32" borderId="0" xfId="23" applyFont="1" applyFill="1" applyBorder="1" applyAlignment="1">
      <alignment horizontal="right"/>
    </xf>
    <xf numFmtId="37" fontId="127" fillId="32" borderId="0" xfId="23" applyNumberFormat="1" applyFont="1" applyFill="1" applyBorder="1" applyAlignment="1"/>
    <xf numFmtId="0" fontId="127" fillId="32" borderId="0" xfId="23" applyFont="1" applyFill="1" applyBorder="1" applyAlignment="1">
      <alignment horizontal="right"/>
    </xf>
    <xf numFmtId="5" fontId="127" fillId="32" borderId="0" xfId="23" applyNumberFormat="1" applyFont="1" applyFill="1" applyBorder="1" applyAlignment="1"/>
    <xf numFmtId="3" fontId="127" fillId="32" borderId="0" xfId="23" applyNumberFormat="1" applyFont="1" applyFill="1" applyBorder="1" applyAlignment="1"/>
    <xf numFmtId="6" fontId="127" fillId="32" borderId="0" xfId="23" applyNumberFormat="1" applyFont="1" applyFill="1" applyBorder="1" applyAlignment="1"/>
    <xf numFmtId="0" fontId="126" fillId="9" borderId="0" xfId="23" applyFont="1" applyFill="1" applyBorder="1" applyAlignment="1"/>
    <xf numFmtId="0" fontId="127" fillId="9" borderId="0" xfId="23" applyFont="1" applyFill="1" applyBorder="1" applyAlignment="1"/>
    <xf numFmtId="0" fontId="128" fillId="9" borderId="0" xfId="23" applyFont="1" applyFill="1" applyBorder="1" applyAlignment="1">
      <alignment horizontal="right"/>
    </xf>
    <xf numFmtId="0" fontId="127" fillId="6" borderId="0" xfId="23" applyFont="1" applyFill="1" applyBorder="1" applyAlignment="1">
      <alignment horizontal="right"/>
    </xf>
    <xf numFmtId="6" fontId="127" fillId="9" borderId="0" xfId="23" applyNumberFormat="1" applyFont="1" applyFill="1" applyBorder="1" applyAlignment="1"/>
    <xf numFmtId="0" fontId="127" fillId="9" borderId="0" xfId="23" applyFont="1" applyFill="1" applyBorder="1" applyAlignment="1">
      <alignment horizontal="right"/>
    </xf>
    <xf numFmtId="0" fontId="126" fillId="6" borderId="0" xfId="23" applyFont="1" applyFill="1" applyBorder="1" applyAlignment="1"/>
    <xf numFmtId="3" fontId="127" fillId="6" borderId="0" xfId="23" applyNumberFormat="1" applyFont="1" applyFill="1" applyBorder="1" applyAlignment="1"/>
    <xf numFmtId="6" fontId="127" fillId="6" borderId="0" xfId="23" applyNumberFormat="1" applyFont="1" applyFill="1" applyBorder="1" applyAlignment="1"/>
    <xf numFmtId="0" fontId="127" fillId="6" borderId="0" xfId="23" applyFont="1" applyFill="1" applyBorder="1" applyAlignment="1"/>
    <xf numFmtId="0" fontId="128" fillId="6" borderId="0" xfId="23" applyFont="1" applyFill="1" applyBorder="1" applyAlignment="1">
      <alignment horizontal="right"/>
    </xf>
    <xf numFmtId="0" fontId="20" fillId="9" borderId="0" xfId="23" applyFont="1" applyFill="1" applyBorder="1" applyAlignment="1"/>
    <xf numFmtId="0" fontId="21" fillId="9" borderId="0" xfId="23" applyFill="1" applyBorder="1" applyAlignment="1"/>
    <xf numFmtId="0" fontId="18" fillId="9" borderId="0" xfId="23" applyFont="1" applyFill="1" applyBorder="1" applyAlignment="1">
      <alignment horizontal="right"/>
    </xf>
    <xf numFmtId="0" fontId="18" fillId="6" borderId="0" xfId="23" applyFont="1" applyFill="1" applyBorder="1" applyAlignment="1">
      <alignment horizontal="right"/>
    </xf>
    <xf numFmtId="0" fontId="21" fillId="6" borderId="0" xfId="23" applyFont="1" applyFill="1" applyBorder="1" applyAlignment="1">
      <alignment horizontal="right"/>
    </xf>
    <xf numFmtId="165" fontId="21" fillId="0" borderId="0" xfId="23" applyNumberFormat="1" applyFont="1" applyFill="1" applyBorder="1" applyAlignment="1">
      <alignment vertical="top"/>
    </xf>
    <xf numFmtId="165" fontId="21" fillId="0" borderId="0" xfId="23" applyNumberFormat="1" applyBorder="1" applyAlignment="1"/>
    <xf numFmtId="165" fontId="21" fillId="0" borderId="0" xfId="23" applyNumberFormat="1" applyFill="1" applyBorder="1" applyAlignment="1"/>
    <xf numFmtId="0" fontId="127" fillId="0" borderId="0" xfId="23" applyFont="1" applyFill="1" applyAlignment="1">
      <alignment horizontal="center"/>
    </xf>
    <xf numFmtId="0" fontId="20" fillId="31" borderId="0" xfId="23" applyFont="1" applyFill="1" applyBorder="1" applyAlignment="1"/>
    <xf numFmtId="0" fontId="21" fillId="31" borderId="0" xfId="23" applyFont="1" applyFill="1" applyBorder="1" applyAlignment="1"/>
    <xf numFmtId="0" fontId="21" fillId="0" borderId="0" xfId="23" applyFont="1" applyFill="1" applyAlignment="1"/>
    <xf numFmtId="0" fontId="21" fillId="0" borderId="0" xfId="23" applyFont="1" applyFill="1" applyAlignment="1">
      <alignment horizontal="center"/>
    </xf>
    <xf numFmtId="9" fontId="127" fillId="0" borderId="0" xfId="23" applyNumberFormat="1" applyFont="1" applyFill="1" applyAlignment="1">
      <alignment horizontal="center"/>
    </xf>
    <xf numFmtId="0" fontId="20" fillId="31" borderId="0" xfId="23" applyFont="1" applyFill="1" applyAlignment="1"/>
    <xf numFmtId="9" fontId="21" fillId="0" borderId="0" xfId="23" applyNumberFormat="1" applyFont="1" applyFill="1" applyAlignment="1">
      <alignment horizontal="center"/>
    </xf>
    <xf numFmtId="0" fontId="127" fillId="0" borderId="0" xfId="23" applyFont="1" applyFill="1" applyBorder="1" applyAlignment="1">
      <alignment horizontal="center"/>
    </xf>
    <xf numFmtId="0" fontId="21" fillId="0" borderId="0" xfId="23" applyFont="1" applyFill="1" applyBorder="1" applyAlignment="1">
      <alignment horizontal="center"/>
    </xf>
    <xf numFmtId="0" fontId="21" fillId="21" borderId="0" xfId="23" applyFill="1" applyBorder="1" applyAlignment="1"/>
    <xf numFmtId="0" fontId="20" fillId="11" borderId="0" xfId="23" applyFont="1" applyFill="1" applyBorder="1" applyAlignment="1"/>
    <xf numFmtId="0" fontId="21" fillId="3" borderId="0" xfId="23" applyFill="1" applyBorder="1" applyAlignment="1"/>
    <xf numFmtId="0" fontId="21" fillId="11" borderId="0" xfId="23" applyFont="1" applyFill="1" applyBorder="1" applyAlignment="1">
      <alignment horizontal="right"/>
    </xf>
    <xf numFmtId="9" fontId="127" fillId="0" borderId="0" xfId="23" applyNumberFormat="1" applyFont="1" applyFill="1" applyBorder="1" applyAlignment="1"/>
    <xf numFmtId="0" fontId="98" fillId="3" borderId="0" xfId="23" applyFont="1" applyFill="1" applyBorder="1" applyAlignment="1"/>
    <xf numFmtId="0" fontId="99" fillId="3" borderId="0" xfId="23" applyFont="1" applyFill="1" applyBorder="1" applyAlignment="1"/>
    <xf numFmtId="0" fontId="99" fillId="11" borderId="0" xfId="23" applyFont="1" applyFill="1" applyBorder="1" applyAlignment="1">
      <alignment horizontal="right"/>
    </xf>
    <xf numFmtId="0" fontId="99" fillId="0" borderId="0" xfId="23" applyFont="1" applyBorder="1" applyAlignment="1">
      <alignment horizontal="center"/>
    </xf>
    <xf numFmtId="0" fontId="99" fillId="0" borderId="0" xfId="23" applyFont="1" applyFill="1" applyBorder="1" applyAlignment="1">
      <alignment horizontal="center"/>
    </xf>
    <xf numFmtId="169" fontId="127" fillId="0" borderId="0" xfId="23" applyNumberFormat="1" applyFont="1" applyFill="1" applyBorder="1" applyAlignment="1">
      <alignment horizontal="center"/>
    </xf>
    <xf numFmtId="0" fontId="99" fillId="0" borderId="0" xfId="23" applyFont="1" applyBorder="1" applyAlignment="1"/>
    <xf numFmtId="171" fontId="99" fillId="0" borderId="0" xfId="23" applyNumberFormat="1" applyFont="1" applyFill="1" applyBorder="1" applyAlignment="1">
      <alignment horizontal="center"/>
    </xf>
    <xf numFmtId="10" fontId="136" fillId="7" borderId="0" xfId="26" applyFont="1" applyFill="1" applyBorder="1" applyAlignment="1">
      <alignment horizontal="right"/>
    </xf>
    <xf numFmtId="0" fontId="137" fillId="0" borderId="0" xfId="0" applyFont="1" applyAlignment="1">
      <alignment horizontal="center"/>
    </xf>
    <xf numFmtId="0" fontId="18" fillId="0" borderId="0" xfId="0" applyFont="1" applyFill="1" applyBorder="1" applyAlignment="1">
      <alignment horizontal="center" wrapText="1"/>
    </xf>
    <xf numFmtId="2" fontId="21" fillId="0" borderId="0" xfId="0" applyNumberFormat="1" applyFont="1" applyFill="1" applyBorder="1" applyAlignment="1">
      <alignment horizontal="center" vertical="center" wrapText="1"/>
    </xf>
    <xf numFmtId="2" fontId="18" fillId="0" borderId="15" xfId="0" applyNumberFormat="1" applyFont="1" applyFill="1" applyBorder="1" applyAlignment="1">
      <alignment horizontal="center"/>
    </xf>
    <xf numFmtId="185" fontId="67" fillId="0" borderId="0" xfId="1" applyNumberFormat="1" applyFont="1" applyFill="1" applyBorder="1"/>
    <xf numFmtId="185" fontId="67" fillId="0" borderId="0" xfId="2" applyNumberFormat="1" applyFont="1" applyFill="1" applyBorder="1"/>
    <xf numFmtId="164" fontId="21" fillId="0" borderId="0" xfId="23" applyNumberFormat="1" applyFont="1" applyFill="1" applyBorder="1" applyAlignment="1"/>
    <xf numFmtId="0" fontId="18" fillId="48" borderId="30" xfId="0" applyFont="1" applyFill="1" applyBorder="1" applyAlignment="1">
      <alignment horizontal="center" wrapText="1"/>
    </xf>
    <xf numFmtId="0" fontId="18" fillId="48" borderId="23" xfId="0" applyFont="1" applyFill="1" applyBorder="1" applyAlignment="1">
      <alignment horizontal="center" wrapText="1"/>
    </xf>
    <xf numFmtId="0" fontId="18" fillId="48" borderId="31" xfId="0" applyFont="1" applyFill="1" applyBorder="1" applyAlignment="1">
      <alignment horizontal="center" wrapText="1"/>
    </xf>
    <xf numFmtId="0" fontId="18" fillId="5" borderId="30" xfId="0" applyFont="1" applyFill="1" applyBorder="1" applyAlignment="1">
      <alignment horizontal="center" wrapText="1"/>
    </xf>
    <xf numFmtId="0" fontId="18" fillId="5" borderId="23" xfId="0" applyFont="1" applyFill="1" applyBorder="1" applyAlignment="1">
      <alignment horizontal="center" wrapText="1"/>
    </xf>
    <xf numFmtId="0" fontId="18" fillId="5" borderId="31" xfId="0" applyFont="1" applyFill="1" applyBorder="1" applyAlignment="1">
      <alignment horizontal="center" wrapText="1"/>
    </xf>
    <xf numFmtId="0" fontId="18" fillId="37" borderId="30" xfId="0" applyFont="1" applyFill="1" applyBorder="1" applyAlignment="1">
      <alignment horizontal="center" wrapText="1"/>
    </xf>
    <xf numFmtId="0" fontId="18" fillId="37" borderId="23" xfId="0" applyFont="1" applyFill="1" applyBorder="1" applyAlignment="1">
      <alignment horizontal="center" wrapText="1"/>
    </xf>
    <xf numFmtId="0" fontId="18" fillId="37" borderId="31" xfId="0" applyFont="1" applyFill="1" applyBorder="1" applyAlignment="1">
      <alignment horizontal="center" wrapText="1"/>
    </xf>
    <xf numFmtId="0" fontId="21" fillId="0" borderId="29" xfId="0" applyFont="1" applyFill="1" applyBorder="1" applyAlignment="1">
      <alignment horizontal="right"/>
    </xf>
    <xf numFmtId="165" fontId="20" fillId="9" borderId="0" xfId="23" applyNumberFormat="1" applyFont="1" applyFill="1" applyBorder="1" applyAlignment="1"/>
    <xf numFmtId="165" fontId="21" fillId="9" borderId="0" xfId="23" applyNumberFormat="1" applyFill="1" applyBorder="1" applyAlignment="1"/>
    <xf numFmtId="165" fontId="21" fillId="6" borderId="0" xfId="23" applyNumberFormat="1" applyFont="1" applyFill="1" applyBorder="1" applyAlignment="1">
      <alignment horizontal="right"/>
    </xf>
    <xf numFmtId="165" fontId="21" fillId="0" borderId="0" xfId="23" applyNumberFormat="1" applyFont="1" applyFill="1" applyBorder="1" applyAlignment="1"/>
    <xf numFmtId="170" fontId="20" fillId="9" borderId="0" xfId="23" applyNumberFormat="1" applyFont="1" applyFill="1" applyBorder="1" applyAlignment="1"/>
    <xf numFmtId="170" fontId="21" fillId="9" borderId="0" xfId="23" applyNumberFormat="1" applyFill="1" applyBorder="1" applyAlignment="1"/>
    <xf numFmtId="170" fontId="21" fillId="0" borderId="0" xfId="23" applyNumberFormat="1" applyFont="1" applyFill="1" applyBorder="1" applyAlignment="1">
      <alignment vertical="top"/>
    </xf>
    <xf numFmtId="170" fontId="21" fillId="0" borderId="0" xfId="23" applyNumberFormat="1" applyBorder="1" applyAlignment="1"/>
    <xf numFmtId="165" fontId="20" fillId="9" borderId="0" xfId="0" applyNumberFormat="1" applyFont="1" applyFill="1" applyBorder="1" applyAlignment="1"/>
    <xf numFmtId="165" fontId="0" fillId="9" borderId="0" xfId="0" applyNumberFormat="1" applyFill="1" applyBorder="1" applyAlignment="1"/>
    <xf numFmtId="165" fontId="21" fillId="6" borderId="0" xfId="0" applyNumberFormat="1" applyFont="1" applyFill="1" applyBorder="1" applyAlignment="1">
      <alignment horizontal="right"/>
    </xf>
    <xf numFmtId="165" fontId="0" fillId="14" borderId="0" xfId="0" applyNumberFormat="1" applyFill="1" applyBorder="1" applyAlignment="1"/>
    <xf numFmtId="165" fontId="0" fillId="14" borderId="0" xfId="0" applyNumberFormat="1" applyFont="1" applyFill="1" applyBorder="1" applyAlignment="1"/>
    <xf numFmtId="165" fontId="54" fillId="0" borderId="0" xfId="0" applyNumberFormat="1" applyFont="1" applyFill="1" applyBorder="1" applyAlignment="1"/>
    <xf numFmtId="165" fontId="21" fillId="0" borderId="0" xfId="0" applyNumberFormat="1" applyFont="1" applyBorder="1" applyAlignment="1"/>
    <xf numFmtId="165" fontId="86" fillId="0" borderId="0" xfId="0" applyNumberFormat="1" applyFont="1" applyFill="1" applyBorder="1" applyAlignment="1">
      <alignment horizontal="right"/>
    </xf>
    <xf numFmtId="170" fontId="20" fillId="9" borderId="0" xfId="0" applyNumberFormat="1" applyFont="1" applyFill="1" applyBorder="1" applyAlignment="1"/>
    <xf numFmtId="170" fontId="0" fillId="9" borderId="0" xfId="0" applyNumberFormat="1" applyFill="1" applyBorder="1" applyAlignment="1"/>
    <xf numFmtId="170" fontId="0" fillId="14" borderId="0" xfId="0" applyNumberFormat="1" applyFill="1">
      <alignment vertical="top"/>
    </xf>
    <xf numFmtId="170" fontId="0" fillId="14" borderId="0" xfId="0" applyNumberFormat="1" applyFont="1" applyFill="1" applyBorder="1" applyAlignment="1">
      <alignment vertical="top"/>
    </xf>
    <xf numFmtId="170" fontId="21" fillId="14" borderId="0" xfId="0" applyNumberFormat="1" applyFont="1" applyFill="1" applyBorder="1" applyAlignment="1"/>
    <xf numFmtId="170" fontId="54" fillId="0" borderId="0" xfId="0" applyNumberFormat="1" applyFont="1" applyFill="1" applyBorder="1" applyAlignment="1"/>
    <xf numFmtId="170" fontId="0" fillId="0" borderId="0" xfId="0" applyNumberFormat="1" applyBorder="1" applyAlignment="1"/>
    <xf numFmtId="0" fontId="83" fillId="0" borderId="0" xfId="0" applyFont="1" applyBorder="1" applyAlignment="1">
      <alignment horizontal="center"/>
    </xf>
    <xf numFmtId="0" fontId="18" fillId="49" borderId="38" xfId="0" applyFont="1" applyFill="1" applyBorder="1" applyAlignment="1">
      <alignment horizontal="center" wrapText="1"/>
    </xf>
    <xf numFmtId="0" fontId="18" fillId="16" borderId="38" xfId="0" applyFont="1" applyFill="1" applyBorder="1" applyAlignment="1">
      <alignment horizontal="center" wrapText="1"/>
    </xf>
    <xf numFmtId="7" fontId="0" fillId="0" borderId="71" xfId="6" applyNumberFormat="1" applyFont="1" applyBorder="1" applyAlignment="1"/>
    <xf numFmtId="7" fontId="0" fillId="0" borderId="23" xfId="7" applyNumberFormat="1" applyFont="1" applyBorder="1" applyAlignment="1"/>
    <xf numFmtId="7" fontId="0" fillId="0" borderId="31" xfId="7" applyNumberFormat="1" applyFont="1" applyBorder="1" applyAlignment="1"/>
    <xf numFmtId="169" fontId="21" fillId="31" borderId="71" xfId="0" applyNumberFormat="1" applyFont="1" applyFill="1" applyBorder="1" applyAlignment="1"/>
    <xf numFmtId="169" fontId="21" fillId="31" borderId="23" xfId="0" applyNumberFormat="1" applyFont="1" applyFill="1" applyBorder="1" applyAlignment="1"/>
    <xf numFmtId="169" fontId="21" fillId="31" borderId="65" xfId="0" applyNumberFormat="1" applyFont="1" applyFill="1" applyBorder="1" applyAlignment="1"/>
    <xf numFmtId="169" fontId="51" fillId="0" borderId="18" xfId="0" applyNumberFormat="1" applyFont="1" applyFill="1" applyBorder="1" applyAlignment="1"/>
    <xf numFmtId="2" fontId="21" fillId="0" borderId="39" xfId="0" applyNumberFormat="1" applyFont="1" applyFill="1" applyBorder="1" applyAlignment="1">
      <alignment horizontal="center"/>
    </xf>
    <xf numFmtId="2" fontId="21" fillId="0" borderId="38" xfId="1" applyNumberFormat="1" applyFont="1" applyFill="1" applyBorder="1" applyAlignment="1" applyProtection="1">
      <alignment horizontal="center"/>
      <protection locked="0"/>
    </xf>
    <xf numFmtId="170" fontId="138" fillId="0" borderId="0" xfId="6" applyNumberFormat="1" applyFont="1" applyFill="1"/>
    <xf numFmtId="175" fontId="138" fillId="0" borderId="0" xfId="6" applyNumberFormat="1" applyFont="1" applyFill="1"/>
    <xf numFmtId="171" fontId="85" fillId="30" borderId="0" xfId="1" applyNumberFormat="1" applyFont="1" applyFill="1" applyBorder="1"/>
    <xf numFmtId="0" fontId="137" fillId="0" borderId="0" xfId="23" applyFont="1" applyFill="1" applyBorder="1" applyAlignment="1"/>
    <xf numFmtId="7" fontId="137" fillId="0" borderId="0" xfId="23" applyNumberFormat="1" applyFont="1" applyFill="1" applyBorder="1" applyAlignment="1"/>
    <xf numFmtId="9" fontId="21" fillId="0" borderId="0" xfId="23" applyNumberFormat="1" applyFont="1" applyFill="1" applyBorder="1" applyAlignment="1">
      <alignment horizontal="center"/>
    </xf>
    <xf numFmtId="7" fontId="35" fillId="0" borderId="0" xfId="1" applyNumberFormat="1" applyFont="1" applyFill="1"/>
    <xf numFmtId="7" fontId="92" fillId="0" borderId="0" xfId="0" applyNumberFormat="1" applyFont="1" applyFill="1" applyBorder="1" applyAlignment="1"/>
    <xf numFmtId="169" fontId="18" fillId="0" borderId="0" xfId="1" applyNumberFormat="1" applyFont="1" applyFill="1"/>
    <xf numFmtId="1" fontId="41" fillId="13" borderId="0" xfId="0" applyNumberFormat="1" applyFont="1" applyFill="1" applyAlignment="1"/>
    <xf numFmtId="169" fontId="41" fillId="13" borderId="0" xfId="6" applyNumberFormat="1" applyFont="1" applyFill="1"/>
    <xf numFmtId="171" fontId="41" fillId="13" borderId="0" xfId="6" applyNumberFormat="1" applyFont="1" applyFill="1"/>
    <xf numFmtId="169" fontId="41" fillId="13" borderId="0" xfId="0" applyNumberFormat="1" applyFont="1" applyFill="1" applyAlignment="1"/>
    <xf numFmtId="0" fontId="92" fillId="13" borderId="0" xfId="0" applyFont="1" applyFill="1" applyBorder="1" applyAlignment="1"/>
    <xf numFmtId="1" fontId="139" fillId="13" borderId="0" xfId="0" applyNumberFormat="1" applyFont="1" applyFill="1" applyBorder="1" applyAlignment="1">
      <alignment horizontal="center"/>
    </xf>
    <xf numFmtId="0" fontId="21" fillId="0" borderId="0" xfId="23" applyFont="1" applyFill="1" applyBorder="1" applyAlignment="1">
      <alignment horizontal="left" indent="1"/>
    </xf>
    <xf numFmtId="9" fontId="21" fillId="0" borderId="0" xfId="0" applyNumberFormat="1" applyFont="1" applyFill="1" applyBorder="1" applyAlignment="1">
      <alignment horizontal="center"/>
    </xf>
    <xf numFmtId="0" fontId="38" fillId="0" borderId="0" xfId="0" applyFont="1" applyAlignment="1">
      <alignment vertical="center"/>
    </xf>
    <xf numFmtId="0" fontId="36" fillId="0" borderId="0" xfId="0" applyFont="1" applyAlignment="1">
      <alignment vertical="center"/>
    </xf>
    <xf numFmtId="0" fontId="0" fillId="0" borderId="0" xfId="0" applyAlignment="1">
      <alignment vertical="center"/>
    </xf>
    <xf numFmtId="0" fontId="21" fillId="0" borderId="0" xfId="0" applyFont="1" applyAlignment="1">
      <alignment vertical="center"/>
    </xf>
    <xf numFmtId="0" fontId="42" fillId="10" borderId="57" xfId="0" applyFont="1" applyFill="1" applyBorder="1" applyAlignment="1">
      <alignment horizontal="center" vertical="center"/>
    </xf>
    <xf numFmtId="7" fontId="21" fillId="0" borderId="0" xfId="0" applyNumberFormat="1" applyFont="1" applyFill="1" applyBorder="1" applyAlignment="1">
      <alignment horizontal="center" vertical="center"/>
    </xf>
    <xf numFmtId="0" fontId="18" fillId="3" borderId="57" xfId="0" applyFont="1" applyFill="1" applyBorder="1" applyAlignment="1">
      <alignment horizontal="center" vertical="center"/>
    </xf>
    <xf numFmtId="0" fontId="37" fillId="0" borderId="0" xfId="0" applyFont="1" applyAlignment="1">
      <alignment vertical="center"/>
    </xf>
    <xf numFmtId="0" fontId="0" fillId="0" borderId="0" xfId="0" applyBorder="1" applyAlignment="1">
      <alignment vertical="center"/>
    </xf>
    <xf numFmtId="0" fontId="36" fillId="0" borderId="0" xfId="0" applyFont="1" applyBorder="1" applyAlignment="1">
      <alignment vertical="center"/>
    </xf>
    <xf numFmtId="0" fontId="36" fillId="0" borderId="0" xfId="0" applyFont="1" applyAlignment="1">
      <alignment vertical="center" wrapText="1"/>
    </xf>
    <xf numFmtId="0" fontId="91" fillId="11" borderId="74" xfId="0" applyFont="1" applyFill="1" applyBorder="1" applyAlignment="1">
      <alignment horizontal="center" vertical="center" wrapText="1"/>
    </xf>
    <xf numFmtId="0" fontId="38" fillId="0" borderId="0" xfId="0" applyFont="1" applyAlignment="1">
      <alignment vertical="center" wrapText="1"/>
    </xf>
    <xf numFmtId="0" fontId="0" fillId="0" borderId="0" xfId="0" applyAlignment="1">
      <alignment vertical="center" wrapText="1"/>
    </xf>
    <xf numFmtId="0" fontId="0" fillId="0" borderId="0" xfId="0" applyBorder="1" applyAlignment="1">
      <alignment vertical="center" wrapText="1"/>
    </xf>
    <xf numFmtId="0" fontId="21" fillId="0" borderId="0" xfId="0" applyFont="1" applyAlignment="1">
      <alignment vertical="center" wrapText="1"/>
    </xf>
    <xf numFmtId="0" fontId="39" fillId="0" borderId="0" xfId="0" applyFont="1" applyAlignment="1">
      <alignment vertical="center"/>
    </xf>
    <xf numFmtId="0" fontId="62" fillId="50" borderId="57" xfId="0" applyFont="1" applyFill="1" applyBorder="1" applyAlignment="1">
      <alignment horizontal="center" vertical="center"/>
    </xf>
    <xf numFmtId="0" fontId="18" fillId="0" borderId="0" xfId="0" applyFont="1" applyFill="1" applyAlignment="1">
      <alignment vertical="center"/>
    </xf>
    <xf numFmtId="0" fontId="18" fillId="0" borderId="0" xfId="0" applyFont="1" applyFill="1" applyBorder="1" applyAlignment="1">
      <alignment horizontal="center" vertical="center"/>
    </xf>
    <xf numFmtId="0" fontId="36" fillId="0" borderId="0" xfId="0" applyFont="1" applyFill="1" applyAlignment="1">
      <alignment vertical="center"/>
    </xf>
    <xf numFmtId="0" fontId="56" fillId="0" borderId="5" xfId="0" applyFont="1" applyBorder="1" applyAlignment="1">
      <alignment horizontal="right" vertical="center"/>
    </xf>
    <xf numFmtId="1" fontId="56" fillId="0" borderId="5" xfId="0" applyNumberFormat="1" applyFont="1" applyBorder="1" applyAlignment="1">
      <alignment vertical="center"/>
    </xf>
    <xf numFmtId="1" fontId="56" fillId="0" borderId="2" xfId="0" applyNumberFormat="1" applyFont="1" applyBorder="1" applyAlignment="1">
      <alignment vertical="center"/>
    </xf>
    <xf numFmtId="7" fontId="36" fillId="0" borderId="0" xfId="0" applyNumberFormat="1" applyFont="1" applyAlignment="1">
      <alignment vertical="center"/>
    </xf>
    <xf numFmtId="0" fontId="56" fillId="0" borderId="9" xfId="0" applyFont="1" applyBorder="1" applyAlignment="1">
      <alignment horizontal="right" vertical="center"/>
    </xf>
    <xf numFmtId="1" fontId="36" fillId="0" borderId="0" xfId="0" applyNumberFormat="1" applyFont="1" applyAlignment="1">
      <alignment vertical="center"/>
    </xf>
    <xf numFmtId="1" fontId="36" fillId="0" borderId="0" xfId="0" applyNumberFormat="1" applyFont="1" applyBorder="1" applyAlignment="1">
      <alignment vertical="center"/>
    </xf>
    <xf numFmtId="0" fontId="42" fillId="0" borderId="34" xfId="0" applyFont="1" applyBorder="1" applyAlignment="1">
      <alignment horizontal="left" vertical="center"/>
    </xf>
    <xf numFmtId="7" fontId="36" fillId="0" borderId="0" xfId="6" applyNumberFormat="1" applyFont="1" applyAlignment="1">
      <alignment vertical="center"/>
    </xf>
    <xf numFmtId="7" fontId="36" fillId="0" borderId="0" xfId="6" applyNumberFormat="1" applyFont="1" applyBorder="1" applyAlignment="1">
      <alignment vertical="center"/>
    </xf>
    <xf numFmtId="0" fontId="23" fillId="3" borderId="35" xfId="0" applyFont="1" applyFill="1" applyBorder="1" applyAlignment="1">
      <alignment horizontal="left" vertical="center"/>
    </xf>
    <xf numFmtId="165" fontId="36" fillId="0" borderId="0" xfId="0" applyNumberFormat="1" applyFont="1" applyAlignment="1">
      <alignment vertical="center"/>
    </xf>
    <xf numFmtId="0" fontId="18" fillId="8" borderId="38" xfId="0" applyFont="1" applyFill="1" applyBorder="1" applyAlignment="1">
      <alignment horizontal="center" vertical="center"/>
    </xf>
    <xf numFmtId="0" fontId="23" fillId="9" borderId="35" xfId="0" applyFont="1" applyFill="1" applyBorder="1" applyAlignment="1">
      <alignment horizontal="left" vertical="center"/>
    </xf>
    <xf numFmtId="0" fontId="18" fillId="8" borderId="39" xfId="0" applyFont="1" applyFill="1" applyBorder="1" applyAlignment="1">
      <alignment horizontal="center" vertical="center"/>
    </xf>
    <xf numFmtId="0" fontId="52" fillId="0" borderId="4" xfId="0" applyFont="1" applyFill="1" applyBorder="1" applyAlignment="1">
      <alignment vertical="center"/>
    </xf>
    <xf numFmtId="0" fontId="56" fillId="0" borderId="5" xfId="0" applyFont="1" applyFill="1" applyBorder="1" applyAlignment="1">
      <alignment horizontal="right" vertical="center"/>
    </xf>
    <xf numFmtId="1" fontId="56" fillId="0" borderId="5" xfId="0" applyNumberFormat="1" applyFont="1" applyFill="1" applyBorder="1" applyAlignment="1">
      <alignment vertical="center"/>
    </xf>
    <xf numFmtId="1" fontId="56" fillId="0" borderId="2" xfId="0" applyNumberFormat="1" applyFont="1" applyFill="1" applyBorder="1" applyAlignment="1">
      <alignment vertical="center"/>
    </xf>
    <xf numFmtId="0" fontId="23" fillId="10" borderId="35" xfId="0" applyFont="1" applyFill="1" applyBorder="1" applyAlignment="1">
      <alignment horizontal="left" vertical="center"/>
    </xf>
    <xf numFmtId="165" fontId="36" fillId="0" borderId="0" xfId="0" applyNumberFormat="1" applyFont="1" applyFill="1" applyAlignment="1">
      <alignment vertical="center"/>
    </xf>
    <xf numFmtId="5" fontId="21" fillId="0" borderId="38" xfId="0" applyNumberFormat="1" applyFont="1" applyFill="1" applyBorder="1" applyAlignment="1">
      <alignment horizontal="center" vertical="center"/>
    </xf>
    <xf numFmtId="5" fontId="21" fillId="0" borderId="0" xfId="0" applyNumberFormat="1" applyFont="1" applyFill="1" applyBorder="1" applyAlignment="1">
      <alignment horizontal="center" vertical="center"/>
    </xf>
    <xf numFmtId="0" fontId="56" fillId="0" borderId="3" xfId="0" applyFont="1" applyFill="1" applyBorder="1" applyAlignment="1">
      <alignment horizontal="right" vertical="center"/>
    </xf>
    <xf numFmtId="5" fontId="56" fillId="0" borderId="0" xfId="0" applyNumberFormat="1" applyFont="1" applyFill="1" applyBorder="1" applyAlignment="1">
      <alignment horizontal="right" vertical="center"/>
    </xf>
    <xf numFmtId="0" fontId="68" fillId="0" borderId="0" xfId="0" applyFont="1" applyAlignment="1">
      <alignment vertical="center"/>
    </xf>
    <xf numFmtId="0" fontId="23" fillId="33" borderId="36" xfId="0" applyFont="1" applyFill="1" applyBorder="1" applyAlignment="1">
      <alignment horizontal="left" vertical="center"/>
    </xf>
    <xf numFmtId="0" fontId="56" fillId="0" borderId="9" xfId="0" applyFont="1" applyFill="1" applyBorder="1" applyAlignment="1">
      <alignment horizontal="right" vertical="center"/>
    </xf>
    <xf numFmtId="5" fontId="56" fillId="0" borderId="10" xfId="0" applyNumberFormat="1" applyFont="1" applyFill="1" applyBorder="1" applyAlignment="1">
      <alignment horizontal="right" vertical="center"/>
    </xf>
    <xf numFmtId="0" fontId="21" fillId="0" borderId="9" xfId="0" applyFont="1" applyFill="1" applyBorder="1" applyAlignment="1">
      <alignment horizontal="left" vertical="center"/>
    </xf>
    <xf numFmtId="0" fontId="34" fillId="0" borderId="0" xfId="0" applyFont="1" applyFill="1" applyBorder="1" applyAlignment="1">
      <alignment horizontal="center" vertical="center"/>
    </xf>
    <xf numFmtId="5" fontId="36" fillId="0" borderId="0" xfId="0" applyNumberFormat="1" applyFont="1" applyFill="1" applyBorder="1" applyAlignment="1">
      <alignment vertical="center"/>
    </xf>
    <xf numFmtId="5" fontId="18" fillId="0" borderId="0" xfId="0" applyNumberFormat="1" applyFont="1" applyFill="1" applyBorder="1" applyAlignment="1">
      <alignment horizontal="center" vertical="center"/>
    </xf>
    <xf numFmtId="0" fontId="44" fillId="0" borderId="0" xfId="0" applyFont="1" applyAlignment="1">
      <alignment vertical="center"/>
    </xf>
    <xf numFmtId="0" fontId="67" fillId="0" borderId="0" xfId="0" applyFont="1" applyFill="1" applyAlignment="1">
      <alignment vertical="center"/>
    </xf>
    <xf numFmtId="166" fontId="36" fillId="0" borderId="0" xfId="0" applyNumberFormat="1" applyFont="1" applyFill="1" applyBorder="1" applyAlignment="1">
      <alignment horizontal="center" vertical="center"/>
    </xf>
    <xf numFmtId="168" fontId="21" fillId="0" borderId="0" xfId="1" applyNumberFormat="1" applyFont="1" applyFill="1" applyBorder="1" applyAlignment="1">
      <alignment horizontal="center" vertical="center"/>
    </xf>
    <xf numFmtId="166" fontId="36" fillId="0" borderId="0" xfId="0" applyNumberFormat="1" applyFont="1" applyBorder="1" applyAlignment="1">
      <alignment horizontal="center" vertical="center"/>
    </xf>
    <xf numFmtId="0" fontId="67" fillId="0" borderId="0" xfId="0" applyFont="1" applyFill="1" applyAlignment="1">
      <alignment horizontal="left" vertical="center"/>
    </xf>
    <xf numFmtId="168" fontId="23" fillId="0" borderId="0" xfId="1" applyNumberFormat="1" applyFont="1" applyFill="1" applyBorder="1" applyAlignment="1">
      <alignment horizontal="center" vertical="center"/>
    </xf>
    <xf numFmtId="0" fontId="23" fillId="0" borderId="0" xfId="0" applyFont="1" applyAlignment="1">
      <alignment vertical="center"/>
    </xf>
    <xf numFmtId="5" fontId="23" fillId="0" borderId="0" xfId="0" applyNumberFormat="1" applyFont="1" applyFill="1" applyBorder="1" applyAlignment="1">
      <alignment vertical="center"/>
    </xf>
    <xf numFmtId="0" fontId="35" fillId="0" borderId="0" xfId="0" applyFont="1" applyFill="1" applyBorder="1" applyAlignment="1">
      <alignment horizontal="center" vertical="center"/>
    </xf>
    <xf numFmtId="170" fontId="23" fillId="0" borderId="0" xfId="1" applyNumberFormat="1" applyFont="1" applyFill="1" applyBorder="1" applyAlignment="1">
      <alignment horizontal="center" vertical="center"/>
    </xf>
    <xf numFmtId="175" fontId="23" fillId="0" borderId="0" xfId="1" applyNumberFormat="1" applyFont="1" applyFill="1" applyBorder="1" applyAlignment="1">
      <alignment horizontal="center" vertical="center"/>
    </xf>
    <xf numFmtId="0" fontId="23" fillId="0" borderId="0" xfId="0" applyFont="1" applyFill="1" applyAlignment="1">
      <alignment vertical="center"/>
    </xf>
    <xf numFmtId="0" fontId="44" fillId="0" borderId="0" xfId="0" applyFont="1" applyFill="1" applyAlignment="1">
      <alignment vertical="center" wrapText="1"/>
    </xf>
    <xf numFmtId="37" fontId="23" fillId="0" borderId="0" xfId="0" applyNumberFormat="1" applyFont="1" applyFill="1" applyBorder="1" applyAlignment="1">
      <alignment horizontal="center" vertical="center"/>
    </xf>
    <xf numFmtId="3" fontId="23" fillId="0" borderId="0" xfId="1" applyFont="1" applyFill="1" applyBorder="1" applyAlignment="1">
      <alignment horizontal="center" vertical="center"/>
    </xf>
    <xf numFmtId="7" fontId="23" fillId="0" borderId="0" xfId="0" applyNumberFormat="1" applyFont="1" applyFill="1" applyBorder="1" applyAlignment="1">
      <alignment horizontal="center" vertical="center"/>
    </xf>
    <xf numFmtId="0" fontId="36" fillId="0" borderId="0" xfId="0" applyFont="1" applyFill="1" applyBorder="1" applyAlignment="1">
      <alignment vertical="center"/>
    </xf>
    <xf numFmtId="3" fontId="18" fillId="0" borderId="0" xfId="0" applyNumberFormat="1" applyFont="1" applyFill="1" applyBorder="1" applyAlignment="1" applyProtection="1">
      <alignment vertical="center"/>
    </xf>
    <xf numFmtId="10" fontId="36" fillId="0" borderId="0" xfId="26" applyFont="1" applyFill="1" applyBorder="1" applyAlignment="1">
      <alignment horizontal="center" vertical="center"/>
    </xf>
    <xf numFmtId="0" fontId="66" fillId="0" borderId="0" xfId="0" applyFont="1" applyFill="1" applyAlignment="1">
      <alignment vertical="center"/>
    </xf>
    <xf numFmtId="10" fontId="36" fillId="0" borderId="0" xfId="26" applyNumberFormat="1" applyFont="1" applyFill="1" applyBorder="1" applyAlignment="1">
      <alignment horizontal="center" vertical="center"/>
    </xf>
    <xf numFmtId="0" fontId="36" fillId="0" borderId="0" xfId="0" applyFont="1" applyFill="1" applyBorder="1" applyAlignment="1">
      <alignment horizontal="center" vertical="center" wrapText="1"/>
    </xf>
    <xf numFmtId="14" fontId="20" fillId="0" borderId="6" xfId="0" applyNumberFormat="1" applyFont="1" applyFill="1" applyBorder="1" applyAlignment="1">
      <alignment horizontal="center" vertical="center"/>
    </xf>
    <xf numFmtId="14" fontId="20" fillId="0" borderId="0" xfId="0" applyNumberFormat="1" applyFont="1" applyFill="1" applyBorder="1" applyAlignment="1">
      <alignment horizontal="center" vertical="center"/>
    </xf>
    <xf numFmtId="0" fontId="49" fillId="0" borderId="0" xfId="0" applyFont="1" applyFill="1" applyAlignment="1">
      <alignment vertical="center"/>
    </xf>
    <xf numFmtId="0" fontId="21" fillId="0" borderId="39" xfId="0" applyFont="1" applyBorder="1" applyAlignment="1">
      <alignment horizontal="center" vertical="center"/>
    </xf>
    <xf numFmtId="0" fontId="70" fillId="0" borderId="0" xfId="0" applyFont="1" applyAlignment="1">
      <alignment horizontal="left" vertical="center"/>
    </xf>
    <xf numFmtId="0" fontId="39" fillId="0" borderId="0" xfId="0" applyFont="1" applyAlignment="1">
      <alignment horizontal="center" vertical="center" wrapText="1"/>
    </xf>
    <xf numFmtId="0" fontId="39" fillId="0" borderId="0" xfId="0" applyFont="1" applyAlignment="1">
      <alignment vertical="center" wrapText="1"/>
    </xf>
    <xf numFmtId="0" fontId="18" fillId="0" borderId="0" xfId="0" applyFont="1" applyFill="1" applyAlignment="1">
      <alignment horizontal="left" vertical="center" wrapText="1"/>
    </xf>
    <xf numFmtId="0" fontId="23" fillId="0" borderId="0" xfId="0" applyFont="1" applyBorder="1" applyAlignment="1">
      <alignment horizontal="left" vertical="center"/>
    </xf>
    <xf numFmtId="0" fontId="41" fillId="0" borderId="0" xfId="0" applyFont="1" applyAlignment="1">
      <alignment vertical="center"/>
    </xf>
    <xf numFmtId="0" fontId="39" fillId="0" borderId="0" xfId="0" applyFont="1" applyBorder="1" applyAlignment="1">
      <alignment vertical="center"/>
    </xf>
    <xf numFmtId="0" fontId="41" fillId="0" borderId="23"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4" xfId="0" applyFont="1" applyBorder="1" applyAlignment="1">
      <alignment horizontal="center" vertical="center" wrapText="1"/>
    </xf>
    <xf numFmtId="0" fontId="74" fillId="0" borderId="23" xfId="0" applyFont="1" applyFill="1" applyBorder="1" applyAlignment="1">
      <alignment vertical="center"/>
    </xf>
    <xf numFmtId="0" fontId="40" fillId="40" borderId="23" xfId="0" applyFont="1" applyFill="1" applyBorder="1" applyAlignment="1">
      <alignment horizontal="center" vertical="center" wrapText="1"/>
    </xf>
    <xf numFmtId="0" fontId="41" fillId="0" borderId="24" xfId="0" applyFont="1" applyBorder="1" applyAlignment="1">
      <alignment vertical="center"/>
    </xf>
    <xf numFmtId="0" fontId="54" fillId="0" borderId="16" xfId="0" applyFont="1" applyFill="1" applyBorder="1" applyAlignment="1">
      <alignment vertical="center"/>
    </xf>
    <xf numFmtId="0" fontId="41" fillId="0" borderId="19" xfId="0" applyFont="1" applyBorder="1" applyAlignment="1">
      <alignment vertical="center"/>
    </xf>
    <xf numFmtId="0" fontId="41" fillId="0" borderId="16" xfId="0" applyFont="1" applyBorder="1" applyAlignment="1">
      <alignment vertical="center"/>
    </xf>
    <xf numFmtId="0" fontId="40" fillId="0" borderId="0" xfId="0" applyFont="1" applyFill="1" applyBorder="1" applyAlignment="1">
      <alignment horizontal="center" vertical="center" wrapText="1"/>
    </xf>
    <xf numFmtId="0" fontId="41" fillId="0" borderId="20" xfId="0" applyFont="1" applyBorder="1" applyAlignment="1">
      <alignment vertical="center"/>
    </xf>
    <xf numFmtId="0" fontId="41" fillId="40" borderId="0" xfId="0" applyFont="1" applyFill="1" applyBorder="1" applyAlignment="1">
      <alignment vertical="center"/>
    </xf>
    <xf numFmtId="0" fontId="41" fillId="0" borderId="17" xfId="0" applyFont="1" applyFill="1" applyBorder="1" applyAlignment="1">
      <alignment vertical="center"/>
    </xf>
    <xf numFmtId="0" fontId="134" fillId="0" borderId="0" xfId="0" applyFont="1" applyAlignment="1">
      <alignment vertical="center"/>
    </xf>
    <xf numFmtId="0" fontId="41" fillId="0" borderId="0" xfId="0" applyFont="1" applyBorder="1" applyAlignment="1">
      <alignment vertical="center"/>
    </xf>
    <xf numFmtId="0" fontId="21" fillId="47" borderId="0" xfId="0" applyFont="1" applyFill="1" applyBorder="1" applyAlignment="1"/>
    <xf numFmtId="0" fontId="18" fillId="0" borderId="34" xfId="0" applyFont="1" applyFill="1" applyBorder="1" applyAlignment="1">
      <alignment horizontal="center" vertical="center" wrapText="1"/>
    </xf>
    <xf numFmtId="0" fontId="18" fillId="0" borderId="72" xfId="0" applyFont="1" applyFill="1" applyBorder="1" applyAlignment="1">
      <alignment horizontal="center" wrapText="1"/>
    </xf>
    <xf numFmtId="1" fontId="36" fillId="0" borderId="0" xfId="0" applyNumberFormat="1" applyFont="1" applyFill="1" applyAlignment="1">
      <alignment vertical="center"/>
    </xf>
    <xf numFmtId="7" fontId="0" fillId="0" borderId="0" xfId="0" applyNumberFormat="1" applyAlignment="1">
      <alignment vertical="center"/>
    </xf>
    <xf numFmtId="7" fontId="0" fillId="0" borderId="0" xfId="0" applyNumberFormat="1" applyAlignment="1">
      <alignment vertical="center" wrapText="1"/>
    </xf>
    <xf numFmtId="10" fontId="36" fillId="0" borderId="0" xfId="26" applyFont="1" applyAlignment="1">
      <alignment vertical="center"/>
    </xf>
    <xf numFmtId="165" fontId="21" fillId="0" borderId="0" xfId="23" applyNumberFormat="1" applyFill="1">
      <alignment vertical="top"/>
    </xf>
    <xf numFmtId="170" fontId="21" fillId="0" borderId="0" xfId="23" applyNumberFormat="1" applyFont="1" applyFill="1" applyBorder="1" applyAlignment="1"/>
    <xf numFmtId="10" fontId="21" fillId="0" borderId="0" xfId="26" applyFont="1" applyFill="1" applyBorder="1" applyAlignment="1"/>
    <xf numFmtId="0" fontId="21" fillId="0" borderId="0" xfId="0" quotePrefix="1" applyFont="1" applyFill="1" applyAlignment="1"/>
    <xf numFmtId="185" fontId="21" fillId="0" borderId="0" xfId="1" quotePrefix="1" applyNumberFormat="1" applyFont="1" applyFill="1"/>
    <xf numFmtId="3" fontId="21" fillId="0" borderId="0" xfId="1" quotePrefix="1" applyFont="1" applyFill="1" applyAlignment="1"/>
    <xf numFmtId="9" fontId="18" fillId="0" borderId="0" xfId="26" applyNumberFormat="1" applyFont="1" applyFill="1" applyBorder="1"/>
    <xf numFmtId="5" fontId="18" fillId="0" borderId="0" xfId="0" applyNumberFormat="1" applyFont="1" applyFill="1" applyBorder="1" applyAlignment="1"/>
    <xf numFmtId="5" fontId="21" fillId="0" borderId="0" xfId="0" applyNumberFormat="1" applyFont="1" applyFill="1" applyAlignment="1"/>
    <xf numFmtId="3" fontId="18" fillId="0" borderId="0" xfId="1" quotePrefix="1" applyFont="1" applyFill="1" applyAlignment="1"/>
    <xf numFmtId="7" fontId="21" fillId="0" borderId="0" xfId="0" applyNumberFormat="1" applyFont="1" applyFill="1">
      <alignment vertical="top"/>
    </xf>
    <xf numFmtId="0" fontId="18" fillId="0" borderId="0" xfId="23" applyFont="1" applyFill="1" applyBorder="1" applyAlignment="1"/>
    <xf numFmtId="9" fontId="18" fillId="0" borderId="0" xfId="27" applyNumberFormat="1" applyFont="1" applyFill="1" applyBorder="1"/>
    <xf numFmtId="2" fontId="21" fillId="0" borderId="0" xfId="23" applyNumberFormat="1" applyFont="1" applyFill="1" applyBorder="1" applyAlignment="1"/>
    <xf numFmtId="0" fontId="36" fillId="38" borderId="0" xfId="0" applyFont="1" applyFill="1" applyAlignment="1">
      <alignment vertical="center"/>
    </xf>
    <xf numFmtId="0" fontId="39" fillId="0" borderId="0" xfId="0" applyFont="1" applyFill="1" applyAlignment="1">
      <alignment vertical="center"/>
    </xf>
    <xf numFmtId="0" fontId="36" fillId="0" borderId="0" xfId="0" applyFont="1" applyFill="1" applyBorder="1" applyAlignment="1">
      <alignment vertical="center" wrapText="1"/>
    </xf>
    <xf numFmtId="0" fontId="36" fillId="0" borderId="0" xfId="0" applyFont="1" applyFill="1" applyAlignment="1">
      <alignment vertical="center" wrapText="1"/>
    </xf>
    <xf numFmtId="0" fontId="138" fillId="0" borderId="0" xfId="0" applyFont="1" applyAlignment="1"/>
    <xf numFmtId="165" fontId="21" fillId="0" borderId="0" xfId="23" applyNumberFormat="1" applyFont="1" applyFill="1" applyBorder="1" applyAlignment="1">
      <alignment horizontal="center"/>
    </xf>
    <xf numFmtId="0" fontId="141" fillId="0" borderId="4" xfId="22" applyFont="1" applyBorder="1"/>
    <xf numFmtId="0" fontId="158" fillId="0" borderId="0" xfId="22"/>
    <xf numFmtId="0" fontId="158" fillId="0" borderId="3" xfId="22" applyBorder="1"/>
    <xf numFmtId="0" fontId="158" fillId="0" borderId="0" xfId="22" applyBorder="1"/>
    <xf numFmtId="0" fontId="158" fillId="42" borderId="0" xfId="22" applyFill="1" applyBorder="1" applyAlignment="1">
      <alignment horizontal="centerContinuous"/>
    </xf>
    <xf numFmtId="0" fontId="141" fillId="0" borderId="3" xfId="22" applyFont="1" applyBorder="1" applyAlignment="1">
      <alignment horizontal="left" wrapText="1"/>
    </xf>
    <xf numFmtId="0" fontId="141" fillId="0" borderId="0" xfId="22" applyFont="1" applyBorder="1" applyAlignment="1">
      <alignment horizontal="center" wrapText="1"/>
    </xf>
    <xf numFmtId="0" fontId="158" fillId="0" borderId="0" xfId="22" applyAlignment="1">
      <alignment horizontal="center" wrapText="1"/>
    </xf>
    <xf numFmtId="0" fontId="141" fillId="0" borderId="3" xfId="22" applyFont="1" applyBorder="1"/>
    <xf numFmtId="6" fontId="158" fillId="0" borderId="23" xfId="22" applyNumberFormat="1" applyBorder="1"/>
    <xf numFmtId="8" fontId="158" fillId="0" borderId="23" xfId="22" applyNumberFormat="1" applyBorder="1"/>
    <xf numFmtId="0" fontId="158" fillId="0" borderId="23" xfId="22" applyBorder="1"/>
    <xf numFmtId="0" fontId="158" fillId="0" borderId="23" xfId="22" applyBorder="1" applyAlignment="1">
      <alignment horizontal="right"/>
    </xf>
    <xf numFmtId="9" fontId="158" fillId="0" borderId="23" xfId="22" applyNumberFormat="1" applyBorder="1"/>
    <xf numFmtId="9" fontId="116" fillId="0" borderId="23" xfId="28" applyFont="1" applyBorder="1"/>
    <xf numFmtId="0" fontId="158" fillId="0" borderId="23" xfId="22" applyBorder="1" applyAlignment="1">
      <alignment horizontal="center" vertical="top" wrapText="1"/>
    </xf>
    <xf numFmtId="0" fontId="158" fillId="0" borderId="0" xfId="22" applyAlignment="1">
      <alignment vertical="top" wrapText="1"/>
    </xf>
    <xf numFmtId="0" fontId="116" fillId="0" borderId="3" xfId="22" applyFont="1" applyBorder="1"/>
    <xf numFmtId="0" fontId="158" fillId="0" borderId="61" xfId="22" applyBorder="1" applyAlignment="1">
      <alignment vertical="top" wrapText="1"/>
    </xf>
    <xf numFmtId="195" fontId="158" fillId="0" borderId="23" xfId="22" applyNumberFormat="1" applyBorder="1"/>
    <xf numFmtId="196" fontId="158" fillId="0" borderId="23" xfId="22" applyNumberFormat="1" applyBorder="1"/>
    <xf numFmtId="197" fontId="21" fillId="0" borderId="0" xfId="23" applyNumberFormat="1" applyFont="1" applyFill="1" applyBorder="1" applyAlignment="1">
      <alignment horizontal="center"/>
    </xf>
    <xf numFmtId="0" fontId="142" fillId="0" borderId="0" xfId="0" applyFont="1" applyFill="1" applyBorder="1" applyAlignment="1">
      <alignment horizontal="right"/>
    </xf>
    <xf numFmtId="0" fontId="134" fillId="0" borderId="0" xfId="0" applyFont="1" applyBorder="1" applyAlignment="1"/>
    <xf numFmtId="6" fontId="134" fillId="0" borderId="0" xfId="0" applyNumberFormat="1" applyFont="1" applyBorder="1" applyAlignment="1"/>
    <xf numFmtId="0" fontId="134" fillId="0" borderId="0" xfId="0" applyFont="1" applyFill="1" applyBorder="1" applyAlignment="1">
      <alignment horizontal="right"/>
    </xf>
    <xf numFmtId="164" fontId="134" fillId="0" borderId="0" xfId="26" applyNumberFormat="1" applyFont="1" applyBorder="1"/>
    <xf numFmtId="164" fontId="134" fillId="0" borderId="0" xfId="26" applyNumberFormat="1" applyFont="1" applyFill="1" applyBorder="1"/>
    <xf numFmtId="164" fontId="134" fillId="0" borderId="0" xfId="26" applyNumberFormat="1" applyFont="1" applyFill="1" applyBorder="1" applyAlignment="1">
      <alignment horizontal="right"/>
    </xf>
    <xf numFmtId="0" fontId="134" fillId="0" borderId="0" xfId="0" applyFont="1" applyBorder="1" applyAlignment="1">
      <alignment horizontal="right"/>
    </xf>
    <xf numFmtId="37" fontId="134" fillId="0" borderId="0" xfId="0" applyNumberFormat="1" applyFont="1" applyBorder="1" applyAlignment="1"/>
    <xf numFmtId="5" fontId="134" fillId="0" borderId="0" xfId="0" applyNumberFormat="1" applyFont="1" applyBorder="1" applyAlignment="1"/>
    <xf numFmtId="4" fontId="134" fillId="0" borderId="0" xfId="0" applyNumberFormat="1" applyFont="1" applyBorder="1" applyAlignment="1"/>
    <xf numFmtId="7" fontId="134" fillId="0" borderId="0" xfId="0" applyNumberFormat="1" applyFont="1" applyBorder="1" applyAlignment="1"/>
    <xf numFmtId="39" fontId="134" fillId="0" borderId="0" xfId="0" applyNumberFormat="1" applyFont="1" applyBorder="1" applyAlignment="1"/>
    <xf numFmtId="3" fontId="134" fillId="0" borderId="0" xfId="0" applyNumberFormat="1" applyFont="1" applyBorder="1" applyAlignment="1"/>
    <xf numFmtId="0" fontId="143" fillId="0" borderId="0" xfId="0" applyFont="1" applyBorder="1" applyAlignment="1">
      <alignment horizontal="right"/>
    </xf>
    <xf numFmtId="0" fontId="134" fillId="0" borderId="0" xfId="0" applyFont="1" applyAlignment="1"/>
    <xf numFmtId="0" fontId="143" fillId="0" borderId="0" xfId="0" applyFont="1" applyFill="1" applyBorder="1" applyAlignment="1">
      <alignment horizontal="right"/>
    </xf>
    <xf numFmtId="1" fontId="134" fillId="0" borderId="0" xfId="0" applyNumberFormat="1" applyFont="1" applyBorder="1" applyAlignment="1"/>
    <xf numFmtId="8" fontId="134" fillId="0" borderId="0" xfId="0" applyNumberFormat="1" applyFont="1" applyBorder="1" applyAlignment="1"/>
    <xf numFmtId="0" fontId="18" fillId="0" borderId="4" xfId="0" applyFont="1" applyBorder="1" applyAlignment="1">
      <alignment wrapText="1"/>
    </xf>
    <xf numFmtId="0" fontId="0" fillId="22" borderId="3" xfId="0" applyFill="1" applyBorder="1" applyAlignment="1">
      <alignment horizontal="right"/>
    </xf>
    <xf numFmtId="0" fontId="0" fillId="22" borderId="3" xfId="0" applyFill="1" applyBorder="1" applyAlignment="1"/>
    <xf numFmtId="0" fontId="21" fillId="22" borderId="3" xfId="0" applyFont="1" applyFill="1" applyBorder="1" applyAlignment="1">
      <alignment horizontal="right"/>
    </xf>
    <xf numFmtId="0" fontId="17" fillId="22" borderId="3" xfId="0" applyFont="1" applyFill="1" applyBorder="1" applyAlignment="1">
      <alignment horizontal="right"/>
    </xf>
    <xf numFmtId="0" fontId="21" fillId="22" borderId="3" xfId="0" applyFont="1" applyFill="1" applyBorder="1" applyAlignment="1">
      <alignment horizontal="right" vertical="top"/>
    </xf>
    <xf numFmtId="0" fontId="18" fillId="22" borderId="3" xfId="0" applyFont="1" applyFill="1" applyBorder="1" applyAlignment="1">
      <alignment horizontal="right"/>
    </xf>
    <xf numFmtId="0" fontId="21" fillId="22" borderId="9" xfId="0" applyFont="1" applyFill="1" applyBorder="1" applyAlignment="1">
      <alignment horizontal="right"/>
    </xf>
    <xf numFmtId="0" fontId="0" fillId="22" borderId="39" xfId="0" applyFill="1" applyBorder="1" applyAlignment="1"/>
    <xf numFmtId="0" fontId="21" fillId="22" borderId="15" xfId="0" applyFont="1" applyFill="1" applyBorder="1" applyAlignment="1"/>
    <xf numFmtId="0" fontId="0" fillId="0" borderId="4" xfId="0" applyBorder="1" applyAlignment="1">
      <alignment horizontal="center" wrapText="1"/>
    </xf>
    <xf numFmtId="0" fontId="21" fillId="0" borderId="2" xfId="0" applyFont="1" applyBorder="1" applyAlignment="1">
      <alignment horizontal="centerContinuous"/>
    </xf>
    <xf numFmtId="0" fontId="0" fillId="0" borderId="3" xfId="0" applyBorder="1" applyAlignment="1">
      <alignment horizontal="center"/>
    </xf>
    <xf numFmtId="0" fontId="21" fillId="0" borderId="3" xfId="0" applyFont="1" applyBorder="1" applyAlignment="1">
      <alignment horizontal="center"/>
    </xf>
    <xf numFmtId="0" fontId="0" fillId="0" borderId="3" xfId="0" applyBorder="1" applyAlignment="1">
      <alignment horizontal="left"/>
    </xf>
    <xf numFmtId="0" fontId="58" fillId="0" borderId="9" xfId="21" applyFont="1" applyBorder="1" applyAlignment="1" applyProtection="1"/>
    <xf numFmtId="10" fontId="19" fillId="0" borderId="10" xfId="0" applyNumberFormat="1" applyFont="1" applyBorder="1" applyAlignment="1"/>
    <xf numFmtId="10" fontId="19" fillId="0" borderId="7" xfId="0" applyNumberFormat="1" applyFont="1" applyBorder="1" applyAlignment="1"/>
    <xf numFmtId="9" fontId="144" fillId="0" borderId="23" xfId="22" quotePrefix="1" applyNumberFormat="1" applyFont="1" applyBorder="1" applyAlignment="1">
      <alignment horizontal="right"/>
    </xf>
    <xf numFmtId="9" fontId="144" fillId="0" borderId="23" xfId="28" quotePrefix="1" applyFont="1" applyBorder="1" applyAlignment="1">
      <alignment horizontal="right"/>
    </xf>
    <xf numFmtId="1" fontId="20" fillId="31" borderId="0" xfId="23" applyNumberFormat="1" applyFont="1" applyFill="1" applyAlignment="1"/>
    <xf numFmtId="1" fontId="21" fillId="31" borderId="0" xfId="23" applyNumberFormat="1" applyFont="1" applyFill="1" applyBorder="1" applyAlignment="1"/>
    <xf numFmtId="1" fontId="21" fillId="31" borderId="0" xfId="23" applyNumberFormat="1" applyFont="1" applyFill="1" applyBorder="1" applyAlignment="1">
      <alignment horizontal="right"/>
    </xf>
    <xf numFmtId="1" fontId="21" fillId="0" borderId="0" xfId="23" applyNumberFormat="1" applyFont="1" applyFill="1" applyAlignment="1"/>
    <xf numFmtId="1" fontId="21" fillId="0" borderId="0" xfId="23" applyNumberFormat="1" applyFont="1" applyFill="1" applyAlignment="1">
      <alignment horizontal="center"/>
    </xf>
    <xf numFmtId="1" fontId="127" fillId="0" borderId="0" xfId="23" applyNumberFormat="1" applyFont="1" applyFill="1" applyBorder="1" applyAlignment="1">
      <alignment horizontal="center"/>
    </xf>
    <xf numFmtId="1" fontId="127" fillId="0" borderId="0" xfId="23" applyNumberFormat="1" applyFont="1" applyFill="1" applyAlignment="1">
      <alignment horizontal="center"/>
    </xf>
    <xf numFmtId="1" fontId="20" fillId="31" borderId="0" xfId="23" applyNumberFormat="1" applyFont="1" applyFill="1" applyBorder="1" applyAlignment="1"/>
    <xf numFmtId="1" fontId="21" fillId="0" borderId="0" xfId="23" applyNumberFormat="1" applyFont="1" applyFill="1" applyBorder="1" applyAlignment="1">
      <alignment horizontal="center"/>
    </xf>
    <xf numFmtId="1" fontId="21" fillId="21" borderId="0" xfId="23" applyNumberFormat="1" applyFill="1" applyBorder="1" applyAlignment="1"/>
    <xf numFmtId="0" fontId="134" fillId="0" borderId="0" xfId="23" applyFont="1" applyFill="1" applyBorder="1" applyAlignment="1"/>
    <xf numFmtId="0" fontId="142" fillId="0" borderId="0" xfId="23" applyFont="1" applyFill="1" applyBorder="1" applyAlignment="1">
      <alignment horizontal="right"/>
    </xf>
    <xf numFmtId="6" fontId="134" fillId="0" borderId="0" xfId="23" applyNumberFormat="1" applyFont="1" applyBorder="1" applyAlignment="1"/>
    <xf numFmtId="0" fontId="134" fillId="0" borderId="0" xfId="23" applyFont="1" applyFill="1" applyBorder="1" applyAlignment="1">
      <alignment horizontal="right"/>
    </xf>
    <xf numFmtId="0" fontId="134" fillId="0" borderId="0" xfId="23" applyFont="1" applyBorder="1" applyAlignment="1"/>
    <xf numFmtId="164" fontId="134" fillId="0" borderId="0" xfId="27" applyNumberFormat="1" applyFont="1" applyFill="1" applyBorder="1"/>
    <xf numFmtId="164" fontId="134" fillId="0" borderId="0" xfId="27" applyNumberFormat="1" applyFont="1" applyFill="1" applyBorder="1" applyAlignment="1">
      <alignment horizontal="right"/>
    </xf>
    <xf numFmtId="164" fontId="134" fillId="0" borderId="0" xfId="27" applyNumberFormat="1" applyFont="1" applyBorder="1"/>
    <xf numFmtId="0" fontId="134" fillId="0" borderId="0" xfId="23" applyFont="1" applyBorder="1" applyAlignment="1">
      <alignment horizontal="right"/>
    </xf>
    <xf numFmtId="37" fontId="134" fillId="0" borderId="0" xfId="23" applyNumberFormat="1" applyFont="1" applyBorder="1" applyAlignment="1"/>
    <xf numFmtId="5" fontId="134" fillId="0" borderId="0" xfId="23" applyNumberFormat="1" applyFont="1" applyBorder="1" applyAlignment="1"/>
    <xf numFmtId="4" fontId="134" fillId="0" borderId="0" xfId="23" applyNumberFormat="1" applyFont="1" applyBorder="1" applyAlignment="1"/>
    <xf numFmtId="7" fontId="134" fillId="0" borderId="0" xfId="23" applyNumberFormat="1" applyFont="1" applyBorder="1" applyAlignment="1"/>
    <xf numFmtId="39" fontId="134" fillId="0" borderId="0" xfId="23" applyNumberFormat="1" applyFont="1" applyBorder="1" applyAlignment="1"/>
    <xf numFmtId="3" fontId="134" fillId="0" borderId="0" xfId="23" applyNumberFormat="1" applyFont="1" applyBorder="1" applyAlignment="1"/>
    <xf numFmtId="0" fontId="143" fillId="0" borderId="0" xfId="23" applyFont="1" applyBorder="1" applyAlignment="1">
      <alignment horizontal="right"/>
    </xf>
    <xf numFmtId="0" fontId="134" fillId="0" borderId="0" xfId="23" applyFont="1" applyAlignment="1"/>
    <xf numFmtId="0" fontId="134" fillId="0" borderId="0" xfId="23" applyFont="1" applyFill="1" applyAlignment="1"/>
    <xf numFmtId="0" fontId="143" fillId="0" borderId="0" xfId="23" applyFont="1" applyFill="1" applyBorder="1" applyAlignment="1">
      <alignment horizontal="right"/>
    </xf>
    <xf numFmtId="1" fontId="134" fillId="0" borderId="0" xfId="23" applyNumberFormat="1" applyFont="1" applyBorder="1" applyAlignment="1"/>
    <xf numFmtId="8" fontId="134" fillId="0" borderId="0" xfId="23" applyNumberFormat="1" applyFont="1" applyBorder="1" applyAlignment="1"/>
    <xf numFmtId="9" fontId="21" fillId="11" borderId="6" xfId="26" applyNumberFormat="1" applyFont="1" applyFill="1" applyBorder="1"/>
    <xf numFmtId="7" fontId="20" fillId="32" borderId="0" xfId="0" applyNumberFormat="1" applyFont="1" applyFill="1" applyBorder="1" applyAlignment="1"/>
    <xf numFmtId="7" fontId="21" fillId="32" borderId="0" xfId="0" applyNumberFormat="1" applyFont="1" applyFill="1" applyBorder="1" applyAlignment="1"/>
    <xf numFmtId="7" fontId="21" fillId="32" borderId="0" xfId="0" applyNumberFormat="1" applyFont="1" applyFill="1" applyBorder="1" applyAlignment="1">
      <alignment horizontal="right"/>
    </xf>
    <xf numFmtId="191" fontId="20" fillId="31" borderId="0" xfId="0" applyNumberFormat="1" applyFont="1" applyFill="1" applyBorder="1" applyAlignment="1"/>
    <xf numFmtId="191" fontId="21" fillId="31" borderId="0" xfId="0" applyNumberFormat="1" applyFont="1" applyFill="1" applyBorder="1" applyAlignment="1"/>
    <xf numFmtId="191" fontId="21" fillId="31" borderId="0" xfId="0" applyNumberFormat="1" applyFont="1" applyFill="1" applyBorder="1" applyAlignment="1">
      <alignment horizontal="right"/>
    </xf>
    <xf numFmtId="191" fontId="21" fillId="0" borderId="0" xfId="0" applyNumberFormat="1" applyFont="1" applyFill="1" applyBorder="1" applyAlignment="1">
      <alignment horizontal="center"/>
    </xf>
    <xf numFmtId="191" fontId="21" fillId="0" borderId="0" xfId="0" applyNumberFormat="1" applyFont="1" applyFill="1" applyBorder="1" applyAlignment="1"/>
    <xf numFmtId="191" fontId="0" fillId="21" borderId="0" xfId="0" applyNumberFormat="1" applyFill="1" applyBorder="1" applyAlignment="1"/>
    <xf numFmtId="191" fontId="21" fillId="0" borderId="0" xfId="0" applyNumberFormat="1" applyFont="1" applyBorder="1" applyAlignment="1">
      <alignment horizontal="center"/>
    </xf>
    <xf numFmtId="191" fontId="0" fillId="0" borderId="0" xfId="0" applyNumberFormat="1" applyBorder="1" applyAlignment="1"/>
    <xf numFmtId="0" fontId="145" fillId="0" borderId="0" xfId="22" applyFont="1" applyBorder="1"/>
    <xf numFmtId="0" fontId="146" fillId="0" borderId="0" xfId="22" applyFont="1" applyBorder="1" applyAlignment="1">
      <alignment horizontal="center" wrapText="1"/>
    </xf>
    <xf numFmtId="6" fontId="145" fillId="0" borderId="23" xfId="22" applyNumberFormat="1" applyFont="1" applyBorder="1"/>
    <xf numFmtId="8" fontId="145" fillId="0" borderId="23" xfId="22" applyNumberFormat="1" applyFont="1" applyBorder="1"/>
    <xf numFmtId="0" fontId="145" fillId="0" borderId="23" xfId="22" applyFont="1" applyBorder="1"/>
    <xf numFmtId="0" fontId="145" fillId="0" borderId="23" xfId="22" applyFont="1" applyBorder="1" applyAlignment="1">
      <alignment horizontal="right"/>
    </xf>
    <xf numFmtId="9" fontId="145" fillId="0" borderId="23" xfId="22" applyNumberFormat="1" applyFont="1" applyBorder="1"/>
    <xf numFmtId="0" fontId="145" fillId="0" borderId="23" xfId="22" applyFont="1" applyBorder="1" applyAlignment="1">
      <alignment horizontal="center" vertical="top" wrapText="1"/>
    </xf>
    <xf numFmtId="196" fontId="145" fillId="0" borderId="23" xfId="22" applyNumberFormat="1" applyFont="1" applyBorder="1"/>
    <xf numFmtId="0" fontId="145" fillId="0" borderId="0" xfId="22" applyFont="1"/>
    <xf numFmtId="0" fontId="145" fillId="0" borderId="6" xfId="22" applyFont="1" applyBorder="1"/>
    <xf numFmtId="0" fontId="146" fillId="0" borderId="6" xfId="22" applyFont="1" applyBorder="1" applyAlignment="1">
      <alignment horizontal="center" wrapText="1"/>
    </xf>
    <xf numFmtId="9" fontId="145" fillId="0" borderId="65" xfId="22" applyNumberFormat="1" applyFont="1" applyBorder="1"/>
    <xf numFmtId="9" fontId="145" fillId="0" borderId="23" xfId="28" applyFont="1" applyBorder="1"/>
    <xf numFmtId="9" fontId="145" fillId="0" borderId="65" xfId="28" applyFont="1" applyBorder="1"/>
    <xf numFmtId="0" fontId="145" fillId="0" borderId="65" xfId="22" applyFont="1" applyBorder="1"/>
    <xf numFmtId="0" fontId="145" fillId="0" borderId="65" xfId="22" applyFont="1" applyBorder="1" applyAlignment="1">
      <alignment horizontal="center" vertical="top" wrapText="1"/>
    </xf>
    <xf numFmtId="0" fontId="145" fillId="0" borderId="10" xfId="22" applyFont="1" applyBorder="1"/>
    <xf numFmtId="0" fontId="145" fillId="0" borderId="7" xfId="22" applyFont="1" applyBorder="1"/>
    <xf numFmtId="0" fontId="148" fillId="0" borderId="4" xfId="0" applyFont="1" applyBorder="1" applyAlignment="1"/>
    <xf numFmtId="0" fontId="147" fillId="0" borderId="3" xfId="0" applyFont="1" applyBorder="1" applyAlignment="1"/>
    <xf numFmtId="0" fontId="147" fillId="0" borderId="9" xfId="0" applyFont="1" applyBorder="1" applyAlignment="1"/>
    <xf numFmtId="185" fontId="21" fillId="0" borderId="0" xfId="2" applyNumberFormat="1" applyFont="1" applyFill="1" applyBorder="1"/>
    <xf numFmtId="3" fontId="21" fillId="7" borderId="0" xfId="2" applyFont="1" applyFill="1" applyBorder="1"/>
    <xf numFmtId="0" fontId="141" fillId="0" borderId="0" xfId="22" applyFont="1" applyBorder="1"/>
    <xf numFmtId="0" fontId="158" fillId="0" borderId="0" xfId="22" applyBorder="1" applyAlignment="1">
      <alignment vertical="top" wrapText="1"/>
    </xf>
    <xf numFmtId="0" fontId="158" fillId="0" borderId="21" xfId="22" applyBorder="1" applyAlignment="1">
      <alignment vertical="top" wrapText="1"/>
    </xf>
    <xf numFmtId="0" fontId="141" fillId="0" borderId="0" xfId="22" applyFont="1" applyBorder="1" applyAlignment="1">
      <alignment horizontal="right" wrapText="1"/>
    </xf>
    <xf numFmtId="38" fontId="158" fillId="0" borderId="23" xfId="22" applyNumberFormat="1" applyBorder="1"/>
    <xf numFmtId="38" fontId="145" fillId="0" borderId="23" xfId="22" applyNumberFormat="1" applyFont="1" applyBorder="1"/>
    <xf numFmtId="0" fontId="158" fillId="0" borderId="2" xfId="22" applyBorder="1"/>
    <xf numFmtId="0" fontId="144" fillId="0" borderId="23" xfId="22" applyFont="1" applyFill="1" applyBorder="1" applyAlignment="1">
      <alignment horizontal="center" vertical="top" wrapText="1"/>
    </xf>
    <xf numFmtId="9" fontId="144" fillId="0" borderId="23" xfId="22" applyNumberFormat="1" applyFont="1" applyFill="1" applyBorder="1"/>
    <xf numFmtId="3" fontId="20" fillId="29" borderId="0" xfId="23" applyNumberFormat="1" applyFont="1" applyFill="1" applyBorder="1" applyAlignment="1"/>
    <xf numFmtId="3" fontId="21" fillId="33" borderId="0" xfId="23" applyNumberFormat="1" applyFont="1" applyFill="1" applyBorder="1" applyAlignment="1"/>
    <xf numFmtId="3" fontId="21" fillId="33" borderId="0" xfId="23" applyNumberFormat="1" applyFont="1" applyFill="1" applyBorder="1" applyAlignment="1">
      <alignment horizontal="right"/>
    </xf>
    <xf numFmtId="3" fontId="21" fillId="0" borderId="0" xfId="23" applyNumberFormat="1" applyFont="1" applyBorder="1" applyAlignment="1"/>
    <xf numFmtId="0" fontId="116" fillId="0" borderId="0" xfId="22" applyFont="1" applyAlignment="1"/>
    <xf numFmtId="0" fontId="158" fillId="0" borderId="0" xfId="22" applyAlignment="1"/>
    <xf numFmtId="0" fontId="145" fillId="0" borderId="0" xfId="22" applyFont="1" applyAlignment="1"/>
    <xf numFmtId="195" fontId="145" fillId="0" borderId="0" xfId="22" applyNumberFormat="1" applyFont="1" applyBorder="1"/>
    <xf numFmtId="195" fontId="158" fillId="0" borderId="21" xfId="22" applyNumberFormat="1" applyBorder="1"/>
    <xf numFmtId="0" fontId="158" fillId="0" borderId="21" xfId="22" applyBorder="1"/>
    <xf numFmtId="38" fontId="158" fillId="0" borderId="21" xfId="22" applyNumberFormat="1" applyBorder="1"/>
    <xf numFmtId="0" fontId="145" fillId="0" borderId="21" xfId="22" applyFont="1" applyBorder="1"/>
    <xf numFmtId="0" fontId="145" fillId="0" borderId="21" xfId="22" applyFont="1" applyBorder="1" applyAlignment="1">
      <alignment vertical="top" wrapText="1"/>
    </xf>
    <xf numFmtId="0" fontId="158" fillId="0" borderId="20" xfId="22" applyBorder="1"/>
    <xf numFmtId="0" fontId="158" fillId="0" borderId="20" xfId="22" applyBorder="1" applyAlignment="1">
      <alignment vertical="top" wrapText="1"/>
    </xf>
    <xf numFmtId="0" fontId="158" fillId="0" borderId="16" xfId="22" applyBorder="1"/>
    <xf numFmtId="38" fontId="158" fillId="0" borderId="16" xfId="22" applyNumberFormat="1" applyBorder="1"/>
    <xf numFmtId="0" fontId="150" fillId="0" borderId="0" xfId="22" applyFont="1"/>
    <xf numFmtId="171" fontId="51" fillId="0" borderId="0" xfId="0" applyNumberFormat="1" applyFont="1" applyFill="1" applyBorder="1" applyAlignment="1"/>
    <xf numFmtId="171" fontId="51" fillId="0" borderId="0" xfId="1" applyNumberFormat="1" applyFont="1" applyFill="1" applyBorder="1"/>
    <xf numFmtId="171" fontId="140" fillId="14" borderId="0" xfId="0" applyNumberFormat="1" applyFont="1" applyFill="1" applyBorder="1" applyAlignment="1"/>
    <xf numFmtId="171" fontId="140" fillId="14" borderId="0" xfId="0" applyNumberFormat="1" applyFont="1" applyFill="1" applyAlignment="1"/>
    <xf numFmtId="171" fontId="20" fillId="0" borderId="0" xfId="1" applyNumberFormat="1" applyFont="1" applyFill="1"/>
    <xf numFmtId="171" fontId="151" fillId="0" borderId="0" xfId="0" applyNumberFormat="1" applyFont="1" applyFill="1" applyBorder="1" applyAlignment="1"/>
    <xf numFmtId="171" fontId="151" fillId="0" borderId="0" xfId="6" applyNumberFormat="1" applyFont="1" applyFill="1"/>
    <xf numFmtId="171" fontId="151" fillId="0" borderId="0" xfId="1" applyNumberFormat="1" applyFont="1" applyFill="1" applyBorder="1"/>
    <xf numFmtId="1" fontId="152" fillId="0" borderId="0" xfId="0" applyNumberFormat="1" applyFont="1" applyFill="1" applyAlignment="1"/>
    <xf numFmtId="169" fontId="152" fillId="0" borderId="0" xfId="6" applyNumberFormat="1" applyFont="1" applyFill="1"/>
    <xf numFmtId="171" fontId="152" fillId="0" borderId="0" xfId="6" applyNumberFormat="1" applyFont="1" applyFill="1"/>
    <xf numFmtId="169" fontId="152" fillId="0" borderId="0" xfId="1" applyNumberFormat="1" applyFont="1" applyFill="1"/>
    <xf numFmtId="0" fontId="152" fillId="0" borderId="0" xfId="0" applyFont="1" applyFill="1" applyAlignment="1"/>
    <xf numFmtId="1" fontId="153" fillId="0" borderId="0" xfId="0" applyNumberFormat="1" applyFont="1" applyFill="1" applyBorder="1" applyAlignment="1"/>
    <xf numFmtId="1" fontId="153" fillId="0" borderId="0" xfId="0" applyNumberFormat="1" applyFont="1" applyFill="1" applyAlignment="1"/>
    <xf numFmtId="169" fontId="153" fillId="0" borderId="0" xfId="6" applyNumberFormat="1" applyFont="1" applyFill="1"/>
    <xf numFmtId="171" fontId="153" fillId="0" borderId="0" xfId="6" applyNumberFormat="1" applyFont="1" applyFill="1"/>
    <xf numFmtId="169" fontId="153" fillId="0" borderId="0" xfId="1" applyNumberFormat="1" applyFont="1" applyFill="1"/>
    <xf numFmtId="0" fontId="153" fillId="0" borderId="0" xfId="0" applyFont="1" applyFill="1" applyAlignment="1"/>
    <xf numFmtId="0" fontId="140" fillId="14" borderId="0" xfId="0" applyFont="1" applyFill="1" applyAlignment="1"/>
    <xf numFmtId="171" fontId="51" fillId="0" borderId="0" xfId="0" applyNumberFormat="1" applyFont="1" applyFill="1" applyAlignment="1">
      <alignment horizontal="right"/>
    </xf>
    <xf numFmtId="171" fontId="0" fillId="38" borderId="0" xfId="0" applyNumberFormat="1" applyFill="1" applyBorder="1" applyAlignment="1"/>
    <xf numFmtId="169" fontId="0" fillId="0" borderId="0" xfId="0" applyNumberFormat="1" applyBorder="1" applyAlignment="1"/>
    <xf numFmtId="9" fontId="21" fillId="0" borderId="0" xfId="26" applyNumberFormat="1" applyFont="1" applyAlignment="1">
      <alignment horizontal="right"/>
    </xf>
    <xf numFmtId="9" fontId="120" fillId="0" borderId="0" xfId="26" applyNumberFormat="1" applyFont="1" applyAlignment="1"/>
    <xf numFmtId="9" fontId="120" fillId="0" borderId="0" xfId="26" applyNumberFormat="1" applyFont="1" applyAlignment="1">
      <alignment horizontal="right"/>
    </xf>
    <xf numFmtId="5" fontId="52" fillId="0" borderId="0" xfId="6" applyNumberFormat="1" applyFont="1" applyFill="1" applyBorder="1" applyAlignment="1">
      <alignment vertical="center"/>
    </xf>
    <xf numFmtId="5" fontId="52" fillId="0" borderId="6" xfId="6" applyNumberFormat="1" applyFont="1" applyFill="1" applyBorder="1" applyAlignment="1">
      <alignment vertical="center"/>
    </xf>
    <xf numFmtId="5" fontId="52" fillId="0" borderId="10" xfId="6" applyNumberFormat="1" applyFont="1" applyFill="1" applyBorder="1" applyAlignment="1">
      <alignment vertical="center"/>
    </xf>
    <xf numFmtId="5" fontId="52" fillId="0" borderId="7" xfId="6" applyNumberFormat="1" applyFont="1" applyFill="1" applyBorder="1" applyAlignment="1">
      <alignment vertical="center"/>
    </xf>
    <xf numFmtId="0" fontId="21" fillId="0" borderId="37" xfId="0" applyFont="1" applyBorder="1" applyAlignment="1"/>
    <xf numFmtId="0" fontId="154" fillId="36" borderId="9" xfId="0" applyFont="1" applyFill="1" applyBorder="1" applyAlignment="1"/>
    <xf numFmtId="0" fontId="154" fillId="52" borderId="9" xfId="0" applyFont="1" applyFill="1" applyBorder="1" applyAlignment="1"/>
    <xf numFmtId="0" fontId="18" fillId="11" borderId="9" xfId="0" applyFont="1" applyFill="1" applyBorder="1" applyAlignment="1"/>
    <xf numFmtId="0" fontId="18" fillId="6" borderId="9" xfId="0" applyFont="1" applyFill="1" applyBorder="1" applyAlignment="1"/>
    <xf numFmtId="0" fontId="18" fillId="7" borderId="9" xfId="0" applyFont="1" applyFill="1" applyBorder="1" applyAlignment="1"/>
    <xf numFmtId="0" fontId="18" fillId="29" borderId="9" xfId="0" applyFont="1" applyFill="1" applyBorder="1" applyAlignment="1"/>
    <xf numFmtId="0" fontId="21" fillId="0" borderId="33" xfId="23" applyBorder="1">
      <alignment vertical="top"/>
    </xf>
    <xf numFmtId="0" fontId="21" fillId="0" borderId="32" xfId="23" applyBorder="1">
      <alignment vertical="top"/>
    </xf>
    <xf numFmtId="0" fontId="21" fillId="0" borderId="6" xfId="23" applyBorder="1">
      <alignment vertical="top"/>
    </xf>
    <xf numFmtId="164" fontId="21" fillId="0" borderId="0" xfId="0" applyNumberFormat="1" applyFont="1" applyBorder="1" applyAlignment="1"/>
    <xf numFmtId="6" fontId="21" fillId="0" borderId="0" xfId="0" applyNumberFormat="1" applyFont="1" applyFill="1" applyAlignment="1"/>
    <xf numFmtId="8" fontId="21" fillId="0" borderId="0" xfId="0" applyNumberFormat="1" applyFont="1" applyFill="1" applyAlignment="1"/>
    <xf numFmtId="6" fontId="42" fillId="0" borderId="0" xfId="0" applyNumberFormat="1" applyFont="1" applyFill="1" applyAlignment="1">
      <alignment horizontal="center" wrapText="1"/>
    </xf>
    <xf numFmtId="7" fontId="18" fillId="0" borderId="3" xfId="6" applyNumberFormat="1" applyFont="1" applyBorder="1"/>
    <xf numFmtId="2" fontId="36" fillId="0" borderId="0" xfId="0" applyNumberFormat="1" applyFont="1" applyFill="1" applyAlignment="1">
      <alignment vertical="center"/>
    </xf>
    <xf numFmtId="175" fontId="0" fillId="0" borderId="6" xfId="1" applyNumberFormat="1" applyFont="1" applyBorder="1"/>
    <xf numFmtId="10" fontId="0" fillId="0" borderId="0" xfId="26" applyNumberFormat="1" applyFont="1" applyBorder="1"/>
    <xf numFmtId="10" fontId="21" fillId="0" borderId="10" xfId="26" applyNumberFormat="1" applyFont="1" applyBorder="1"/>
    <xf numFmtId="10" fontId="21" fillId="0" borderId="6" xfId="26" applyNumberFormat="1" applyFont="1" applyFill="1" applyBorder="1"/>
    <xf numFmtId="10" fontId="0" fillId="0" borderId="6" xfId="26" applyNumberFormat="1" applyFont="1" applyFill="1" applyBorder="1"/>
    <xf numFmtId="10" fontId="21" fillId="0" borderId="7" xfId="26" applyNumberFormat="1" applyFont="1" applyFill="1" applyBorder="1"/>
    <xf numFmtId="175" fontId="21" fillId="0" borderId="39" xfId="1" applyNumberFormat="1" applyFont="1" applyFill="1" applyBorder="1" applyAlignment="1">
      <alignment horizontal="center"/>
    </xf>
    <xf numFmtId="0" fontId="17" fillId="0" borderId="0" xfId="23" applyFont="1" applyFill="1">
      <alignment vertical="top"/>
    </xf>
    <xf numFmtId="0" fontId="69" fillId="0" borderId="0" xfId="23" applyFont="1" applyFill="1">
      <alignment vertical="top"/>
    </xf>
    <xf numFmtId="6" fontId="21" fillId="0" borderId="0" xfId="23" applyNumberFormat="1" applyFont="1" applyFill="1" applyBorder="1" applyAlignment="1"/>
    <xf numFmtId="0" fontId="0" fillId="0" borderId="0" xfId="0" applyFill="1" applyBorder="1" applyAlignment="1">
      <alignment vertical="top" wrapText="1"/>
    </xf>
    <xf numFmtId="0" fontId="68" fillId="0" borderId="0" xfId="0" applyFont="1" applyFill="1" applyAlignment="1">
      <alignment vertical="center"/>
    </xf>
    <xf numFmtId="0" fontId="44" fillId="0" borderId="0" xfId="0" applyFont="1" applyAlignment="1"/>
    <xf numFmtId="0" fontId="18" fillId="47" borderId="74" xfId="0" applyFont="1" applyFill="1" applyBorder="1" applyAlignment="1">
      <alignment horizontal="center" vertical="center"/>
    </xf>
    <xf numFmtId="0" fontId="35" fillId="0" borderId="35" xfId="0" applyFont="1" applyFill="1" applyBorder="1" applyAlignment="1">
      <alignment horizontal="left" vertical="center"/>
    </xf>
    <xf numFmtId="0" fontId="18" fillId="0" borderId="35" xfId="0" applyFont="1" applyBorder="1" applyAlignment="1">
      <alignment horizontal="left" vertical="center"/>
    </xf>
    <xf numFmtId="0" fontId="59" fillId="0" borderId="35" xfId="0" applyFont="1" applyBorder="1" applyAlignment="1">
      <alignment horizontal="left" vertical="center" wrapText="1"/>
    </xf>
    <xf numFmtId="0" fontId="18" fillId="0" borderId="35" xfId="0" applyFont="1" applyFill="1" applyBorder="1" applyAlignment="1">
      <alignment horizontal="left" vertical="center"/>
    </xf>
    <xf numFmtId="0" fontId="18" fillId="0" borderId="36" xfId="0" applyFont="1" applyBorder="1" applyAlignment="1">
      <alignment vertical="center"/>
    </xf>
    <xf numFmtId="169" fontId="21" fillId="0" borderId="0" xfId="0" applyNumberFormat="1" applyFont="1" applyFill="1" applyAlignment="1"/>
    <xf numFmtId="0" fontId="120" fillId="0" borderId="0" xfId="0" applyFont="1" applyAlignment="1"/>
    <xf numFmtId="10" fontId="41" fillId="0" borderId="0" xfId="0" applyNumberFormat="1" applyFont="1" applyFill="1" applyAlignment="1">
      <alignment vertical="center"/>
    </xf>
    <xf numFmtId="0" fontId="37" fillId="0" borderId="0" xfId="0" applyFont="1" applyAlignment="1">
      <alignment horizontal="left"/>
    </xf>
    <xf numFmtId="3" fontId="36" fillId="2" borderId="3" xfId="0" applyNumberFormat="1" applyFont="1" applyFill="1" applyBorder="1" applyAlignment="1" applyProtection="1"/>
    <xf numFmtId="0" fontId="36" fillId="0" borderId="39" xfId="0" applyFont="1" applyBorder="1" applyAlignment="1">
      <alignment horizontal="center"/>
    </xf>
    <xf numFmtId="0" fontId="36" fillId="0" borderId="15" xfId="0" applyFont="1" applyBorder="1" applyAlignment="1">
      <alignment horizontal="center"/>
    </xf>
    <xf numFmtId="5" fontId="21" fillId="0" borderId="39" xfId="0" applyNumberFormat="1" applyFont="1" applyBorder="1" applyAlignment="1"/>
    <xf numFmtId="5" fontId="42" fillId="0" borderId="15" xfId="0" applyNumberFormat="1" applyFont="1" applyFill="1" applyBorder="1" applyAlignment="1">
      <alignment horizontal="right"/>
    </xf>
    <xf numFmtId="0" fontId="21" fillId="0" borderId="11" xfId="0" applyFont="1" applyFill="1" applyBorder="1" applyAlignment="1">
      <alignment horizontal="left" vertical="center"/>
    </xf>
    <xf numFmtId="0" fontId="21" fillId="0" borderId="4" xfId="0" applyFont="1" applyFill="1" applyBorder="1" applyAlignment="1">
      <alignment horizontal="left" vertical="center"/>
    </xf>
    <xf numFmtId="0" fontId="18" fillId="8" borderId="0" xfId="0" applyFont="1" applyFill="1" applyBorder="1" applyAlignment="1">
      <alignment horizontal="center" vertical="center"/>
    </xf>
    <xf numFmtId="0" fontId="21" fillId="0" borderId="3" xfId="0" applyFont="1" applyFill="1" applyBorder="1" applyAlignment="1">
      <alignment horizontal="left" vertical="center"/>
    </xf>
    <xf numFmtId="7" fontId="21" fillId="0" borderId="41" xfId="0" applyNumberFormat="1" applyFont="1" applyFill="1" applyBorder="1" applyAlignment="1">
      <alignment horizontal="center" vertical="center"/>
    </xf>
    <xf numFmtId="7" fontId="21" fillId="0" borderId="15" xfId="0" applyNumberFormat="1" applyFont="1" applyFill="1" applyBorder="1" applyAlignment="1">
      <alignment horizontal="center" vertical="center"/>
    </xf>
    <xf numFmtId="7" fontId="21" fillId="0" borderId="10" xfId="0" applyNumberFormat="1" applyFont="1" applyFill="1" applyBorder="1" applyAlignment="1">
      <alignment horizontal="center" vertical="center"/>
    </xf>
    <xf numFmtId="0" fontId="44" fillId="0" borderId="0" xfId="23" applyFont="1" applyFill="1" applyAlignment="1">
      <alignment horizontal="left" wrapText="1"/>
    </xf>
    <xf numFmtId="2" fontId="0" fillId="0" borderId="0" xfId="0" applyNumberFormat="1" applyFill="1" applyBorder="1" applyAlignment="1">
      <alignment horizontal="center"/>
    </xf>
    <xf numFmtId="4" fontId="0" fillId="0" borderId="0" xfId="2" applyNumberFormat="1" applyFont="1" applyFill="1" applyBorder="1"/>
    <xf numFmtId="10" fontId="0" fillId="0" borderId="0" xfId="27" applyFont="1" applyFill="1" applyBorder="1"/>
    <xf numFmtId="0" fontId="161" fillId="0" borderId="5" xfId="0" applyFont="1" applyBorder="1" applyAlignment="1"/>
    <xf numFmtId="0" fontId="161" fillId="0" borderId="2" xfId="0" applyFont="1" applyBorder="1" applyAlignment="1">
      <alignment horizontal="center"/>
    </xf>
    <xf numFmtId="0" fontId="161" fillId="0" borderId="3" xfId="0" applyFont="1" applyBorder="1" applyAlignment="1"/>
    <xf numFmtId="0" fontId="161" fillId="38" borderId="0" xfId="0" applyFont="1" applyFill="1" applyBorder="1" applyAlignment="1">
      <alignment horizontal="center"/>
    </xf>
    <xf numFmtId="14" fontId="161" fillId="0" borderId="6" xfId="27" quotePrefix="1" applyNumberFormat="1" applyFont="1" applyFill="1" applyBorder="1" applyAlignment="1">
      <alignment horizontal="center"/>
    </xf>
    <xf numFmtId="2" fontId="161" fillId="0" borderId="0" xfId="0" applyNumberFormat="1" applyFont="1" applyBorder="1" applyAlignment="1">
      <alignment horizontal="center"/>
    </xf>
    <xf numFmtId="165" fontId="0" fillId="0" borderId="6" xfId="0" applyNumberFormat="1" applyBorder="1" applyAlignment="1">
      <alignment horizontal="center"/>
    </xf>
    <xf numFmtId="10" fontId="160" fillId="0" borderId="6" xfId="27" applyNumberFormat="1" applyFont="1" applyBorder="1" applyAlignment="1">
      <alignment horizontal="center"/>
    </xf>
    <xf numFmtId="10" fontId="21" fillId="0" borderId="0" xfId="27" applyFont="1" applyFill="1" applyBorder="1"/>
    <xf numFmtId="0" fontId="161" fillId="0" borderId="9" xfId="0" applyFont="1" applyBorder="1" applyAlignment="1"/>
    <xf numFmtId="2" fontId="161" fillId="0" borderId="10" xfId="0" applyNumberFormat="1" applyFont="1" applyBorder="1" applyAlignment="1">
      <alignment horizontal="center"/>
    </xf>
    <xf numFmtId="10" fontId="160" fillId="0" borderId="7" xfId="27" applyNumberFormat="1" applyFont="1" applyBorder="1" applyAlignment="1">
      <alignment horizontal="center"/>
    </xf>
    <xf numFmtId="0" fontId="17" fillId="0" borderId="0" xfId="0" applyFont="1" applyAlignment="1"/>
    <xf numFmtId="0" fontId="44" fillId="0" borderId="0" xfId="0" applyFont="1">
      <alignment vertical="top"/>
    </xf>
    <xf numFmtId="2" fontId="161" fillId="0" borderId="65" xfId="0" applyNumberFormat="1" applyFont="1" applyBorder="1" applyAlignment="1"/>
    <xf numFmtId="2" fontId="161" fillId="0" borderId="23" xfId="0" applyNumberFormat="1" applyFont="1" applyFill="1" applyBorder="1" applyAlignment="1"/>
    <xf numFmtId="0" fontId="21" fillId="0" borderId="23" xfId="0" applyFont="1" applyBorder="1" applyAlignment="1">
      <alignment wrapText="1"/>
    </xf>
    <xf numFmtId="0" fontId="119" fillId="0" borderId="52" xfId="22" applyFont="1" applyBorder="1" applyAlignment="1">
      <alignment horizontal="center"/>
    </xf>
    <xf numFmtId="10" fontId="36" fillId="0" borderId="39" xfId="26" applyNumberFormat="1" applyFont="1" applyFill="1" applyBorder="1"/>
    <xf numFmtId="0" fontId="161" fillId="0" borderId="5" xfId="0" applyFont="1" applyBorder="1" applyAlignment="1">
      <alignment horizontal="left"/>
    </xf>
    <xf numFmtId="43" fontId="163" fillId="0" borderId="23" xfId="1" applyNumberFormat="1" applyFont="1" applyBorder="1" applyAlignment="1">
      <alignment horizontal="center" vertical="center" wrapText="1"/>
    </xf>
    <xf numFmtId="2" fontId="21" fillId="0" borderId="23" xfId="0" applyNumberFormat="1" applyFont="1" applyFill="1" applyBorder="1" applyAlignment="1">
      <alignment vertical="center"/>
    </xf>
    <xf numFmtId="43" fontId="163" fillId="0" borderId="56" xfId="1" applyNumberFormat="1" applyFont="1" applyBorder="1" applyAlignment="1">
      <alignment horizontal="center" vertical="center" wrapText="1"/>
    </xf>
    <xf numFmtId="2" fontId="21" fillId="0" borderId="56" xfId="0" applyNumberFormat="1" applyFont="1" applyFill="1" applyBorder="1" applyAlignment="1">
      <alignment vertical="center"/>
    </xf>
    <xf numFmtId="0" fontId="119" fillId="0" borderId="0" xfId="22" applyFont="1" applyBorder="1" applyAlignment="1">
      <alignment horizontal="center"/>
    </xf>
    <xf numFmtId="43" fontId="163" fillId="59" borderId="23" xfId="1" applyNumberFormat="1" applyFont="1" applyFill="1" applyBorder="1" applyAlignment="1">
      <alignment horizontal="center" vertical="center" wrapText="1"/>
    </xf>
    <xf numFmtId="43" fontId="163" fillId="59" borderId="56" xfId="1" applyNumberFormat="1" applyFont="1" applyFill="1" applyBorder="1" applyAlignment="1">
      <alignment horizontal="center" vertical="center" wrapText="1"/>
    </xf>
    <xf numFmtId="10" fontId="21" fillId="0" borderId="23" xfId="27" applyNumberFormat="1" applyFont="1" applyFill="1" applyBorder="1"/>
    <xf numFmtId="164" fontId="21" fillId="0" borderId="23" xfId="27" applyNumberFormat="1" applyFont="1" applyFill="1" applyBorder="1"/>
    <xf numFmtId="10" fontId="21" fillId="0" borderId="0" xfId="27" applyFont="1"/>
    <xf numFmtId="10" fontId="0" fillId="0" borderId="9" xfId="27" applyFont="1" applyFill="1" applyBorder="1"/>
    <xf numFmtId="10" fontId="21" fillId="0" borderId="10" xfId="27" applyFont="1" applyFill="1" applyBorder="1"/>
    <xf numFmtId="10" fontId="21" fillId="0" borderId="2" xfId="27" applyFont="1" applyBorder="1" applyAlignment="1">
      <alignment horizontal="right" wrapText="1"/>
    </xf>
    <xf numFmtId="0" fontId="17" fillId="22" borderId="3" xfId="0" applyFont="1" applyFill="1" applyBorder="1" applyAlignment="1"/>
    <xf numFmtId="10" fontId="21" fillId="0" borderId="6" xfId="27" applyFont="1" applyBorder="1"/>
    <xf numFmtId="0" fontId="21" fillId="60" borderId="0" xfId="0" applyFont="1" applyFill="1" applyBorder="1" applyAlignment="1">
      <alignment horizontal="center"/>
    </xf>
    <xf numFmtId="10" fontId="21" fillId="60" borderId="0" xfId="0" applyNumberFormat="1" applyFont="1" applyFill="1" applyBorder="1" applyAlignment="1"/>
    <xf numFmtId="10" fontId="21" fillId="0" borderId="6" xfId="27" applyFont="1" applyFill="1" applyBorder="1"/>
    <xf numFmtId="10" fontId="0" fillId="60" borderId="0" xfId="0" applyNumberFormat="1" applyFill="1" applyBorder="1" applyAlignment="1"/>
    <xf numFmtId="0" fontId="24" fillId="0" borderId="0" xfId="21" applyAlignment="1" applyProtection="1"/>
    <xf numFmtId="10" fontId="0" fillId="60" borderId="10" xfId="0" applyNumberFormat="1" applyFill="1" applyBorder="1" applyAlignment="1"/>
    <xf numFmtId="10" fontId="0" fillId="58" borderId="10" xfId="0" applyNumberFormat="1" applyFill="1" applyBorder="1" applyAlignment="1"/>
    <xf numFmtId="10" fontId="0" fillId="60" borderId="0" xfId="2" applyNumberFormat="1" applyFont="1" applyFill="1" applyBorder="1" applyAlignment="1">
      <alignment horizontal="center"/>
    </xf>
    <xf numFmtId="0" fontId="165" fillId="0" borderId="0" xfId="0" applyFont="1" applyAlignment="1"/>
    <xf numFmtId="0" fontId="166" fillId="0" borderId="0" xfId="0" applyFont="1" applyAlignment="1"/>
    <xf numFmtId="10" fontId="166" fillId="0" borderId="2" xfId="27" applyFont="1" applyBorder="1" applyAlignment="1">
      <alignment wrapText="1"/>
    </xf>
    <xf numFmtId="0" fontId="166" fillId="0" borderId="0" xfId="0" applyFont="1" applyAlignment="1">
      <alignment wrapText="1"/>
    </xf>
    <xf numFmtId="0" fontId="167" fillId="0" borderId="3" xfId="0" applyFont="1" applyBorder="1" applyAlignment="1"/>
    <xf numFmtId="0" fontId="166" fillId="0" borderId="0" xfId="0" applyFont="1" applyBorder="1" applyAlignment="1"/>
    <xf numFmtId="10" fontId="166" fillId="0" borderId="6" xfId="27" applyFont="1" applyBorder="1"/>
    <xf numFmtId="0" fontId="166" fillId="0" borderId="3" xfId="0" applyFont="1" applyBorder="1" applyAlignment="1">
      <alignment horizontal="right"/>
    </xf>
    <xf numFmtId="10" fontId="166" fillId="60" borderId="0" xfId="27" applyFont="1" applyFill="1" applyBorder="1"/>
    <xf numFmtId="4" fontId="166" fillId="60" borderId="6" xfId="2" applyNumberFormat="1" applyFont="1" applyFill="1" applyBorder="1"/>
    <xf numFmtId="0" fontId="166" fillId="0" borderId="3" xfId="0" applyFont="1" applyBorder="1" applyAlignment="1"/>
    <xf numFmtId="0" fontId="166" fillId="0" borderId="0" xfId="0" applyFont="1" applyFill="1" applyBorder="1" applyAlignment="1"/>
    <xf numFmtId="10" fontId="166" fillId="0" borderId="6" xfId="27" applyFont="1" applyFill="1" applyBorder="1"/>
    <xf numFmtId="180" fontId="166" fillId="0" borderId="0" xfId="2" applyNumberFormat="1" applyFont="1" applyBorder="1" applyAlignment="1">
      <alignment horizontal="center"/>
    </xf>
    <xf numFmtId="10" fontId="166" fillId="0" borderId="0" xfId="27" applyFont="1" applyFill="1" applyBorder="1"/>
    <xf numFmtId="10" fontId="166" fillId="0" borderId="0" xfId="27" applyNumberFormat="1" applyFont="1" applyBorder="1" applyAlignment="1">
      <alignment horizontal="center"/>
    </xf>
    <xf numFmtId="180" fontId="166" fillId="58" borderId="6" xfId="2" applyNumberFormat="1" applyFont="1" applyFill="1" applyBorder="1"/>
    <xf numFmtId="10" fontId="166" fillId="0" borderId="0" xfId="27" applyFont="1" applyBorder="1"/>
    <xf numFmtId="10" fontId="166" fillId="58" borderId="6" xfId="0" applyNumberFormat="1" applyFont="1" applyFill="1" applyBorder="1" applyAlignment="1"/>
    <xf numFmtId="0" fontId="166" fillId="0" borderId="3" xfId="0" applyFont="1" applyFill="1" applyBorder="1" applyAlignment="1">
      <alignment horizontal="right" vertical="top"/>
    </xf>
    <xf numFmtId="0" fontId="166" fillId="0" borderId="0" xfId="0" applyFont="1" applyFill="1" applyBorder="1" applyAlignment="1">
      <alignment horizontal="center"/>
    </xf>
    <xf numFmtId="10" fontId="166" fillId="58" borderId="0" xfId="27" applyFont="1" applyFill="1" applyBorder="1"/>
    <xf numFmtId="0" fontId="166" fillId="0" borderId="3" xfId="0" applyFont="1" applyFill="1" applyBorder="1" applyAlignment="1">
      <alignment horizontal="right"/>
    </xf>
    <xf numFmtId="0" fontId="166" fillId="0" borderId="9" xfId="0" applyFont="1" applyFill="1" applyBorder="1" applyAlignment="1">
      <alignment horizontal="right"/>
    </xf>
    <xf numFmtId="0" fontId="166" fillId="0" borderId="10" xfId="0" applyFont="1" applyFill="1" applyBorder="1" applyAlignment="1"/>
    <xf numFmtId="0" fontId="166" fillId="0" borderId="10" xfId="0" applyFont="1" applyFill="1" applyBorder="1" applyAlignment="1">
      <alignment horizontal="center"/>
    </xf>
    <xf numFmtId="10" fontId="166" fillId="58" borderId="10" xfId="27" applyFont="1" applyFill="1" applyBorder="1"/>
    <xf numFmtId="10" fontId="166" fillId="0" borderId="7" xfId="27" applyFont="1" applyFill="1" applyBorder="1"/>
    <xf numFmtId="169" fontId="140" fillId="14" borderId="0" xfId="0" applyNumberFormat="1" applyFont="1" applyFill="1" applyAlignment="1"/>
    <xf numFmtId="0" fontId="21" fillId="0" borderId="0" xfId="0" applyFont="1" applyFill="1" applyAlignment="1">
      <alignment vertical="top"/>
    </xf>
    <xf numFmtId="0" fontId="21" fillId="11" borderId="3" xfId="0" applyFont="1" applyFill="1" applyBorder="1" applyAlignment="1">
      <alignment horizontal="left"/>
    </xf>
    <xf numFmtId="0" fontId="21" fillId="3" borderId="39" xfId="0" applyFont="1" applyFill="1" applyBorder="1" applyAlignment="1">
      <alignment horizontal="right"/>
    </xf>
    <xf numFmtId="0" fontId="21" fillId="11" borderId="38" xfId="0" applyFont="1" applyFill="1" applyBorder="1" applyAlignment="1">
      <alignment horizontal="right" vertical="center"/>
    </xf>
    <xf numFmtId="0" fontId="21" fillId="11" borderId="38" xfId="0" applyFont="1" applyFill="1" applyBorder="1" applyAlignment="1">
      <alignment horizontal="right"/>
    </xf>
    <xf numFmtId="0" fontId="21" fillId="28" borderId="3" xfId="0" applyFont="1" applyFill="1" applyBorder="1" applyAlignment="1">
      <alignment horizontal="left"/>
    </xf>
    <xf numFmtId="0" fontId="21" fillId="9" borderId="39" xfId="0" applyFont="1" applyFill="1" applyBorder="1" applyAlignment="1">
      <alignment horizontal="right"/>
    </xf>
    <xf numFmtId="0" fontId="21" fillId="9" borderId="38" xfId="0" applyFont="1" applyFill="1" applyBorder="1" applyAlignment="1">
      <alignment horizontal="right"/>
    </xf>
    <xf numFmtId="7" fontId="21" fillId="0" borderId="39" xfId="0" applyNumberFormat="1" applyFont="1" applyFill="1" applyBorder="1" applyAlignment="1">
      <alignment horizontal="center" vertical="center"/>
    </xf>
    <xf numFmtId="0" fontId="18" fillId="11" borderId="57" xfId="0" applyFont="1" applyFill="1" applyBorder="1" applyAlignment="1">
      <alignment horizontal="center" vertical="center"/>
    </xf>
    <xf numFmtId="0" fontId="168" fillId="0" borderId="0" xfId="0" applyFont="1" applyFill="1" applyBorder="1" applyAlignment="1">
      <alignment horizontal="center" vertical="center"/>
    </xf>
    <xf numFmtId="0" fontId="18" fillId="0" borderId="3" xfId="0" applyFont="1" applyBorder="1" applyAlignment="1">
      <alignment horizontal="center"/>
    </xf>
    <xf numFmtId="0" fontId="18" fillId="0" borderId="6" xfId="0" applyFont="1" applyBorder="1" applyAlignment="1">
      <alignment horizontal="center"/>
    </xf>
    <xf numFmtId="6" fontId="21" fillId="61" borderId="38" xfId="0" applyNumberFormat="1" applyFont="1" applyFill="1" applyBorder="1" applyAlignment="1" applyProtection="1">
      <alignment horizontal="right"/>
      <protection locked="0"/>
    </xf>
    <xf numFmtId="8" fontId="21" fillId="61" borderId="39" xfId="0" applyNumberFormat="1" applyFont="1" applyFill="1" applyBorder="1" applyAlignment="1" applyProtection="1">
      <protection locked="0"/>
    </xf>
    <xf numFmtId="8" fontId="21" fillId="61" borderId="15" xfId="0" applyNumberFormat="1" applyFont="1" applyFill="1" applyBorder="1" applyAlignment="1" applyProtection="1">
      <protection locked="0"/>
    </xf>
    <xf numFmtId="0" fontId="21" fillId="0" borderId="0" xfId="0" applyFont="1" applyFill="1" applyBorder="1" applyAlignment="1">
      <alignment horizontal="left" vertical="top"/>
    </xf>
    <xf numFmtId="0" fontId="21" fillId="5" borderId="0" xfId="23" applyFont="1" applyFill="1" applyBorder="1" applyAlignment="1">
      <alignment horizontal="left"/>
    </xf>
    <xf numFmtId="8" fontId="0" fillId="60" borderId="0" xfId="0" applyNumberFormat="1" applyFill="1" applyAlignment="1"/>
    <xf numFmtId="169" fontId="0" fillId="60" borderId="0" xfId="0" applyNumberFormat="1" applyFill="1" applyAlignment="1"/>
    <xf numFmtId="176" fontId="23" fillId="60" borderId="0" xfId="25" applyNumberFormat="1" applyFill="1"/>
    <xf numFmtId="0" fontId="33" fillId="0" borderId="0" xfId="0" applyFont="1" applyAlignment="1"/>
    <xf numFmtId="0" fontId="21" fillId="3" borderId="9" xfId="0" applyFont="1" applyFill="1" applyBorder="1" applyAlignment="1" applyProtection="1">
      <protection locked="0"/>
    </xf>
    <xf numFmtId="3" fontId="21" fillId="3" borderId="69" xfId="1" applyFont="1" applyFill="1" applyBorder="1" applyProtection="1">
      <protection locked="0"/>
    </xf>
    <xf numFmtId="8" fontId="21" fillId="11" borderId="68" xfId="0" applyNumberFormat="1" applyFont="1" applyFill="1" applyBorder="1" applyAlignment="1" applyProtection="1">
      <protection locked="0"/>
    </xf>
    <xf numFmtId="0" fontId="0" fillId="0" borderId="0" xfId="0" applyFill="1" applyAlignment="1">
      <alignment wrapText="1"/>
    </xf>
    <xf numFmtId="0" fontId="18" fillId="0" borderId="0" xfId="0" applyFont="1" applyFill="1" applyBorder="1" applyAlignment="1">
      <alignment horizontal="center"/>
    </xf>
    <xf numFmtId="0" fontId="21" fillId="0" borderId="0" xfId="0" applyFont="1" applyFill="1" applyBorder="1" applyAlignment="1">
      <alignment vertical="center"/>
    </xf>
    <xf numFmtId="0" fontId="21" fillId="0" borderId="0" xfId="0" applyFont="1" applyFill="1" applyBorder="1" applyAlignment="1">
      <alignment horizontal="center" vertical="center"/>
    </xf>
    <xf numFmtId="0" fontId="39" fillId="0" borderId="0" xfId="0" applyFont="1" applyFill="1" applyBorder="1" applyAlignment="1"/>
    <xf numFmtId="0" fontId="114" fillId="0" borderId="0" xfId="0" applyFont="1" applyFill="1" applyBorder="1" applyAlignment="1"/>
    <xf numFmtId="0" fontId="18" fillId="0" borderId="0" xfId="0" applyFont="1" applyFill="1" applyBorder="1" applyAlignment="1">
      <alignment horizontal="center" vertical="center" wrapText="1"/>
    </xf>
    <xf numFmtId="171" fontId="21" fillId="0" borderId="0" xfId="0" applyNumberFormat="1" applyFont="1" applyFill="1" applyBorder="1" applyAlignment="1">
      <alignment vertical="center"/>
    </xf>
    <xf numFmtId="0" fontId="138" fillId="0" borderId="0" xfId="0" applyFont="1" applyFill="1" applyBorder="1" applyAlignment="1"/>
    <xf numFmtId="0" fontId="18" fillId="0" borderId="55" xfId="0" applyFont="1" applyFill="1" applyBorder="1" applyAlignment="1">
      <alignment horizontal="center" wrapText="1"/>
    </xf>
    <xf numFmtId="2" fontId="21" fillId="0" borderId="66" xfId="7" applyNumberFormat="1" applyFont="1" applyFill="1" applyBorder="1" applyAlignment="1">
      <alignment horizontal="center" vertical="center"/>
    </xf>
    <xf numFmtId="2" fontId="21" fillId="0" borderId="17" xfId="0" applyNumberFormat="1" applyFont="1" applyFill="1" applyBorder="1" applyAlignment="1">
      <alignment horizontal="center" vertical="center"/>
    </xf>
    <xf numFmtId="2" fontId="18" fillId="0" borderId="70" xfId="7" applyNumberFormat="1" applyFont="1" applyFill="1" applyBorder="1" applyAlignment="1">
      <alignment horizontal="center" vertical="center"/>
    </xf>
    <xf numFmtId="2" fontId="21" fillId="0" borderId="17" xfId="7" applyNumberFormat="1" applyFont="1" applyFill="1" applyBorder="1" applyAlignment="1">
      <alignment horizontal="center" vertical="center"/>
    </xf>
    <xf numFmtId="2" fontId="18" fillId="0" borderId="0" xfId="0" applyNumberFormat="1" applyFont="1" applyFill="1" applyBorder="1" applyAlignment="1">
      <alignment horizontal="center" vertical="center"/>
    </xf>
    <xf numFmtId="0" fontId="0" fillId="0" borderId="0" xfId="0" applyFill="1" applyAlignment="1">
      <alignment horizontal="center" vertical="center"/>
    </xf>
    <xf numFmtId="0" fontId="18" fillId="0" borderId="10" xfId="0" applyFont="1" applyFill="1" applyBorder="1" applyAlignment="1">
      <alignment vertical="center"/>
    </xf>
    <xf numFmtId="2" fontId="21" fillId="0" borderId="0" xfId="0" applyNumberFormat="1" applyFont="1" applyFill="1" applyBorder="1" applyAlignment="1">
      <alignment horizontal="center" vertical="center"/>
    </xf>
    <xf numFmtId="2" fontId="21" fillId="0" borderId="0" xfId="0" applyNumberFormat="1" applyFont="1" applyFill="1" applyBorder="1" applyAlignment="1">
      <alignment vertical="center"/>
    </xf>
    <xf numFmtId="3" fontId="21" fillId="0" borderId="0" xfId="0" applyNumberFormat="1" applyFont="1" applyFill="1" applyBorder="1" applyAlignment="1">
      <alignment vertical="center"/>
    </xf>
    <xf numFmtId="0" fontId="21" fillId="0" borderId="11" xfId="0" applyFont="1" applyFill="1" applyBorder="1" applyAlignment="1">
      <alignment vertical="center"/>
    </xf>
    <xf numFmtId="0" fontId="21" fillId="0" borderId="11" xfId="0" applyFont="1" applyFill="1" applyBorder="1" applyAlignment="1">
      <alignment horizontal="center" vertical="center"/>
    </xf>
    <xf numFmtId="2" fontId="21" fillId="0" borderId="66" xfId="0" applyNumberFormat="1" applyFont="1" applyFill="1" applyBorder="1" applyAlignment="1">
      <alignment horizontal="center" vertical="center"/>
    </xf>
    <xf numFmtId="2" fontId="21" fillId="0" borderId="70" xfId="0" applyNumberFormat="1" applyFont="1" applyFill="1" applyBorder="1" applyAlignment="1">
      <alignment horizontal="center" vertical="center"/>
    </xf>
    <xf numFmtId="3" fontId="36" fillId="63" borderId="3" xfId="1" applyNumberFormat="1" applyFont="1" applyFill="1" applyBorder="1" applyAlignment="1">
      <alignment vertical="center"/>
    </xf>
    <xf numFmtId="0" fontId="36" fillId="63" borderId="0" xfId="0" applyFont="1" applyFill="1" applyBorder="1" applyAlignment="1">
      <alignment vertical="center"/>
    </xf>
    <xf numFmtId="10" fontId="36" fillId="63" borderId="3" xfId="26" applyNumberFormat="1" applyFont="1" applyFill="1" applyBorder="1" applyAlignment="1">
      <alignment vertical="center"/>
    </xf>
    <xf numFmtId="0" fontId="42" fillId="58" borderId="0" xfId="0" applyFont="1" applyFill="1" applyBorder="1" applyAlignment="1">
      <alignment vertical="center"/>
    </xf>
    <xf numFmtId="10" fontId="21" fillId="58" borderId="3" xfId="26" applyNumberFormat="1" applyFont="1" applyFill="1" applyBorder="1" applyAlignment="1">
      <alignment vertical="center"/>
    </xf>
    <xf numFmtId="37" fontId="36" fillId="58" borderId="3" xfId="0" applyNumberFormat="1" applyFont="1" applyFill="1" applyBorder="1" applyAlignment="1">
      <alignment vertical="center"/>
    </xf>
    <xf numFmtId="3" fontId="36" fillId="63" borderId="3" xfId="1" applyFont="1" applyFill="1" applyBorder="1" applyAlignment="1">
      <alignment vertical="center"/>
    </xf>
    <xf numFmtId="0" fontId="36" fillId="63" borderId="3" xfId="0" applyFont="1" applyFill="1" applyBorder="1" applyAlignment="1">
      <alignment vertical="center"/>
    </xf>
    <xf numFmtId="0" fontId="36" fillId="58" borderId="3" xfId="0" applyFont="1" applyFill="1" applyBorder="1" applyAlignment="1">
      <alignment vertical="center"/>
    </xf>
    <xf numFmtId="0" fontId="39" fillId="63" borderId="0" xfId="0" applyFont="1" applyFill="1" applyBorder="1" applyAlignment="1">
      <alignment horizontal="center" vertical="center" wrapText="1"/>
    </xf>
    <xf numFmtId="0" fontId="39" fillId="63" borderId="3" xfId="0" applyFont="1" applyFill="1" applyBorder="1" applyAlignment="1">
      <alignment horizontal="center" vertical="center" wrapText="1"/>
    </xf>
    <xf numFmtId="0" fontId="39" fillId="63" borderId="0" xfId="0" applyFont="1" applyFill="1" applyBorder="1" applyAlignment="1">
      <alignment vertical="center"/>
    </xf>
    <xf numFmtId="0" fontId="39" fillId="63" borderId="3" xfId="0" applyFont="1" applyFill="1" applyBorder="1" applyAlignment="1">
      <alignment vertical="center"/>
    </xf>
    <xf numFmtId="9" fontId="39" fillId="63" borderId="0" xfId="0" applyNumberFormat="1" applyFont="1" applyFill="1" applyBorder="1" applyAlignment="1">
      <alignment vertical="center"/>
    </xf>
    <xf numFmtId="4" fontId="39" fillId="63" borderId="0" xfId="0" applyNumberFormat="1" applyFont="1" applyFill="1" applyBorder="1" applyAlignment="1">
      <alignment vertical="center"/>
    </xf>
    <xf numFmtId="0" fontId="0" fillId="58" borderId="0" xfId="0" applyFill="1" applyBorder="1" applyAlignment="1"/>
    <xf numFmtId="0" fontId="0" fillId="58" borderId="4" xfId="0" applyFill="1" applyBorder="1" applyAlignment="1"/>
    <xf numFmtId="0" fontId="0" fillId="58" borderId="5" xfId="0" applyFill="1" applyBorder="1" applyAlignment="1"/>
    <xf numFmtId="0" fontId="0" fillId="58" borderId="2" xfId="0" applyFill="1" applyBorder="1" applyAlignment="1"/>
    <xf numFmtId="0" fontId="0" fillId="58" borderId="6" xfId="0" applyFill="1" applyBorder="1" applyAlignment="1"/>
    <xf numFmtId="0" fontId="0" fillId="58" borderId="3" xfId="0" applyFill="1" applyBorder="1" applyAlignment="1"/>
    <xf numFmtId="0" fontId="0" fillId="58" borderId="9" xfId="0" applyFill="1" applyBorder="1" applyAlignment="1"/>
    <xf numFmtId="0" fontId="0" fillId="58" borderId="10" xfId="0" applyFill="1" applyBorder="1" applyAlignment="1"/>
    <xf numFmtId="0" fontId="0" fillId="58" borderId="7" xfId="0" applyFill="1" applyBorder="1" applyAlignment="1"/>
    <xf numFmtId="9" fontId="0" fillId="58" borderId="0" xfId="0" applyNumberFormat="1" applyFill="1" applyBorder="1" applyAlignment="1"/>
    <xf numFmtId="4" fontId="0" fillId="58" borderId="0" xfId="0" applyNumberFormat="1" applyFill="1" applyBorder="1" applyAlignment="1"/>
    <xf numFmtId="2" fontId="0" fillId="58" borderId="0" xfId="0" applyNumberFormat="1" applyFill="1" applyBorder="1" applyAlignment="1">
      <alignment horizontal="center"/>
    </xf>
    <xf numFmtId="2" fontId="0" fillId="58" borderId="6" xfId="0" applyNumberFormat="1" applyFill="1" applyBorder="1" applyAlignment="1">
      <alignment horizontal="center"/>
    </xf>
    <xf numFmtId="2" fontId="0" fillId="58" borderId="10" xfId="0" applyNumberFormat="1" applyFill="1" applyBorder="1" applyAlignment="1">
      <alignment horizontal="center"/>
    </xf>
    <xf numFmtId="2" fontId="0" fillId="58" borderId="7" xfId="0" applyNumberFormat="1" applyFill="1" applyBorder="1" applyAlignment="1">
      <alignment horizontal="center"/>
    </xf>
    <xf numFmtId="2" fontId="0" fillId="0" borderId="0" xfId="0" applyNumberFormat="1" applyAlignment="1">
      <alignment horizontal="center"/>
    </xf>
    <xf numFmtId="0" fontId="0" fillId="58" borderId="0" xfId="0" applyFill="1" applyBorder="1" applyAlignment="1">
      <alignment horizontal="center"/>
    </xf>
    <xf numFmtId="0" fontId="0" fillId="58" borderId="6" xfId="0" applyFill="1" applyBorder="1" applyAlignment="1">
      <alignment horizontal="center"/>
    </xf>
    <xf numFmtId="1" fontId="0" fillId="58" borderId="0" xfId="0" applyNumberFormat="1" applyFill="1" applyBorder="1" applyAlignment="1">
      <alignment horizontal="center"/>
    </xf>
    <xf numFmtId="1" fontId="0" fillId="58" borderId="6" xfId="0" applyNumberFormat="1" applyFill="1" applyBorder="1" applyAlignment="1">
      <alignment horizontal="center"/>
    </xf>
    <xf numFmtId="0" fontId="18" fillId="0" borderId="34" xfId="0" applyFont="1" applyFill="1" applyBorder="1" applyAlignment="1">
      <alignment horizontal="center" vertical="center"/>
    </xf>
    <xf numFmtId="0" fontId="39" fillId="0" borderId="0" xfId="0" applyFont="1" applyFill="1" applyBorder="1" applyAlignment="1">
      <alignment vertical="center"/>
    </xf>
    <xf numFmtId="0" fontId="0" fillId="0" borderId="0" xfId="0" applyAlignment="1"/>
    <xf numFmtId="0" fontId="21" fillId="0" borderId="0" xfId="0" applyFont="1" applyAlignment="1"/>
    <xf numFmtId="0" fontId="0" fillId="0" borderId="0" xfId="0" applyBorder="1" applyAlignment="1"/>
    <xf numFmtId="0" fontId="0" fillId="0" borderId="0" xfId="0" applyFill="1" applyBorder="1" applyAlignment="1"/>
    <xf numFmtId="0" fontId="18" fillId="0" borderId="0" xfId="0" applyFont="1" applyBorder="1" applyAlignment="1"/>
    <xf numFmtId="0" fontId="21" fillId="0" borderId="0" xfId="0" applyFont="1" applyBorder="1" applyAlignment="1"/>
    <xf numFmtId="0" fontId="21" fillId="0" borderId="0" xfId="0" applyFont="1" applyFill="1" applyBorder="1" applyAlignment="1"/>
    <xf numFmtId="0" fontId="21" fillId="0" borderId="0" xfId="0" applyFont="1" applyFill="1" applyAlignment="1"/>
    <xf numFmtId="0" fontId="21" fillId="0" borderId="0" xfId="0" applyFont="1" applyFill="1" applyBorder="1" applyAlignment="1">
      <alignment horizontal="left"/>
    </xf>
    <xf numFmtId="0" fontId="18" fillId="0" borderId="0" xfId="0" applyFont="1" applyFill="1" applyBorder="1" applyAlignment="1">
      <alignment horizontal="center"/>
    </xf>
    <xf numFmtId="0" fontId="0" fillId="0" borderId="0" xfId="0" applyFill="1" applyBorder="1" applyAlignment="1">
      <alignment horizontal="center"/>
    </xf>
    <xf numFmtId="0" fontId="0" fillId="0" borderId="0" xfId="0" applyFill="1" applyAlignment="1">
      <alignment vertical="center"/>
    </xf>
    <xf numFmtId="0" fontId="21" fillId="0" borderId="0" xfId="0" applyFont="1" applyFill="1" applyAlignment="1">
      <alignment vertical="center"/>
    </xf>
    <xf numFmtId="0" fontId="21" fillId="0" borderId="0" xfId="0" applyFont="1" applyFill="1" applyAlignment="1">
      <alignment vertical="center" wrapText="1"/>
    </xf>
    <xf numFmtId="2" fontId="21" fillId="0" borderId="0" xfId="0" applyNumberFormat="1" applyFont="1" applyFill="1" applyBorder="1" applyAlignment="1">
      <alignment horizontal="center" vertical="center" wrapText="1"/>
    </xf>
    <xf numFmtId="0" fontId="17" fillId="30" borderId="41" xfId="0" applyFont="1" applyFill="1" applyBorder="1" applyAlignment="1">
      <alignment horizontal="center" vertical="center" wrapText="1"/>
    </xf>
    <xf numFmtId="0" fontId="18" fillId="30" borderId="16" xfId="0" applyFont="1" applyFill="1" applyBorder="1" applyAlignment="1">
      <alignment horizontal="center" vertical="center"/>
    </xf>
    <xf numFmtId="0" fontId="21" fillId="0" borderId="0" xfId="0" applyFont="1" applyAlignment="1">
      <alignment vertical="center"/>
    </xf>
    <xf numFmtId="0" fontId="0" fillId="0" borderId="0" xfId="0" applyAlignment="1">
      <alignment vertical="center"/>
    </xf>
    <xf numFmtId="0" fontId="21" fillId="0" borderId="0" xfId="0" applyFont="1" applyFill="1" applyBorder="1" applyAlignment="1">
      <alignment horizontal="center" vertical="center" wrapText="1"/>
    </xf>
    <xf numFmtId="0" fontId="21" fillId="0" borderId="0" xfId="0" applyFont="1" applyFill="1" applyBorder="1" applyAlignment="1">
      <alignment vertical="center"/>
    </xf>
    <xf numFmtId="0" fontId="21" fillId="0" borderId="9" xfId="0" applyFont="1" applyFill="1" applyBorder="1" applyAlignment="1">
      <alignment vertical="center"/>
    </xf>
    <xf numFmtId="0" fontId="114" fillId="0" borderId="0" xfId="0" applyFont="1" applyAlignment="1"/>
    <xf numFmtId="0" fontId="21" fillId="0" borderId="45" xfId="0" applyFont="1" applyFill="1" applyBorder="1" applyAlignment="1">
      <alignment horizontal="center" vertical="center" wrapText="1"/>
    </xf>
    <xf numFmtId="0" fontId="21" fillId="0" borderId="78" xfId="0" applyFont="1" applyFill="1" applyBorder="1" applyAlignment="1">
      <alignment horizontal="center" vertical="center" wrapText="1"/>
    </xf>
    <xf numFmtId="0" fontId="21" fillId="0" borderId="52" xfId="0" applyFont="1" applyFill="1" applyBorder="1" applyAlignment="1">
      <alignment horizontal="center" vertical="center" wrapText="1"/>
    </xf>
    <xf numFmtId="0" fontId="18" fillId="0" borderId="72" xfId="0" applyFont="1" applyFill="1" applyBorder="1" applyAlignment="1">
      <alignment horizontal="center" vertical="center" wrapText="1"/>
    </xf>
    <xf numFmtId="0" fontId="18" fillId="0" borderId="46" xfId="0" applyFont="1" applyFill="1" applyBorder="1" applyAlignment="1">
      <alignment horizontal="center" vertical="center" wrapText="1"/>
    </xf>
    <xf numFmtId="0" fontId="18" fillId="30" borderId="11" xfId="0" applyFont="1" applyFill="1" applyBorder="1" applyAlignment="1">
      <alignment horizontal="center" wrapText="1"/>
    </xf>
    <xf numFmtId="0" fontId="169" fillId="30" borderId="38" xfId="0" applyFont="1" applyFill="1" applyBorder="1" applyAlignment="1">
      <alignment horizontal="center" vertical="center" wrapText="1"/>
    </xf>
    <xf numFmtId="0" fontId="169" fillId="30" borderId="41" xfId="0" applyFont="1" applyFill="1" applyBorder="1" applyAlignment="1">
      <alignment horizontal="center" vertical="center" wrapText="1"/>
    </xf>
    <xf numFmtId="0" fontId="65" fillId="30" borderId="38" xfId="0" applyFont="1" applyFill="1" applyBorder="1" applyAlignment="1">
      <alignment horizontal="center" vertical="center" wrapText="1"/>
    </xf>
    <xf numFmtId="0" fontId="69" fillId="0" borderId="0" xfId="0" applyFont="1" applyFill="1" applyBorder="1" applyAlignment="1"/>
    <xf numFmtId="2" fontId="18" fillId="0" borderId="0" xfId="0" applyNumberFormat="1" applyFont="1" applyFill="1" applyBorder="1" applyAlignment="1">
      <alignment horizontal="center" vertical="center"/>
    </xf>
    <xf numFmtId="0" fontId="0" fillId="0" borderId="0" xfId="0" applyFill="1" applyAlignment="1">
      <alignment horizontal="center" vertical="center"/>
    </xf>
    <xf numFmtId="0" fontId="18" fillId="30" borderId="52" xfId="0" applyFont="1" applyFill="1" applyBorder="1" applyAlignment="1">
      <alignment horizontal="center" vertical="center" wrapText="1"/>
    </xf>
    <xf numFmtId="0" fontId="170" fillId="0" borderId="0" xfId="0" applyFont="1" applyFill="1" applyAlignment="1">
      <alignment horizontal="left"/>
    </xf>
    <xf numFmtId="2" fontId="21" fillId="0" borderId="0" xfId="0" applyNumberFormat="1" applyFont="1" applyFill="1" applyBorder="1" applyAlignment="1">
      <alignment horizontal="center" vertical="center"/>
    </xf>
    <xf numFmtId="3" fontId="21" fillId="0" borderId="9" xfId="2" applyFont="1" applyFill="1" applyBorder="1" applyAlignment="1">
      <alignment horizontal="center" vertical="center" wrapText="1"/>
    </xf>
    <xf numFmtId="3" fontId="21" fillId="0" borderId="62" xfId="2" applyNumberFormat="1" applyFont="1" applyFill="1" applyBorder="1" applyAlignment="1">
      <alignment horizontal="center" vertical="center" wrapText="1"/>
    </xf>
    <xf numFmtId="3" fontId="21" fillId="0" borderId="10" xfId="2" applyNumberFormat="1" applyFont="1" applyFill="1" applyBorder="1" applyAlignment="1">
      <alignment horizontal="center" vertical="center" wrapText="1"/>
    </xf>
    <xf numFmtId="0" fontId="18" fillId="64" borderId="34" xfId="0" applyFont="1" applyFill="1" applyBorder="1" applyAlignment="1">
      <alignment horizontal="center" wrapText="1"/>
    </xf>
    <xf numFmtId="0" fontId="21" fillId="0" borderId="9" xfId="0" applyFont="1" applyFill="1" applyBorder="1" applyAlignment="1">
      <alignment horizontal="center" vertical="center"/>
    </xf>
    <xf numFmtId="2" fontId="21" fillId="0" borderId="0" xfId="0" applyNumberFormat="1" applyFont="1" applyFill="1" applyBorder="1" applyAlignment="1">
      <alignment horizontal="center"/>
    </xf>
    <xf numFmtId="10" fontId="21" fillId="0" borderId="66" xfId="27" applyFont="1" applyFill="1" applyBorder="1" applyAlignment="1">
      <alignment horizontal="center" vertical="center"/>
    </xf>
    <xf numFmtId="10" fontId="21" fillId="0" borderId="41" xfId="27" applyFont="1" applyFill="1" applyBorder="1" applyAlignment="1">
      <alignment horizontal="center" vertical="center"/>
    </xf>
    <xf numFmtId="10" fontId="21" fillId="0" borderId="62" xfId="27" applyFont="1" applyFill="1" applyBorder="1" applyAlignment="1">
      <alignment horizontal="center" vertical="center"/>
    </xf>
    <xf numFmtId="10" fontId="21" fillId="0" borderId="15" xfId="27" applyFont="1" applyFill="1" applyBorder="1" applyAlignment="1">
      <alignment horizontal="center" vertical="center"/>
    </xf>
    <xf numFmtId="0" fontId="171" fillId="58" borderId="0" xfId="0" applyFont="1" applyFill="1" applyAlignment="1"/>
    <xf numFmtId="0" fontId="0" fillId="58" borderId="0" xfId="0" applyFill="1" applyAlignment="1"/>
    <xf numFmtId="190" fontId="113" fillId="63" borderId="0" xfId="0" applyNumberFormat="1" applyFont="1" applyFill="1" applyBorder="1" applyAlignment="1">
      <alignment vertical="center"/>
    </xf>
    <xf numFmtId="4" fontId="36" fillId="63" borderId="0" xfId="0" applyNumberFormat="1" applyFont="1" applyFill="1" applyBorder="1" applyAlignment="1">
      <alignment vertical="center"/>
    </xf>
    <xf numFmtId="4" fontId="109" fillId="63" borderId="0" xfId="0" applyNumberFormat="1" applyFont="1" applyFill="1" applyBorder="1" applyAlignment="1">
      <alignment vertical="center"/>
    </xf>
    <xf numFmtId="0" fontId="39" fillId="63" borderId="3" xfId="0" applyFont="1" applyFill="1" applyBorder="1" applyAlignment="1">
      <alignment vertical="center" wrapText="1"/>
    </xf>
    <xf numFmtId="0" fontId="39" fillId="63" borderId="0" xfId="0" applyFont="1" applyFill="1" applyBorder="1" applyAlignment="1">
      <alignment vertical="center" wrapText="1"/>
    </xf>
    <xf numFmtId="0" fontId="39" fillId="63" borderId="9" xfId="0" applyFont="1" applyFill="1" applyBorder="1" applyAlignment="1">
      <alignment vertical="center"/>
    </xf>
    <xf numFmtId="0" fontId="39" fillId="63" borderId="10" xfId="0" applyFont="1" applyFill="1" applyBorder="1" applyAlignment="1">
      <alignment vertical="center"/>
    </xf>
    <xf numFmtId="190" fontId="36" fillId="63" borderId="0" xfId="0" applyNumberFormat="1" applyFont="1" applyFill="1" applyBorder="1" applyAlignment="1">
      <alignment vertical="center"/>
    </xf>
    <xf numFmtId="190" fontId="109" fillId="63" borderId="0" xfId="0" applyNumberFormat="1" applyFont="1" applyFill="1" applyBorder="1" applyAlignment="1">
      <alignment vertical="center"/>
    </xf>
    <xf numFmtId="0" fontId="18" fillId="0" borderId="55" xfId="0" applyFont="1" applyFill="1" applyBorder="1" applyAlignment="1">
      <alignment horizontal="center" vertical="center" wrapText="1"/>
    </xf>
    <xf numFmtId="0" fontId="17" fillId="0" borderId="0" xfId="0" applyFont="1" applyFill="1" applyBorder="1" applyAlignment="1"/>
    <xf numFmtId="0" fontId="0" fillId="0" borderId="0" xfId="0" applyFill="1" applyBorder="1" applyAlignment="1">
      <alignment vertical="center"/>
    </xf>
    <xf numFmtId="0" fontId="172" fillId="0" borderId="0" xfId="0" applyFont="1" applyAlignment="1"/>
    <xf numFmtId="0" fontId="0" fillId="0" borderId="0" xfId="0" applyAlignment="1">
      <alignment horizontal="center" vertical="center"/>
    </xf>
    <xf numFmtId="0" fontId="18" fillId="0" borderId="0" xfId="0" applyFont="1" applyBorder="1" applyAlignment="1">
      <alignment horizontal="center" vertical="center"/>
    </xf>
    <xf numFmtId="0" fontId="21" fillId="66" borderId="11" xfId="0" applyFont="1" applyFill="1" applyBorder="1" applyAlignment="1">
      <alignment vertical="center"/>
    </xf>
    <xf numFmtId="0" fontId="21" fillId="66" borderId="11" xfId="0" applyFont="1" applyFill="1" applyBorder="1" applyAlignment="1">
      <alignment horizontal="center" vertical="center"/>
    </xf>
    <xf numFmtId="2" fontId="21" fillId="66" borderId="66" xfId="7" applyNumberFormat="1" applyFont="1" applyFill="1" applyBorder="1" applyAlignment="1">
      <alignment horizontal="center" vertical="center"/>
    </xf>
    <xf numFmtId="2" fontId="21" fillId="66" borderId="17" xfId="0" applyNumberFormat="1" applyFont="1" applyFill="1" applyBorder="1" applyAlignment="1">
      <alignment horizontal="center" vertical="center"/>
    </xf>
    <xf numFmtId="2" fontId="18" fillId="66" borderId="70" xfId="7" applyNumberFormat="1" applyFont="1" applyFill="1" applyBorder="1" applyAlignment="1">
      <alignment horizontal="center" vertical="center"/>
    </xf>
    <xf numFmtId="2" fontId="21" fillId="66" borderId="17" xfId="7" applyNumberFormat="1" applyFont="1" applyFill="1" applyBorder="1" applyAlignment="1">
      <alignment horizontal="center" vertical="center"/>
    </xf>
    <xf numFmtId="2" fontId="21" fillId="66" borderId="66" xfId="0" applyNumberFormat="1" applyFont="1" applyFill="1" applyBorder="1" applyAlignment="1">
      <alignment horizontal="center" vertical="center"/>
    </xf>
    <xf numFmtId="2" fontId="21" fillId="66" borderId="70" xfId="0" applyNumberFormat="1" applyFont="1" applyFill="1" applyBorder="1" applyAlignment="1">
      <alignment horizontal="center" vertical="center"/>
    </xf>
    <xf numFmtId="0" fontId="21" fillId="66" borderId="11" xfId="0" applyFont="1" applyFill="1" applyBorder="1" applyAlignment="1">
      <alignment horizontal="center" vertical="center" wrapText="1"/>
    </xf>
    <xf numFmtId="3" fontId="21" fillId="66" borderId="11" xfId="2" applyFont="1" applyFill="1" applyBorder="1" applyAlignment="1">
      <alignment horizontal="center" vertical="center" wrapText="1"/>
    </xf>
    <xf numFmtId="3" fontId="21" fillId="66" borderId="66" xfId="2" applyNumberFormat="1" applyFont="1" applyFill="1" applyBorder="1" applyAlignment="1">
      <alignment horizontal="center" vertical="center" wrapText="1"/>
    </xf>
    <xf numFmtId="0" fontId="21" fillId="66" borderId="11" xfId="0" applyFont="1" applyFill="1" applyBorder="1" applyAlignment="1">
      <alignment horizontal="left" vertical="center" wrapText="1"/>
    </xf>
    <xf numFmtId="0" fontId="21" fillId="66" borderId="41" xfId="0" applyFont="1" applyFill="1" applyBorder="1" applyAlignment="1">
      <alignment horizontal="center" vertical="center" wrapText="1"/>
    </xf>
    <xf numFmtId="10" fontId="21" fillId="66" borderId="11" xfId="27" applyNumberFormat="1" applyFont="1" applyFill="1" applyBorder="1" applyAlignment="1">
      <alignment horizontal="center" vertical="center" wrapText="1"/>
    </xf>
    <xf numFmtId="10" fontId="21" fillId="66" borderId="41" xfId="27" applyNumberFormat="1" applyFont="1" applyFill="1" applyBorder="1" applyAlignment="1">
      <alignment horizontal="center" vertical="center" wrapText="1"/>
    </xf>
    <xf numFmtId="165" fontId="21" fillId="66" borderId="11" xfId="0" applyNumberFormat="1" applyFont="1" applyFill="1" applyBorder="1" applyAlignment="1">
      <alignment horizontal="center" vertical="center" wrapText="1"/>
    </xf>
    <xf numFmtId="0" fontId="21" fillId="57" borderId="11" xfId="0" applyFont="1" applyFill="1" applyBorder="1" applyAlignment="1">
      <alignment vertical="center"/>
    </xf>
    <xf numFmtId="0" fontId="21" fillId="57" borderId="11" xfId="0" applyFont="1" applyFill="1" applyBorder="1" applyAlignment="1">
      <alignment horizontal="center" vertical="center"/>
    </xf>
    <xf numFmtId="2" fontId="21" fillId="57" borderId="66" xfId="7" applyNumberFormat="1" applyFont="1" applyFill="1" applyBorder="1" applyAlignment="1">
      <alignment horizontal="center" vertical="center"/>
    </xf>
    <xf numFmtId="2" fontId="21" fillId="57" borderId="17" xfId="0" applyNumberFormat="1" applyFont="1" applyFill="1" applyBorder="1" applyAlignment="1">
      <alignment horizontal="center" vertical="center"/>
    </xf>
    <xf numFmtId="2" fontId="18" fillId="57" borderId="70" xfId="7" applyNumberFormat="1" applyFont="1" applyFill="1" applyBorder="1" applyAlignment="1">
      <alignment horizontal="center" vertical="center"/>
    </xf>
    <xf numFmtId="2" fontId="21" fillId="57" borderId="17" xfId="7" applyNumberFormat="1" applyFont="1" applyFill="1" applyBorder="1" applyAlignment="1">
      <alignment horizontal="center" vertical="center"/>
    </xf>
    <xf numFmtId="0" fontId="21" fillId="57" borderId="9" xfId="0" applyFont="1" applyFill="1" applyBorder="1" applyAlignment="1">
      <alignment vertical="center"/>
    </xf>
    <xf numFmtId="0" fontId="21" fillId="57" borderId="9" xfId="0" applyFont="1" applyFill="1" applyBorder="1" applyAlignment="1">
      <alignment horizontal="center" vertical="center"/>
    </xf>
    <xf numFmtId="2" fontId="21" fillId="57" borderId="62" xfId="7" applyNumberFormat="1" applyFont="1" applyFill="1" applyBorder="1" applyAlignment="1">
      <alignment horizontal="center" vertical="center"/>
    </xf>
    <xf numFmtId="1" fontId="21" fillId="57" borderId="66" xfId="0" applyNumberFormat="1" applyFont="1" applyFill="1" applyBorder="1" applyAlignment="1">
      <alignment horizontal="center" vertical="center"/>
    </xf>
    <xf numFmtId="1" fontId="21" fillId="57" borderId="70" xfId="0" applyNumberFormat="1" applyFont="1" applyFill="1" applyBorder="1" applyAlignment="1">
      <alignment horizontal="center" vertical="center"/>
    </xf>
    <xf numFmtId="0" fontId="173" fillId="63" borderId="5" xfId="0" applyFont="1" applyFill="1" applyBorder="1" applyAlignment="1">
      <alignment vertical="center" wrapText="1"/>
    </xf>
    <xf numFmtId="0" fontId="108" fillId="63" borderId="0" xfId="0" applyFont="1" applyFill="1" applyBorder="1" applyAlignment="1">
      <alignment vertical="center"/>
    </xf>
    <xf numFmtId="0" fontId="108" fillId="63" borderId="0" xfId="0" applyFont="1" applyFill="1" applyBorder="1" applyAlignment="1">
      <alignment horizontal="left" vertical="center"/>
    </xf>
    <xf numFmtId="0" fontId="69" fillId="63" borderId="0" xfId="0" applyFont="1" applyFill="1" applyBorder="1" applyAlignment="1">
      <alignment vertical="center"/>
    </xf>
    <xf numFmtId="0" fontId="69" fillId="63" borderId="0" xfId="0" applyFont="1" applyFill="1" applyBorder="1" applyAlignment="1">
      <alignment horizontal="left" vertical="center"/>
    </xf>
    <xf numFmtId="0" fontId="174" fillId="58" borderId="0" xfId="0" applyFont="1" applyFill="1" applyAlignment="1"/>
    <xf numFmtId="0" fontId="17" fillId="0" borderId="0" xfId="0" applyFont="1" applyFill="1" applyAlignment="1">
      <alignment horizontal="left" vertical="center"/>
    </xf>
    <xf numFmtId="0" fontId="44" fillId="0" borderId="0" xfId="0" applyFont="1" applyFill="1" applyBorder="1" applyAlignment="1">
      <alignment vertical="center"/>
    </xf>
    <xf numFmtId="0" fontId="170" fillId="0" borderId="0" xfId="0" applyFont="1" applyFill="1" applyAlignment="1">
      <alignment horizontal="center" vertical="center"/>
    </xf>
    <xf numFmtId="0" fontId="44" fillId="0" borderId="0" xfId="0" applyFont="1" applyFill="1" applyAlignment="1">
      <alignment vertical="center"/>
    </xf>
    <xf numFmtId="0" fontId="177" fillId="67" borderId="4" xfId="0" applyFont="1" applyFill="1" applyBorder="1" applyAlignment="1"/>
    <xf numFmtId="0" fontId="177" fillId="67" borderId="5" xfId="0" applyFont="1" applyFill="1" applyBorder="1" applyAlignment="1"/>
    <xf numFmtId="0" fontId="177" fillId="67" borderId="2" xfId="0" applyFont="1" applyFill="1" applyBorder="1" applyAlignment="1"/>
    <xf numFmtId="0" fontId="177" fillId="67" borderId="3" xfId="0" applyFont="1" applyFill="1" applyBorder="1" applyAlignment="1"/>
    <xf numFmtId="0" fontId="177" fillId="67" borderId="0" xfId="0" applyFont="1" applyFill="1" applyBorder="1" applyAlignment="1"/>
    <xf numFmtId="0" fontId="177" fillId="67" borderId="6" xfId="0" applyFont="1" applyFill="1" applyBorder="1" applyAlignment="1"/>
    <xf numFmtId="0" fontId="177" fillId="67" borderId="9" xfId="0" applyFont="1" applyFill="1" applyBorder="1" applyAlignment="1"/>
    <xf numFmtId="0" fontId="177" fillId="67" borderId="10" xfId="0" applyFont="1" applyFill="1" applyBorder="1" applyAlignment="1"/>
    <xf numFmtId="0" fontId="177" fillId="67" borderId="7" xfId="0" applyFont="1" applyFill="1" applyBorder="1" applyAlignment="1"/>
    <xf numFmtId="0" fontId="178" fillId="67" borderId="3" xfId="0" applyFont="1" applyFill="1" applyBorder="1" applyAlignment="1"/>
    <xf numFmtId="0" fontId="178" fillId="67" borderId="0" xfId="0" applyFont="1" applyFill="1" applyBorder="1" applyAlignment="1"/>
    <xf numFmtId="169" fontId="18" fillId="68" borderId="0" xfId="1" applyNumberFormat="1" applyFont="1" applyFill="1"/>
    <xf numFmtId="169" fontId="179" fillId="0" borderId="0" xfId="1" applyNumberFormat="1" applyFont="1" applyFill="1"/>
    <xf numFmtId="0" fontId="0" fillId="67" borderId="4" xfId="0" applyFill="1" applyBorder="1" applyAlignment="1"/>
    <xf numFmtId="0" fontId="0" fillId="67" borderId="5" xfId="0" applyFill="1" applyBorder="1" applyAlignment="1"/>
    <xf numFmtId="0" fontId="0" fillId="67" borderId="2" xfId="0" applyFill="1" applyBorder="1" applyAlignment="1"/>
    <xf numFmtId="0" fontId="0" fillId="67" borderId="3" xfId="0" applyFill="1" applyBorder="1" applyAlignment="1"/>
    <xf numFmtId="0" fontId="0" fillId="67" borderId="0" xfId="0" applyFill="1" applyBorder="1" applyAlignment="1"/>
    <xf numFmtId="0" fontId="0" fillId="67" borderId="6" xfId="0" applyFill="1" applyBorder="1" applyAlignment="1"/>
    <xf numFmtId="0" fontId="0" fillId="67" borderId="9" xfId="0" applyFill="1" applyBorder="1" applyAlignment="1"/>
    <xf numFmtId="0" fontId="0" fillId="67" borderId="10" xfId="0" applyFill="1" applyBorder="1" applyAlignment="1"/>
    <xf numFmtId="0" fontId="0" fillId="67" borderId="7" xfId="0" applyFill="1" applyBorder="1" applyAlignment="1"/>
    <xf numFmtId="0" fontId="21" fillId="60" borderId="5" xfId="0" applyFont="1" applyFill="1" applyBorder="1" applyAlignment="1">
      <alignment horizontal="center"/>
    </xf>
    <xf numFmtId="169" fontId="21" fillId="0" borderId="5" xfId="0" applyNumberFormat="1" applyFont="1" applyFill="1" applyBorder="1" applyAlignment="1"/>
    <xf numFmtId="2" fontId="21" fillId="0" borderId="5" xfId="0" applyNumberFormat="1" applyFont="1" applyBorder="1" applyAlignment="1"/>
    <xf numFmtId="1" fontId="21" fillId="0" borderId="5" xfId="0" applyNumberFormat="1" applyFont="1" applyBorder="1" applyAlignment="1"/>
    <xf numFmtId="169" fontId="18" fillId="0" borderId="5" xfId="0" applyNumberFormat="1" applyFont="1" applyFill="1" applyBorder="1" applyAlignment="1"/>
    <xf numFmtId="169" fontId="21" fillId="0" borderId="10" xfId="0" applyNumberFormat="1" applyFont="1" applyFill="1" applyBorder="1" applyAlignment="1"/>
    <xf numFmtId="1" fontId="21" fillId="0" borderId="10" xfId="0" applyNumberFormat="1" applyFont="1" applyBorder="1" applyAlignment="1"/>
    <xf numFmtId="169" fontId="18" fillId="0" borderId="0" xfId="0" applyNumberFormat="1" applyFont="1" applyFill="1" applyBorder="1" applyAlignment="1"/>
    <xf numFmtId="169" fontId="18" fillId="0" borderId="10" xfId="0" applyNumberFormat="1" applyFont="1" applyFill="1" applyBorder="1" applyAlignment="1"/>
    <xf numFmtId="0" fontId="158" fillId="0" borderId="0" xfId="22" applyBorder="1" applyAlignment="1">
      <alignment horizontal="center"/>
    </xf>
    <xf numFmtId="0" fontId="145" fillId="0" borderId="0" xfId="22" applyFont="1" applyBorder="1" applyAlignment="1">
      <alignment horizontal="center"/>
    </xf>
    <xf numFmtId="0" fontId="12" fillId="0" borderId="0" xfId="22" applyFont="1" applyBorder="1"/>
    <xf numFmtId="7" fontId="23" fillId="0" borderId="0" xfId="0" applyNumberFormat="1" applyFont="1" applyAlignment="1"/>
    <xf numFmtId="2" fontId="23" fillId="0" borderId="0" xfId="0" applyNumberFormat="1" applyFont="1" applyAlignment="1"/>
    <xf numFmtId="9" fontId="21" fillId="0" borderId="0" xfId="26" applyNumberFormat="1" applyFont="1" applyFill="1" applyBorder="1" applyAlignment="1">
      <alignment horizontal="center"/>
    </xf>
    <xf numFmtId="0" fontId="18" fillId="54" borderId="39" xfId="0" applyFont="1" applyFill="1" applyBorder="1" applyAlignment="1">
      <alignment horizontal="left" indent="1"/>
    </xf>
    <xf numFmtId="9" fontId="21" fillId="69" borderId="39" xfId="26" applyNumberFormat="1" applyFont="1" applyFill="1" applyBorder="1"/>
    <xf numFmtId="0" fontId="22" fillId="54" borderId="39" xfId="0" applyFont="1" applyFill="1" applyBorder="1" applyAlignment="1"/>
    <xf numFmtId="0" fontId="36" fillId="0" borderId="0" xfId="0" applyFont="1" applyFill="1" applyAlignment="1">
      <alignment horizontal="left" indent="1"/>
    </xf>
    <xf numFmtId="0" fontId="36" fillId="0" borderId="0" xfId="0" applyFont="1" applyAlignment="1">
      <alignment horizontal="left" indent="1"/>
    </xf>
    <xf numFmtId="0" fontId="0" fillId="0" borderId="0" xfId="0" applyAlignment="1">
      <alignment horizontal="left" indent="1"/>
    </xf>
    <xf numFmtId="3" fontId="21" fillId="70" borderId="3" xfId="0" applyNumberFormat="1" applyFont="1" applyFill="1" applyBorder="1" applyAlignment="1" applyProtection="1">
      <alignment horizontal="left" indent="1"/>
    </xf>
    <xf numFmtId="0" fontId="21" fillId="54" borderId="6" xfId="0" applyFont="1" applyFill="1" applyBorder="1" applyAlignment="1">
      <alignment horizontal="left" indent="1"/>
    </xf>
    <xf numFmtId="9" fontId="21" fillId="69" borderId="39" xfId="26" applyNumberFormat="1" applyFont="1" applyFill="1" applyBorder="1" applyAlignment="1">
      <alignment horizontal="right"/>
    </xf>
    <xf numFmtId="5" fontId="21" fillId="0" borderId="0" xfId="6" applyFont="1" applyBorder="1" applyAlignment="1"/>
    <xf numFmtId="0" fontId="21" fillId="60" borderId="0" xfId="0" applyFont="1" applyFill="1" applyBorder="1" applyAlignment="1">
      <alignment horizontal="left" indent="1"/>
    </xf>
    <xf numFmtId="0" fontId="21" fillId="60" borderId="0" xfId="0" applyFont="1" applyFill="1" applyBorder="1" applyAlignment="1">
      <alignment horizontal="left" indent="2"/>
    </xf>
    <xf numFmtId="0" fontId="21" fillId="60" borderId="10" xfId="0" applyFont="1" applyFill="1" applyBorder="1" applyAlignment="1">
      <alignment horizontal="left" indent="1"/>
    </xf>
    <xf numFmtId="1" fontId="20" fillId="60" borderId="0" xfId="0" applyNumberFormat="1" applyFont="1" applyFill="1" applyAlignment="1"/>
    <xf numFmtId="169" fontId="153" fillId="60" borderId="0" xfId="1" applyNumberFormat="1" applyFont="1" applyFill="1"/>
    <xf numFmtId="0" fontId="160" fillId="0" borderId="0" xfId="0" applyFont="1" applyFill="1" applyAlignment="1">
      <alignment vertical="center"/>
    </xf>
    <xf numFmtId="0" fontId="11" fillId="0" borderId="0" xfId="22" applyFont="1"/>
    <xf numFmtId="0" fontId="149" fillId="55" borderId="5" xfId="0" applyFont="1" applyFill="1" applyBorder="1" applyAlignment="1"/>
    <xf numFmtId="0" fontId="147" fillId="55" borderId="2" xfId="0" applyFont="1" applyFill="1" applyBorder="1" applyAlignment="1"/>
    <xf numFmtId="6" fontId="147" fillId="55" borderId="23" xfId="0" applyNumberFormat="1" applyFont="1" applyFill="1" applyBorder="1" applyAlignment="1"/>
    <xf numFmtId="10" fontId="147" fillId="55" borderId="65" xfId="26" applyFont="1" applyFill="1" applyBorder="1" applyAlignment="1"/>
    <xf numFmtId="0" fontId="147" fillId="55" borderId="65" xfId="0" applyFont="1" applyFill="1" applyBorder="1" applyAlignment="1"/>
    <xf numFmtId="6" fontId="147" fillId="55" borderId="56" xfId="0" applyNumberFormat="1" applyFont="1" applyFill="1" applyBorder="1" applyAlignment="1"/>
    <xf numFmtId="0" fontId="147" fillId="55" borderId="73" xfId="0" applyFont="1" applyFill="1" applyBorder="1" applyAlignment="1"/>
    <xf numFmtId="5" fontId="35" fillId="0" borderId="0" xfId="1" applyNumberFormat="1" applyFont="1" applyFill="1"/>
    <xf numFmtId="0" fontId="21" fillId="31" borderId="0" xfId="23" applyFont="1" applyFill="1" applyBorder="1" applyAlignment="1">
      <alignment horizontal="left"/>
    </xf>
    <xf numFmtId="0" fontId="10" fillId="0" borderId="3" xfId="22" applyFont="1" applyBorder="1" applyAlignment="1">
      <alignment vertical="top" wrapText="1"/>
    </xf>
    <xf numFmtId="0" fontId="158" fillId="0" borderId="89" xfId="22" applyBorder="1"/>
    <xf numFmtId="0" fontId="145" fillId="0" borderId="89" xfId="22" applyFont="1" applyBorder="1"/>
    <xf numFmtId="0" fontId="21" fillId="11" borderId="0" xfId="23" applyFont="1" applyFill="1" applyBorder="1" applyAlignment="1">
      <alignment horizontal="left"/>
    </xf>
    <xf numFmtId="0" fontId="20" fillId="71" borderId="0" xfId="23" applyFont="1" applyFill="1" applyBorder="1" applyAlignment="1"/>
    <xf numFmtId="0" fontId="9" fillId="0" borderId="0" xfId="22" applyFont="1"/>
    <xf numFmtId="0" fontId="182" fillId="0" borderId="0" xfId="21" applyFont="1" applyAlignment="1" applyProtection="1"/>
    <xf numFmtId="0" fontId="21" fillId="0" borderId="0" xfId="0" applyFont="1" applyFill="1" applyBorder="1" applyAlignment="1">
      <alignment horizontal="center"/>
    </xf>
    <xf numFmtId="169" fontId="140" fillId="0" borderId="0" xfId="0" applyNumberFormat="1" applyFont="1" applyFill="1" applyAlignment="1"/>
    <xf numFmtId="0" fontId="140" fillId="0" borderId="0" xfId="0" applyFont="1" applyFill="1" applyAlignment="1"/>
    <xf numFmtId="0" fontId="21" fillId="0" borderId="5" xfId="0" applyFont="1" applyFill="1" applyBorder="1" applyAlignment="1">
      <alignment horizontal="center"/>
    </xf>
    <xf numFmtId="0" fontId="21" fillId="0" borderId="10" xfId="0" applyFont="1" applyFill="1" applyBorder="1" applyAlignment="1">
      <alignment horizontal="right"/>
    </xf>
    <xf numFmtId="0" fontId="0" fillId="0" borderId="0" xfId="0" applyNumberFormat="1" applyFill="1" applyBorder="1" applyAlignment="1">
      <alignment horizontal="center"/>
    </xf>
    <xf numFmtId="9" fontId="0" fillId="0" borderId="0" xfId="0" applyNumberFormat="1" applyFill="1" applyBorder="1" applyAlignment="1">
      <alignment horizontal="center"/>
    </xf>
    <xf numFmtId="0" fontId="158" fillId="0" borderId="23" xfId="22" applyFill="1" applyBorder="1"/>
    <xf numFmtId="0" fontId="145" fillId="0" borderId="23" xfId="22" applyFont="1" applyFill="1" applyBorder="1"/>
    <xf numFmtId="0" fontId="158" fillId="0" borderId="16" xfId="22" applyFill="1" applyBorder="1"/>
    <xf numFmtId="0" fontId="20" fillId="71" borderId="0" xfId="0" applyFont="1" applyFill="1" applyBorder="1" applyAlignment="1"/>
    <xf numFmtId="0" fontId="0" fillId="71" borderId="0" xfId="0" applyFill="1" applyBorder="1" applyAlignment="1"/>
    <xf numFmtId="0" fontId="21" fillId="71" borderId="0" xfId="0" applyFont="1" applyFill="1" applyBorder="1" applyAlignment="1">
      <alignment horizontal="right"/>
    </xf>
    <xf numFmtId="0" fontId="21" fillId="72" borderId="0" xfId="23" applyFill="1" applyBorder="1" applyAlignment="1"/>
    <xf numFmtId="0" fontId="180" fillId="0" borderId="3" xfId="22" applyFont="1" applyFill="1" applyBorder="1"/>
    <xf numFmtId="0" fontId="158" fillId="0" borderId="0" xfId="22" applyFill="1" applyBorder="1" applyAlignment="1">
      <alignment horizontal="center"/>
    </xf>
    <xf numFmtId="0" fontId="145" fillId="0" borderId="0" xfId="22" applyFont="1" applyFill="1" applyBorder="1" applyAlignment="1">
      <alignment horizontal="center"/>
    </xf>
    <xf numFmtId="0" fontId="158" fillId="0" borderId="0" xfId="22" applyFill="1" applyBorder="1"/>
    <xf numFmtId="0" fontId="116" fillId="0" borderId="9" xfId="22" applyFont="1" applyFill="1" applyBorder="1"/>
    <xf numFmtId="0" fontId="158" fillId="0" borderId="10" xfId="22" applyFill="1" applyBorder="1" applyAlignment="1">
      <alignment horizontal="center"/>
    </xf>
    <xf numFmtId="0" fontId="145" fillId="0" borderId="10" xfId="22" applyFont="1" applyFill="1" applyBorder="1" applyAlignment="1">
      <alignment horizontal="center"/>
    </xf>
    <xf numFmtId="0" fontId="158" fillId="0" borderId="10" xfId="22" applyFill="1" applyBorder="1"/>
    <xf numFmtId="0" fontId="21" fillId="0" borderId="3" xfId="0" applyFont="1" applyBorder="1" applyAlignment="1">
      <alignment horizontal="left" vertical="center"/>
    </xf>
    <xf numFmtId="10" fontId="36" fillId="73" borderId="0" xfId="0" applyNumberFormat="1" applyFont="1" applyFill="1" applyBorder="1" applyAlignment="1"/>
    <xf numFmtId="0" fontId="35" fillId="0" borderId="4" xfId="0" applyFont="1" applyBorder="1" applyAlignment="1"/>
    <xf numFmtId="0" fontId="21" fillId="0" borderId="89" xfId="0" applyFont="1" applyBorder="1" applyAlignment="1"/>
    <xf numFmtId="5" fontId="36" fillId="11" borderId="6" xfId="0" applyNumberFormat="1" applyFont="1" applyFill="1" applyBorder="1" applyAlignment="1" applyProtection="1">
      <protection locked="0"/>
    </xf>
    <xf numFmtId="0" fontId="94" fillId="64" borderId="0" xfId="0" applyFont="1" applyFill="1" applyAlignment="1"/>
    <xf numFmtId="3" fontId="94" fillId="64" borderId="0" xfId="0" applyNumberFormat="1" applyFont="1" applyFill="1" applyBorder="1" applyAlignment="1" applyProtection="1"/>
    <xf numFmtId="169" fontId="94" fillId="64" borderId="0" xfId="0" applyNumberFormat="1" applyFont="1" applyFill="1" applyAlignment="1"/>
    <xf numFmtId="171" fontId="94" fillId="64" borderId="0" xfId="0" applyNumberFormat="1" applyFont="1" applyFill="1" applyAlignment="1"/>
    <xf numFmtId="169" fontId="94" fillId="64" borderId="0" xfId="1" applyNumberFormat="1" applyFont="1" applyFill="1"/>
    <xf numFmtId="0" fontId="23" fillId="64" borderId="0" xfId="0" applyFont="1" applyFill="1" applyAlignment="1"/>
    <xf numFmtId="9" fontId="23" fillId="64" borderId="0" xfId="0" applyNumberFormat="1" applyFont="1" applyFill="1" applyAlignment="1"/>
    <xf numFmtId="169" fontId="23" fillId="64" borderId="0" xfId="0" applyNumberFormat="1" applyFont="1" applyFill="1" applyBorder="1" applyAlignment="1" applyProtection="1"/>
    <xf numFmtId="171" fontId="23" fillId="64" borderId="0" xfId="0" applyNumberFormat="1" applyFont="1" applyFill="1" applyAlignment="1"/>
    <xf numFmtId="4" fontId="23" fillId="64" borderId="0" xfId="1" applyNumberFormat="1" applyFont="1" applyFill="1"/>
    <xf numFmtId="3" fontId="23" fillId="64" borderId="0" xfId="1" applyFont="1" applyFill="1"/>
    <xf numFmtId="2" fontId="23" fillId="64" borderId="0" xfId="0" applyNumberFormat="1" applyFont="1" applyFill="1" applyAlignment="1"/>
    <xf numFmtId="1" fontId="139" fillId="0" borderId="0" xfId="0" applyNumberFormat="1" applyFont="1" applyFill="1" applyBorder="1" applyAlignment="1">
      <alignment horizontal="center"/>
    </xf>
    <xf numFmtId="169" fontId="41" fillId="0" borderId="0" xfId="6" applyNumberFormat="1" applyFont="1" applyFill="1"/>
    <xf numFmtId="171" fontId="41" fillId="0" borderId="0" xfId="6" applyNumberFormat="1" applyFont="1" applyFill="1"/>
    <xf numFmtId="169" fontId="41" fillId="0" borderId="0" xfId="1" applyNumberFormat="1" applyFont="1" applyFill="1"/>
    <xf numFmtId="169" fontId="23" fillId="64" borderId="0" xfId="1" applyNumberFormat="1" applyFont="1" applyFill="1"/>
    <xf numFmtId="0" fontId="183" fillId="0" borderId="0" xfId="0" applyFont="1" applyAlignment="1"/>
    <xf numFmtId="0" fontId="51" fillId="64" borderId="0" xfId="0" applyFont="1" applyFill="1" applyAlignment="1"/>
    <xf numFmtId="1" fontId="21" fillId="64" borderId="0" xfId="0" applyNumberFormat="1" applyFont="1" applyFill="1" applyAlignment="1"/>
    <xf numFmtId="1" fontId="51" fillId="64" borderId="0" xfId="0" applyNumberFormat="1" applyFont="1" applyFill="1" applyAlignment="1"/>
    <xf numFmtId="169" fontId="51" fillId="64" borderId="0" xfId="6" applyNumberFormat="1" applyFont="1" applyFill="1"/>
    <xf numFmtId="171" fontId="51" fillId="64" borderId="0" xfId="6" applyNumberFormat="1" applyFont="1" applyFill="1"/>
    <xf numFmtId="3" fontId="51" fillId="64" borderId="0" xfId="0" applyNumberFormat="1" applyFont="1" applyFill="1" applyAlignment="1"/>
    <xf numFmtId="6" fontId="21" fillId="0" borderId="23" xfId="0" applyNumberFormat="1" applyFont="1" applyBorder="1" applyAlignment="1"/>
    <xf numFmtId="10" fontId="0" fillId="0" borderId="23" xfId="26" applyFont="1" applyBorder="1" applyAlignment="1"/>
    <xf numFmtId="0" fontId="184" fillId="0" borderId="0" xfId="0" applyFont="1" applyAlignment="1"/>
    <xf numFmtId="0" fontId="21" fillId="0" borderId="0" xfId="0" applyFont="1" applyAlignment="1">
      <alignment vertical="top" wrapText="1"/>
    </xf>
    <xf numFmtId="0" fontId="18" fillId="0" borderId="0" xfId="0" applyFont="1" applyFill="1" applyBorder="1" applyAlignment="1">
      <alignment horizontal="center"/>
    </xf>
    <xf numFmtId="0" fontId="155" fillId="0" borderId="0" xfId="0" applyFont="1" applyFill="1" applyBorder="1" applyAlignment="1">
      <alignment vertical="center" wrapText="1"/>
    </xf>
    <xf numFmtId="0" fontId="156" fillId="0" borderId="0" xfId="0" applyFont="1" applyFill="1" applyBorder="1" applyAlignment="1"/>
    <xf numFmtId="0" fontId="42" fillId="6" borderId="23" xfId="0" applyFont="1" applyFill="1" applyBorder="1" applyAlignment="1" applyProtection="1">
      <alignment horizontal="center"/>
      <protection locked="0"/>
    </xf>
    <xf numFmtId="0" fontId="55" fillId="0" borderId="23" xfId="0" applyFont="1" applyFill="1" applyBorder="1" applyAlignment="1" applyProtection="1">
      <alignment horizontal="center" vertical="center"/>
      <protection locked="0"/>
    </xf>
    <xf numFmtId="0" fontId="18" fillId="0" borderId="23" xfId="0" applyFont="1" applyFill="1" applyBorder="1" applyAlignment="1">
      <alignment horizontal="left" vertical="center"/>
    </xf>
    <xf numFmtId="0" fontId="18" fillId="53" borderId="23" xfId="0" applyFont="1" applyFill="1" applyBorder="1" applyAlignment="1">
      <alignment horizontal="center" vertical="center"/>
    </xf>
    <xf numFmtId="0" fontId="18" fillId="29" borderId="23" xfId="0" applyFont="1" applyFill="1" applyBorder="1" applyAlignment="1">
      <alignment horizontal="center" vertical="center"/>
    </xf>
    <xf numFmtId="0" fontId="34" fillId="0" borderId="0" xfId="0" applyFont="1" applyAlignment="1">
      <alignment vertical="top"/>
    </xf>
    <xf numFmtId="0" fontId="39" fillId="0" borderId="0" xfId="0" applyFont="1" applyFill="1" applyAlignment="1">
      <alignment vertical="top"/>
    </xf>
    <xf numFmtId="0" fontId="39" fillId="0" borderId="0" xfId="0" applyFont="1" applyAlignment="1">
      <alignment vertical="top"/>
    </xf>
    <xf numFmtId="0" fontId="21" fillId="0" borderId="0" xfId="23" applyAlignment="1">
      <alignment vertical="top"/>
    </xf>
    <xf numFmtId="164" fontId="21" fillId="0" borderId="0" xfId="26" applyNumberFormat="1" applyFont="1" applyFill="1" applyBorder="1" applyAlignment="1">
      <alignment horizontal="center" vertical="center"/>
    </xf>
    <xf numFmtId="0" fontId="38" fillId="0" borderId="0" xfId="0" applyFont="1" applyFill="1" applyBorder="1" applyAlignment="1">
      <alignment vertical="center"/>
    </xf>
    <xf numFmtId="164" fontId="21" fillId="0" borderId="0" xfId="26" applyNumberFormat="1" applyFont="1" applyFill="1" applyBorder="1" applyAlignment="1">
      <alignment horizontal="center" vertical="center" wrapText="1"/>
    </xf>
    <xf numFmtId="0" fontId="0" fillId="0" borderId="0" xfId="0" applyFill="1" applyBorder="1" applyAlignment="1">
      <alignment vertical="center" wrapText="1"/>
    </xf>
    <xf numFmtId="164" fontId="18" fillId="0" borderId="0" xfId="26" applyNumberFormat="1" applyFont="1" applyFill="1" applyBorder="1" applyAlignment="1">
      <alignment horizontal="center" vertical="center" wrapText="1"/>
    </xf>
    <xf numFmtId="164" fontId="18" fillId="0" borderId="0" xfId="26" applyNumberFormat="1" applyFont="1" applyFill="1" applyBorder="1" applyAlignment="1">
      <alignment horizontal="center" vertical="center"/>
    </xf>
    <xf numFmtId="164" fontId="35" fillId="0" borderId="0" xfId="26" applyNumberFormat="1" applyFont="1" applyFill="1" applyBorder="1" applyAlignment="1">
      <alignment horizontal="center" vertical="center"/>
    </xf>
    <xf numFmtId="7" fontId="0" fillId="0" borderId="0" xfId="0" applyNumberFormat="1" applyFill="1" applyBorder="1" applyAlignment="1">
      <alignment vertical="center"/>
    </xf>
    <xf numFmtId="166" fontId="23" fillId="0" borderId="0" xfId="0" applyNumberFormat="1" applyFont="1" applyFill="1" applyBorder="1" applyAlignment="1">
      <alignment horizontal="center" vertical="center"/>
    </xf>
    <xf numFmtId="10" fontId="23" fillId="0" borderId="0" xfId="26" applyNumberFormat="1" applyFont="1" applyFill="1" applyBorder="1" applyAlignment="1">
      <alignment horizontal="center" vertical="center"/>
    </xf>
    <xf numFmtId="10" fontId="23" fillId="0" borderId="0" xfId="26" applyFont="1" applyFill="1" applyBorder="1" applyAlignment="1">
      <alignment horizontal="center" vertical="center"/>
    </xf>
    <xf numFmtId="10" fontId="21" fillId="0" borderId="0" xfId="26" applyNumberFormat="1" applyFont="1" applyFill="1" applyBorder="1" applyAlignment="1">
      <alignment horizontal="center" vertical="center"/>
    </xf>
    <xf numFmtId="0" fontId="23" fillId="0" borderId="0" xfId="0" applyFont="1" applyFill="1" applyBorder="1" applyAlignment="1">
      <alignment vertical="center"/>
    </xf>
    <xf numFmtId="164" fontId="36" fillId="0" borderId="0" xfId="0" applyNumberFormat="1" applyFont="1" applyFill="1" applyBorder="1" applyAlignment="1">
      <alignment horizontal="center" vertical="center"/>
    </xf>
    <xf numFmtId="164" fontId="36" fillId="0" borderId="0" xfId="26" applyNumberFormat="1" applyFont="1" applyFill="1" applyBorder="1" applyAlignment="1">
      <alignment horizontal="center" vertical="center"/>
    </xf>
    <xf numFmtId="10" fontId="36" fillId="0" borderId="0" xfId="26" applyFont="1" applyFill="1" applyBorder="1" applyAlignment="1">
      <alignment horizontal="center" vertical="center" wrapText="1"/>
    </xf>
    <xf numFmtId="10" fontId="36" fillId="0" borderId="0" xfId="0" applyNumberFormat="1" applyFont="1" applyFill="1" applyBorder="1" applyAlignment="1" applyProtection="1">
      <alignment horizontal="center" vertical="center"/>
      <protection locked="0"/>
    </xf>
    <xf numFmtId="3" fontId="36" fillId="0" borderId="0" xfId="1" applyNumberFormat="1"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7" fontId="36" fillId="0" borderId="0" xfId="0" applyNumberFormat="1" applyFont="1" applyFill="1" applyBorder="1" applyAlignment="1">
      <alignment vertical="center"/>
    </xf>
    <xf numFmtId="10" fontId="36" fillId="0" borderId="0" xfId="26" applyFont="1" applyFill="1" applyBorder="1" applyAlignment="1">
      <alignment vertical="center"/>
    </xf>
    <xf numFmtId="0" fontId="23" fillId="0" borderId="0" xfId="0" applyFont="1" applyFill="1" applyBorder="1" applyAlignment="1">
      <alignment horizontal="center" vertical="center"/>
    </xf>
    <xf numFmtId="0" fontId="39" fillId="0" borderId="0" xfId="0" applyFont="1" applyFill="1" applyBorder="1" applyAlignment="1">
      <alignment vertical="center" wrapText="1"/>
    </xf>
    <xf numFmtId="0" fontId="18" fillId="0" borderId="0" xfId="0" applyFont="1" applyFill="1" applyBorder="1" applyAlignment="1">
      <alignment horizontal="right" vertical="center"/>
    </xf>
    <xf numFmtId="3" fontId="20" fillId="0" borderId="0" xfId="0" applyNumberFormat="1" applyFont="1" applyFill="1" applyBorder="1" applyAlignment="1">
      <alignment vertical="center"/>
    </xf>
    <xf numFmtId="2" fontId="36" fillId="0" borderId="0" xfId="0" applyNumberFormat="1" applyFont="1" applyFill="1" applyBorder="1" applyAlignment="1">
      <alignment vertical="center"/>
    </xf>
    <xf numFmtId="0" fontId="39" fillId="0" borderId="0" xfId="0" applyFont="1" applyFill="1" applyBorder="1" applyAlignment="1">
      <alignment horizontal="center" vertical="center" wrapText="1"/>
    </xf>
    <xf numFmtId="0" fontId="106" fillId="0" borderId="0" xfId="0" applyFont="1" applyBorder="1" applyAlignment="1">
      <alignment horizontal="center" vertical="center"/>
    </xf>
    <xf numFmtId="0" fontId="17" fillId="0" borderId="37" xfId="0" applyFont="1" applyBorder="1" applyAlignment="1">
      <alignment horizontal="center" vertical="center"/>
    </xf>
    <xf numFmtId="0" fontId="21" fillId="0" borderId="4" xfId="0" applyFont="1" applyBorder="1" applyAlignment="1">
      <alignment horizontal="left" vertical="center"/>
    </xf>
    <xf numFmtId="5" fontId="21" fillId="0" borderId="89" xfId="0" applyNumberFormat="1" applyFont="1" applyFill="1" applyBorder="1" applyAlignment="1">
      <alignment horizontal="center" vertical="center"/>
    </xf>
    <xf numFmtId="0" fontId="21" fillId="0" borderId="3" xfId="0" applyFont="1" applyBorder="1" applyAlignment="1">
      <alignment vertical="center"/>
    </xf>
    <xf numFmtId="10" fontId="21" fillId="0" borderId="38" xfId="27" applyNumberFormat="1" applyFont="1" applyFill="1" applyBorder="1" applyAlignment="1">
      <alignment horizontal="center" vertical="center"/>
    </xf>
    <xf numFmtId="170" fontId="21" fillId="0" borderId="2" xfId="2" applyNumberFormat="1" applyFont="1" applyFill="1" applyBorder="1" applyAlignment="1">
      <alignment horizontal="center" vertical="center"/>
    </xf>
    <xf numFmtId="170" fontId="21" fillId="0" borderId="89" xfId="2" applyNumberFormat="1" applyFont="1" applyFill="1" applyBorder="1" applyAlignment="1">
      <alignment horizontal="center" vertical="center"/>
    </xf>
    <xf numFmtId="10" fontId="21" fillId="0" borderId="39" xfId="27" applyFont="1" applyFill="1" applyBorder="1" applyAlignment="1">
      <alignment horizontal="center" vertical="center"/>
    </xf>
    <xf numFmtId="170" fontId="21" fillId="0" borderId="6" xfId="2" applyNumberFormat="1" applyFont="1" applyFill="1" applyBorder="1" applyAlignment="1">
      <alignment horizontal="center" vertical="center"/>
    </xf>
    <xf numFmtId="170" fontId="21" fillId="0" borderId="0" xfId="2" applyNumberFormat="1" applyFont="1" applyFill="1" applyBorder="1" applyAlignment="1">
      <alignment horizontal="center" vertical="center"/>
    </xf>
    <xf numFmtId="10" fontId="21" fillId="0" borderId="39" xfId="27" applyNumberFormat="1" applyFont="1" applyBorder="1" applyAlignment="1">
      <alignment horizontal="center" vertical="center"/>
    </xf>
    <xf numFmtId="175" fontId="21" fillId="0" borderId="6" xfId="2" applyNumberFormat="1" applyFont="1" applyFill="1" applyBorder="1" applyAlignment="1">
      <alignment horizontal="center" vertical="center"/>
    </xf>
    <xf numFmtId="175" fontId="21" fillId="0" borderId="0" xfId="2" applyNumberFormat="1" applyFont="1" applyFill="1" applyBorder="1" applyAlignment="1">
      <alignment horizontal="center" vertical="center"/>
    </xf>
    <xf numFmtId="7" fontId="134" fillId="0" borderId="0" xfId="7" applyNumberFormat="1" applyFont="1" applyFill="1" applyBorder="1" applyAlignment="1" applyProtection="1">
      <alignment horizontal="center" vertical="center"/>
    </xf>
    <xf numFmtId="37" fontId="21" fillId="40" borderId="39" xfId="0" applyNumberFormat="1" applyFont="1" applyFill="1" applyBorder="1" applyAlignment="1">
      <alignment horizontal="center" vertical="center"/>
    </xf>
    <xf numFmtId="37" fontId="21" fillId="40" borderId="3" xfId="0" applyNumberFormat="1" applyFont="1" applyFill="1" applyBorder="1" applyAlignment="1">
      <alignment horizontal="center" vertical="center"/>
    </xf>
    <xf numFmtId="3" fontId="21" fillId="34" borderId="39" xfId="2" applyFont="1" applyFill="1" applyBorder="1" applyAlignment="1">
      <alignment horizontal="center" vertical="center"/>
    </xf>
    <xf numFmtId="3" fontId="21" fillId="34" borderId="3" xfId="2" applyFont="1" applyFill="1" applyBorder="1" applyAlignment="1">
      <alignment horizontal="center" vertical="center"/>
    </xf>
    <xf numFmtId="7" fontId="21" fillId="0" borderId="9" xfId="0" applyNumberFormat="1" applyFont="1" applyFill="1" applyBorder="1" applyAlignment="1">
      <alignment horizontal="center" vertical="center"/>
    </xf>
    <xf numFmtId="3" fontId="21" fillId="0" borderId="4" xfId="0" applyNumberFormat="1" applyFont="1" applyFill="1" applyBorder="1" applyAlignment="1" applyProtection="1">
      <alignment vertical="center"/>
    </xf>
    <xf numFmtId="164" fontId="21" fillId="0" borderId="38" xfId="0" applyNumberFormat="1" applyFont="1" applyFill="1" applyBorder="1" applyAlignment="1">
      <alignment horizontal="center" vertical="center"/>
    </xf>
    <xf numFmtId="10" fontId="21" fillId="0" borderId="2" xfId="27" applyFont="1" applyFill="1" applyBorder="1" applyAlignment="1">
      <alignment horizontal="center" vertical="center"/>
    </xf>
    <xf numFmtId="10" fontId="21" fillId="0" borderId="89" xfId="27" applyFont="1" applyFill="1" applyBorder="1" applyAlignment="1">
      <alignment horizontal="center" vertical="center"/>
    </xf>
    <xf numFmtId="0" fontId="21" fillId="0" borderId="3" xfId="0" applyFont="1" applyFill="1" applyBorder="1" applyAlignment="1">
      <alignment vertical="center"/>
    </xf>
    <xf numFmtId="164" fontId="21" fillId="0" borderId="39" xfId="27" applyNumberFormat="1" applyFont="1" applyFill="1" applyBorder="1" applyAlignment="1">
      <alignment horizontal="center" vertical="center"/>
    </xf>
    <xf numFmtId="10" fontId="21" fillId="0" borderId="6" xfId="27" applyFont="1" applyFill="1" applyBorder="1" applyAlignment="1">
      <alignment horizontal="center" vertical="center"/>
    </xf>
    <xf numFmtId="10" fontId="21" fillId="0" borderId="0" xfId="27" applyFont="1" applyFill="1" applyBorder="1" applyAlignment="1">
      <alignment horizontal="center" vertical="center"/>
    </xf>
    <xf numFmtId="10" fontId="21" fillId="0" borderId="39" xfId="27" applyNumberFormat="1" applyFont="1" applyFill="1" applyBorder="1" applyAlignment="1">
      <alignment horizontal="center" vertical="center"/>
    </xf>
    <xf numFmtId="10" fontId="21" fillId="0" borderId="6" xfId="27" applyNumberFormat="1" applyFont="1" applyFill="1" applyBorder="1" applyAlignment="1">
      <alignment horizontal="center" vertical="center"/>
    </xf>
    <xf numFmtId="10" fontId="21" fillId="0" borderId="0" xfId="27" applyNumberFormat="1" applyFont="1" applyFill="1" applyBorder="1" applyAlignment="1">
      <alignment horizontal="center" vertical="center"/>
    </xf>
    <xf numFmtId="0" fontId="21" fillId="0" borderId="3" xfId="0" applyFont="1" applyFill="1" applyBorder="1" applyAlignment="1">
      <alignment vertical="center" wrapText="1"/>
    </xf>
    <xf numFmtId="10" fontId="21" fillId="0" borderId="39" xfId="27" applyFont="1" applyFill="1" applyBorder="1" applyAlignment="1">
      <alignment horizontal="center" vertical="center" wrapText="1"/>
    </xf>
    <xf numFmtId="0" fontId="21" fillId="0" borderId="6" xfId="0" applyFont="1" applyFill="1" applyBorder="1" applyAlignment="1">
      <alignment horizontal="center" vertical="center" wrapText="1"/>
    </xf>
    <xf numFmtId="3" fontId="21" fillId="0" borderId="3" xfId="0" applyNumberFormat="1" applyFont="1" applyFill="1" applyBorder="1" applyAlignment="1" applyProtection="1">
      <alignment vertical="center"/>
    </xf>
    <xf numFmtId="10" fontId="21" fillId="0" borderId="39" xfId="0" applyNumberFormat="1" applyFont="1" applyFill="1" applyBorder="1" applyAlignment="1" applyProtection="1">
      <alignment horizontal="center" vertical="center"/>
      <protection locked="0"/>
    </xf>
    <xf numFmtId="0" fontId="21" fillId="0" borderId="6" xfId="0" applyFont="1" applyFill="1" applyBorder="1" applyAlignment="1">
      <alignment horizontal="center" vertical="center"/>
    </xf>
    <xf numFmtId="3" fontId="21" fillId="0" borderId="39" xfId="2" applyNumberFormat="1" applyFont="1" applyFill="1" applyBorder="1" applyAlignment="1" applyProtection="1">
      <alignment horizontal="center" vertical="center"/>
      <protection locked="0"/>
    </xf>
    <xf numFmtId="0" fontId="21" fillId="0" borderId="39" xfId="0" applyFont="1" applyFill="1" applyBorder="1" applyAlignment="1" applyProtection="1">
      <alignment horizontal="center" vertical="center"/>
      <protection locked="0"/>
    </xf>
    <xf numFmtId="0" fontId="106" fillId="0" borderId="0" xfId="0" applyFont="1" applyAlignment="1">
      <alignment horizontal="center"/>
    </xf>
    <xf numFmtId="0" fontId="18" fillId="0" borderId="23" xfId="0" applyFont="1" applyFill="1" applyBorder="1" applyAlignment="1">
      <alignment vertical="center"/>
    </xf>
    <xf numFmtId="7" fontId="168" fillId="0" borderId="0" xfId="0" applyNumberFormat="1" applyFont="1" applyFill="1" applyBorder="1" applyAlignment="1">
      <alignment horizontal="center" vertical="center"/>
    </xf>
    <xf numFmtId="7" fontId="189" fillId="0" borderId="0" xfId="6" applyNumberFormat="1" applyFont="1" applyFill="1" applyBorder="1" applyAlignment="1" applyProtection="1">
      <alignment horizontal="center" vertical="center"/>
    </xf>
    <xf numFmtId="7" fontId="189" fillId="0" borderId="0" xfId="0" applyNumberFormat="1" applyFont="1" applyFill="1" applyBorder="1" applyAlignment="1">
      <alignment horizontal="center" vertical="center"/>
    </xf>
    <xf numFmtId="0" fontId="189" fillId="0" borderId="0" xfId="0" applyFont="1" applyFill="1" applyBorder="1" applyAlignment="1">
      <alignment vertical="center"/>
    </xf>
    <xf numFmtId="0" fontId="190" fillId="0" borderId="0" xfId="0" applyFont="1" applyFill="1" applyBorder="1" applyAlignment="1">
      <alignment horizontal="center" vertical="center"/>
    </xf>
    <xf numFmtId="5" fontId="189" fillId="0" borderId="0" xfId="0" applyNumberFormat="1" applyFont="1" applyFill="1" applyBorder="1" applyAlignment="1">
      <alignment vertical="center"/>
    </xf>
    <xf numFmtId="166" fontId="189" fillId="0" borderId="0" xfId="0" applyNumberFormat="1" applyFont="1" applyFill="1" applyBorder="1" applyAlignment="1">
      <alignment horizontal="center" vertical="center"/>
    </xf>
    <xf numFmtId="170" fontId="189" fillId="0" borderId="0" xfId="1" applyNumberFormat="1" applyFont="1" applyFill="1" applyBorder="1" applyAlignment="1">
      <alignment horizontal="center" vertical="center"/>
    </xf>
    <xf numFmtId="175" fontId="189" fillId="0" borderId="0" xfId="1" applyNumberFormat="1" applyFont="1" applyFill="1" applyBorder="1" applyAlignment="1">
      <alignment horizontal="center" vertical="center"/>
    </xf>
    <xf numFmtId="37" fontId="189" fillId="0" borderId="0" xfId="0" applyNumberFormat="1" applyFont="1" applyFill="1" applyBorder="1" applyAlignment="1">
      <alignment horizontal="center" vertical="center"/>
    </xf>
    <xf numFmtId="3" fontId="189" fillId="0" borderId="0" xfId="1" applyFont="1" applyFill="1" applyBorder="1" applyAlignment="1">
      <alignment horizontal="center" vertical="center"/>
    </xf>
    <xf numFmtId="10" fontId="189" fillId="0" borderId="0" xfId="26" applyFont="1" applyFill="1" applyBorder="1" applyAlignment="1">
      <alignment horizontal="center" vertical="center"/>
    </xf>
    <xf numFmtId="10" fontId="189" fillId="0" borderId="0" xfId="26" applyNumberFormat="1" applyFont="1" applyFill="1" applyBorder="1" applyAlignment="1">
      <alignment horizontal="center" vertical="center"/>
    </xf>
    <xf numFmtId="0" fontId="189" fillId="0" borderId="0" xfId="0" applyFont="1" applyFill="1" applyBorder="1" applyAlignment="1">
      <alignment horizontal="center" vertical="center" wrapText="1"/>
    </xf>
    <xf numFmtId="0" fontId="189" fillId="0" borderId="0" xfId="0" applyFont="1" applyFill="1" applyBorder="1" applyAlignment="1">
      <alignment horizontal="center" vertical="center"/>
    </xf>
    <xf numFmtId="14" fontId="191" fillId="0" borderId="0" xfId="0" applyNumberFormat="1" applyFont="1" applyFill="1" applyBorder="1" applyAlignment="1">
      <alignment horizontal="center" vertical="center"/>
    </xf>
    <xf numFmtId="7" fontId="189" fillId="0" borderId="0" xfId="6" applyNumberFormat="1" applyFont="1" applyFill="1" applyBorder="1" applyAlignment="1">
      <alignment horizontal="center" vertical="center"/>
    </xf>
    <xf numFmtId="164" fontId="189" fillId="0" borderId="0" xfId="26" applyNumberFormat="1" applyFont="1" applyFill="1" applyBorder="1" applyAlignment="1">
      <alignment horizontal="center" vertical="center"/>
    </xf>
    <xf numFmtId="7" fontId="189" fillId="0" borderId="0" xfId="0" applyNumberFormat="1" applyFont="1" applyFill="1" applyBorder="1" applyAlignment="1">
      <alignment horizontal="center" vertical="center" wrapText="1"/>
    </xf>
    <xf numFmtId="7" fontId="168" fillId="0" borderId="0" xfId="0" applyNumberFormat="1" applyFont="1" applyFill="1" applyBorder="1" applyAlignment="1">
      <alignment horizontal="center" vertical="center" wrapText="1"/>
    </xf>
    <xf numFmtId="7" fontId="168" fillId="0" borderId="0" xfId="6" applyNumberFormat="1" applyFont="1" applyFill="1" applyBorder="1" applyAlignment="1">
      <alignment horizontal="center" vertical="center"/>
    </xf>
    <xf numFmtId="7" fontId="189" fillId="0" borderId="0" xfId="0" applyNumberFormat="1" applyFont="1" applyFill="1" applyBorder="1" applyAlignment="1">
      <alignment vertical="center"/>
    </xf>
    <xf numFmtId="10" fontId="189" fillId="0" borderId="0" xfId="26" applyFont="1" applyFill="1" applyBorder="1" applyAlignment="1">
      <alignment vertical="center"/>
    </xf>
    <xf numFmtId="5" fontId="189" fillId="0" borderId="0" xfId="0" applyNumberFormat="1" applyFont="1" applyFill="1" applyBorder="1" applyAlignment="1">
      <alignment horizontal="center" vertical="center"/>
    </xf>
    <xf numFmtId="164" fontId="189" fillId="0" borderId="0" xfId="0" applyNumberFormat="1" applyFont="1" applyFill="1" applyBorder="1" applyAlignment="1">
      <alignment horizontal="center" vertical="center"/>
    </xf>
    <xf numFmtId="10" fontId="189" fillId="0" borderId="0" xfId="26" applyFont="1" applyFill="1" applyBorder="1" applyAlignment="1">
      <alignment horizontal="center" vertical="center" wrapText="1"/>
    </xf>
    <xf numFmtId="10" fontId="189" fillId="0" borderId="0" xfId="0" applyNumberFormat="1" applyFont="1" applyFill="1" applyBorder="1" applyAlignment="1" applyProtection="1">
      <alignment horizontal="center" vertical="center"/>
      <protection locked="0"/>
    </xf>
    <xf numFmtId="3" fontId="189" fillId="0" borderId="0" xfId="1" applyNumberFormat="1" applyFont="1" applyFill="1" applyBorder="1" applyAlignment="1" applyProtection="1">
      <alignment horizontal="center" vertical="center"/>
      <protection locked="0"/>
    </xf>
    <xf numFmtId="0" fontId="189" fillId="0" borderId="0" xfId="0" applyFont="1" applyFill="1" applyBorder="1" applyAlignment="1" applyProtection="1">
      <alignment horizontal="center" vertical="center"/>
      <protection locked="0"/>
    </xf>
    <xf numFmtId="0" fontId="168" fillId="0" borderId="0" xfId="0" applyFont="1" applyFill="1" applyBorder="1" applyAlignment="1">
      <alignment horizontal="right" vertical="center"/>
    </xf>
    <xf numFmtId="3" fontId="191" fillId="0" borderId="0" xfId="0" applyNumberFormat="1" applyFont="1" applyFill="1" applyBorder="1" applyAlignment="1">
      <alignment vertical="center"/>
    </xf>
    <xf numFmtId="2" fontId="189" fillId="0" borderId="0" xfId="0" applyNumberFormat="1" applyFont="1" applyFill="1" applyBorder="1" applyAlignment="1">
      <alignment vertical="center"/>
    </xf>
    <xf numFmtId="0" fontId="168" fillId="0" borderId="20" xfId="0" applyFont="1" applyFill="1" applyBorder="1" applyAlignment="1">
      <alignment vertical="center"/>
    </xf>
    <xf numFmtId="0" fontId="168" fillId="0" borderId="21" xfId="0" applyFont="1" applyFill="1" applyBorder="1" applyAlignment="1">
      <alignment horizontal="center" vertical="center"/>
    </xf>
    <xf numFmtId="0" fontId="189" fillId="0" borderId="20" xfId="0" applyFont="1" applyFill="1" applyBorder="1" applyAlignment="1">
      <alignment horizontal="left" vertical="center"/>
    </xf>
    <xf numFmtId="164" fontId="189" fillId="0" borderId="21" xfId="26" applyNumberFormat="1" applyFont="1" applyFill="1" applyBorder="1" applyAlignment="1">
      <alignment horizontal="center" vertical="center"/>
    </xf>
    <xf numFmtId="0" fontId="189" fillId="0" borderId="20" xfId="0" applyFont="1" applyFill="1" applyBorder="1" applyAlignment="1">
      <alignment vertical="center"/>
    </xf>
    <xf numFmtId="0" fontId="189" fillId="0" borderId="20" xfId="0" applyFont="1" applyFill="1" applyBorder="1" applyAlignment="1">
      <alignment horizontal="left" vertical="center" wrapText="1"/>
    </xf>
    <xf numFmtId="164" fontId="189" fillId="0" borderId="21" xfId="26" applyNumberFormat="1" applyFont="1" applyFill="1" applyBorder="1" applyAlignment="1">
      <alignment horizontal="center" vertical="center" wrapText="1"/>
    </xf>
    <xf numFmtId="0" fontId="168" fillId="0" borderId="20" xfId="0" applyFont="1" applyFill="1" applyBorder="1" applyAlignment="1">
      <alignment horizontal="left" vertical="center" wrapText="1"/>
    </xf>
    <xf numFmtId="164" fontId="168" fillId="0" borderId="21" xfId="26" applyNumberFormat="1" applyFont="1" applyFill="1" applyBorder="1" applyAlignment="1">
      <alignment horizontal="center" vertical="center" wrapText="1"/>
    </xf>
    <xf numFmtId="0" fontId="168" fillId="0" borderId="20" xfId="0" applyFont="1" applyFill="1" applyBorder="1" applyAlignment="1">
      <alignment horizontal="left" vertical="center"/>
    </xf>
    <xf numFmtId="164" fontId="168" fillId="0" borderId="21" xfId="26" applyNumberFormat="1" applyFont="1" applyFill="1" applyBorder="1" applyAlignment="1">
      <alignment horizontal="center" vertical="center"/>
    </xf>
    <xf numFmtId="0" fontId="188" fillId="0" borderId="20" xfId="0" applyFont="1" applyFill="1" applyBorder="1" applyAlignment="1">
      <alignment vertical="center"/>
    </xf>
    <xf numFmtId="7" fontId="189" fillId="0" borderId="21" xfId="0" applyNumberFormat="1" applyFont="1" applyFill="1" applyBorder="1" applyAlignment="1">
      <alignment horizontal="center" vertical="center"/>
    </xf>
    <xf numFmtId="0" fontId="168" fillId="0" borderId="20" xfId="0" applyFont="1" applyFill="1" applyBorder="1" applyAlignment="1">
      <alignment horizontal="center" vertical="center"/>
    </xf>
    <xf numFmtId="7" fontId="189" fillId="0" borderId="21" xfId="0" applyNumberFormat="1" applyFont="1" applyFill="1" applyBorder="1" applyAlignment="1">
      <alignment vertical="center"/>
    </xf>
    <xf numFmtId="0" fontId="189" fillId="0" borderId="21" xfId="0" applyFont="1" applyFill="1" applyBorder="1" applyAlignment="1">
      <alignment vertical="center"/>
    </xf>
    <xf numFmtId="5" fontId="189" fillId="0" borderId="21" xfId="0" applyNumberFormat="1" applyFont="1" applyFill="1" applyBorder="1" applyAlignment="1">
      <alignment horizontal="center" vertical="center"/>
    </xf>
    <xf numFmtId="5" fontId="189" fillId="0" borderId="21" xfId="0" applyNumberFormat="1" applyFont="1" applyFill="1" applyBorder="1" applyAlignment="1">
      <alignment vertical="center"/>
    </xf>
    <xf numFmtId="5" fontId="168" fillId="0" borderId="21" xfId="0" applyNumberFormat="1" applyFont="1" applyFill="1" applyBorder="1" applyAlignment="1">
      <alignment horizontal="center" vertical="center"/>
    </xf>
    <xf numFmtId="168" fontId="189" fillId="0" borderId="21" xfId="1" applyNumberFormat="1" applyFont="1" applyFill="1" applyBorder="1" applyAlignment="1">
      <alignment horizontal="center" vertical="center"/>
    </xf>
    <xf numFmtId="170" fontId="189" fillId="0" borderId="21" xfId="1" applyNumberFormat="1" applyFont="1" applyFill="1" applyBorder="1" applyAlignment="1">
      <alignment horizontal="center" vertical="center"/>
    </xf>
    <xf numFmtId="175" fontId="189" fillId="0" borderId="21" xfId="1" applyNumberFormat="1" applyFont="1" applyFill="1" applyBorder="1" applyAlignment="1">
      <alignment horizontal="center" vertical="center"/>
    </xf>
    <xf numFmtId="37" fontId="189" fillId="0" borderId="21" xfId="0" applyNumberFormat="1" applyFont="1" applyFill="1" applyBorder="1" applyAlignment="1">
      <alignment horizontal="center" vertical="center"/>
    </xf>
    <xf numFmtId="3" fontId="189" fillId="0" borderId="21" xfId="1" applyFont="1" applyFill="1" applyBorder="1" applyAlignment="1">
      <alignment horizontal="center" vertical="center"/>
    </xf>
    <xf numFmtId="3" fontId="168" fillId="0" borderId="21" xfId="0" applyNumberFormat="1" applyFont="1" applyFill="1" applyBorder="1" applyAlignment="1" applyProtection="1">
      <alignment vertical="center"/>
    </xf>
    <xf numFmtId="3" fontId="189" fillId="0" borderId="20" xfId="0" applyNumberFormat="1" applyFont="1" applyFill="1" applyBorder="1" applyAlignment="1" applyProtection="1">
      <alignment vertical="center"/>
    </xf>
    <xf numFmtId="10" fontId="189" fillId="0" borderId="21" xfId="26" applyFont="1" applyFill="1" applyBorder="1" applyAlignment="1">
      <alignment horizontal="center" vertical="center"/>
    </xf>
    <xf numFmtId="10" fontId="189" fillId="0" borderId="21" xfId="26" applyNumberFormat="1" applyFont="1" applyFill="1" applyBorder="1" applyAlignment="1">
      <alignment horizontal="center" vertical="center"/>
    </xf>
    <xf numFmtId="0" fontId="189" fillId="0" borderId="20" xfId="0" applyFont="1" applyFill="1" applyBorder="1" applyAlignment="1">
      <alignment vertical="center" wrapText="1"/>
    </xf>
    <xf numFmtId="0" fontId="189" fillId="0" borderId="21" xfId="0" applyFont="1" applyFill="1" applyBorder="1" applyAlignment="1">
      <alignment horizontal="center" vertical="center" wrapText="1"/>
    </xf>
    <xf numFmtId="0" fontId="189" fillId="0" borderId="21" xfId="0" applyFont="1" applyFill="1" applyBorder="1" applyAlignment="1">
      <alignment horizontal="center" vertical="center"/>
    </xf>
    <xf numFmtId="14" fontId="191" fillId="0" borderId="21" xfId="0" applyNumberFormat="1" applyFont="1" applyFill="1" applyBorder="1" applyAlignment="1">
      <alignment horizontal="center" vertical="center"/>
    </xf>
    <xf numFmtId="0" fontId="191" fillId="0" borderId="20" xfId="0" applyFont="1" applyFill="1" applyBorder="1" applyAlignment="1">
      <alignment horizontal="center" vertical="center"/>
    </xf>
    <xf numFmtId="0" fontId="189" fillId="0" borderId="20" xfId="0" applyFont="1" applyFill="1" applyBorder="1" applyAlignment="1">
      <alignment horizontal="center" vertical="center"/>
    </xf>
    <xf numFmtId="0" fontId="16" fillId="64" borderId="4" xfId="23" applyFont="1" applyFill="1" applyBorder="1">
      <alignment vertical="top"/>
    </xf>
    <xf numFmtId="0" fontId="21" fillId="64" borderId="89" xfId="23" applyFill="1" applyBorder="1">
      <alignment vertical="top"/>
    </xf>
    <xf numFmtId="0" fontId="21" fillId="64" borderId="2" xfId="23" applyFill="1" applyBorder="1">
      <alignment vertical="top"/>
    </xf>
    <xf numFmtId="0" fontId="34" fillId="64" borderId="3" xfId="0" applyFont="1" applyFill="1" applyBorder="1" applyAlignment="1">
      <alignment vertical="top"/>
    </xf>
    <xf numFmtId="0" fontId="157" fillId="64" borderId="0" xfId="21" applyFont="1" applyFill="1" applyBorder="1" applyAlignment="1" applyProtection="1">
      <alignment vertical="top"/>
    </xf>
    <xf numFmtId="0" fontId="34" fillId="64" borderId="0" xfId="0" applyFont="1" applyFill="1" applyBorder="1" applyAlignment="1">
      <alignment vertical="top"/>
    </xf>
    <xf numFmtId="0" fontId="39" fillId="64" borderId="6" xfId="0" applyFont="1" applyFill="1" applyBorder="1" applyAlignment="1">
      <alignment vertical="top"/>
    </xf>
    <xf numFmtId="0" fontId="34" fillId="64" borderId="9" xfId="0" applyFont="1" applyFill="1" applyBorder="1" applyAlignment="1">
      <alignment vertical="top"/>
    </xf>
    <xf numFmtId="0" fontId="157" fillId="64" borderId="10" xfId="21" applyFont="1" applyFill="1" applyBorder="1" applyAlignment="1" applyProtection="1">
      <alignment vertical="top"/>
    </xf>
    <xf numFmtId="0" fontId="34" fillId="64" borderId="10" xfId="0" applyFont="1" applyFill="1" applyBorder="1" applyAlignment="1">
      <alignment vertical="top"/>
    </xf>
    <xf numFmtId="0" fontId="39" fillId="64" borderId="7" xfId="0" applyFont="1" applyFill="1" applyBorder="1" applyAlignment="1">
      <alignment vertical="top"/>
    </xf>
    <xf numFmtId="0" fontId="18" fillId="0" borderId="0" xfId="0" applyFont="1" applyAlignment="1">
      <alignment vertical="center"/>
    </xf>
    <xf numFmtId="0" fontId="69" fillId="0" borderId="37" xfId="0" applyFont="1" applyFill="1" applyBorder="1" applyAlignment="1">
      <alignment horizontal="center" vertical="center"/>
    </xf>
    <xf numFmtId="0" fontId="69" fillId="14" borderId="8" xfId="0" applyFont="1" applyFill="1" applyBorder="1" applyAlignment="1">
      <alignment vertical="center"/>
    </xf>
    <xf numFmtId="0" fontId="69" fillId="14" borderId="37" xfId="0" applyFont="1" applyFill="1" applyBorder="1" applyAlignment="1">
      <alignment horizontal="center" vertical="center"/>
    </xf>
    <xf numFmtId="0" fontId="69" fillId="14" borderId="32" xfId="0" applyFont="1" applyFill="1" applyBorder="1" applyAlignment="1">
      <alignment horizontal="center" vertical="center"/>
    </xf>
    <xf numFmtId="0" fontId="69" fillId="14" borderId="15" xfId="0" applyFont="1" applyFill="1" applyBorder="1" applyAlignment="1">
      <alignment horizontal="center" vertical="center"/>
    </xf>
    <xf numFmtId="0" fontId="69" fillId="14" borderId="7" xfId="0" applyFont="1" applyFill="1" applyBorder="1" applyAlignment="1">
      <alignment horizontal="center" vertical="center"/>
    </xf>
    <xf numFmtId="0" fontId="108" fillId="0" borderId="4" xfId="0" applyFont="1" applyBorder="1" applyAlignment="1">
      <alignment horizontal="left" vertical="center"/>
    </xf>
    <xf numFmtId="7" fontId="108" fillId="40" borderId="38" xfId="7" applyNumberFormat="1" applyFont="1" applyFill="1" applyBorder="1" applyAlignment="1">
      <alignment horizontal="center" vertical="center"/>
    </xf>
    <xf numFmtId="7" fontId="108" fillId="0" borderId="38" xfId="7" applyNumberFormat="1" applyFont="1" applyFill="1" applyBorder="1" applyAlignment="1">
      <alignment horizontal="center" vertical="center"/>
    </xf>
    <xf numFmtId="0" fontId="108" fillId="0" borderId="3" xfId="0" applyFont="1" applyFill="1" applyBorder="1" applyAlignment="1">
      <alignment horizontal="left" vertical="center"/>
    </xf>
    <xf numFmtId="7" fontId="108" fillId="40" borderId="39" xfId="0" applyNumberFormat="1" applyFont="1" applyFill="1" applyBorder="1" applyAlignment="1">
      <alignment horizontal="center" vertical="center"/>
    </xf>
    <xf numFmtId="7" fontId="108" fillId="0" borderId="39" xfId="0" applyNumberFormat="1" applyFont="1" applyFill="1" applyBorder="1" applyAlignment="1">
      <alignment horizontal="center" vertical="center"/>
    </xf>
    <xf numFmtId="0" fontId="108" fillId="0" borderId="3" xfId="0" applyFont="1" applyBorder="1" applyAlignment="1">
      <alignment horizontal="left" vertical="center"/>
    </xf>
    <xf numFmtId="0" fontId="108" fillId="0" borderId="3" xfId="0" applyFont="1" applyBorder="1" applyAlignment="1">
      <alignment vertical="center"/>
    </xf>
    <xf numFmtId="0" fontId="108" fillId="0" borderId="11" xfId="0" applyFont="1" applyFill="1" applyBorder="1" applyAlignment="1">
      <alignment horizontal="left" vertical="center" wrapText="1"/>
    </xf>
    <xf numFmtId="7" fontId="108" fillId="40" borderId="41" xfId="0" applyNumberFormat="1" applyFont="1" applyFill="1" applyBorder="1" applyAlignment="1">
      <alignment horizontal="center" vertical="center" wrapText="1"/>
    </xf>
    <xf numFmtId="7" fontId="108" fillId="0" borderId="41" xfId="0" applyNumberFormat="1" applyFont="1" applyFill="1" applyBorder="1" applyAlignment="1">
      <alignment horizontal="center" vertical="center" wrapText="1"/>
    </xf>
    <xf numFmtId="0" fontId="69" fillId="0" borderId="3" xfId="0" applyFont="1" applyFill="1" applyBorder="1" applyAlignment="1">
      <alignment horizontal="left" vertical="center" wrapText="1"/>
    </xf>
    <xf numFmtId="7" fontId="69" fillId="40" borderId="39" xfId="0" applyNumberFormat="1" applyFont="1" applyFill="1" applyBorder="1" applyAlignment="1">
      <alignment horizontal="center" vertical="center" wrapText="1"/>
    </xf>
    <xf numFmtId="7" fontId="69" fillId="0" borderId="39" xfId="0" applyNumberFormat="1" applyFont="1" applyFill="1" applyBorder="1" applyAlignment="1">
      <alignment horizontal="center" vertical="center" wrapText="1"/>
    </xf>
    <xf numFmtId="7" fontId="108" fillId="0" borderId="39" xfId="7" applyNumberFormat="1" applyFont="1" applyFill="1" applyBorder="1" applyAlignment="1">
      <alignment horizontal="center" vertical="center"/>
    </xf>
    <xf numFmtId="0" fontId="69" fillId="0" borderId="91" xfId="0" applyFont="1" applyFill="1" applyBorder="1" applyAlignment="1">
      <alignment horizontal="left" vertical="center"/>
    </xf>
    <xf numFmtId="7" fontId="69" fillId="40" borderId="90" xfId="0" applyNumberFormat="1" applyFont="1" applyFill="1" applyBorder="1" applyAlignment="1">
      <alignment horizontal="center" vertical="center"/>
    </xf>
    <xf numFmtId="7" fontId="69" fillId="0" borderId="90" xfId="7" applyNumberFormat="1" applyFont="1" applyFill="1" applyBorder="1" applyAlignment="1">
      <alignment horizontal="center" vertical="center"/>
    </xf>
    <xf numFmtId="7" fontId="134" fillId="0" borderId="0" xfId="0" applyNumberFormat="1" applyFont="1" applyFill="1" applyBorder="1" applyAlignment="1">
      <alignment horizontal="center" vertical="center"/>
    </xf>
    <xf numFmtId="0" fontId="189" fillId="0" borderId="0" xfId="0" applyFont="1" applyFill="1" applyBorder="1" applyAlignment="1">
      <alignment horizontal="left" vertical="center"/>
    </xf>
    <xf numFmtId="0" fontId="21" fillId="0" borderId="0" xfId="0" applyFont="1" applyFill="1" applyBorder="1" applyAlignment="1">
      <alignment horizontal="center"/>
    </xf>
    <xf numFmtId="3" fontId="18" fillId="0" borderId="0" xfId="0" applyNumberFormat="1" applyFont="1" applyFill="1" applyBorder="1" applyAlignment="1" applyProtection="1">
      <alignment horizontal="center" vertical="center" wrapText="1"/>
    </xf>
    <xf numFmtId="0" fontId="36" fillId="0" borderId="0" xfId="0" applyFont="1" applyFill="1" applyBorder="1" applyAlignment="1">
      <alignment horizontal="center" vertical="center"/>
    </xf>
    <xf numFmtId="0" fontId="76" fillId="0" borderId="0" xfId="0" applyFont="1" applyFill="1" applyBorder="1" applyAlignment="1">
      <alignment horizontal="center"/>
    </xf>
    <xf numFmtId="0" fontId="27" fillId="0" borderId="0" xfId="0" applyFont="1" applyFill="1" applyBorder="1" applyAlignment="1">
      <alignment horizontal="center"/>
    </xf>
    <xf numFmtId="0" fontId="76" fillId="0" borderId="0" xfId="0" applyFont="1" applyFill="1" applyBorder="1" applyAlignment="1">
      <alignment horizontal="center" vertical="center"/>
    </xf>
    <xf numFmtId="0" fontId="106" fillId="0" borderId="0" xfId="0" applyFont="1" applyFill="1" applyBorder="1" applyAlignment="1"/>
    <xf numFmtId="0" fontId="106" fillId="0" borderId="21" xfId="0" applyFont="1" applyFill="1" applyBorder="1" applyAlignment="1"/>
    <xf numFmtId="0" fontId="21" fillId="63" borderId="0" xfId="0" applyFont="1" applyFill="1" applyBorder="1" applyAlignment="1">
      <alignment vertical="center"/>
    </xf>
    <xf numFmtId="0" fontId="21" fillId="58" borderId="37" xfId="0" applyFont="1" applyFill="1" applyBorder="1" applyAlignment="1">
      <alignment vertical="center"/>
    </xf>
    <xf numFmtId="164" fontId="21" fillId="0" borderId="0" xfId="0" applyNumberFormat="1" applyFont="1" applyFill="1" applyBorder="1" applyAlignment="1">
      <alignment horizontal="center"/>
    </xf>
    <xf numFmtId="164" fontId="0" fillId="0" borderId="0" xfId="0" applyNumberFormat="1" applyBorder="1" applyAlignment="1"/>
    <xf numFmtId="164" fontId="21" fillId="54" borderId="16" xfId="0" applyNumberFormat="1" applyFont="1" applyFill="1" applyBorder="1" applyAlignment="1" applyProtection="1">
      <protection locked="0"/>
    </xf>
    <xf numFmtId="3" fontId="36" fillId="0" borderId="6" xfId="1" applyNumberFormat="1" applyFont="1" applyBorder="1"/>
    <xf numFmtId="0" fontId="169" fillId="30" borderId="4" xfId="0" applyFont="1" applyFill="1" applyBorder="1" applyAlignment="1">
      <alignment horizontal="center" vertical="center" wrapText="1"/>
    </xf>
    <xf numFmtId="0" fontId="169" fillId="30" borderId="11" xfId="0" applyFont="1" applyFill="1" applyBorder="1" applyAlignment="1">
      <alignment horizontal="center" vertical="center" wrapText="1"/>
    </xf>
    <xf numFmtId="0" fontId="21" fillId="0" borderId="0" xfId="0" applyFont="1" applyFill="1" applyBorder="1" applyAlignment="1">
      <alignment horizontal="center"/>
    </xf>
    <xf numFmtId="0" fontId="134" fillId="0" borderId="17" xfId="0" applyFont="1" applyBorder="1" applyAlignment="1">
      <alignment horizontal="center" wrapText="1"/>
    </xf>
    <xf numFmtId="0" fontId="36" fillId="54" borderId="0" xfId="0" applyFont="1" applyFill="1" applyAlignment="1"/>
    <xf numFmtId="3" fontId="21" fillId="70" borderId="0" xfId="0" applyNumberFormat="1" applyFont="1" applyFill="1" applyBorder="1" applyAlignment="1" applyProtection="1"/>
    <xf numFmtId="5" fontId="36" fillId="54" borderId="0" xfId="6" applyFont="1" applyFill="1" applyAlignment="1"/>
    <xf numFmtId="0" fontId="134" fillId="0" borderId="24" xfId="0" applyFont="1" applyBorder="1" applyAlignment="1">
      <alignment horizontal="center" wrapText="1"/>
    </xf>
    <xf numFmtId="4" fontId="36" fillId="54" borderId="0" xfId="0" applyNumberFormat="1" applyFont="1" applyFill="1" applyAlignment="1"/>
    <xf numFmtId="0" fontId="21" fillId="54" borderId="0" xfId="0" applyFont="1" applyFill="1" applyAlignment="1"/>
    <xf numFmtId="0" fontId="158" fillId="54" borderId="23" xfId="22" applyFill="1" applyBorder="1"/>
    <xf numFmtId="171" fontId="36" fillId="54" borderId="0" xfId="0" applyNumberFormat="1" applyFont="1" applyFill="1" applyAlignment="1"/>
    <xf numFmtId="1" fontId="78" fillId="54" borderId="0" xfId="0" applyNumberFormat="1" applyFont="1" applyFill="1" applyAlignment="1"/>
    <xf numFmtId="0" fontId="18" fillId="38" borderId="32" xfId="0" applyFont="1" applyFill="1" applyBorder="1" applyAlignment="1">
      <alignment horizontal="center" vertical="center" wrapText="1"/>
    </xf>
    <xf numFmtId="170" fontId="18" fillId="6" borderId="0" xfId="23" applyNumberFormat="1" applyFont="1" applyFill="1" applyBorder="1" applyAlignment="1">
      <alignment horizontal="right"/>
    </xf>
    <xf numFmtId="170" fontId="18" fillId="6" borderId="0" xfId="0" applyNumberFormat="1" applyFont="1" applyFill="1" applyBorder="1" applyAlignment="1">
      <alignment horizontal="right"/>
    </xf>
    <xf numFmtId="0" fontId="0" fillId="0" borderId="0" xfId="0" applyFont="1" applyFill="1" applyBorder="1" applyAlignment="1">
      <alignment horizontal="left"/>
    </xf>
    <xf numFmtId="7" fontId="36" fillId="54" borderId="0" xfId="0" applyNumberFormat="1" applyFont="1" applyFill="1" applyAlignment="1"/>
    <xf numFmtId="6" fontId="36" fillId="54" borderId="0" xfId="0" applyNumberFormat="1" applyFont="1" applyFill="1" applyAlignment="1"/>
    <xf numFmtId="0" fontId="193" fillId="0" borderId="0" xfId="0" applyFont="1" applyFill="1" applyBorder="1" applyAlignment="1">
      <alignment horizontal="right"/>
    </xf>
    <xf numFmtId="10" fontId="193" fillId="0" borderId="0" xfId="23" applyNumberFormat="1" applyFont="1" applyFill="1" applyBorder="1" applyAlignment="1"/>
    <xf numFmtId="171" fontId="192" fillId="0" borderId="0" xfId="23" applyNumberFormat="1" applyFont="1" applyFill="1" applyBorder="1" applyAlignment="1"/>
    <xf numFmtId="0" fontId="193" fillId="0" borderId="0" xfId="23" applyFont="1" applyFill="1" applyBorder="1" applyAlignment="1">
      <alignment horizontal="right"/>
    </xf>
    <xf numFmtId="2" fontId="192" fillId="0" borderId="0" xfId="23" applyNumberFormat="1" applyFont="1" applyFill="1" applyBorder="1" applyAlignment="1"/>
    <xf numFmtId="0" fontId="192" fillId="0" borderId="0" xfId="23" applyFont="1" applyFill="1" applyBorder="1" applyAlignment="1"/>
    <xf numFmtId="0" fontId="192" fillId="0" borderId="0" xfId="23" applyFont="1" applyFill="1" applyBorder="1" applyAlignment="1">
      <alignment horizontal="right"/>
    </xf>
    <xf numFmtId="10" fontId="192" fillId="0" borderId="0" xfId="26" applyFont="1" applyFill="1" applyBorder="1" applyAlignment="1">
      <alignment horizontal="right"/>
    </xf>
    <xf numFmtId="172" fontId="194" fillId="0" borderId="0" xfId="0" applyNumberFormat="1" applyFont="1" applyAlignment="1">
      <alignment vertical="center"/>
    </xf>
    <xf numFmtId="0" fontId="21" fillId="0" borderId="0" xfId="0" applyFont="1" applyAlignment="1">
      <alignment horizontal="right" vertical="center"/>
    </xf>
    <xf numFmtId="0" fontId="41" fillId="0" borderId="21" xfId="0" applyFont="1" applyBorder="1" applyAlignment="1"/>
    <xf numFmtId="3" fontId="21" fillId="0" borderId="66" xfId="1" applyFont="1" applyFill="1" applyBorder="1" applyAlignment="1">
      <alignment horizontal="center" vertical="center"/>
    </xf>
    <xf numFmtId="3" fontId="21" fillId="0" borderId="70" xfId="1" applyFont="1" applyFill="1" applyBorder="1" applyAlignment="1">
      <alignment horizontal="center" vertical="center"/>
    </xf>
    <xf numFmtId="3" fontId="21" fillId="66" borderId="66" xfId="1" applyFont="1" applyFill="1" applyBorder="1" applyAlignment="1">
      <alignment horizontal="center" vertical="center"/>
    </xf>
    <xf numFmtId="3" fontId="21" fillId="66" borderId="70" xfId="1" applyFont="1" applyFill="1" applyBorder="1" applyAlignment="1">
      <alignment horizontal="center" vertical="center"/>
    </xf>
    <xf numFmtId="10" fontId="21" fillId="0" borderId="11" xfId="27" applyFont="1" applyFill="1" applyBorder="1" applyAlignment="1">
      <alignment horizontal="center" vertical="center"/>
    </xf>
    <xf numFmtId="10" fontId="21" fillId="0" borderId="9" xfId="27" applyFont="1" applyFill="1" applyBorder="1" applyAlignment="1">
      <alignment horizontal="center" vertical="center"/>
    </xf>
    <xf numFmtId="10" fontId="21" fillId="0" borderId="60" xfId="27" applyFont="1" applyFill="1" applyBorder="1" applyAlignment="1">
      <alignment horizontal="center" vertical="center"/>
    </xf>
    <xf numFmtId="10" fontId="21" fillId="0" borderId="10" xfId="27" applyFont="1" applyFill="1" applyBorder="1" applyAlignment="1">
      <alignment horizontal="center" vertical="center"/>
    </xf>
    <xf numFmtId="0" fontId="21" fillId="0" borderId="64" xfId="0" applyFont="1" applyFill="1" applyBorder="1" applyAlignment="1">
      <alignment horizontal="center" vertical="center" wrapText="1"/>
    </xf>
    <xf numFmtId="0" fontId="18" fillId="0" borderId="78" xfId="0" applyFont="1" applyFill="1" applyBorder="1" applyAlignment="1">
      <alignment horizontal="center" vertical="center" wrapText="1"/>
    </xf>
    <xf numFmtId="0" fontId="0" fillId="0" borderId="0" xfId="0" applyFill="1" applyBorder="1" applyAlignment="1">
      <alignment horizontal="right"/>
    </xf>
    <xf numFmtId="0" fontId="39" fillId="0" borderId="0" xfId="0" applyFont="1" applyFill="1" applyBorder="1" applyAlignment="1">
      <alignment horizontal="right"/>
    </xf>
    <xf numFmtId="0" fontId="44" fillId="0" borderId="0" xfId="0" applyFont="1" applyFill="1" applyBorder="1" applyAlignment="1">
      <alignment horizontal="right" vertical="center"/>
    </xf>
    <xf numFmtId="0" fontId="18" fillId="0" borderId="72" xfId="0" applyFont="1" applyFill="1" applyBorder="1" applyAlignment="1">
      <alignment horizontal="right" vertical="center" wrapText="1"/>
    </xf>
    <xf numFmtId="2" fontId="18" fillId="66" borderId="70" xfId="7" applyNumberFormat="1" applyFont="1" applyFill="1" applyBorder="1" applyAlignment="1">
      <alignment horizontal="right" vertical="center"/>
    </xf>
    <xf numFmtId="0" fontId="21" fillId="0" borderId="0" xfId="0" applyFont="1" applyFill="1" applyAlignment="1">
      <alignment horizontal="right" vertical="center"/>
    </xf>
    <xf numFmtId="0" fontId="44" fillId="0" borderId="0" xfId="0" applyFont="1" applyFill="1" applyAlignment="1">
      <alignment horizontal="right" vertical="center"/>
    </xf>
    <xf numFmtId="2" fontId="21" fillId="0" borderId="0" xfId="0" applyNumberFormat="1" applyFont="1" applyFill="1" applyBorder="1" applyAlignment="1">
      <alignment horizontal="right" vertical="center" wrapText="1"/>
    </xf>
    <xf numFmtId="0" fontId="18" fillId="30" borderId="38" xfId="0" applyFont="1" applyFill="1" applyBorder="1" applyAlignment="1">
      <alignment horizontal="right" vertical="center" wrapText="1"/>
    </xf>
    <xf numFmtId="0" fontId="18" fillId="30" borderId="41" xfId="0" applyFont="1" applyFill="1" applyBorder="1" applyAlignment="1">
      <alignment horizontal="right" vertical="center" wrapText="1"/>
    </xf>
    <xf numFmtId="0" fontId="44" fillId="0" borderId="0" xfId="0" applyFont="1" applyAlignment="1">
      <alignment horizontal="right" vertical="center"/>
    </xf>
    <xf numFmtId="0" fontId="21" fillId="0" borderId="0" xfId="0" applyFont="1" applyFill="1" applyBorder="1" applyAlignment="1">
      <alignment horizontal="right" vertical="center"/>
    </xf>
    <xf numFmtId="0" fontId="21" fillId="0" borderId="55" xfId="0" applyFont="1" applyFill="1" applyBorder="1" applyAlignment="1">
      <alignment horizontal="center" vertical="center" wrapText="1"/>
    </xf>
    <xf numFmtId="0" fontId="21" fillId="0" borderId="72" xfId="0" applyFont="1" applyFill="1" applyBorder="1" applyAlignment="1">
      <alignment horizontal="center" vertical="center" wrapText="1"/>
    </xf>
    <xf numFmtId="0" fontId="8" fillId="0" borderId="0" xfId="54"/>
    <xf numFmtId="0" fontId="8" fillId="0" borderId="0" xfId="54" applyAlignment="1">
      <alignment horizontal="center"/>
    </xf>
    <xf numFmtId="0" fontId="195" fillId="0" borderId="0" xfId="54" applyFont="1" applyAlignment="1">
      <alignment horizontal="center"/>
    </xf>
    <xf numFmtId="0" fontId="195" fillId="0" borderId="0" xfId="54" applyFont="1" applyAlignment="1">
      <alignment horizontal="left"/>
    </xf>
    <xf numFmtId="2" fontId="8" fillId="0" borderId="92" xfId="54" applyNumberFormat="1" applyBorder="1" applyAlignment="1">
      <alignment horizontal="center"/>
    </xf>
    <xf numFmtId="37" fontId="195" fillId="0" borderId="92" xfId="54" applyNumberFormat="1" applyFont="1" applyBorder="1" applyAlignment="1">
      <alignment horizontal="center"/>
    </xf>
    <xf numFmtId="37" fontId="197" fillId="74" borderId="92" xfId="54" applyNumberFormat="1" applyFont="1" applyFill="1" applyBorder="1" applyAlignment="1">
      <alignment horizontal="center"/>
    </xf>
    <xf numFmtId="0" fontId="197" fillId="0" borderId="92" xfId="54" applyFont="1" applyBorder="1" applyAlignment="1">
      <alignment horizontal="center"/>
    </xf>
    <xf numFmtId="165" fontId="195" fillId="0" borderId="92" xfId="54" applyNumberFormat="1" applyFont="1" applyBorder="1" applyAlignment="1">
      <alignment horizontal="center"/>
    </xf>
    <xf numFmtId="37" fontId="195" fillId="0" borderId="92" xfId="54" quotePrefix="1" applyNumberFormat="1" applyFont="1" applyBorder="1" applyAlignment="1">
      <alignment horizontal="center"/>
    </xf>
    <xf numFmtId="2" fontId="8" fillId="0" borderId="93" xfId="54" applyNumberFormat="1" applyBorder="1" applyAlignment="1">
      <alignment horizontal="center"/>
    </xf>
    <xf numFmtId="37" fontId="195" fillId="0" borderId="93" xfId="54" applyNumberFormat="1" applyFont="1" applyBorder="1" applyAlignment="1">
      <alignment horizontal="center"/>
    </xf>
    <xf numFmtId="37" fontId="197" fillId="74" borderId="93" xfId="54" applyNumberFormat="1" applyFont="1" applyFill="1" applyBorder="1" applyAlignment="1">
      <alignment horizontal="center"/>
    </xf>
    <xf numFmtId="0" fontId="197" fillId="0" borderId="93" xfId="54" applyFont="1" applyBorder="1" applyAlignment="1">
      <alignment horizontal="center"/>
    </xf>
    <xf numFmtId="165" fontId="195" fillId="0" borderId="93" xfId="54" applyNumberFormat="1" applyFont="1" applyBorder="1" applyAlignment="1">
      <alignment horizontal="center"/>
    </xf>
    <xf numFmtId="37" fontId="195" fillId="0" borderId="93" xfId="54" quotePrefix="1" applyNumberFormat="1" applyFont="1" applyBorder="1" applyAlignment="1">
      <alignment horizontal="center"/>
    </xf>
    <xf numFmtId="0" fontId="195" fillId="0" borderId="93" xfId="54" quotePrefix="1" applyFont="1" applyBorder="1" applyAlignment="1">
      <alignment horizontal="center"/>
    </xf>
    <xf numFmtId="0" fontId="195" fillId="0" borderId="92" xfId="54" applyFont="1" applyBorder="1" applyAlignment="1">
      <alignment horizontal="center"/>
    </xf>
    <xf numFmtId="2" fontId="8" fillId="0" borderId="94" xfId="54" applyNumberFormat="1" applyBorder="1" applyAlignment="1">
      <alignment horizontal="center"/>
    </xf>
    <xf numFmtId="37" fontId="195" fillId="0" borderId="94" xfId="54" applyNumberFormat="1" applyFont="1" applyBorder="1" applyAlignment="1">
      <alignment horizontal="center"/>
    </xf>
    <xf numFmtId="37" fontId="197" fillId="74" borderId="94" xfId="54" applyNumberFormat="1" applyFont="1" applyFill="1" applyBorder="1" applyAlignment="1">
      <alignment horizontal="center"/>
    </xf>
    <xf numFmtId="0" fontId="197" fillId="0" borderId="94" xfId="54" applyFont="1" applyBorder="1" applyAlignment="1">
      <alignment horizontal="center"/>
    </xf>
    <xf numFmtId="165" fontId="195" fillId="0" borderId="94" xfId="54" applyNumberFormat="1" applyFont="1" applyBorder="1" applyAlignment="1">
      <alignment horizontal="center"/>
    </xf>
    <xf numFmtId="37" fontId="195" fillId="0" borderId="94" xfId="54" quotePrefix="1" applyNumberFormat="1" applyFont="1" applyBorder="1" applyAlignment="1">
      <alignment horizontal="center"/>
    </xf>
    <xf numFmtId="0" fontId="195" fillId="0" borderId="94" xfId="54" applyFont="1" applyBorder="1" applyAlignment="1">
      <alignment horizontal="center"/>
    </xf>
    <xf numFmtId="2" fontId="8" fillId="0" borderId="95" xfId="54" applyNumberFormat="1" applyBorder="1" applyAlignment="1">
      <alignment horizontal="center"/>
    </xf>
    <xf numFmtId="37" fontId="195" fillId="0" borderId="95" xfId="54" applyNumberFormat="1" applyFont="1" applyBorder="1" applyAlignment="1">
      <alignment horizontal="center"/>
    </xf>
    <xf numFmtId="37" fontId="197" fillId="74" borderId="95" xfId="54" applyNumberFormat="1" applyFont="1" applyFill="1" applyBorder="1" applyAlignment="1">
      <alignment horizontal="center"/>
    </xf>
    <xf numFmtId="0" fontId="197" fillId="0" borderId="95" xfId="54" applyFont="1" applyBorder="1" applyAlignment="1">
      <alignment horizontal="center"/>
    </xf>
    <xf numFmtId="165" fontId="195" fillId="0" borderId="95" xfId="54" applyNumberFormat="1" applyFont="1" applyBorder="1" applyAlignment="1">
      <alignment horizontal="center"/>
    </xf>
    <xf numFmtId="37" fontId="195" fillId="0" borderId="95" xfId="54" quotePrefix="1" applyNumberFormat="1" applyFont="1" applyBorder="1" applyAlignment="1">
      <alignment horizontal="center"/>
    </xf>
    <xf numFmtId="0" fontId="195" fillId="0" borderId="95" xfId="54" applyFont="1" applyBorder="1" applyAlignment="1">
      <alignment horizontal="center"/>
    </xf>
    <xf numFmtId="2" fontId="8" fillId="0" borderId="96" xfId="54" applyNumberFormat="1" applyBorder="1" applyAlignment="1">
      <alignment horizontal="center"/>
    </xf>
    <xf numFmtId="37" fontId="195" fillId="0" borderId="96" xfId="54" applyNumberFormat="1" applyFont="1" applyBorder="1" applyAlignment="1">
      <alignment horizontal="center"/>
    </xf>
    <xf numFmtId="37" fontId="197" fillId="74" borderId="96" xfId="54" applyNumberFormat="1" applyFont="1" applyFill="1" applyBorder="1" applyAlignment="1">
      <alignment horizontal="center"/>
    </xf>
    <xf numFmtId="0" fontId="197" fillId="0" borderId="96" xfId="54" applyFont="1" applyBorder="1" applyAlignment="1">
      <alignment horizontal="center"/>
    </xf>
    <xf numFmtId="165" fontId="195" fillId="0" borderId="96" xfId="54" applyNumberFormat="1" applyFont="1" applyBorder="1" applyAlignment="1">
      <alignment horizontal="center"/>
    </xf>
    <xf numFmtId="37" fontId="195" fillId="0" borderId="96" xfId="54" quotePrefix="1" applyNumberFormat="1" applyFont="1" applyBorder="1" applyAlignment="1">
      <alignment horizontal="center"/>
    </xf>
    <xf numFmtId="0" fontId="195" fillId="0" borderId="96" xfId="54" applyFont="1" applyBorder="1" applyAlignment="1">
      <alignment horizontal="center"/>
    </xf>
    <xf numFmtId="0" fontId="195" fillId="0" borderId="93" xfId="54" applyFont="1" applyBorder="1" applyAlignment="1">
      <alignment horizontal="center"/>
    </xf>
    <xf numFmtId="17" fontId="195" fillId="0" borderId="95" xfId="54" quotePrefix="1" applyNumberFormat="1" applyFont="1" applyBorder="1" applyAlignment="1">
      <alignment horizontal="center"/>
    </xf>
    <xf numFmtId="0" fontId="195" fillId="0" borderId="94" xfId="54" quotePrefix="1" applyFont="1" applyBorder="1" applyAlignment="1">
      <alignment horizontal="center"/>
    </xf>
    <xf numFmtId="0" fontId="198" fillId="0" borderId="0" xfId="54" applyFont="1"/>
    <xf numFmtId="0" fontId="180" fillId="0" borderId="0" xfId="54" applyFont="1"/>
    <xf numFmtId="0" fontId="20" fillId="76" borderId="0" xfId="23" applyFont="1" applyFill="1" applyBorder="1" applyAlignment="1"/>
    <xf numFmtId="0" fontId="21" fillId="76" borderId="0" xfId="23" applyFont="1" applyFill="1" applyBorder="1" applyAlignment="1"/>
    <xf numFmtId="0" fontId="21" fillId="76" borderId="0" xfId="23" applyFont="1" applyFill="1" applyBorder="1" applyAlignment="1">
      <alignment horizontal="right"/>
    </xf>
    <xf numFmtId="6" fontId="21" fillId="76" borderId="0" xfId="23" applyNumberFormat="1" applyFont="1" applyFill="1" applyBorder="1" applyAlignment="1"/>
    <xf numFmtId="0" fontId="18" fillId="76" borderId="0" xfId="23" applyFont="1" applyFill="1" applyBorder="1" applyAlignment="1">
      <alignment horizontal="right"/>
    </xf>
    <xf numFmtId="0" fontId="20" fillId="76" borderId="0" xfId="0" applyFont="1" applyFill="1" applyBorder="1" applyAlignment="1"/>
    <xf numFmtId="0" fontId="21" fillId="76" borderId="0" xfId="0" applyFont="1" applyFill="1" applyBorder="1" applyAlignment="1"/>
    <xf numFmtId="0" fontId="18" fillId="76" borderId="0" xfId="0" applyFont="1" applyFill="1" applyBorder="1" applyAlignment="1">
      <alignment horizontal="right"/>
    </xf>
    <xf numFmtId="6" fontId="21" fillId="76" borderId="0" xfId="0" applyNumberFormat="1" applyFont="1" applyFill="1" applyBorder="1" applyAlignment="1"/>
    <xf numFmtId="0" fontId="21" fillId="76" borderId="0" xfId="0" applyFont="1" applyFill="1" applyBorder="1" applyAlignment="1">
      <alignment horizontal="right"/>
    </xf>
    <xf numFmtId="0" fontId="180" fillId="0" borderId="0" xfId="0" applyFont="1" applyAlignment="1"/>
    <xf numFmtId="0" fontId="0" fillId="0" borderId="89" xfId="0" applyBorder="1" applyAlignment="1"/>
    <xf numFmtId="0" fontId="18" fillId="0" borderId="3" xfId="0" applyFont="1" applyBorder="1" applyAlignment="1">
      <alignment horizontal="center"/>
    </xf>
    <xf numFmtId="0" fontId="18" fillId="0" borderId="0" xfId="0" applyFont="1" applyBorder="1" applyAlignment="1">
      <alignment horizontal="center"/>
    </xf>
    <xf numFmtId="170" fontId="21" fillId="0" borderId="18" xfId="1" applyNumberFormat="1" applyFont="1" applyFill="1" applyBorder="1"/>
    <xf numFmtId="41" fontId="21" fillId="0" borderId="38" xfId="0" applyNumberFormat="1" applyFont="1" applyFill="1" applyBorder="1" applyAlignment="1"/>
    <xf numFmtId="5" fontId="18" fillId="0" borderId="15" xfId="6" applyFont="1" applyFill="1" applyBorder="1" applyProtection="1">
      <protection locked="0"/>
    </xf>
    <xf numFmtId="0" fontId="21" fillId="0" borderId="41" xfId="0" applyFont="1" applyFill="1" applyBorder="1" applyAlignment="1"/>
    <xf numFmtId="0" fontId="0" fillId="0" borderId="0" xfId="0" applyBorder="1" applyAlignment="1">
      <alignment horizontal="center"/>
    </xf>
    <xf numFmtId="0" fontId="189" fillId="0" borderId="20" xfId="0" applyFont="1" applyFill="1" applyBorder="1" applyAlignment="1">
      <alignment horizontal="center" vertical="center"/>
    </xf>
    <xf numFmtId="0" fontId="189" fillId="0" borderId="20" xfId="0" applyFont="1" applyFill="1" applyBorder="1" applyAlignment="1">
      <alignment vertical="center"/>
    </xf>
    <xf numFmtId="2" fontId="201" fillId="0" borderId="0" xfId="0" applyNumberFormat="1" applyFont="1" applyFill="1" applyAlignment="1"/>
    <xf numFmtId="2" fontId="202" fillId="0" borderId="0" xfId="0" applyNumberFormat="1" applyFont="1" applyFill="1" applyAlignment="1"/>
    <xf numFmtId="0" fontId="189" fillId="0" borderId="20" xfId="0" applyFont="1" applyBorder="1" applyAlignment="1">
      <alignment vertical="center"/>
    </xf>
    <xf numFmtId="0" fontId="189" fillId="0" borderId="0" xfId="0" applyFont="1" applyBorder="1" applyAlignment="1">
      <alignment vertical="center"/>
    </xf>
    <xf numFmtId="0" fontId="189" fillId="0" borderId="21" xfId="0" applyFont="1" applyBorder="1" applyAlignment="1">
      <alignment vertical="center"/>
    </xf>
    <xf numFmtId="0" fontId="189" fillId="0" borderId="98" xfId="0" applyFont="1" applyBorder="1" applyAlignment="1">
      <alignment vertical="center"/>
    </xf>
    <xf numFmtId="0" fontId="189" fillId="0" borderId="97" xfId="0" applyFont="1" applyBorder="1" applyAlignment="1">
      <alignment vertical="center"/>
    </xf>
    <xf numFmtId="0" fontId="189" fillId="0" borderId="99" xfId="0" applyFont="1" applyBorder="1" applyAlignment="1">
      <alignment vertical="center"/>
    </xf>
    <xf numFmtId="0" fontId="18" fillId="0" borderId="0" xfId="0" applyFont="1" applyBorder="1" applyAlignment="1">
      <alignment horizontal="left" vertical="center"/>
    </xf>
    <xf numFmtId="0" fontId="21" fillId="0" borderId="0" xfId="0" applyFont="1" applyBorder="1" applyAlignment="1">
      <alignment horizontal="center" vertical="center"/>
    </xf>
    <xf numFmtId="0" fontId="44" fillId="0" borderId="0" xfId="0" applyFont="1" applyFill="1" applyBorder="1" applyAlignment="1">
      <alignment horizontal="left" vertical="center"/>
    </xf>
    <xf numFmtId="0" fontId="20" fillId="0" borderId="4"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6" xfId="0" applyFont="1" applyBorder="1" applyAlignment="1">
      <alignment horizontal="center"/>
    </xf>
    <xf numFmtId="0" fontId="20" fillId="0" borderId="7" xfId="0" applyFont="1" applyBorder="1" applyAlignment="1">
      <alignment horizontal="center"/>
    </xf>
    <xf numFmtId="0" fontId="191" fillId="0" borderId="0" xfId="0" applyFont="1" applyAlignment="1">
      <alignment vertical="center"/>
    </xf>
    <xf numFmtId="0" fontId="21" fillId="0" borderId="9" xfId="0" applyFont="1" applyBorder="1" applyAlignment="1">
      <alignment vertical="center"/>
    </xf>
    <xf numFmtId="0" fontId="20" fillId="0" borderId="0" xfId="0" applyFont="1">
      <alignment vertical="top"/>
    </xf>
    <xf numFmtId="14" fontId="20" fillId="0" borderId="0" xfId="0" applyNumberFormat="1" applyFont="1">
      <alignment vertical="top"/>
    </xf>
    <xf numFmtId="0" fontId="203" fillId="77" borderId="0" xfId="0" applyFont="1" applyFill="1" applyBorder="1" applyAlignment="1">
      <alignment horizontal="left" vertical="center" wrapText="1"/>
    </xf>
    <xf numFmtId="0" fontId="203" fillId="77" borderId="86" xfId="0" applyFont="1" applyFill="1" applyBorder="1" applyAlignment="1">
      <alignment horizontal="center" vertical="center" wrapText="1"/>
    </xf>
    <xf numFmtId="0" fontId="0" fillId="77" borderId="86" xfId="0" applyFill="1" applyBorder="1">
      <alignment vertical="top"/>
    </xf>
    <xf numFmtId="0" fontId="204" fillId="77" borderId="86" xfId="0" applyFont="1" applyFill="1" applyBorder="1" applyAlignment="1">
      <alignment horizontal="center" vertical="center" wrapText="1"/>
    </xf>
    <xf numFmtId="0" fontId="203" fillId="55" borderId="0" xfId="0" applyFont="1" applyFill="1" applyBorder="1" applyAlignment="1">
      <alignment horizontal="left" vertical="center"/>
    </xf>
    <xf numFmtId="0" fontId="21" fillId="0" borderId="28" xfId="0" applyFont="1" applyBorder="1" applyAlignment="1">
      <alignment horizontal="center" wrapText="1"/>
    </xf>
    <xf numFmtId="0" fontId="18" fillId="0" borderId="28" xfId="0" applyFont="1" applyBorder="1" applyAlignment="1">
      <alignment horizontal="center" wrapText="1"/>
    </xf>
    <xf numFmtId="0" fontId="18" fillId="78" borderId="28" xfId="0" applyFont="1" applyFill="1" applyBorder="1" applyAlignment="1">
      <alignment wrapText="1"/>
    </xf>
    <xf numFmtId="0" fontId="18" fillId="78" borderId="28" xfId="0" applyFont="1" applyFill="1" applyBorder="1" applyAlignment="1">
      <alignment horizontal="center" wrapText="1"/>
    </xf>
    <xf numFmtId="0" fontId="205" fillId="29" borderId="30" xfId="0" applyFont="1" applyFill="1" applyBorder="1" applyAlignment="1">
      <alignment horizontal="center" wrapText="1"/>
    </xf>
    <xf numFmtId="0" fontId="183" fillId="0" borderId="23" xfId="0" applyFont="1" applyFill="1" applyBorder="1" applyAlignment="1">
      <alignment horizontal="center" wrapText="1"/>
    </xf>
    <xf numFmtId="0" fontId="183" fillId="0" borderId="23" xfId="0" applyFont="1" applyBorder="1" applyAlignment="1">
      <alignment wrapText="1"/>
    </xf>
    <xf numFmtId="164" fontId="183" fillId="0" borderId="23" xfId="0" applyNumberFormat="1" applyFont="1" applyFill="1" applyBorder="1" applyAlignment="1">
      <alignment horizontal="right"/>
    </xf>
    <xf numFmtId="164" fontId="183" fillId="0" borderId="30" xfId="0" applyNumberFormat="1" applyFont="1" applyFill="1" applyBorder="1" applyAlignment="1">
      <alignment horizontal="right"/>
    </xf>
    <xf numFmtId="10" fontId="183" fillId="0" borderId="23" xfId="27" applyNumberFormat="1" applyFont="1" applyFill="1" applyBorder="1"/>
    <xf numFmtId="164" fontId="183" fillId="0" borderId="23" xfId="27" applyNumberFormat="1" applyFont="1" applyFill="1" applyBorder="1"/>
    <xf numFmtId="0" fontId="183" fillId="0" borderId="23" xfId="0" applyFont="1" applyFill="1" applyBorder="1" applyAlignment="1">
      <alignment horizontal="right"/>
    </xf>
    <xf numFmtId="0" fontId="183" fillId="0" borderId="30" xfId="0" applyFont="1" applyFill="1" applyBorder="1" applyAlignment="1">
      <alignment horizontal="right"/>
    </xf>
    <xf numFmtId="164" fontId="183" fillId="0" borderId="23" xfId="0" applyNumberFormat="1" applyFont="1" applyFill="1" applyBorder="1" applyAlignment="1"/>
    <xf numFmtId="164" fontId="183" fillId="0" borderId="0" xfId="0" applyNumberFormat="1" applyFont="1" applyFill="1" applyBorder="1" applyAlignment="1"/>
    <xf numFmtId="10" fontId="183" fillId="0" borderId="30" xfId="27" applyNumberFormat="1" applyFont="1" applyFill="1" applyBorder="1"/>
    <xf numFmtId="10" fontId="18" fillId="0" borderId="0" xfId="0" applyNumberFormat="1" applyFont="1" applyBorder="1" applyAlignment="1"/>
    <xf numFmtId="0" fontId="21" fillId="0" borderId="0" xfId="0" applyFont="1" applyFill="1" applyBorder="1" applyAlignment="1">
      <alignment horizontal="center"/>
    </xf>
    <xf numFmtId="0" fontId="0" fillId="0" borderId="0" xfId="0" applyFill="1" applyBorder="1" applyAlignment="1">
      <alignment horizontal="center"/>
    </xf>
    <xf numFmtId="4" fontId="21" fillId="62" borderId="0" xfId="1" applyNumberFormat="1" applyFont="1" applyFill="1" applyBorder="1" applyAlignment="1">
      <alignment horizontal="center" vertical="center"/>
    </xf>
    <xf numFmtId="4" fontId="21" fillId="62" borderId="97" xfId="1" applyNumberFormat="1" applyFont="1" applyFill="1" applyBorder="1" applyAlignment="1">
      <alignment horizontal="center" vertical="center"/>
    </xf>
    <xf numFmtId="2" fontId="36" fillId="0" borderId="10" xfId="0" applyNumberFormat="1" applyFont="1" applyFill="1" applyBorder="1" applyAlignment="1">
      <alignment vertical="center"/>
    </xf>
    <xf numFmtId="0" fontId="189" fillId="0" borderId="0" xfId="23" applyFont="1" applyFill="1" applyAlignment="1"/>
    <xf numFmtId="0" fontId="189" fillId="0" borderId="0" xfId="23" applyFont="1" applyFill="1" applyBorder="1" applyAlignment="1"/>
    <xf numFmtId="0" fontId="189" fillId="0" borderId="0" xfId="23" applyFont="1" applyFill="1" applyBorder="1" applyAlignment="1">
      <alignment horizontal="right"/>
    </xf>
    <xf numFmtId="10" fontId="189" fillId="0" borderId="0" xfId="27" applyNumberFormat="1" applyFont="1" applyFill="1" applyBorder="1"/>
    <xf numFmtId="10" fontId="189" fillId="0" borderId="0" xfId="23" applyNumberFormat="1" applyFont="1" applyFill="1" applyBorder="1" applyAlignment="1"/>
    <xf numFmtId="3" fontId="189" fillId="0" borderId="0" xfId="23" applyNumberFormat="1" applyFont="1" applyFill="1" applyBorder="1" applyAlignment="1"/>
    <xf numFmtId="9" fontId="189" fillId="0" borderId="0" xfId="23" applyNumberFormat="1" applyFont="1" applyFill="1" applyBorder="1" applyAlignment="1"/>
    <xf numFmtId="9" fontId="168" fillId="0" borderId="0" xfId="27" applyNumberFormat="1" applyFont="1" applyFill="1" applyBorder="1"/>
    <xf numFmtId="9" fontId="189" fillId="0" borderId="0" xfId="27" applyNumberFormat="1" applyFont="1" applyFill="1" applyBorder="1"/>
    <xf numFmtId="1" fontId="189" fillId="0" borderId="0" xfId="27" applyNumberFormat="1" applyFont="1" applyFill="1" applyBorder="1"/>
    <xf numFmtId="164" fontId="189" fillId="0" borderId="0" xfId="27" applyNumberFormat="1" applyFont="1" applyFill="1" applyBorder="1"/>
    <xf numFmtId="164" fontId="191" fillId="0" borderId="0" xfId="27" applyNumberFormat="1" applyFont="1" applyFill="1" applyBorder="1"/>
    <xf numFmtId="164" fontId="168" fillId="0" borderId="0" xfId="27" applyNumberFormat="1" applyFont="1" applyFill="1" applyBorder="1"/>
    <xf numFmtId="1" fontId="189" fillId="0" borderId="0" xfId="23" applyNumberFormat="1" applyFont="1" applyFill="1" applyBorder="1" applyAlignment="1"/>
    <xf numFmtId="171" fontId="189" fillId="0" borderId="0" xfId="23" applyNumberFormat="1" applyFont="1" applyFill="1" applyBorder="1" applyAlignment="1"/>
    <xf numFmtId="169" fontId="189" fillId="0" borderId="0" xfId="23" applyNumberFormat="1" applyFont="1" applyFill="1" applyBorder="1" applyAlignment="1"/>
    <xf numFmtId="8" fontId="189" fillId="0" borderId="0" xfId="23" applyNumberFormat="1" applyFont="1" applyFill="1" applyBorder="1" applyAlignment="1"/>
    <xf numFmtId="172" fontId="189" fillId="0" borderId="0" xfId="23" applyNumberFormat="1" applyFont="1" applyFill="1" applyBorder="1" applyAlignment="1"/>
    <xf numFmtId="10" fontId="189" fillId="0" borderId="0" xfId="26" applyFont="1" applyFill="1" applyBorder="1" applyAlignment="1"/>
    <xf numFmtId="6" fontId="189" fillId="0" borderId="0" xfId="23" applyNumberFormat="1" applyFont="1" applyFill="1" applyBorder="1" applyAlignment="1"/>
    <xf numFmtId="3" fontId="168" fillId="0" borderId="0" xfId="2" quotePrefix="1" applyFont="1" applyFill="1" applyAlignment="1"/>
    <xf numFmtId="3" fontId="189" fillId="0" borderId="0" xfId="2" applyFont="1" applyFill="1" applyBorder="1"/>
    <xf numFmtId="0" fontId="189" fillId="0" borderId="0" xfId="23" applyFont="1" applyFill="1" applyAlignment="1">
      <alignment horizontal="left"/>
    </xf>
    <xf numFmtId="7" fontId="189" fillId="0" borderId="0" xfId="23" applyNumberFormat="1" applyFont="1" applyFill="1">
      <alignment vertical="top"/>
    </xf>
    <xf numFmtId="166" fontId="189" fillId="0" borderId="0" xfId="23" applyNumberFormat="1" applyFont="1" applyFill="1" applyBorder="1" applyAlignment="1"/>
    <xf numFmtId="186" fontId="206" fillId="0" borderId="0" xfId="7" applyNumberFormat="1" applyFont="1" applyFill="1" applyBorder="1"/>
    <xf numFmtId="165" fontId="189" fillId="0" borderId="0" xfId="23" applyNumberFormat="1" applyFont="1" applyFill="1" applyBorder="1" applyAlignment="1"/>
    <xf numFmtId="165" fontId="189" fillId="0" borderId="0" xfId="23" applyNumberFormat="1" applyFont="1" applyFill="1" applyBorder="1" applyAlignment="1">
      <alignment vertical="top"/>
    </xf>
    <xf numFmtId="170" fontId="189" fillId="0" borderId="0" xfId="23" applyNumberFormat="1" applyFont="1" applyFill="1" applyBorder="1" applyAlignment="1">
      <alignment vertical="top"/>
    </xf>
    <xf numFmtId="0" fontId="189" fillId="0" borderId="0" xfId="23" applyFont="1" applyFill="1" applyAlignment="1">
      <alignment horizontal="center"/>
    </xf>
    <xf numFmtId="9" fontId="189" fillId="0" borderId="0" xfId="23" applyNumberFormat="1" applyFont="1" applyFill="1" applyAlignment="1">
      <alignment horizontal="center"/>
    </xf>
    <xf numFmtId="1" fontId="189" fillId="0" borderId="0" xfId="23" applyNumberFormat="1" applyFont="1" applyFill="1" applyAlignment="1">
      <alignment horizontal="center"/>
    </xf>
    <xf numFmtId="0" fontId="189" fillId="0" borderId="0" xfId="23" applyFont="1" applyFill="1" applyBorder="1" applyAlignment="1">
      <alignment horizontal="center"/>
    </xf>
    <xf numFmtId="1" fontId="189" fillId="0" borderId="0" xfId="23" applyNumberFormat="1" applyFont="1" applyFill="1" applyBorder="1" applyAlignment="1">
      <alignment horizontal="center"/>
    </xf>
    <xf numFmtId="187" fontId="189" fillId="0" borderId="0" xfId="6" applyNumberFormat="1" applyFont="1" applyFill="1" applyBorder="1" applyAlignment="1">
      <alignment horizontal="center"/>
    </xf>
    <xf numFmtId="0" fontId="189" fillId="0" borderId="0" xfId="0" applyFont="1" applyFill="1" applyBorder="1" applyAlignment="1">
      <alignment horizontal="center"/>
    </xf>
    <xf numFmtId="9" fontId="189" fillId="0" borderId="0" xfId="27" applyNumberFormat="1" applyFont="1" applyFill="1" applyBorder="1" applyAlignment="1"/>
    <xf numFmtId="185" fontId="189" fillId="0" borderId="0" xfId="2" quotePrefix="1" applyNumberFormat="1" applyFont="1" applyFill="1"/>
    <xf numFmtId="3" fontId="189" fillId="0" borderId="0" xfId="2" applyFont="1" applyFill="1" applyBorder="1" applyProtection="1">
      <protection locked="0"/>
    </xf>
    <xf numFmtId="6" fontId="189" fillId="0" borderId="0" xfId="23" applyNumberFormat="1" applyFont="1" applyFill="1" applyBorder="1" applyAlignment="1" applyProtection="1">
      <protection locked="0"/>
    </xf>
    <xf numFmtId="8" fontId="189" fillId="0" borderId="0" xfId="23" applyNumberFormat="1" applyFont="1" applyFill="1" applyBorder="1" applyAlignment="1" applyProtection="1">
      <protection locked="0"/>
    </xf>
    <xf numFmtId="3" fontId="189" fillId="0" borderId="0" xfId="1" applyFont="1" applyFill="1" applyBorder="1" applyAlignment="1"/>
    <xf numFmtId="0" fontId="189" fillId="0" borderId="0" xfId="23" applyFont="1" applyFill="1" applyAlignment="1">
      <alignment horizontal="left" indent="1"/>
    </xf>
    <xf numFmtId="0" fontId="189" fillId="0" borderId="0" xfId="23" applyFont="1" applyFill="1" applyBorder="1" applyAlignment="1">
      <alignment horizontal="left" indent="1"/>
    </xf>
    <xf numFmtId="170" fontId="189" fillId="0" borderId="0" xfId="23" applyNumberFormat="1" applyFont="1" applyFill="1" applyBorder="1" applyAlignment="1"/>
    <xf numFmtId="0" fontId="189" fillId="0" borderId="0" xfId="1" applyNumberFormat="1" applyFont="1" applyFill="1" applyBorder="1" applyAlignment="1">
      <alignment horizontal="center"/>
    </xf>
    <xf numFmtId="169" fontId="189" fillId="0" borderId="0" xfId="23" applyNumberFormat="1" applyFont="1" applyFill="1" applyBorder="1" applyAlignment="1">
      <alignment horizontal="center"/>
    </xf>
    <xf numFmtId="1" fontId="189" fillId="0" borderId="0" xfId="26" applyNumberFormat="1" applyFont="1" applyFill="1" applyBorder="1" applyAlignment="1">
      <alignment horizontal="center"/>
    </xf>
    <xf numFmtId="9" fontId="189" fillId="0" borderId="0" xfId="23" applyNumberFormat="1" applyFont="1" applyFill="1" applyBorder="1" applyAlignment="1">
      <alignment horizontal="center"/>
    </xf>
    <xf numFmtId="0" fontId="207" fillId="0" borderId="0" xfId="23" applyFont="1" applyFill="1" applyBorder="1" applyAlignment="1"/>
    <xf numFmtId="10" fontId="21" fillId="0" borderId="0" xfId="27" applyFont="1" applyFill="1" applyBorder="1" applyAlignment="1"/>
    <xf numFmtId="3" fontId="21" fillId="0" borderId="0" xfId="2" applyFont="1" applyFill="1" applyBorder="1" applyAlignment="1"/>
    <xf numFmtId="187" fontId="21" fillId="0" borderId="0" xfId="7" applyNumberFormat="1" applyFont="1" applyFill="1" applyBorder="1" applyAlignment="1">
      <alignment horizontal="center"/>
    </xf>
    <xf numFmtId="0" fontId="21" fillId="79" borderId="0" xfId="0" applyFont="1" applyFill="1" applyBorder="1" applyAlignment="1"/>
    <xf numFmtId="0" fontId="0" fillId="79" borderId="0" xfId="0" applyFill="1" applyBorder="1" applyAlignment="1"/>
    <xf numFmtId="0" fontId="21" fillId="79" borderId="0" xfId="0" applyFont="1" applyFill="1" applyBorder="1" applyAlignment="1">
      <alignment horizontal="right"/>
    </xf>
    <xf numFmtId="0" fontId="18" fillId="0" borderId="23" xfId="0" applyFont="1" applyFill="1" applyBorder="1" applyAlignment="1">
      <alignment horizontal="center" wrapText="1"/>
    </xf>
    <xf numFmtId="165" fontId="0" fillId="0" borderId="0" xfId="0" applyNumberFormat="1" applyFont="1" applyFill="1" applyBorder="1" applyAlignment="1"/>
    <xf numFmtId="165" fontId="0" fillId="0" borderId="0" xfId="0" applyNumberFormat="1" applyFont="1" applyFill="1" applyBorder="1" applyAlignment="1">
      <alignment vertical="top"/>
    </xf>
    <xf numFmtId="170" fontId="0" fillId="0" borderId="0" xfId="0" applyNumberFormat="1" applyFont="1" applyFill="1" applyBorder="1" applyAlignment="1">
      <alignment vertical="top"/>
    </xf>
    <xf numFmtId="165" fontId="21" fillId="0" borderId="0" xfId="0" applyNumberFormat="1" applyFont="1" applyFill="1" applyBorder="1" applyAlignment="1"/>
    <xf numFmtId="0" fontId="99" fillId="0" borderId="0" xfId="0" applyFont="1" applyFill="1" applyBorder="1" applyAlignment="1">
      <alignment horizontal="center"/>
    </xf>
    <xf numFmtId="171" fontId="99" fillId="0" borderId="0" xfId="0" applyNumberFormat="1" applyFont="1" applyFill="1" applyBorder="1" applyAlignment="1">
      <alignment horizontal="center"/>
    </xf>
    <xf numFmtId="0" fontId="20" fillId="0" borderId="23" xfId="0" applyFont="1" applyFill="1" applyBorder="1" applyAlignment="1"/>
    <xf numFmtId="0" fontId="20" fillId="78" borderId="0" xfId="23" applyFont="1" applyFill="1" applyBorder="1" applyAlignment="1"/>
    <xf numFmtId="10" fontId="21" fillId="78" borderId="0" xfId="23" applyNumberFormat="1" applyFont="1" applyFill="1" applyBorder="1" applyAlignment="1"/>
    <xf numFmtId="0" fontId="21" fillId="80" borderId="0" xfId="23" applyFont="1" applyFill="1" applyBorder="1" applyAlignment="1">
      <alignment horizontal="right"/>
    </xf>
    <xf numFmtId="0" fontId="20" fillId="80" borderId="0" xfId="0" applyFont="1" applyFill="1" applyBorder="1" applyAlignment="1"/>
    <xf numFmtId="0" fontId="21" fillId="80" borderId="0" xfId="0" applyFont="1" applyFill="1" applyBorder="1" applyAlignment="1"/>
    <xf numFmtId="0" fontId="21" fillId="78" borderId="0" xfId="0" applyFont="1" applyFill="1" applyBorder="1" applyAlignment="1">
      <alignment horizontal="right"/>
    </xf>
    <xf numFmtId="0" fontId="20" fillId="80" borderId="0" xfId="23" applyFont="1" applyFill="1" applyBorder="1" applyAlignment="1"/>
    <xf numFmtId="0" fontId="21" fillId="80" borderId="0" xfId="23" applyFont="1" applyFill="1" applyBorder="1" applyAlignment="1"/>
    <xf numFmtId="0" fontId="21" fillId="78" borderId="0" xfId="23" applyFont="1" applyFill="1" applyBorder="1" applyAlignment="1">
      <alignment horizontal="right"/>
    </xf>
    <xf numFmtId="164" fontId="21" fillId="71" borderId="23" xfId="0" applyNumberFormat="1" applyFont="1" applyFill="1" applyBorder="1" applyAlignment="1"/>
    <xf numFmtId="9" fontId="192" fillId="0" borderId="0" xfId="26" applyNumberFormat="1" applyFont="1" applyFill="1" applyBorder="1" applyAlignment="1">
      <alignment horizontal="right"/>
    </xf>
    <xf numFmtId="9" fontId="193" fillId="0" borderId="0" xfId="23" applyNumberFormat="1" applyFont="1" applyFill="1" applyBorder="1" applyAlignment="1"/>
    <xf numFmtId="2" fontId="21" fillId="0" borderId="0" xfId="27" applyNumberFormat="1" applyFont="1" applyFill="1" applyBorder="1"/>
    <xf numFmtId="2" fontId="192" fillId="0" borderId="0" xfId="26" applyNumberFormat="1" applyFont="1" applyFill="1" applyBorder="1" applyAlignment="1">
      <alignment horizontal="right"/>
    </xf>
    <xf numFmtId="2" fontId="193" fillId="0" borderId="0" xfId="23" applyNumberFormat="1" applyFont="1" applyFill="1" applyBorder="1" applyAlignment="1"/>
    <xf numFmtId="10" fontId="20" fillId="0" borderId="0" xfId="0" applyNumberFormat="1" applyFont="1" applyBorder="1" applyAlignment="1"/>
    <xf numFmtId="10" fontId="20" fillId="0" borderId="0" xfId="27" applyNumberFormat="1" applyFont="1" applyBorder="1" applyAlignment="1"/>
    <xf numFmtId="10" fontId="20" fillId="71" borderId="0" xfId="0" applyNumberFormat="1" applyFont="1" applyFill="1" applyBorder="1" applyAlignment="1"/>
    <xf numFmtId="0" fontId="20" fillId="0" borderId="0" xfId="0" applyFont="1" applyAlignment="1"/>
    <xf numFmtId="0" fontId="192" fillId="0" borderId="0" xfId="0" applyFont="1" applyFill="1" applyBorder="1" applyAlignment="1"/>
    <xf numFmtId="0" fontId="192" fillId="0" borderId="0" xfId="0" applyFont="1" applyFill="1" applyBorder="1" applyAlignment="1">
      <alignment horizontal="right"/>
    </xf>
    <xf numFmtId="0" fontId="67" fillId="0" borderId="0" xfId="23" applyFont="1" applyFill="1" applyBorder="1" applyAlignment="1"/>
    <xf numFmtId="10" fontId="208" fillId="0" borderId="0" xfId="27" applyNumberFormat="1" applyFont="1" applyFill="1" applyBorder="1"/>
    <xf numFmtId="0" fontId="207" fillId="0" borderId="0" xfId="0" applyFont="1" applyFill="1" applyBorder="1" applyAlignment="1">
      <alignment horizontal="right"/>
    </xf>
    <xf numFmtId="9" fontId="208" fillId="0" borderId="0" xfId="27" applyNumberFormat="1" applyFont="1" applyFill="1" applyBorder="1"/>
    <xf numFmtId="2" fontId="208" fillId="0" borderId="0" xfId="27" applyNumberFormat="1" applyFont="1" applyFill="1" applyBorder="1"/>
    <xf numFmtId="185" fontId="21" fillId="0" borderId="0" xfId="1" applyNumberFormat="1" applyFont="1" applyFill="1" applyBorder="1" applyAlignment="1">
      <alignment horizontal="right"/>
    </xf>
    <xf numFmtId="0" fontId="207" fillId="31" borderId="23" xfId="0" applyFont="1" applyFill="1" applyBorder="1" applyAlignment="1">
      <alignment horizontal="center" vertical="center" wrapText="1"/>
    </xf>
    <xf numFmtId="0" fontId="34" fillId="6" borderId="23" xfId="23" applyFont="1" applyFill="1" applyBorder="1" applyAlignment="1">
      <alignment horizontal="center" vertical="center" wrapText="1"/>
    </xf>
    <xf numFmtId="0" fontId="207" fillId="0" borderId="0" xfId="23" applyFont="1" applyFill="1" applyBorder="1" applyAlignment="1">
      <alignment horizontal="right"/>
    </xf>
    <xf numFmtId="0" fontId="207" fillId="7" borderId="23" xfId="0" applyFont="1" applyFill="1" applyBorder="1" applyAlignment="1">
      <alignment horizontal="center" vertical="center" wrapText="1"/>
    </xf>
    <xf numFmtId="0" fontId="34" fillId="32" borderId="23" xfId="23" applyFont="1" applyFill="1" applyBorder="1" applyAlignment="1">
      <alignment horizontal="center" vertical="center" wrapText="1"/>
    </xf>
    <xf numFmtId="3" fontId="0" fillId="58" borderId="0" xfId="1" applyFont="1" applyFill="1" applyBorder="1" applyAlignment="1">
      <alignment horizontal="center"/>
    </xf>
    <xf numFmtId="175" fontId="0" fillId="58" borderId="0" xfId="0" applyNumberFormat="1" applyFill="1" applyBorder="1" applyAlignment="1">
      <alignment horizontal="center"/>
    </xf>
    <xf numFmtId="189" fontId="67" fillId="0" borderId="0" xfId="54" applyNumberFormat="1" applyFont="1" applyFill="1" applyBorder="1"/>
    <xf numFmtId="7" fontId="21" fillId="0" borderId="0" xfId="54" applyNumberFormat="1" applyFont="1" applyFill="1" applyBorder="1"/>
    <xf numFmtId="0" fontId="0" fillId="0" borderId="0" xfId="0" applyBorder="1" applyAlignment="1">
      <alignment horizontal="center"/>
    </xf>
    <xf numFmtId="0" fontId="0" fillId="0" borderId="8" xfId="0" applyBorder="1" applyAlignment="1">
      <alignment horizontal="center"/>
    </xf>
    <xf numFmtId="0" fontId="63" fillId="0" borderId="89" xfId="0" applyFont="1" applyBorder="1" applyAlignment="1">
      <alignment horizontal="left"/>
    </xf>
    <xf numFmtId="0" fontId="34" fillId="0" borderId="89" xfId="0" applyFont="1" applyBorder="1" applyAlignment="1">
      <alignment horizontal="center"/>
    </xf>
    <xf numFmtId="0" fontId="21" fillId="0" borderId="97" xfId="0" applyFont="1" applyBorder="1" applyAlignment="1"/>
    <xf numFmtId="164" fontId="0" fillId="0" borderId="15" xfId="0" applyNumberFormat="1" applyFill="1" applyBorder="1" applyAlignment="1"/>
    <xf numFmtId="10" fontId="18" fillId="78" borderId="7" xfId="0" applyNumberFormat="1" applyFont="1" applyFill="1" applyBorder="1" applyAlignment="1"/>
    <xf numFmtId="0" fontId="20" fillId="0" borderId="89" xfId="0" applyFont="1" applyFill="1" applyBorder="1" applyAlignment="1"/>
    <xf numFmtId="0" fontId="20" fillId="0" borderId="89" xfId="0" applyFont="1" applyBorder="1" applyAlignment="1"/>
    <xf numFmtId="10" fontId="20" fillId="0" borderId="89" xfId="0" applyNumberFormat="1" applyFont="1" applyBorder="1" applyAlignment="1"/>
    <xf numFmtId="10" fontId="20" fillId="0" borderId="89" xfId="27" applyNumberFormat="1" applyFont="1" applyBorder="1" applyAlignment="1"/>
    <xf numFmtId="0" fontId="0" fillId="0" borderId="89" xfId="0" applyBorder="1" applyAlignment="1">
      <alignment wrapText="1"/>
    </xf>
    <xf numFmtId="0" fontId="21" fillId="0" borderId="89" xfId="0" applyFont="1" applyBorder="1" applyAlignment="1">
      <alignment horizontal="center" wrapText="1"/>
    </xf>
    <xf numFmtId="0" fontId="0" fillId="0" borderId="89" xfId="0" applyBorder="1" applyAlignment="1">
      <alignment horizontal="right" wrapText="1"/>
    </xf>
    <xf numFmtId="0" fontId="0" fillId="0" borderId="89" xfId="0" applyBorder="1" applyAlignment="1">
      <alignment horizontal="centerContinuous"/>
    </xf>
    <xf numFmtId="0" fontId="21" fillId="0" borderId="89" xfId="0" applyFont="1" applyBorder="1" applyAlignment="1">
      <alignment horizontal="centerContinuous"/>
    </xf>
    <xf numFmtId="0" fontId="20" fillId="0" borderId="3" xfId="0" applyFont="1" applyBorder="1" applyAlignment="1">
      <alignment horizontal="center"/>
    </xf>
    <xf numFmtId="0" fontId="166" fillId="0" borderId="89" xfId="0" applyFont="1" applyBorder="1" applyAlignment="1">
      <alignment wrapText="1"/>
    </xf>
    <xf numFmtId="5" fontId="21" fillId="0" borderId="39" xfId="0" applyNumberFormat="1" applyFont="1" applyFill="1" applyBorder="1" applyAlignment="1">
      <alignment horizontal="center" vertical="center"/>
    </xf>
    <xf numFmtId="165" fontId="160" fillId="0" borderId="0" xfId="0" applyNumberFormat="1" applyFont="1" applyFill="1" applyAlignment="1">
      <alignment horizontal="center" vertical="center"/>
    </xf>
    <xf numFmtId="175" fontId="21" fillId="0" borderId="0" xfId="1" applyNumberFormat="1" applyFont="1" applyFill="1" applyBorder="1" applyAlignment="1">
      <alignment horizontal="center" vertical="center"/>
    </xf>
    <xf numFmtId="175" fontId="21" fillId="0" borderId="97" xfId="1" applyNumberFormat="1" applyFont="1" applyFill="1" applyBorder="1" applyAlignment="1">
      <alignment horizontal="center" vertical="center"/>
    </xf>
    <xf numFmtId="0" fontId="209" fillId="0" borderId="0" xfId="0" applyFont="1" applyFill="1" applyBorder="1" applyAlignment="1">
      <alignment horizontal="right"/>
    </xf>
    <xf numFmtId="0" fontId="0" fillId="58" borderId="0" xfId="0" applyFill="1" applyBorder="1" applyAlignment="1">
      <alignment wrapText="1"/>
    </xf>
    <xf numFmtId="165" fontId="18" fillId="0" borderId="0" xfId="0" applyNumberFormat="1" applyFont="1" applyFill="1" applyBorder="1" applyAlignment="1">
      <alignment horizontal="center" vertical="center"/>
    </xf>
    <xf numFmtId="7" fontId="108" fillId="0" borderId="0" xfId="0" applyNumberFormat="1" applyFont="1" applyFill="1" applyBorder="1" applyAlignment="1">
      <alignment horizontal="center" vertical="center"/>
    </xf>
    <xf numFmtId="0" fontId="18" fillId="64" borderId="34" xfId="0" applyFont="1" applyFill="1" applyBorder="1" applyAlignment="1">
      <alignment horizontal="center"/>
    </xf>
    <xf numFmtId="169" fontId="18" fillId="81" borderId="0" xfId="0" applyNumberFormat="1" applyFont="1" applyFill="1" applyBorder="1" applyAlignment="1"/>
    <xf numFmtId="0" fontId="7" fillId="0" borderId="0" xfId="22" applyFont="1"/>
    <xf numFmtId="0" fontId="18" fillId="0" borderId="4" xfId="0" applyFont="1" applyBorder="1" applyAlignment="1">
      <alignment horizontal="centerContinuous" wrapText="1"/>
    </xf>
    <xf numFmtId="0" fontId="18" fillId="0" borderId="3" xfId="0" applyFont="1" applyFill="1" applyBorder="1" applyAlignment="1">
      <alignment horizontal="right" wrapText="1"/>
    </xf>
    <xf numFmtId="0" fontId="21" fillId="0" borderId="3" xfId="0" applyFont="1" applyBorder="1" applyAlignment="1">
      <alignment horizontal="right"/>
    </xf>
    <xf numFmtId="0" fontId="21" fillId="0" borderId="3" xfId="0" applyFont="1" applyFill="1" applyBorder="1" applyAlignment="1">
      <alignment horizontal="right" wrapText="1"/>
    </xf>
    <xf numFmtId="0" fontId="21" fillId="0" borderId="9" xfId="0" applyFont="1" applyFill="1" applyBorder="1" applyAlignment="1">
      <alignment horizontal="right" wrapText="1"/>
    </xf>
    <xf numFmtId="0" fontId="18" fillId="0" borderId="0" xfId="0" applyFont="1" applyBorder="1" applyAlignment="1">
      <alignment horizontal="centerContinuous" wrapText="1"/>
    </xf>
    <xf numFmtId="0" fontId="161" fillId="0" borderId="0" xfId="0" applyFont="1" applyBorder="1" applyAlignment="1"/>
    <xf numFmtId="0" fontId="21" fillId="0" borderId="2" xfId="0" applyFont="1" applyBorder="1" applyAlignment="1">
      <alignment horizontal="center" wrapText="1"/>
    </xf>
    <xf numFmtId="0" fontId="21" fillId="0" borderId="6" xfId="0" applyFont="1" applyBorder="1" applyAlignment="1">
      <alignment horizontal="center"/>
    </xf>
    <xf numFmtId="10" fontId="0" fillId="60" borderId="6" xfId="2" applyNumberFormat="1" applyFont="1" applyFill="1" applyBorder="1" applyAlignment="1">
      <alignment horizontal="center"/>
    </xf>
    <xf numFmtId="0" fontId="0" fillId="0" borderId="6" xfId="0" applyBorder="1">
      <alignment vertical="top"/>
    </xf>
    <xf numFmtId="0" fontId="0" fillId="0" borderId="3" xfId="0" applyBorder="1" applyAlignment="1">
      <alignment horizontal="center" vertical="center"/>
    </xf>
    <xf numFmtId="7" fontId="0" fillId="0" borderId="55" xfId="6" applyNumberFormat="1" applyFont="1" applyFill="1" applyBorder="1" applyAlignment="1"/>
    <xf numFmtId="7" fontId="0" fillId="0" borderId="52" xfId="6" applyNumberFormat="1" applyFont="1" applyFill="1" applyBorder="1" applyAlignment="1"/>
    <xf numFmtId="7" fontId="0" fillId="0" borderId="43" xfId="6" applyNumberFormat="1" applyFont="1" applyFill="1" applyBorder="1" applyAlignment="1"/>
    <xf numFmtId="7" fontId="0" fillId="0" borderId="23" xfId="6" applyNumberFormat="1" applyFont="1" applyFill="1" applyBorder="1" applyAlignment="1"/>
    <xf numFmtId="7" fontId="0" fillId="0" borderId="66" xfId="6" applyNumberFormat="1" applyFont="1" applyBorder="1" applyAlignment="1"/>
    <xf numFmtId="7" fontId="0" fillId="0" borderId="17" xfId="6" applyNumberFormat="1" applyFont="1" applyBorder="1" applyAlignment="1"/>
    <xf numFmtId="7" fontId="18" fillId="0" borderId="23" xfId="6" applyNumberFormat="1" applyFont="1" applyBorder="1" applyAlignment="1"/>
    <xf numFmtId="10" fontId="21" fillId="82" borderId="0" xfId="27" applyFont="1" applyFill="1" applyBorder="1"/>
    <xf numFmtId="0" fontId="211" fillId="0" borderId="0" xfId="0" applyFont="1" applyAlignment="1">
      <alignment horizontal="right"/>
    </xf>
    <xf numFmtId="0" fontId="21" fillId="0" borderId="0" xfId="0" applyFont="1" applyAlignment="1">
      <alignment horizontal="right" wrapText="1"/>
    </xf>
    <xf numFmtId="4" fontId="0" fillId="0" borderId="0" xfId="0" applyNumberFormat="1" applyAlignment="1"/>
    <xf numFmtId="165" fontId="23" fillId="0" borderId="0" xfId="0" applyNumberFormat="1" applyFont="1" applyFill="1" applyAlignment="1"/>
    <xf numFmtId="7" fontId="212" fillId="0" borderId="0" xfId="0" applyNumberFormat="1" applyFont="1" applyAlignment="1"/>
    <xf numFmtId="7" fontId="21" fillId="0" borderId="0" xfId="0" applyNumberFormat="1" applyFont="1" applyAlignment="1">
      <alignment horizontal="center" vertical="center"/>
    </xf>
    <xf numFmtId="1" fontId="0" fillId="0" borderId="0" xfId="0" applyNumberFormat="1" applyFill="1" applyBorder="1" applyAlignment="1">
      <alignment horizontal="center"/>
    </xf>
    <xf numFmtId="3" fontId="0" fillId="0" borderId="0" xfId="1" applyFont="1" applyFill="1" applyBorder="1" applyAlignment="1">
      <alignment horizontal="center"/>
    </xf>
    <xf numFmtId="0" fontId="0" fillId="0" borderId="0" xfId="0" applyFill="1" applyBorder="1" applyAlignment="1">
      <alignment wrapText="1"/>
    </xf>
    <xf numFmtId="0" fontId="21" fillId="0" borderId="3" xfId="0" applyFont="1" applyBorder="1">
      <alignment vertical="top"/>
    </xf>
    <xf numFmtId="175" fontId="21" fillId="0" borderId="6" xfId="1" applyNumberFormat="1" applyFont="1" applyFill="1" applyBorder="1"/>
    <xf numFmtId="0" fontId="21" fillId="0" borderId="41" xfId="0" applyFont="1" applyFill="1" applyBorder="1" applyAlignment="1">
      <alignment horizontal="left" vertical="center"/>
    </xf>
    <xf numFmtId="0" fontId="189" fillId="0" borderId="23" xfId="0" applyFont="1" applyBorder="1" applyAlignment="1">
      <alignment vertical="center"/>
    </xf>
    <xf numFmtId="0" fontId="189" fillId="0" borderId="24" xfId="0" applyFont="1" applyBorder="1" applyAlignment="1">
      <alignment vertical="center"/>
    </xf>
    <xf numFmtId="0" fontId="189" fillId="0" borderId="16" xfId="0" applyFont="1" applyBorder="1" applyAlignment="1">
      <alignment vertical="center"/>
    </xf>
    <xf numFmtId="0" fontId="189" fillId="0" borderId="17" xfId="0" applyFont="1" applyBorder="1" applyAlignment="1">
      <alignment vertical="center"/>
    </xf>
    <xf numFmtId="0" fontId="134" fillId="0" borderId="0" xfId="0" applyFont="1" applyBorder="1" applyAlignment="1">
      <alignment horizontal="center" wrapText="1"/>
    </xf>
    <xf numFmtId="0" fontId="39" fillId="0" borderId="0" xfId="0" applyFont="1" applyBorder="1" applyAlignment="1"/>
    <xf numFmtId="0" fontId="41" fillId="0" borderId="20" xfId="0" applyFont="1" applyBorder="1" applyAlignment="1">
      <alignment horizontal="center"/>
    </xf>
    <xf numFmtId="0" fontId="140" fillId="0" borderId="24" xfId="0" applyFont="1" applyBorder="1" applyAlignment="1">
      <alignment horizontal="center"/>
    </xf>
    <xf numFmtId="0" fontId="134" fillId="0" borderId="16" xfId="0" applyFont="1" applyBorder="1" applyAlignment="1">
      <alignment horizontal="center" wrapText="1"/>
    </xf>
    <xf numFmtId="0" fontId="185" fillId="0" borderId="0" xfId="0" applyFont="1" applyAlignment="1"/>
    <xf numFmtId="7" fontId="0" fillId="0" borderId="0" xfId="7" applyNumberFormat="1" applyFont="1" applyAlignment="1"/>
    <xf numFmtId="0" fontId="18" fillId="0" borderId="0" xfId="0" applyFont="1" applyAlignment="1">
      <alignment horizontal="center"/>
    </xf>
    <xf numFmtId="0" fontId="213" fillId="0" borderId="0" xfId="0" applyFont="1" applyAlignment="1">
      <alignment horizontal="center"/>
    </xf>
    <xf numFmtId="0" fontId="213" fillId="0" borderId="52" xfId="22" applyFont="1" applyBorder="1" applyAlignment="1">
      <alignment horizontal="center"/>
    </xf>
    <xf numFmtId="0" fontId="213" fillId="0" borderId="72" xfId="22" applyFont="1" applyBorder="1" applyAlignment="1">
      <alignment horizontal="center"/>
    </xf>
    <xf numFmtId="0" fontId="214" fillId="0" borderId="0" xfId="0" applyFont="1" applyAlignment="1"/>
    <xf numFmtId="43" fontId="215" fillId="0" borderId="23" xfId="2" applyNumberFormat="1" applyFont="1" applyBorder="1" applyAlignment="1">
      <alignment horizontal="center" vertical="center" wrapText="1"/>
    </xf>
    <xf numFmtId="2" fontId="214" fillId="0" borderId="23" xfId="0" applyNumberFormat="1" applyFont="1" applyFill="1" applyBorder="1" applyAlignment="1">
      <alignment vertical="center"/>
    </xf>
    <xf numFmtId="2" fontId="215" fillId="0" borderId="23" xfId="2" applyNumberFormat="1" applyFont="1" applyBorder="1" applyAlignment="1">
      <alignment horizontal="center" vertical="center" wrapText="1"/>
    </xf>
    <xf numFmtId="43" fontId="215" fillId="59" borderId="23" xfId="2" applyNumberFormat="1" applyFont="1" applyFill="1" applyBorder="1" applyAlignment="1">
      <alignment horizontal="center" vertical="center" wrapText="1"/>
    </xf>
    <xf numFmtId="43" fontId="215" fillId="59" borderId="65" xfId="2" applyNumberFormat="1" applyFont="1" applyFill="1" applyBorder="1" applyAlignment="1">
      <alignment horizontal="center" vertical="center" wrapText="1"/>
    </xf>
    <xf numFmtId="43" fontId="215" fillId="0" borderId="56" xfId="2" applyNumberFormat="1" applyFont="1" applyBorder="1" applyAlignment="1">
      <alignment horizontal="center" vertical="center" wrapText="1"/>
    </xf>
    <xf numFmtId="2" fontId="214" fillId="0" borderId="56" xfId="0" applyNumberFormat="1" applyFont="1" applyFill="1" applyBorder="1" applyAlignment="1">
      <alignment vertical="center"/>
    </xf>
    <xf numFmtId="2" fontId="215" fillId="0" borderId="56" xfId="2" applyNumberFormat="1" applyFont="1" applyBorder="1" applyAlignment="1">
      <alignment horizontal="center" vertical="center" wrapText="1"/>
    </xf>
    <xf numFmtId="43" fontId="215" fillId="59" borderId="56" xfId="2" applyNumberFormat="1" applyFont="1" applyFill="1" applyBorder="1" applyAlignment="1">
      <alignment horizontal="center" vertical="center" wrapText="1"/>
    </xf>
    <xf numFmtId="43" fontId="215" fillId="59" borderId="73" xfId="2" applyNumberFormat="1" applyFont="1" applyFill="1" applyBorder="1" applyAlignment="1">
      <alignment horizontal="center" vertical="center" wrapText="1"/>
    </xf>
    <xf numFmtId="2" fontId="21" fillId="0" borderId="43" xfId="0" applyNumberFormat="1" applyFont="1" applyFill="1" applyBorder="1" applyAlignment="1"/>
    <xf numFmtId="0" fontId="213" fillId="0" borderId="75" xfId="22" applyFont="1" applyBorder="1" applyAlignment="1">
      <alignment horizontal="center"/>
    </xf>
    <xf numFmtId="43" fontId="215" fillId="59" borderId="31" xfId="2" applyNumberFormat="1" applyFont="1" applyFill="1" applyBorder="1" applyAlignment="1">
      <alignment horizontal="center" vertical="center" wrapText="1"/>
    </xf>
    <xf numFmtId="43" fontId="215" fillId="59" borderId="76" xfId="2" applyNumberFormat="1" applyFont="1" applyFill="1" applyBorder="1" applyAlignment="1">
      <alignment horizontal="center" vertical="center" wrapText="1"/>
    </xf>
    <xf numFmtId="2" fontId="215" fillId="0" borderId="65" xfId="2" applyNumberFormat="1" applyFont="1" applyBorder="1" applyAlignment="1">
      <alignment horizontal="center" vertical="center" wrapText="1"/>
    </xf>
    <xf numFmtId="2" fontId="215" fillId="0" borderId="73" xfId="2" applyNumberFormat="1" applyFont="1" applyBorder="1" applyAlignment="1">
      <alignment horizontal="center" vertical="center" wrapText="1"/>
    </xf>
    <xf numFmtId="172" fontId="0" fillId="0" borderId="0" xfId="0" applyNumberFormat="1" applyAlignment="1">
      <alignment horizontal="center"/>
    </xf>
    <xf numFmtId="0" fontId="21" fillId="0" borderId="0" xfId="0" applyFont="1" applyAlignment="1">
      <alignment horizontal="center"/>
    </xf>
    <xf numFmtId="2" fontId="0" fillId="0" borderId="0" xfId="0" applyNumberFormat="1" applyFill="1" applyBorder="1" applyAlignment="1"/>
    <xf numFmtId="0" fontId="119" fillId="0" borderId="75" xfId="22" applyFont="1" applyBorder="1" applyAlignment="1">
      <alignment horizontal="center"/>
    </xf>
    <xf numFmtId="43" fontId="163" fillId="0" borderId="31" xfId="1" applyNumberFormat="1" applyFont="1" applyBorder="1" applyAlignment="1">
      <alignment horizontal="center" vertical="center" wrapText="1"/>
    </xf>
    <xf numFmtId="43" fontId="163" fillId="0" borderId="76" xfId="1" applyNumberFormat="1" applyFont="1" applyBorder="1" applyAlignment="1">
      <alignment horizontal="center" vertical="center" wrapText="1"/>
    </xf>
    <xf numFmtId="43" fontId="215" fillId="0" borderId="31" xfId="2" applyNumberFormat="1" applyFont="1" applyBorder="1" applyAlignment="1">
      <alignment horizontal="center" vertical="center" wrapText="1"/>
    </xf>
    <xf numFmtId="43" fontId="215" fillId="0" borderId="76" xfId="2" applyNumberFormat="1" applyFont="1" applyBorder="1" applyAlignment="1">
      <alignment horizontal="center" vertical="center" wrapText="1"/>
    </xf>
    <xf numFmtId="0" fontId="213" fillId="0" borderId="0" xfId="0" applyFont="1" applyAlignment="1"/>
    <xf numFmtId="0" fontId="18" fillId="0" borderId="23" xfId="0" applyFont="1" applyBorder="1" applyAlignment="1"/>
    <xf numFmtId="175" fontId="0" fillId="0" borderId="0" xfId="0" applyNumberFormat="1" applyAlignment="1"/>
    <xf numFmtId="175" fontId="0" fillId="0" borderId="0" xfId="0" applyNumberFormat="1" applyAlignment="1">
      <alignment horizontal="center"/>
    </xf>
    <xf numFmtId="175" fontId="0" fillId="0" borderId="0" xfId="6" applyNumberFormat="1" applyFont="1" applyAlignment="1"/>
    <xf numFmtId="2" fontId="0" fillId="46" borderId="31" xfId="0" applyNumberFormat="1" applyFill="1" applyBorder="1" applyAlignment="1"/>
    <xf numFmtId="2" fontId="21" fillId="46" borderId="31" xfId="0" applyNumberFormat="1" applyFont="1" applyFill="1" applyBorder="1" applyAlignment="1"/>
    <xf numFmtId="0" fontId="35" fillId="0" borderId="71" xfId="0" applyFont="1" applyFill="1" applyBorder="1" applyAlignment="1">
      <alignment horizontal="left" vertical="center"/>
    </xf>
    <xf numFmtId="0" fontId="18" fillId="0" borderId="7" xfId="1" applyNumberFormat="1" applyFont="1" applyBorder="1"/>
    <xf numFmtId="0" fontId="36" fillId="0" borderId="56" xfId="0" applyFont="1" applyBorder="1" applyAlignment="1">
      <alignment horizontal="center"/>
    </xf>
    <xf numFmtId="189" fontId="21" fillId="0" borderId="0" xfId="2" applyNumberFormat="1" applyFont="1" applyFill="1" applyBorder="1"/>
    <xf numFmtId="170" fontId="21" fillId="11" borderId="3" xfId="1" applyNumberFormat="1" applyFont="1" applyFill="1" applyBorder="1" applyProtection="1">
      <protection locked="0"/>
    </xf>
    <xf numFmtId="0" fontId="180" fillId="0" borderId="0" xfId="55" applyFont="1"/>
    <xf numFmtId="0" fontId="6" fillId="0" borderId="0" xfId="55"/>
    <xf numFmtId="172" fontId="216" fillId="0" borderId="0" xfId="55" applyNumberFormat="1" applyFont="1"/>
    <xf numFmtId="172" fontId="0" fillId="58" borderId="0" xfId="56" applyNumberFormat="1" applyFont="1" applyFill="1" applyAlignment="1">
      <alignment wrapText="1"/>
    </xf>
    <xf numFmtId="0" fontId="6" fillId="58" borderId="0" xfId="55" applyFill="1"/>
    <xf numFmtId="0" fontId="180" fillId="78" borderId="0" xfId="55" applyFont="1" applyFill="1"/>
    <xf numFmtId="0" fontId="217" fillId="0" borderId="0" xfId="55" applyFont="1"/>
    <xf numFmtId="0" fontId="218" fillId="0" borderId="0" xfId="55" applyFont="1"/>
    <xf numFmtId="10" fontId="218" fillId="0" borderId="0" xfId="57" applyNumberFormat="1" applyFont="1"/>
    <xf numFmtId="172" fontId="218" fillId="0" borderId="0" xfId="56" applyNumberFormat="1" applyFont="1"/>
    <xf numFmtId="186" fontId="218" fillId="0" borderId="0" xfId="58" applyNumberFormat="1" applyFont="1"/>
    <xf numFmtId="0" fontId="219" fillId="83" borderId="0" xfId="55" applyFont="1" applyFill="1"/>
    <xf numFmtId="172" fontId="6" fillId="0" borderId="0" xfId="55" applyNumberFormat="1"/>
    <xf numFmtId="10" fontId="0" fillId="0" borderId="0" xfId="57" applyNumberFormat="1" applyFont="1" applyFill="1"/>
    <xf numFmtId="186" fontId="0" fillId="0" borderId="0" xfId="58" applyNumberFormat="1" applyFont="1"/>
    <xf numFmtId="0" fontId="199" fillId="55" borderId="0" xfId="55" applyFont="1" applyFill="1"/>
    <xf numFmtId="186" fontId="0" fillId="55" borderId="0" xfId="58" applyNumberFormat="1" applyFont="1" applyFill="1"/>
    <xf numFmtId="0" fontId="180" fillId="81" borderId="0" xfId="55" applyFont="1" applyFill="1"/>
    <xf numFmtId="0" fontId="219" fillId="56" borderId="0" xfId="55" applyFont="1" applyFill="1"/>
    <xf numFmtId="0" fontId="177" fillId="0" borderId="0" xfId="55" applyFont="1" applyFill="1"/>
    <xf numFmtId="10" fontId="0" fillId="0" borderId="0" xfId="57" applyNumberFormat="1" applyFont="1"/>
    <xf numFmtId="198" fontId="6" fillId="0" borderId="0" xfId="55" applyNumberFormat="1"/>
    <xf numFmtId="172" fontId="218" fillId="0" borderId="0" xfId="55" applyNumberFormat="1" applyFont="1"/>
    <xf numFmtId="0" fontId="180" fillId="55" borderId="0" xfId="55" applyFont="1" applyFill="1"/>
    <xf numFmtId="172" fontId="177" fillId="0" borderId="0" xfId="55" applyNumberFormat="1" applyFont="1"/>
    <xf numFmtId="172" fontId="0" fillId="0" borderId="0" xfId="56" applyNumberFormat="1" applyFont="1"/>
    <xf numFmtId="0" fontId="6" fillId="0" borderId="0" xfId="55" applyFill="1"/>
    <xf numFmtId="0" fontId="220" fillId="84" borderId="100" xfId="55" applyFont="1" applyFill="1" applyBorder="1" applyAlignment="1">
      <alignment horizontal="center" vertical="center" wrapText="1"/>
    </xf>
    <xf numFmtId="0" fontId="220" fillId="84" borderId="101" xfId="55" applyFont="1" applyFill="1" applyBorder="1" applyAlignment="1">
      <alignment horizontal="center" vertical="center" wrapText="1"/>
    </xf>
    <xf numFmtId="0" fontId="220" fillId="84" borderId="102" xfId="55" applyFont="1" applyFill="1" applyBorder="1" applyAlignment="1">
      <alignment horizontal="center" vertical="center" wrapText="1"/>
    </xf>
    <xf numFmtId="0" fontId="220" fillId="84" borderId="103" xfId="55" applyFont="1" applyFill="1" applyBorder="1" applyAlignment="1">
      <alignment horizontal="center" vertical="center" wrapText="1"/>
    </xf>
    <xf numFmtId="0" fontId="220" fillId="84" borderId="104" xfId="55" applyFont="1" applyFill="1" applyBorder="1" applyAlignment="1">
      <alignment horizontal="center" vertical="center" wrapText="1"/>
    </xf>
    <xf numFmtId="0" fontId="220" fillId="84" borderId="105" xfId="55" applyFont="1" applyFill="1" applyBorder="1" applyAlignment="1">
      <alignment horizontal="center" vertical="center" wrapText="1"/>
    </xf>
    <xf numFmtId="0" fontId="220" fillId="84" borderId="106" xfId="55" applyFont="1" applyFill="1" applyBorder="1" applyAlignment="1">
      <alignment horizontal="left" vertical="center" wrapText="1" indent="1"/>
    </xf>
    <xf numFmtId="0" fontId="220" fillId="84" borderId="107" xfId="55" applyFont="1" applyFill="1" applyBorder="1" applyAlignment="1">
      <alignment horizontal="center" vertical="center" wrapText="1"/>
    </xf>
    <xf numFmtId="0" fontId="6" fillId="84" borderId="107" xfId="55" applyFill="1" applyBorder="1" applyAlignment="1">
      <alignment horizontal="center" vertical="top" wrapText="1"/>
    </xf>
    <xf numFmtId="0" fontId="220" fillId="84" borderId="108" xfId="55" applyFont="1" applyFill="1" applyBorder="1" applyAlignment="1">
      <alignment horizontal="center" vertical="center" wrapText="1"/>
    </xf>
    <xf numFmtId="0" fontId="221" fillId="0" borderId="106" xfId="55" applyFont="1" applyBorder="1" applyAlignment="1">
      <alignment horizontal="center" vertical="center" wrapText="1"/>
    </xf>
    <xf numFmtId="8" fontId="221" fillId="0" borderId="107" xfId="55" applyNumberFormat="1" applyFont="1" applyBorder="1" applyAlignment="1">
      <alignment horizontal="center" vertical="center" wrapText="1"/>
    </xf>
    <xf numFmtId="0" fontId="221" fillId="0" borderId="107" xfId="55" applyFont="1" applyBorder="1" applyAlignment="1">
      <alignment horizontal="center" vertical="center" wrapText="1"/>
    </xf>
    <xf numFmtId="8" fontId="221" fillId="0" borderId="108" xfId="55" applyNumberFormat="1" applyFont="1" applyBorder="1" applyAlignment="1">
      <alignment horizontal="center" vertical="center" wrapText="1"/>
    </xf>
    <xf numFmtId="0" fontId="221" fillId="0" borderId="109" xfId="55" applyFont="1" applyBorder="1" applyAlignment="1">
      <alignment horizontal="center" vertical="center" wrapText="1"/>
    </xf>
    <xf numFmtId="8" fontId="221" fillId="0" borderId="109" xfId="55" applyNumberFormat="1" applyFont="1" applyBorder="1" applyAlignment="1">
      <alignment horizontal="center" vertical="center" wrapText="1"/>
    </xf>
    <xf numFmtId="0" fontId="221" fillId="0" borderId="110" xfId="55" applyFont="1" applyBorder="1" applyAlignment="1">
      <alignment horizontal="center" vertical="center" wrapText="1"/>
    </xf>
    <xf numFmtId="0" fontId="222" fillId="0" borderId="0" xfId="55" applyFont="1" applyFill="1" applyBorder="1" applyAlignment="1">
      <alignment horizontal="left" vertical="center"/>
    </xf>
    <xf numFmtId="0" fontId="18" fillId="85" borderId="38" xfId="0" applyFont="1" applyFill="1" applyBorder="1" applyAlignment="1">
      <alignment horizontal="center"/>
    </xf>
    <xf numFmtId="0" fontId="18" fillId="86" borderId="5" xfId="0" applyFont="1" applyFill="1" applyBorder="1" applyAlignment="1">
      <alignment horizontal="center"/>
    </xf>
    <xf numFmtId="0" fontId="18" fillId="86" borderId="38" xfId="0" applyFont="1" applyFill="1" applyBorder="1" applyAlignment="1">
      <alignment horizontal="center"/>
    </xf>
    <xf numFmtId="0" fontId="18" fillId="86" borderId="4" xfId="0" applyFont="1" applyFill="1" applyBorder="1" applyAlignment="1">
      <alignment horizontal="center"/>
    </xf>
    <xf numFmtId="0" fontId="18" fillId="87" borderId="38" xfId="0" applyFont="1" applyFill="1" applyBorder="1" applyAlignment="1">
      <alignment horizontal="center"/>
    </xf>
    <xf numFmtId="0" fontId="18" fillId="88" borderId="38" xfId="0" applyFont="1" applyFill="1" applyBorder="1" applyAlignment="1">
      <alignment horizontal="right"/>
    </xf>
    <xf numFmtId="0" fontId="18" fillId="91" borderId="10" xfId="0" applyFont="1" applyFill="1" applyBorder="1" applyAlignment="1">
      <alignment horizontal="center"/>
    </xf>
    <xf numFmtId="0" fontId="18" fillId="91" borderId="15" xfId="0" applyFont="1" applyFill="1" applyBorder="1" applyAlignment="1">
      <alignment horizontal="center"/>
    </xf>
    <xf numFmtId="0" fontId="18" fillId="80" borderId="15" xfId="0" applyFont="1" applyFill="1" applyBorder="1" applyAlignment="1">
      <alignment horizontal="center"/>
    </xf>
    <xf numFmtId="0" fontId="18" fillId="80" borderId="10" xfId="0" applyFont="1" applyFill="1" applyBorder="1" applyAlignment="1">
      <alignment horizontal="center"/>
    </xf>
    <xf numFmtId="0" fontId="18" fillId="80" borderId="9" xfId="0" applyFont="1" applyFill="1" applyBorder="1" applyAlignment="1">
      <alignment horizontal="center"/>
    </xf>
    <xf numFmtId="0" fontId="18" fillId="90" borderId="15" xfId="0" applyFont="1" applyFill="1" applyBorder="1" applyAlignment="1">
      <alignment horizontal="right"/>
    </xf>
    <xf numFmtId="0" fontId="18" fillId="90" borderId="5" xfId="0" applyFont="1" applyFill="1" applyBorder="1" applyAlignment="1">
      <alignment horizontal="center"/>
    </xf>
    <xf numFmtId="0" fontId="18" fillId="89" borderId="5" xfId="0" applyFont="1" applyFill="1" applyBorder="1" applyAlignment="1">
      <alignment horizontal="center"/>
    </xf>
    <xf numFmtId="0" fontId="18" fillId="89" borderId="38" xfId="0" applyFont="1" applyFill="1" applyBorder="1" applyAlignment="1">
      <alignment horizontal="center"/>
    </xf>
    <xf numFmtId="43" fontId="0" fillId="0" borderId="0" xfId="56" applyFont="1"/>
    <xf numFmtId="185" fontId="0" fillId="0" borderId="0" xfId="0" applyNumberFormat="1" applyAlignment="1"/>
    <xf numFmtId="6" fontId="0" fillId="0" borderId="0" xfId="0" applyNumberFormat="1" applyAlignment="1"/>
    <xf numFmtId="0" fontId="48" fillId="0" borderId="0" xfId="0" applyFont="1" applyAlignment="1">
      <alignment horizontal="right"/>
    </xf>
    <xf numFmtId="0" fontId="18" fillId="92" borderId="15" xfId="0" applyFont="1" applyFill="1" applyBorder="1" applyAlignment="1">
      <alignment horizontal="center"/>
    </xf>
    <xf numFmtId="8" fontId="221" fillId="93" borderId="107" xfId="55" applyNumberFormat="1" applyFont="1" applyFill="1" applyBorder="1" applyAlignment="1">
      <alignment horizontal="center" vertical="center" wrapText="1"/>
    </xf>
    <xf numFmtId="0" fontId="221" fillId="93" borderId="107" xfId="55" applyFont="1" applyFill="1" applyBorder="1" applyAlignment="1">
      <alignment horizontal="center" vertical="center" wrapText="1"/>
    </xf>
    <xf numFmtId="8" fontId="221" fillId="93" borderId="108" xfId="55" applyNumberFormat="1" applyFont="1" applyFill="1" applyBorder="1" applyAlignment="1">
      <alignment horizontal="center" vertical="center" wrapText="1"/>
    </xf>
    <xf numFmtId="169" fontId="21" fillId="0" borderId="39" xfId="0" applyNumberFormat="1" applyFont="1" applyBorder="1" applyAlignment="1"/>
    <xf numFmtId="7" fontId="6" fillId="0" borderId="0" xfId="6" applyNumberFormat="1" applyFont="1"/>
    <xf numFmtId="186" fontId="0" fillId="81" borderId="0" xfId="58" applyNumberFormat="1" applyFont="1" applyFill="1"/>
    <xf numFmtId="7" fontId="6" fillId="81" borderId="0" xfId="6" applyNumberFormat="1" applyFont="1" applyFill="1"/>
    <xf numFmtId="8" fontId="6" fillId="81" borderId="0" xfId="55" applyNumberFormat="1" applyFill="1"/>
    <xf numFmtId="38" fontId="21" fillId="0" borderId="39" xfId="2" applyNumberFormat="1" applyFont="1" applyFill="1" applyBorder="1"/>
    <xf numFmtId="5" fontId="21" fillId="81" borderId="3" xfId="6" applyFont="1" applyFill="1" applyBorder="1"/>
    <xf numFmtId="5" fontId="21" fillId="81" borderId="39" xfId="7" applyFont="1" applyFill="1" applyBorder="1"/>
    <xf numFmtId="5" fontId="21" fillId="55" borderId="3" xfId="6" applyFont="1" applyFill="1" applyBorder="1"/>
    <xf numFmtId="5" fontId="21" fillId="55" borderId="15" xfId="7" applyFont="1" applyFill="1" applyBorder="1"/>
    <xf numFmtId="5" fontId="20" fillId="0" borderId="39" xfId="6" applyFont="1" applyFill="1" applyBorder="1"/>
    <xf numFmtId="0" fontId="5" fillId="0" borderId="0" xfId="59"/>
    <xf numFmtId="10" fontId="5" fillId="0" borderId="0" xfId="59" applyNumberFormat="1"/>
    <xf numFmtId="10" fontId="5" fillId="0" borderId="0" xfId="59" applyNumberFormat="1" applyFont="1"/>
    <xf numFmtId="10" fontId="199" fillId="78" borderId="0" xfId="59" applyNumberFormat="1" applyFont="1" applyFill="1"/>
    <xf numFmtId="0" fontId="5" fillId="0" borderId="0" xfId="59" applyAlignment="1">
      <alignment wrapText="1"/>
    </xf>
    <xf numFmtId="9" fontId="5" fillId="64" borderId="0" xfId="59" applyNumberFormat="1" applyFill="1" applyAlignment="1">
      <alignment wrapText="1"/>
    </xf>
    <xf numFmtId="0" fontId="5" fillId="64" borderId="0" xfId="59" applyFill="1" applyAlignment="1">
      <alignment horizontal="right" wrapText="1"/>
    </xf>
    <xf numFmtId="0" fontId="5" fillId="0" borderId="0" xfId="59" applyAlignment="1">
      <alignment horizontal="right" wrapText="1"/>
    </xf>
    <xf numFmtId="0" fontId="180" fillId="0" borderId="0" xfId="59" applyFont="1" applyAlignment="1">
      <alignment wrapText="1"/>
    </xf>
    <xf numFmtId="0" fontId="5" fillId="74" borderId="0" xfId="59" applyFill="1"/>
    <xf numFmtId="0" fontId="5" fillId="78" borderId="0" xfId="59" applyFill="1"/>
    <xf numFmtId="0" fontId="5" fillId="78" borderId="0" xfId="59" applyFill="1" applyAlignment="1">
      <alignment horizontal="right"/>
    </xf>
    <xf numFmtId="0" fontId="5" fillId="0" borderId="0" xfId="59" applyAlignment="1">
      <alignment horizontal="right"/>
    </xf>
    <xf numFmtId="0" fontId="180" fillId="55" borderId="0" xfId="59" applyFont="1" applyFill="1"/>
    <xf numFmtId="0" fontId="180" fillId="82" borderId="0" xfId="59" applyFont="1" applyFill="1"/>
    <xf numFmtId="0" fontId="180" fillId="0" borderId="0" xfId="59" applyFont="1"/>
    <xf numFmtId="7" fontId="21" fillId="0" borderId="89" xfId="0" applyNumberFormat="1" applyFont="1" applyFill="1" applyBorder="1" applyAlignment="1"/>
    <xf numFmtId="7" fontId="51" fillId="0" borderId="89" xfId="6" applyNumberFormat="1" applyFont="1" applyFill="1" applyBorder="1"/>
    <xf numFmtId="7" fontId="18" fillId="0" borderId="5" xfId="0" applyNumberFormat="1" applyFont="1" applyFill="1" applyBorder="1" applyAlignment="1"/>
    <xf numFmtId="7" fontId="21" fillId="0" borderId="5" xfId="0" applyNumberFormat="1" applyFont="1" applyBorder="1" applyAlignment="1"/>
    <xf numFmtId="7" fontId="51" fillId="0" borderId="0" xfId="6" applyNumberFormat="1" applyFont="1" applyFill="1" applyBorder="1"/>
    <xf numFmtId="7" fontId="21" fillId="0" borderId="10" xfId="0" applyNumberFormat="1" applyFont="1" applyFill="1" applyBorder="1" applyAlignment="1"/>
    <xf numFmtId="7" fontId="21" fillId="0" borderId="10" xfId="0" applyNumberFormat="1" applyFont="1" applyBorder="1" applyAlignment="1"/>
    <xf numFmtId="7" fontId="51" fillId="0" borderId="10" xfId="6" applyNumberFormat="1" applyFont="1" applyFill="1" applyBorder="1"/>
    <xf numFmtId="7" fontId="23" fillId="0" borderId="0" xfId="1" applyNumberFormat="1" applyFont="1" applyFill="1"/>
    <xf numFmtId="7" fontId="18" fillId="0" borderId="0" xfId="1" applyNumberFormat="1" applyFont="1" applyFill="1"/>
    <xf numFmtId="7" fontId="20" fillId="0" borderId="0" xfId="1" applyNumberFormat="1" applyFont="1" applyFill="1"/>
    <xf numFmtId="7" fontId="92" fillId="0" borderId="0" xfId="1" applyNumberFormat="1" applyFont="1" applyFill="1"/>
    <xf numFmtId="7" fontId="41" fillId="30" borderId="0" xfId="1" applyNumberFormat="1" applyFont="1" applyFill="1"/>
    <xf numFmtId="7" fontId="23" fillId="64" borderId="0" xfId="1" applyNumberFormat="1" applyFont="1" applyFill="1"/>
    <xf numFmtId="7" fontId="20" fillId="0" borderId="0" xfId="6" applyNumberFormat="1" applyFont="1" applyFill="1"/>
    <xf numFmtId="0" fontId="166" fillId="0" borderId="0" xfId="23" applyFont="1" applyFill="1" applyBorder="1" applyAlignment="1"/>
    <xf numFmtId="8" fontId="4" fillId="0" borderId="23" xfId="22" applyNumberFormat="1" applyFont="1" applyBorder="1"/>
    <xf numFmtId="0" fontId="223" fillId="54" borderId="23" xfId="22" applyFont="1" applyFill="1" applyBorder="1"/>
    <xf numFmtId="0" fontId="223" fillId="54" borderId="56" xfId="22" applyFont="1" applyFill="1" applyBorder="1" applyAlignment="1">
      <alignment horizontal="center"/>
    </xf>
    <xf numFmtId="0" fontId="224" fillId="0" borderId="0" xfId="22" applyFont="1" applyAlignment="1"/>
    <xf numFmtId="7" fontId="23" fillId="67" borderId="0" xfId="1" applyNumberFormat="1" applyFont="1" applyFill="1"/>
    <xf numFmtId="9" fontId="225" fillId="0" borderId="0" xfId="27" applyNumberFormat="1" applyFont="1" applyFill="1" applyBorder="1"/>
    <xf numFmtId="0" fontId="21" fillId="0" borderId="0" xfId="0" applyFont="1" applyFill="1" applyBorder="1" applyAlignment="1">
      <alignment horizontal="center"/>
    </xf>
    <xf numFmtId="177" fontId="21" fillId="0" borderId="97" xfId="1" applyNumberFormat="1" applyFont="1" applyFill="1" applyBorder="1" applyAlignment="1">
      <alignment horizontal="center" vertical="center"/>
    </xf>
    <xf numFmtId="0" fontId="21" fillId="0" borderId="0" xfId="0" applyFont="1" applyFill="1" applyBorder="1" applyAlignment="1">
      <alignment horizontal="center"/>
    </xf>
    <xf numFmtId="0" fontId="210" fillId="0" borderId="0" xfId="0" applyFont="1" applyFill="1" applyBorder="1" applyAlignment="1">
      <alignment vertical="top" wrapText="1"/>
    </xf>
    <xf numFmtId="0" fontId="226" fillId="0" borderId="0" xfId="0" applyFont="1" applyFill="1" applyBorder="1" applyAlignment="1">
      <alignment vertical="top" wrapText="1"/>
    </xf>
    <xf numFmtId="0" fontId="160" fillId="0" borderId="0" xfId="0" applyFont="1" applyFill="1" applyBorder="1" applyAlignment="1">
      <alignment vertical="top" wrapText="1"/>
    </xf>
    <xf numFmtId="0" fontId="210" fillId="0" borderId="0" xfId="0" applyFont="1" applyFill="1" applyBorder="1" applyAlignment="1">
      <alignment horizontal="left" vertical="top" wrapText="1"/>
    </xf>
    <xf numFmtId="0" fontId="189" fillId="0" borderId="0" xfId="0" applyFont="1" applyFill="1" applyBorder="1" applyAlignment="1">
      <alignment vertical="top" wrapText="1"/>
    </xf>
    <xf numFmtId="5" fontId="21" fillId="56" borderId="3" xfId="6" applyFont="1" applyFill="1" applyBorder="1"/>
    <xf numFmtId="10" fontId="39" fillId="71" borderId="15" xfId="26" applyNumberFormat="1" applyFont="1" applyFill="1" applyBorder="1"/>
    <xf numFmtId="1" fontId="21" fillId="94" borderId="0" xfId="26" applyNumberFormat="1" applyFont="1" applyFill="1" applyBorder="1" applyAlignment="1">
      <alignment horizontal="right"/>
    </xf>
    <xf numFmtId="1" fontId="21" fillId="94" borderId="0" xfId="27" applyNumberFormat="1" applyFont="1" applyFill="1" applyBorder="1" applyAlignment="1">
      <alignment horizontal="right"/>
    </xf>
    <xf numFmtId="164" fontId="192" fillId="0" borderId="0" xfId="27" applyNumberFormat="1" applyFont="1" applyFill="1" applyBorder="1"/>
    <xf numFmtId="9" fontId="20" fillId="0" borderId="0" xfId="0" applyNumberFormat="1" applyFont="1" applyFill="1" applyBorder="1" applyAlignment="1"/>
    <xf numFmtId="0" fontId="20" fillId="0" borderId="37" xfId="0" applyFont="1" applyBorder="1" applyAlignment="1">
      <alignment horizontal="left"/>
    </xf>
    <xf numFmtId="2" fontId="21" fillId="0" borderId="37" xfId="0" applyNumberFormat="1" applyFont="1" applyFill="1" applyBorder="1" applyAlignment="1"/>
    <xf numFmtId="2" fontId="21" fillId="0" borderId="37" xfId="0" applyNumberFormat="1" applyFont="1" applyBorder="1" applyAlignment="1"/>
    <xf numFmtId="2" fontId="20" fillId="0" borderId="37" xfId="0" applyNumberFormat="1" applyFont="1" applyBorder="1" applyAlignment="1"/>
    <xf numFmtId="164" fontId="5" fillId="0" borderId="0" xfId="59" applyNumberFormat="1"/>
    <xf numFmtId="3" fontId="21" fillId="0" borderId="4" xfId="0" applyNumberFormat="1" applyFont="1" applyFill="1" applyBorder="1" applyAlignment="1" applyProtection="1"/>
    <xf numFmtId="0" fontId="167" fillId="0" borderId="0" xfId="0" applyFont="1" applyAlignment="1"/>
    <xf numFmtId="175" fontId="0" fillId="0" borderId="20" xfId="0" applyNumberFormat="1" applyBorder="1" applyAlignment="1"/>
    <xf numFmtId="0" fontId="18" fillId="24" borderId="4" xfId="0" applyFont="1" applyFill="1" applyBorder="1" applyAlignment="1">
      <alignment horizontal="center" wrapText="1"/>
    </xf>
    <xf numFmtId="0" fontId="0" fillId="0" borderId="0" xfId="0" applyAlignment="1">
      <alignment horizontal="left"/>
    </xf>
    <xf numFmtId="0" fontId="161" fillId="0" borderId="0" xfId="0" applyFont="1" applyAlignment="1">
      <alignment horizontal="left"/>
    </xf>
    <xf numFmtId="0" fontId="18" fillId="0" borderId="5" xfId="0" applyFont="1" applyBorder="1" applyAlignment="1">
      <alignment horizontal="left"/>
    </xf>
    <xf numFmtId="2" fontId="161" fillId="0" borderId="23" xfId="0" applyNumberFormat="1" applyFont="1" applyBorder="1" applyAlignment="1"/>
    <xf numFmtId="0" fontId="18" fillId="41" borderId="89" xfId="0" applyFont="1" applyFill="1" applyBorder="1" applyAlignment="1">
      <alignment horizontal="center" wrapText="1"/>
    </xf>
    <xf numFmtId="0" fontId="18" fillId="42" borderId="48" xfId="0" applyFont="1" applyFill="1" applyBorder="1" applyAlignment="1">
      <alignment horizontal="center" wrapText="1"/>
    </xf>
    <xf numFmtId="2" fontId="189" fillId="0" borderId="23" xfId="0" applyNumberFormat="1" applyFont="1" applyFill="1" applyBorder="1" applyAlignment="1"/>
    <xf numFmtId="2" fontId="189" fillId="0" borderId="65" xfId="0" applyNumberFormat="1" applyFont="1" applyFill="1" applyBorder="1" applyAlignment="1"/>
    <xf numFmtId="5" fontId="21" fillId="0" borderId="0" xfId="0" applyNumberFormat="1" applyFont="1" applyAlignment="1">
      <alignment horizontal="center"/>
    </xf>
    <xf numFmtId="7" fontId="194" fillId="0" borderId="0" xfId="0" applyNumberFormat="1" applyFont="1" applyAlignment="1">
      <alignment vertical="center"/>
    </xf>
    <xf numFmtId="5" fontId="21" fillId="0" borderId="2" xfId="0" applyNumberFormat="1" applyFont="1" applyFill="1" applyBorder="1" applyAlignment="1">
      <alignment horizontal="center" vertical="center"/>
    </xf>
    <xf numFmtId="5" fontId="21" fillId="0" borderId="6" xfId="0" applyNumberFormat="1" applyFont="1" applyFill="1" applyBorder="1" applyAlignment="1">
      <alignment horizontal="center" vertical="center"/>
    </xf>
    <xf numFmtId="175" fontId="21" fillId="0" borderId="6" xfId="1" applyNumberFormat="1" applyFont="1" applyFill="1" applyBorder="1" applyAlignment="1">
      <alignment horizontal="center" vertical="center"/>
    </xf>
    <xf numFmtId="177" fontId="21" fillId="0" borderId="111" xfId="1" applyNumberFormat="1" applyFont="1" applyFill="1" applyBorder="1" applyAlignment="1">
      <alignment horizontal="center" vertical="center"/>
    </xf>
    <xf numFmtId="7" fontId="21" fillId="0" borderId="6" xfId="0" applyNumberFormat="1" applyFont="1" applyFill="1" applyBorder="1" applyAlignment="1">
      <alignment horizontal="center" vertical="center"/>
    </xf>
    <xf numFmtId="7" fontId="21" fillId="0" borderId="7" xfId="0" applyNumberFormat="1" applyFont="1" applyFill="1" applyBorder="1" applyAlignment="1">
      <alignment horizontal="center" vertical="center"/>
    </xf>
    <xf numFmtId="175" fontId="21" fillId="0" borderId="39" xfId="0" applyNumberFormat="1" applyFont="1" applyFill="1" applyBorder="1" applyAlignment="1">
      <alignment horizontal="center" vertical="center"/>
    </xf>
    <xf numFmtId="177" fontId="21" fillId="0" borderId="41" xfId="0" applyNumberFormat="1" applyFont="1" applyFill="1" applyBorder="1" applyAlignment="1">
      <alignment horizontal="center" vertical="center"/>
    </xf>
    <xf numFmtId="175" fontId="21" fillId="0" borderId="39" xfId="1" applyNumberFormat="1" applyFont="1" applyFill="1" applyBorder="1" applyAlignment="1">
      <alignment horizontal="center" vertical="center"/>
    </xf>
    <xf numFmtId="175" fontId="21" fillId="0" borderId="41" xfId="1" applyNumberFormat="1" applyFont="1" applyFill="1" applyBorder="1" applyAlignment="1">
      <alignment horizontal="center" vertical="center"/>
    </xf>
    <xf numFmtId="177" fontId="21" fillId="0" borderId="41" xfId="1" applyNumberFormat="1" applyFont="1" applyFill="1" applyBorder="1" applyAlignment="1">
      <alignment horizontal="center" vertical="center"/>
    </xf>
    <xf numFmtId="3" fontId="21" fillId="0" borderId="0" xfId="60" applyFont="1" applyFill="1" applyBorder="1" applyProtection="1">
      <protection locked="0"/>
    </xf>
    <xf numFmtId="2" fontId="229" fillId="0" borderId="0" xfId="23" applyNumberFormat="1" applyFont="1" applyFill="1" applyBorder="1" applyAlignment="1"/>
    <xf numFmtId="0" fontId="229" fillId="0" borderId="0" xfId="23" applyFont="1" applyFill="1" applyBorder="1" applyAlignment="1"/>
    <xf numFmtId="10" fontId="21" fillId="10" borderId="0" xfId="26" applyFont="1" applyFill="1" applyBorder="1" applyAlignment="1">
      <alignment horizontal="right"/>
    </xf>
    <xf numFmtId="164" fontId="21" fillId="71" borderId="0" xfId="26" applyNumberFormat="1" applyFont="1" applyFill="1" applyAlignment="1"/>
    <xf numFmtId="0" fontId="80" fillId="0" borderId="0" xfId="0" applyFont="1" applyFill="1" applyBorder="1" applyAlignment="1">
      <alignment horizontal="right"/>
    </xf>
    <xf numFmtId="0" fontId="80" fillId="0" borderId="0" xfId="0" applyFont="1" applyBorder="1" applyAlignment="1">
      <alignment horizontal="right"/>
    </xf>
    <xf numFmtId="0" fontId="80" fillId="0" borderId="0" xfId="0" applyFont="1" applyAlignment="1">
      <alignment horizontal="right"/>
    </xf>
    <xf numFmtId="10" fontId="36" fillId="11" borderId="6" xfId="26" applyFont="1" applyFill="1" applyBorder="1" applyAlignment="1" applyProtection="1">
      <protection locked="0"/>
    </xf>
    <xf numFmtId="0" fontId="83" fillId="0" borderId="10" xfId="0" applyFont="1" applyBorder="1" applyAlignment="1">
      <alignment horizontal="left"/>
    </xf>
    <xf numFmtId="0" fontId="21" fillId="0" borderId="0" xfId="0" applyFont="1" applyFill="1" applyBorder="1" applyAlignment="1">
      <alignment horizontal="center"/>
    </xf>
    <xf numFmtId="0" fontId="0" fillId="0" borderId="0" xfId="0" applyFill="1" applyBorder="1" applyAlignment="1">
      <alignment horizontal="center"/>
    </xf>
    <xf numFmtId="169" fontId="21" fillId="0" borderId="0" xfId="0" applyNumberFormat="1" applyFont="1" applyAlignment="1">
      <alignment horizontal="center"/>
    </xf>
    <xf numFmtId="3" fontId="21" fillId="0" borderId="0" xfId="1" applyFont="1" applyAlignment="1">
      <alignment horizontal="right"/>
    </xf>
    <xf numFmtId="171" fontId="21" fillId="0" borderId="0" xfId="0" applyNumberFormat="1" applyFont="1" applyAlignment="1">
      <alignment horizontal="center"/>
    </xf>
    <xf numFmtId="0" fontId="19" fillId="0" borderId="0" xfId="0" applyFont="1" applyFill="1" applyBorder="1" applyAlignment="1">
      <alignment horizontal="left"/>
    </xf>
    <xf numFmtId="10" fontId="19" fillId="0" borderId="0" xfId="26" applyFont="1" applyAlignment="1">
      <alignment horizontal="center"/>
    </xf>
    <xf numFmtId="7" fontId="18" fillId="0" borderId="23" xfId="6" applyNumberFormat="1" applyFont="1" applyFill="1" applyBorder="1" applyAlignment="1"/>
    <xf numFmtId="0" fontId="18" fillId="0" borderId="10" xfId="0" applyFont="1" applyBorder="1" applyAlignment="1">
      <alignment horizontal="left"/>
    </xf>
    <xf numFmtId="7" fontId="21" fillId="0" borderId="17" xfId="6" applyNumberFormat="1" applyFont="1" applyFill="1" applyBorder="1" applyAlignment="1"/>
    <xf numFmtId="7" fontId="21" fillId="0" borderId="43" xfId="6" applyNumberFormat="1" applyFont="1" applyBorder="1" applyAlignment="1"/>
    <xf numFmtId="7" fontId="21" fillId="0" borderId="23" xfId="6" applyNumberFormat="1" applyFont="1" applyBorder="1" applyAlignment="1"/>
    <xf numFmtId="7" fontId="19" fillId="0" borderId="17" xfId="6" applyNumberFormat="1" applyFont="1" applyBorder="1" applyAlignment="1"/>
    <xf numFmtId="7" fontId="18" fillId="24" borderId="53" xfId="6" applyNumberFormat="1" applyFont="1" applyFill="1" applyBorder="1" applyAlignment="1">
      <alignment horizontal="center" wrapText="1"/>
    </xf>
    <xf numFmtId="0" fontId="19" fillId="95" borderId="54" xfId="0" applyFont="1" applyFill="1" applyBorder="1" applyAlignment="1">
      <alignment horizontal="center" wrapText="1"/>
    </xf>
    <xf numFmtId="7" fontId="19" fillId="0" borderId="23" xfId="6" applyNumberFormat="1" applyFont="1" applyBorder="1" applyAlignment="1"/>
    <xf numFmtId="7" fontId="20" fillId="0" borderId="23" xfId="6" applyNumberFormat="1" applyFont="1" applyBorder="1" applyAlignment="1"/>
    <xf numFmtId="164" fontId="20" fillId="0" borderId="23" xfId="0" applyNumberFormat="1" applyFont="1" applyFill="1" applyBorder="1" applyAlignment="1"/>
    <xf numFmtId="0" fontId="21" fillId="58" borderId="29" xfId="0" applyFont="1" applyFill="1" applyBorder="1" applyAlignment="1">
      <alignment wrapText="1"/>
    </xf>
    <xf numFmtId="0" fontId="21" fillId="58" borderId="29" xfId="0" applyFont="1" applyFill="1" applyBorder="1" applyAlignment="1">
      <alignment horizontal="right"/>
    </xf>
    <xf numFmtId="164" fontId="21" fillId="58" borderId="0" xfId="0" applyNumberFormat="1" applyFont="1" applyFill="1" applyBorder="1" applyAlignment="1"/>
    <xf numFmtId="10" fontId="21" fillId="0" borderId="23" xfId="27" applyFont="1" applyFill="1" applyBorder="1"/>
    <xf numFmtId="164" fontId="21" fillId="0" borderId="30" xfId="27" applyNumberFormat="1" applyFont="1" applyFill="1" applyBorder="1"/>
    <xf numFmtId="10" fontId="0" fillId="0" borderId="39" xfId="0" applyNumberFormat="1" applyFill="1" applyBorder="1" applyAlignment="1"/>
    <xf numFmtId="10" fontId="19" fillId="0" borderId="3" xfId="0" applyNumberFormat="1" applyFont="1" applyFill="1" applyBorder="1" applyAlignment="1"/>
    <xf numFmtId="10" fontId="19" fillId="0" borderId="0" xfId="0" applyNumberFormat="1" applyFont="1" applyFill="1" applyBorder="1" applyAlignment="1"/>
    <xf numFmtId="10" fontId="19" fillId="0" borderId="0" xfId="27" applyFont="1" applyFill="1" applyBorder="1"/>
    <xf numFmtId="10" fontId="19" fillId="0" borderId="6" xfId="0" applyNumberFormat="1" applyFont="1" applyFill="1" applyBorder="1" applyAlignment="1"/>
    <xf numFmtId="10" fontId="19" fillId="0" borderId="0" xfId="27" applyNumberFormat="1" applyFont="1" applyFill="1" applyBorder="1" applyAlignment="1"/>
    <xf numFmtId="4" fontId="21" fillId="0" borderId="6" xfId="2" applyNumberFormat="1" applyFill="1" applyBorder="1"/>
    <xf numFmtId="10" fontId="112" fillId="0" borderId="0" xfId="27" applyFont="1" applyFill="1" applyBorder="1" applyAlignment="1">
      <alignment horizontal="right"/>
    </xf>
    <xf numFmtId="4" fontId="21" fillId="0" borderId="6" xfId="2" applyNumberFormat="1" applyFont="1" applyFill="1" applyBorder="1"/>
    <xf numFmtId="10" fontId="0" fillId="0" borderId="0" xfId="0" applyNumberFormat="1" applyFill="1" applyBorder="1" applyAlignment="1">
      <alignment horizontal="center"/>
    </xf>
    <xf numFmtId="0" fontId="21" fillId="0" borderId="6" xfId="27" applyNumberFormat="1" applyFont="1" applyFill="1" applyBorder="1"/>
    <xf numFmtId="0" fontId="0" fillId="0" borderId="10" xfId="0" applyFill="1" applyBorder="1" applyAlignment="1"/>
    <xf numFmtId="10" fontId="0" fillId="0" borderId="10" xfId="27" applyFont="1" applyFill="1" applyBorder="1" applyAlignment="1"/>
    <xf numFmtId="10" fontId="21" fillId="0" borderId="7" xfId="27" applyFont="1" applyFill="1" applyBorder="1"/>
    <xf numFmtId="6" fontId="52" fillId="0" borderId="3" xfId="0" applyNumberFormat="1" applyFont="1" applyFill="1" applyBorder="1" applyAlignment="1" applyProtection="1">
      <protection locked="0"/>
    </xf>
    <xf numFmtId="5" fontId="56" fillId="0" borderId="43" xfId="6" applyNumberFormat="1" applyFont="1" applyFill="1" applyBorder="1"/>
    <xf numFmtId="8" fontId="227" fillId="0" borderId="0" xfId="23" applyNumberFormat="1" applyFont="1" applyFill="1" applyBorder="1" applyAlignment="1"/>
    <xf numFmtId="191" fontId="21" fillId="0" borderId="0" xfId="23" applyNumberFormat="1" applyFont="1" applyFill="1" applyBorder="1" applyAlignment="1"/>
    <xf numFmtId="175" fontId="161" fillId="0" borderId="7" xfId="2" applyNumberFormat="1" applyFont="1" applyFill="1" applyBorder="1" applyAlignment="1">
      <alignment horizontal="center" vertical="center"/>
    </xf>
    <xf numFmtId="10" fontId="160" fillId="0" borderId="0" xfId="26" applyNumberFormat="1" applyFont="1" applyFill="1" applyBorder="1" applyAlignment="1">
      <alignment horizontal="center" vertical="center"/>
    </xf>
    <xf numFmtId="0" fontId="39" fillId="0" borderId="37" xfId="0" applyFont="1" applyBorder="1" applyAlignment="1"/>
    <xf numFmtId="0" fontId="36" fillId="0" borderId="4" xfId="0" applyFont="1" applyBorder="1" applyAlignment="1">
      <alignment vertical="center"/>
    </xf>
    <xf numFmtId="0" fontId="36" fillId="0" borderId="3" xfId="0" applyFont="1" applyBorder="1" applyAlignment="1">
      <alignment vertical="center"/>
    </xf>
    <xf numFmtId="0" fontId="36" fillId="0" borderId="9" xfId="0" applyFont="1" applyBorder="1" applyAlignment="1">
      <alignment vertical="center"/>
    </xf>
    <xf numFmtId="0" fontId="18" fillId="58" borderId="8" xfId="0" applyFont="1" applyFill="1" applyBorder="1" applyAlignment="1">
      <alignment horizontal="center" vertical="center"/>
    </xf>
    <xf numFmtId="166" fontId="36" fillId="0" borderId="38" xfId="0" applyNumberFormat="1" applyFont="1" applyBorder="1" applyAlignment="1">
      <alignment horizontal="center" vertical="center"/>
    </xf>
    <xf numFmtId="166" fontId="36" fillId="0" borderId="89" xfId="0" applyNumberFormat="1" applyFont="1" applyBorder="1" applyAlignment="1">
      <alignment horizontal="center" vertical="center"/>
    </xf>
    <xf numFmtId="166" fontId="36" fillId="0" borderId="2" xfId="0" applyNumberFormat="1" applyFont="1" applyBorder="1" applyAlignment="1">
      <alignment horizontal="center" vertical="center"/>
    </xf>
    <xf numFmtId="166" fontId="36" fillId="0" borderId="39" xfId="0" applyNumberFormat="1" applyFont="1" applyBorder="1" applyAlignment="1">
      <alignment horizontal="center" vertical="center"/>
    </xf>
    <xf numFmtId="166" fontId="36" fillId="0" borderId="6" xfId="0" applyNumberFormat="1" applyFont="1" applyBorder="1" applyAlignment="1">
      <alignment horizontal="center" vertical="center"/>
    </xf>
    <xf numFmtId="166" fontId="36" fillId="0" borderId="15" xfId="0" applyNumberFormat="1" applyFont="1" applyBorder="1" applyAlignment="1">
      <alignment horizontal="center" vertical="center"/>
    </xf>
    <xf numFmtId="166" fontId="36" fillId="0" borderId="10" xfId="0" applyNumberFormat="1" applyFont="1" applyBorder="1" applyAlignment="1">
      <alignment horizontal="center" vertical="center"/>
    </xf>
    <xf numFmtId="166" fontId="36" fillId="0" borderId="7" xfId="0" applyNumberFormat="1" applyFont="1" applyBorder="1" applyAlignment="1">
      <alignment horizontal="center" vertical="center"/>
    </xf>
    <xf numFmtId="164" fontId="21" fillId="0" borderId="39" xfId="0" applyNumberFormat="1" applyFont="1" applyFill="1" applyBorder="1" applyAlignment="1">
      <alignment horizontal="center" vertical="center"/>
    </xf>
    <xf numFmtId="0" fontId="21" fillId="0" borderId="0" xfId="0" applyFont="1" applyFill="1" applyBorder="1" applyAlignment="1">
      <alignment horizontal="center"/>
    </xf>
    <xf numFmtId="0" fontId="18" fillId="0" borderId="0" xfId="0" applyFont="1" applyFill="1" applyBorder="1" applyAlignment="1">
      <alignment horizontal="center"/>
    </xf>
    <xf numFmtId="3" fontId="21" fillId="0" borderId="0" xfId="1" applyFont="1" applyFill="1" applyBorder="1" applyAlignment="1">
      <alignment horizontal="center" vertical="center"/>
    </xf>
    <xf numFmtId="2" fontId="18" fillId="0" borderId="0" xfId="0" applyNumberFormat="1" applyFont="1" applyFill="1" applyBorder="1" applyAlignment="1">
      <alignment horizontal="right" vertical="center"/>
    </xf>
    <xf numFmtId="2" fontId="21" fillId="0" borderId="0" xfId="7" applyNumberFormat="1" applyFont="1" applyFill="1" applyBorder="1" applyAlignment="1">
      <alignment horizontal="center" vertical="center"/>
    </xf>
    <xf numFmtId="1" fontId="21" fillId="0" borderId="0" xfId="0" applyNumberFormat="1" applyFont="1" applyFill="1" applyBorder="1" applyAlignment="1">
      <alignment horizontal="center" vertical="center"/>
    </xf>
    <xf numFmtId="2" fontId="0" fillId="0" borderId="0" xfId="0" applyNumberFormat="1" applyFill="1" applyBorder="1" applyAlignment="1">
      <alignment horizontal="center" vertical="center"/>
    </xf>
    <xf numFmtId="2" fontId="18" fillId="57" borderId="111" xfId="7" applyNumberFormat="1" applyFont="1" applyFill="1" applyBorder="1" applyAlignment="1">
      <alignment horizontal="center" vertical="center"/>
    </xf>
    <xf numFmtId="1" fontId="21" fillId="57" borderId="98" xfId="0" applyNumberFormat="1" applyFont="1" applyFill="1" applyBorder="1" applyAlignment="1">
      <alignment horizontal="center" vertical="center"/>
    </xf>
    <xf numFmtId="10" fontId="21" fillId="0" borderId="99" xfId="27" applyFont="1" applyFill="1" applyBorder="1" applyAlignment="1">
      <alignment horizontal="center" vertical="center"/>
    </xf>
    <xf numFmtId="10" fontId="21" fillId="0" borderId="97" xfId="27" applyFont="1" applyFill="1" applyBorder="1" applyAlignment="1">
      <alignment horizontal="center" vertical="center"/>
    </xf>
    <xf numFmtId="0" fontId="21" fillId="0" borderId="0" xfId="0" applyFont="1" applyFill="1" applyBorder="1" applyAlignment="1">
      <alignment horizontal="center" wrapText="1"/>
    </xf>
    <xf numFmtId="10" fontId="21" fillId="0" borderId="15" xfId="27" applyNumberFormat="1" applyFont="1" applyFill="1" applyBorder="1" applyAlignment="1">
      <alignment horizontal="center" vertical="center"/>
    </xf>
    <xf numFmtId="175" fontId="21" fillId="0" borderId="7" xfId="2" applyNumberFormat="1" applyFont="1" applyFill="1" applyBorder="1" applyAlignment="1">
      <alignment horizontal="center" vertical="center"/>
    </xf>
    <xf numFmtId="175" fontId="21" fillId="0" borderId="10" xfId="2" applyNumberFormat="1" applyFont="1" applyFill="1" applyBorder="1" applyAlignment="1">
      <alignment horizontal="center" vertical="center"/>
    </xf>
    <xf numFmtId="0" fontId="161" fillId="0" borderId="0" xfId="23" applyFont="1" applyFill="1">
      <alignment vertical="top"/>
    </xf>
    <xf numFmtId="0" fontId="170" fillId="0" borderId="0" xfId="23" applyFont="1" applyFill="1">
      <alignment vertical="top"/>
    </xf>
    <xf numFmtId="5" fontId="18" fillId="39" borderId="0" xfId="6" applyNumberFormat="1" applyFont="1" applyFill="1" applyBorder="1"/>
    <xf numFmtId="0" fontId="20" fillId="0" borderId="0" xfId="0" applyFont="1" applyFill="1" applyBorder="1" applyAlignment="1">
      <alignment horizontal="left"/>
    </xf>
    <xf numFmtId="185" fontId="0" fillId="0" borderId="23" xfId="56" applyNumberFormat="1" applyFont="1" applyBorder="1"/>
    <xf numFmtId="0" fontId="3" fillId="0" borderId="0" xfId="55" applyFont="1"/>
    <xf numFmtId="0" fontId="233" fillId="0" borderId="0" xfId="55" applyFont="1"/>
    <xf numFmtId="0" fontId="198" fillId="0" borderId="0" xfId="55" applyFont="1"/>
    <xf numFmtId="172" fontId="198" fillId="0" borderId="0" xfId="55" applyNumberFormat="1" applyFont="1"/>
    <xf numFmtId="172" fontId="183" fillId="0" borderId="0" xfId="56" applyNumberFormat="1" applyFont="1"/>
    <xf numFmtId="0" fontId="198" fillId="0" borderId="0" xfId="55" applyFont="1" applyFill="1"/>
    <xf numFmtId="7" fontId="198" fillId="0" borderId="0" xfId="6" applyNumberFormat="1" applyFont="1"/>
    <xf numFmtId="7" fontId="198" fillId="0" borderId="0" xfId="6" applyNumberFormat="1" applyFont="1" applyFill="1"/>
    <xf numFmtId="8" fontId="198" fillId="0" borderId="0" xfId="55" applyNumberFormat="1" applyFont="1" applyFill="1"/>
    <xf numFmtId="186" fontId="183" fillId="0" borderId="0" xfId="58" applyNumberFormat="1" applyFont="1"/>
    <xf numFmtId="186" fontId="183" fillId="55" borderId="0" xfId="58" applyNumberFormat="1" applyFont="1" applyFill="1"/>
    <xf numFmtId="0" fontId="86" fillId="51" borderId="40" xfId="0" applyFont="1" applyFill="1" applyBorder="1" applyAlignment="1">
      <alignment horizontal="left" vertical="center"/>
    </xf>
    <xf numFmtId="0" fontId="62" fillId="50" borderId="9" xfId="0" applyFont="1" applyFill="1" applyBorder="1" applyAlignment="1"/>
    <xf numFmtId="0" fontId="21" fillId="0" borderId="8" xfId="0" applyFont="1" applyBorder="1" applyAlignment="1"/>
    <xf numFmtId="0" fontId="18" fillId="55" borderId="37" xfId="0" applyFont="1" applyFill="1" applyBorder="1" applyAlignment="1"/>
    <xf numFmtId="0" fontId="18" fillId="54" borderId="9" xfId="0" applyFont="1" applyFill="1" applyBorder="1" applyAlignment="1"/>
    <xf numFmtId="0" fontId="62" fillId="96" borderId="9" xfId="0" applyFont="1" applyFill="1" applyBorder="1" applyAlignment="1"/>
    <xf numFmtId="0" fontId="154" fillId="0" borderId="0" xfId="0" applyFont="1" applyFill="1" applyBorder="1" applyAlignment="1"/>
    <xf numFmtId="0" fontId="62" fillId="52" borderId="9" xfId="0" applyFont="1" applyFill="1" applyBorder="1" applyAlignment="1"/>
    <xf numFmtId="0" fontId="18" fillId="75" borderId="9" xfId="0" applyFont="1" applyFill="1" applyBorder="1" applyAlignment="1"/>
    <xf numFmtId="0" fontId="159" fillId="65" borderId="9" xfId="0" applyFont="1" applyFill="1" applyBorder="1" applyAlignment="1"/>
    <xf numFmtId="0" fontId="21" fillId="0" borderId="10" xfId="23" applyBorder="1">
      <alignment vertical="top"/>
    </xf>
    <xf numFmtId="0" fontId="0" fillId="0" borderId="8" xfId="0" applyBorder="1" applyAlignment="1">
      <alignment horizontal="center"/>
    </xf>
    <xf numFmtId="0" fontId="0" fillId="0" borderId="33" xfId="0" applyBorder="1" applyAlignment="1">
      <alignment horizontal="center"/>
    </xf>
    <xf numFmtId="0" fontId="0" fillId="0" borderId="32" xfId="0" applyBorder="1" applyAlignment="1">
      <alignment horizontal="center"/>
    </xf>
    <xf numFmtId="0" fontId="18" fillId="0" borderId="79" xfId="0" applyFont="1" applyBorder="1" applyAlignment="1">
      <alignment wrapText="1"/>
    </xf>
    <xf numFmtId="0" fontId="18" fillId="0" borderId="80" xfId="0" applyFont="1" applyBorder="1" applyAlignment="1">
      <alignment wrapText="1"/>
    </xf>
    <xf numFmtId="0" fontId="18" fillId="0" borderId="81" xfId="0" applyFont="1" applyBorder="1" applyAlignment="1">
      <alignment wrapText="1"/>
    </xf>
    <xf numFmtId="0" fontId="57" fillId="0" borderId="83" xfId="0" applyFont="1" applyBorder="1" applyAlignment="1">
      <alignment horizontal="center" wrapText="1"/>
    </xf>
    <xf numFmtId="0" fontId="57" fillId="0" borderId="84" xfId="0" applyFont="1" applyBorder="1" applyAlignment="1">
      <alignment horizontal="center" wrapText="1"/>
    </xf>
    <xf numFmtId="0" fontId="57" fillId="0" borderId="85" xfId="0" applyFont="1" applyBorder="1" applyAlignment="1">
      <alignment horizontal="center" wrapText="1"/>
    </xf>
    <xf numFmtId="0" fontId="57" fillId="0" borderId="86" xfId="0" applyFont="1" applyBorder="1" applyAlignment="1">
      <alignment horizontal="center" wrapText="1"/>
    </xf>
    <xf numFmtId="0" fontId="57" fillId="0" borderId="87" xfId="0" applyFont="1" applyBorder="1" applyAlignment="1">
      <alignment horizontal="center" wrapText="1"/>
    </xf>
    <xf numFmtId="10" fontId="36" fillId="6" borderId="39" xfId="26" applyFont="1" applyFill="1" applyBorder="1"/>
    <xf numFmtId="10" fontId="19" fillId="0" borderId="3" xfId="26" applyFont="1" applyBorder="1" applyAlignment="1"/>
    <xf numFmtId="164" fontId="21" fillId="71" borderId="23" xfId="26" applyNumberFormat="1" applyFont="1" applyFill="1" applyBorder="1" applyAlignment="1"/>
    <xf numFmtId="0" fontId="234" fillId="0" borderId="82" xfId="0" applyFont="1" applyBorder="1" applyAlignment="1">
      <alignment horizontal="center" wrapText="1"/>
    </xf>
    <xf numFmtId="164" fontId="20" fillId="0" borderId="39" xfId="0" applyNumberFormat="1" applyFont="1" applyFill="1" applyBorder="1" applyAlignment="1"/>
    <xf numFmtId="164" fontId="235" fillId="0" borderId="0" xfId="27" applyNumberFormat="1" applyFont="1" applyFill="1" applyBorder="1" applyAlignment="1"/>
    <xf numFmtId="10" fontId="21" fillId="81" borderId="0" xfId="26" applyFont="1" applyFill="1" applyBorder="1"/>
    <xf numFmtId="10" fontId="0" fillId="81" borderId="39" xfId="0" applyNumberFormat="1" applyFill="1" applyBorder="1" applyAlignment="1"/>
    <xf numFmtId="10" fontId="18" fillId="81" borderId="6" xfId="0" applyNumberFormat="1" applyFont="1" applyFill="1" applyBorder="1" applyAlignment="1"/>
    <xf numFmtId="10" fontId="20" fillId="81" borderId="0" xfId="27" applyFont="1" applyFill="1" applyBorder="1"/>
    <xf numFmtId="10" fontId="0" fillId="78" borderId="0" xfId="0" applyNumberFormat="1" applyFill="1" applyBorder="1" applyAlignment="1"/>
    <xf numFmtId="175" fontId="161" fillId="31" borderId="7" xfId="1" applyNumberFormat="1" applyFont="1" applyFill="1" applyBorder="1" applyAlignment="1">
      <alignment horizontal="center"/>
    </xf>
    <xf numFmtId="43" fontId="0" fillId="0" borderId="0" xfId="0" applyNumberFormat="1" applyAlignment="1"/>
    <xf numFmtId="43" fontId="0" fillId="0" borderId="0" xfId="0" applyNumberFormat="1" applyAlignment="1">
      <alignment horizontal="center"/>
    </xf>
    <xf numFmtId="43" fontId="0" fillId="0" borderId="0" xfId="6" applyNumberFormat="1" applyFont="1" applyAlignment="1"/>
    <xf numFmtId="43" fontId="18" fillId="0" borderId="0" xfId="0" applyNumberFormat="1" applyFont="1" applyAlignment="1"/>
    <xf numFmtId="2" fontId="160" fillId="0" borderId="23" xfId="0" applyNumberFormat="1" applyFont="1" applyFill="1" applyBorder="1" applyAlignment="1"/>
    <xf numFmtId="2" fontId="160" fillId="0" borderId="65" xfId="0" applyNumberFormat="1" applyFont="1" applyFill="1" applyBorder="1" applyAlignment="1"/>
    <xf numFmtId="2" fontId="160" fillId="0" borderId="43" xfId="0" applyNumberFormat="1" applyFont="1" applyFill="1" applyBorder="1" applyAlignment="1"/>
    <xf numFmtId="4" fontId="160" fillId="0" borderId="23" xfId="0" applyNumberFormat="1" applyFont="1" applyFill="1" applyBorder="1" applyAlignment="1">
      <alignment horizontal="right"/>
    </xf>
    <xf numFmtId="0" fontId="0" fillId="0" borderId="0" xfId="0" applyBorder="1" applyAlignment="1">
      <alignment horizontal="center"/>
    </xf>
    <xf numFmtId="164" fontId="36" fillId="0" borderId="0" xfId="0" applyNumberFormat="1" applyFont="1" applyAlignment="1"/>
    <xf numFmtId="10" fontId="36" fillId="0" borderId="0" xfId="0" applyNumberFormat="1" applyFont="1" applyAlignment="1"/>
    <xf numFmtId="10" fontId="36" fillId="0" borderId="0" xfId="0" applyNumberFormat="1" applyFont="1" applyAlignment="1">
      <alignment wrapText="1"/>
    </xf>
    <xf numFmtId="10" fontId="36" fillId="0" borderId="0" xfId="0" applyNumberFormat="1" applyFont="1" applyFill="1" applyAlignment="1"/>
    <xf numFmtId="4" fontId="27" fillId="0" borderId="0" xfId="0" applyNumberFormat="1" applyFont="1" applyFill="1" applyBorder="1" applyAlignment="1">
      <alignment horizontal="center"/>
    </xf>
    <xf numFmtId="4" fontId="36" fillId="0" borderId="0" xfId="0" applyNumberFormat="1" applyFont="1" applyBorder="1" applyAlignment="1"/>
    <xf numFmtId="3" fontId="44" fillId="0" borderId="0" xfId="0" applyNumberFormat="1" applyFont="1" applyFill="1" applyBorder="1" applyAlignment="1">
      <alignment horizontal="left"/>
    </xf>
    <xf numFmtId="3" fontId="36" fillId="0" borderId="0" xfId="0" applyNumberFormat="1" applyFont="1" applyAlignment="1"/>
    <xf numFmtId="14" fontId="0" fillId="0" borderId="0" xfId="0" applyNumberFormat="1" applyAlignment="1"/>
    <xf numFmtId="3" fontId="42" fillId="0" borderId="0" xfId="0" applyNumberFormat="1" applyFont="1" applyFill="1" applyAlignment="1"/>
    <xf numFmtId="164" fontId="36" fillId="0" borderId="0" xfId="0" applyNumberFormat="1" applyFont="1" applyFill="1" applyAlignment="1"/>
    <xf numFmtId="9" fontId="36" fillId="0" borderId="0" xfId="0" applyNumberFormat="1" applyFont="1" applyAlignment="1">
      <alignment horizontal="left" indent="1"/>
    </xf>
    <xf numFmtId="9" fontId="0" fillId="0" borderId="0" xfId="0" applyNumberFormat="1" applyAlignment="1"/>
    <xf numFmtId="5" fontId="0" fillId="0" borderId="0" xfId="0" applyNumberFormat="1" applyAlignment="1"/>
    <xf numFmtId="9" fontId="21" fillId="0" borderId="0" xfId="0" applyNumberFormat="1" applyFont="1" applyAlignment="1"/>
    <xf numFmtId="0" fontId="36" fillId="0" borderId="0" xfId="6" applyNumberFormat="1" applyFont="1" applyAlignment="1">
      <alignment horizontal="center"/>
    </xf>
    <xf numFmtId="9" fontId="36" fillId="0" borderId="0" xfId="0" applyNumberFormat="1" applyFont="1" applyAlignment="1"/>
    <xf numFmtId="7" fontId="36" fillId="0" borderId="0" xfId="0" applyNumberFormat="1" applyFont="1" applyAlignment="1"/>
    <xf numFmtId="5" fontId="36" fillId="0" borderId="0" xfId="0" applyNumberFormat="1" applyFont="1" applyAlignment="1"/>
    <xf numFmtId="164" fontId="21" fillId="0" borderId="0" xfId="0" applyNumberFormat="1" applyFont="1" applyFill="1" applyBorder="1" applyAlignment="1">
      <alignment horizontal="center" vertical="center"/>
    </xf>
    <xf numFmtId="164" fontId="21" fillId="0" borderId="0" xfId="27" applyNumberFormat="1" applyFont="1" applyFill="1" applyBorder="1" applyAlignment="1">
      <alignment horizontal="center" vertical="center"/>
    </xf>
    <xf numFmtId="10" fontId="21" fillId="0" borderId="0" xfId="27" applyFont="1" applyFill="1" applyBorder="1" applyAlignment="1">
      <alignment horizontal="center" vertical="center" wrapText="1"/>
    </xf>
    <xf numFmtId="10" fontId="21" fillId="0" borderId="0" xfId="0" applyNumberFormat="1" applyFont="1" applyFill="1" applyBorder="1" applyAlignment="1" applyProtection="1">
      <alignment horizontal="center" vertical="center"/>
      <protection locked="0"/>
    </xf>
    <xf numFmtId="3" fontId="21" fillId="0" borderId="0" xfId="2" applyNumberFormat="1" applyFont="1" applyFill="1" applyBorder="1" applyAlignment="1" applyProtection="1">
      <alignment horizontal="center" vertical="center"/>
      <protection locked="0"/>
    </xf>
    <xf numFmtId="0" fontId="21" fillId="0" borderId="0" xfId="0" applyFont="1" applyFill="1" applyBorder="1" applyAlignment="1" applyProtection="1">
      <alignment horizontal="center" vertical="center"/>
      <protection locked="0"/>
    </xf>
    <xf numFmtId="10" fontId="21" fillId="0" borderId="0" xfId="27" applyFont="1" applyFill="1" applyBorder="1" applyAlignment="1">
      <alignment vertical="center"/>
    </xf>
    <xf numFmtId="0" fontId="16" fillId="0" borderId="0" xfId="0" applyFont="1" applyFill="1" applyBorder="1" applyAlignment="1">
      <alignment vertical="center"/>
    </xf>
    <xf numFmtId="37" fontId="21" fillId="0" borderId="0" xfId="0" applyNumberFormat="1" applyFont="1" applyFill="1" applyBorder="1" applyAlignment="1">
      <alignment horizontal="center" vertical="center"/>
    </xf>
    <xf numFmtId="3" fontId="21" fillId="0" borderId="0" xfId="2" applyFont="1" applyFill="1" applyBorder="1" applyAlignment="1">
      <alignment horizontal="center" vertical="center"/>
    </xf>
    <xf numFmtId="166" fontId="21" fillId="0" borderId="0" xfId="0" applyNumberFormat="1" applyFont="1" applyFill="1" applyBorder="1" applyAlignment="1">
      <alignment horizontal="center" vertical="center"/>
    </xf>
    <xf numFmtId="0" fontId="183" fillId="0" borderId="0" xfId="0" applyFont="1" applyBorder="1" applyAlignment="1"/>
    <xf numFmtId="0" fontId="183" fillId="0" borderId="0" xfId="0" applyFont="1" applyFill="1" applyBorder="1" applyAlignment="1"/>
    <xf numFmtId="0" fontId="189" fillId="0" borderId="0" xfId="0" applyFont="1" applyAlignment="1"/>
    <xf numFmtId="0" fontId="189" fillId="0" borderId="0" xfId="0" applyFont="1" applyBorder="1" applyAlignment="1"/>
    <xf numFmtId="0" fontId="191" fillId="0" borderId="0" xfId="0" applyFont="1" applyFill="1" applyBorder="1" applyAlignment="1">
      <alignment horizontal="left"/>
    </xf>
    <xf numFmtId="0" fontId="189" fillId="0" borderId="0" xfId="0" applyFont="1" applyFill="1" applyBorder="1" applyAlignment="1"/>
    <xf numFmtId="6" fontId="189" fillId="0" borderId="0" xfId="0" applyNumberFormat="1" applyFont="1" applyFill="1" applyBorder="1" applyAlignment="1"/>
    <xf numFmtId="6" fontId="168" fillId="0" borderId="0" xfId="0" applyNumberFormat="1" applyFont="1" applyFill="1" applyAlignment="1"/>
    <xf numFmtId="0" fontId="183" fillId="0" borderId="0" xfId="0" applyFont="1" applyBorder="1" applyAlignment="1">
      <alignment horizontal="right"/>
    </xf>
    <xf numFmtId="0" fontId="183" fillId="0" borderId="0" xfId="0" applyFont="1" applyFill="1" applyBorder="1" applyAlignment="1">
      <alignment horizontal="right"/>
    </xf>
    <xf numFmtId="0" fontId="21" fillId="0" borderId="34" xfId="0" applyFont="1" applyFill="1" applyBorder="1" applyAlignment="1">
      <alignment horizontal="center" vertical="center" wrapText="1"/>
    </xf>
    <xf numFmtId="2" fontId="18" fillId="0" borderId="41" xfId="7" applyNumberFormat="1" applyFont="1" applyFill="1" applyBorder="1" applyAlignment="1">
      <alignment horizontal="center" vertical="center"/>
    </xf>
    <xf numFmtId="5" fontId="21" fillId="0" borderId="0" xfId="6" applyFont="1" applyFill="1" applyBorder="1" applyAlignment="1"/>
    <xf numFmtId="10" fontId="21" fillId="0" borderId="0" xfId="26" applyFont="1" applyAlignment="1"/>
    <xf numFmtId="164" fontId="20" fillId="78" borderId="39" xfId="0" applyNumberFormat="1" applyFont="1" applyFill="1" applyBorder="1" applyAlignment="1"/>
    <xf numFmtId="2" fontId="18" fillId="58" borderId="37" xfId="0" applyNumberFormat="1" applyFont="1" applyFill="1" applyBorder="1" applyAlignment="1">
      <alignment horizontal="center" vertical="center" wrapText="1"/>
    </xf>
    <xf numFmtId="2" fontId="18" fillId="58" borderId="33" xfId="0" applyNumberFormat="1" applyFont="1" applyFill="1" applyBorder="1" applyAlignment="1">
      <alignment horizontal="center" vertical="center" wrapText="1"/>
    </xf>
    <xf numFmtId="7" fontId="18" fillId="0" borderId="0" xfId="0" applyNumberFormat="1" applyFont="1" applyFill="1" applyBorder="1" applyAlignment="1" applyProtection="1"/>
    <xf numFmtId="171" fontId="18" fillId="0" borderId="0" xfId="0" applyNumberFormat="1" applyFont="1" applyFill="1" applyAlignment="1"/>
    <xf numFmtId="7" fontId="18" fillId="0" borderId="0" xfId="0" applyNumberFormat="1" applyFont="1" applyFill="1" applyAlignment="1"/>
    <xf numFmtId="4" fontId="18" fillId="0" borderId="0" xfId="0" applyNumberFormat="1" applyFont="1" applyFill="1" applyAlignment="1"/>
    <xf numFmtId="5" fontId="18" fillId="0" borderId="0" xfId="6" applyNumberFormat="1" applyFont="1" applyFill="1"/>
    <xf numFmtId="169" fontId="18" fillId="0" borderId="0" xfId="0" applyNumberFormat="1" applyFont="1" applyFill="1" applyBorder="1" applyAlignment="1" applyProtection="1"/>
    <xf numFmtId="0" fontId="18" fillId="0" borderId="0" xfId="0" applyFont="1" applyFill="1" applyBorder="1" applyAlignment="1">
      <alignment horizontal="center"/>
    </xf>
    <xf numFmtId="0" fontId="236" fillId="0" borderId="0" xfId="0" applyFont="1" applyFill="1" applyBorder="1" applyAlignment="1">
      <alignment horizontal="left" vertical="center"/>
    </xf>
    <xf numFmtId="0" fontId="236" fillId="0" borderId="0" xfId="0" applyFont="1" applyFill="1" applyBorder="1" applyAlignment="1">
      <alignment horizontal="center" vertical="center"/>
    </xf>
    <xf numFmtId="0" fontId="21" fillId="0" borderId="39" xfId="0" applyFont="1" applyFill="1" applyBorder="1" applyAlignment="1">
      <alignment horizontal="left" vertical="center"/>
    </xf>
    <xf numFmtId="0" fontId="18" fillId="64" borderId="115" xfId="0" applyFont="1" applyFill="1" applyBorder="1" applyAlignment="1">
      <alignment horizontal="center"/>
    </xf>
    <xf numFmtId="0" fontId="18" fillId="64" borderId="116" xfId="0" applyFont="1" applyFill="1" applyBorder="1" applyAlignment="1">
      <alignment horizontal="center"/>
    </xf>
    <xf numFmtId="0" fontId="18" fillId="64" borderId="112" xfId="0" applyFont="1" applyFill="1" applyBorder="1" applyAlignment="1">
      <alignment horizontal="center"/>
    </xf>
    <xf numFmtId="0" fontId="18" fillId="64" borderId="117" xfId="0" applyFont="1" applyFill="1" applyBorder="1" applyAlignment="1">
      <alignment horizontal="center"/>
    </xf>
    <xf numFmtId="0" fontId="21" fillId="0" borderId="118" xfId="0" applyFont="1" applyFill="1" applyBorder="1" applyAlignment="1"/>
    <xf numFmtId="0" fontId="21" fillId="0" borderId="118" xfId="0" applyFont="1" applyFill="1" applyBorder="1" applyAlignment="1">
      <alignment horizontal="center"/>
    </xf>
    <xf numFmtId="2" fontId="21" fillId="0" borderId="116" xfId="0" applyNumberFormat="1" applyFont="1" applyFill="1" applyBorder="1" applyAlignment="1">
      <alignment horizontal="center" vertical="center"/>
    </xf>
    <xf numFmtId="2" fontId="21" fillId="0" borderId="112" xfId="0" applyNumberFormat="1" applyFont="1" applyFill="1" applyBorder="1" applyAlignment="1">
      <alignment horizontal="center" vertical="center"/>
    </xf>
    <xf numFmtId="2" fontId="21" fillId="0" borderId="112" xfId="0" applyNumberFormat="1" applyFont="1" applyFill="1" applyBorder="1" applyAlignment="1">
      <alignment horizontal="center" vertical="center" wrapText="1"/>
    </xf>
    <xf numFmtId="2" fontId="21" fillId="0" borderId="117" xfId="0" applyNumberFormat="1" applyFont="1" applyFill="1" applyBorder="1" applyAlignment="1">
      <alignment horizontal="center" vertical="center" wrapText="1"/>
    </xf>
    <xf numFmtId="0" fontId="21" fillId="0" borderId="118" xfId="0" applyFont="1" applyFill="1" applyBorder="1" applyAlignment="1">
      <alignment vertical="center"/>
    </xf>
    <xf numFmtId="0" fontId="21" fillId="0" borderId="118" xfId="0" applyFont="1" applyFill="1" applyBorder="1" applyAlignment="1">
      <alignment horizontal="center" vertical="center"/>
    </xf>
    <xf numFmtId="0" fontId="21" fillId="0" borderId="118" xfId="0" applyFont="1" applyFill="1" applyBorder="1" applyAlignment="1">
      <alignment wrapText="1"/>
    </xf>
    <xf numFmtId="0" fontId="21" fillId="0" borderId="118" xfId="0" applyFont="1" applyFill="1" applyBorder="1" applyAlignment="1">
      <alignment horizontal="center" wrapText="1"/>
    </xf>
    <xf numFmtId="2" fontId="21" fillId="0" borderId="116" xfId="0" applyNumberFormat="1" applyFont="1" applyFill="1" applyBorder="1" applyAlignment="1">
      <alignment horizontal="center" vertical="center" wrapText="1"/>
    </xf>
    <xf numFmtId="0" fontId="21" fillId="0" borderId="119" xfId="0" applyFont="1" applyFill="1" applyBorder="1" applyAlignment="1">
      <alignment wrapText="1"/>
    </xf>
    <xf numFmtId="0" fontId="21" fillId="0" borderId="119" xfId="0" applyFont="1" applyFill="1" applyBorder="1" applyAlignment="1">
      <alignment horizontal="center" wrapText="1"/>
    </xf>
    <xf numFmtId="2" fontId="21" fillId="0" borderId="120" xfId="0" applyNumberFormat="1" applyFont="1" applyFill="1" applyBorder="1" applyAlignment="1">
      <alignment horizontal="center" vertical="center" wrapText="1"/>
    </xf>
    <xf numFmtId="2" fontId="21" fillId="0" borderId="121" xfId="0" applyNumberFormat="1" applyFont="1" applyFill="1" applyBorder="1" applyAlignment="1">
      <alignment horizontal="center" vertical="center" wrapText="1"/>
    </xf>
    <xf numFmtId="0" fontId="18" fillId="64" borderId="115" xfId="0" applyFont="1" applyFill="1" applyBorder="1" applyAlignment="1">
      <alignment horizontal="center" wrapText="1"/>
    </xf>
    <xf numFmtId="0" fontId="18" fillId="64" borderId="116" xfId="0" applyFont="1" applyFill="1" applyBorder="1" applyAlignment="1">
      <alignment horizontal="center" wrapText="1"/>
    </xf>
    <xf numFmtId="0" fontId="18" fillId="64" borderId="112" xfId="0" applyFont="1" applyFill="1" applyBorder="1" applyAlignment="1">
      <alignment horizontal="center" wrapText="1"/>
    </xf>
    <xf numFmtId="0" fontId="18" fillId="64" borderId="117" xfId="0" applyFont="1" applyFill="1" applyBorder="1" applyAlignment="1">
      <alignment horizontal="center" wrapText="1"/>
    </xf>
    <xf numFmtId="0" fontId="18" fillId="64" borderId="117" xfId="0" applyFont="1" applyFill="1" applyBorder="1" applyAlignment="1">
      <alignment horizontal="right" wrapText="1"/>
    </xf>
    <xf numFmtId="0" fontId="21" fillId="66" borderId="118" xfId="0" applyFont="1" applyFill="1" applyBorder="1" applyAlignment="1">
      <alignment wrapText="1"/>
    </xf>
    <xf numFmtId="0" fontId="21" fillId="66" borderId="118" xfId="0" applyFont="1" applyFill="1" applyBorder="1" applyAlignment="1">
      <alignment horizontal="center" wrapText="1"/>
    </xf>
    <xf numFmtId="2" fontId="21" fillId="66" borderId="116" xfId="0" applyNumberFormat="1" applyFont="1" applyFill="1" applyBorder="1" applyAlignment="1">
      <alignment horizontal="center" vertical="center" wrapText="1"/>
    </xf>
    <xf numFmtId="2" fontId="21" fillId="66" borderId="112" xfId="0" applyNumberFormat="1" applyFont="1" applyFill="1" applyBorder="1" applyAlignment="1">
      <alignment horizontal="center" vertical="center" wrapText="1"/>
    </xf>
    <xf numFmtId="2" fontId="21" fillId="66" borderId="112" xfId="0" applyNumberFormat="1" applyFont="1" applyFill="1" applyBorder="1" applyAlignment="1">
      <alignment horizontal="right" vertical="center" wrapText="1"/>
    </xf>
    <xf numFmtId="2" fontId="21" fillId="66" borderId="117" xfId="0" applyNumberFormat="1" applyFont="1" applyFill="1" applyBorder="1" applyAlignment="1">
      <alignment horizontal="center" vertical="center" wrapText="1"/>
    </xf>
    <xf numFmtId="0" fontId="21" fillId="66" borderId="118" xfId="0" applyFont="1" applyFill="1" applyBorder="1" applyAlignment="1">
      <alignment vertical="center"/>
    </xf>
    <xf numFmtId="0" fontId="21" fillId="66" borderId="118" xfId="0" applyFont="1" applyFill="1" applyBorder="1" applyAlignment="1">
      <alignment horizontal="center" vertical="center"/>
    </xf>
    <xf numFmtId="2" fontId="21" fillId="66" borderId="116" xfId="0" applyNumberFormat="1" applyFont="1" applyFill="1" applyBorder="1" applyAlignment="1">
      <alignment horizontal="center" vertical="center"/>
    </xf>
    <xf numFmtId="2" fontId="21" fillId="66" borderId="112" xfId="0" applyNumberFormat="1" applyFont="1" applyFill="1" applyBorder="1" applyAlignment="1">
      <alignment horizontal="center" vertical="center"/>
    </xf>
    <xf numFmtId="2" fontId="21" fillId="66" borderId="112" xfId="0" applyNumberFormat="1" applyFont="1" applyFill="1" applyBorder="1" applyAlignment="1">
      <alignment horizontal="right" vertical="center"/>
    </xf>
    <xf numFmtId="2" fontId="21" fillId="66" borderId="117" xfId="0" applyNumberFormat="1" applyFont="1" applyFill="1" applyBorder="1" applyAlignment="1">
      <alignment horizontal="center" vertical="center"/>
    </xf>
    <xf numFmtId="0" fontId="21" fillId="66" borderId="118" xfId="0" applyFont="1" applyFill="1" applyBorder="1" applyAlignment="1">
      <alignment horizontal="left" wrapText="1"/>
    </xf>
    <xf numFmtId="0" fontId="21" fillId="66" borderId="119" xfId="0" applyFont="1" applyFill="1" applyBorder="1" applyAlignment="1">
      <alignment wrapText="1"/>
    </xf>
    <xf numFmtId="0" fontId="21" fillId="66" borderId="119" xfId="0" applyFont="1" applyFill="1" applyBorder="1" applyAlignment="1">
      <alignment horizontal="center" wrapText="1"/>
    </xf>
    <xf numFmtId="2" fontId="21" fillId="66" borderId="120" xfId="0" applyNumberFormat="1" applyFont="1" applyFill="1" applyBorder="1" applyAlignment="1">
      <alignment horizontal="center" vertical="center" wrapText="1"/>
    </xf>
    <xf numFmtId="2" fontId="21" fillId="66" borderId="121" xfId="0" applyNumberFormat="1" applyFont="1" applyFill="1" applyBorder="1" applyAlignment="1">
      <alignment horizontal="center" vertical="center" wrapText="1"/>
    </xf>
    <xf numFmtId="2" fontId="21" fillId="66" borderId="121" xfId="0" applyNumberFormat="1" applyFont="1" applyFill="1" applyBorder="1" applyAlignment="1">
      <alignment horizontal="right" vertical="center" wrapText="1"/>
    </xf>
    <xf numFmtId="0" fontId="237" fillId="0" borderId="0" xfId="0" applyFont="1" applyFill="1" applyBorder="1" applyAlignment="1"/>
    <xf numFmtId="0" fontId="237" fillId="0" borderId="0" xfId="0" applyFont="1" applyFill="1" applyBorder="1" applyAlignment="1">
      <alignment horizontal="center" vertical="center" wrapText="1"/>
    </xf>
    <xf numFmtId="2" fontId="237" fillId="0" borderId="0" xfId="0" applyNumberFormat="1" applyFont="1" applyFill="1" applyBorder="1" applyAlignment="1">
      <alignment horizontal="center" vertical="center" wrapText="1"/>
    </xf>
    <xf numFmtId="2" fontId="237" fillId="0" borderId="0" xfId="0" applyNumberFormat="1" applyFont="1" applyFill="1" applyBorder="1" applyAlignment="1">
      <alignment horizontal="right" vertical="center" wrapText="1"/>
    </xf>
    <xf numFmtId="0" fontId="237" fillId="0" borderId="0" xfId="0" applyFont="1" applyBorder="1" applyAlignment="1"/>
    <xf numFmtId="0" fontId="237" fillId="0" borderId="0" xfId="0" applyFont="1" applyFill="1" applyBorder="1" applyAlignment="1">
      <alignment horizontal="left" vertical="center" wrapText="1"/>
    </xf>
    <xf numFmtId="3" fontId="237" fillId="0" borderId="0" xfId="2" applyFont="1" applyFill="1" applyBorder="1" applyAlignment="1">
      <alignment horizontal="center" vertical="center" wrapText="1"/>
    </xf>
    <xf numFmtId="3" fontId="237" fillId="0" borderId="0" xfId="2" applyNumberFormat="1" applyFont="1" applyFill="1" applyBorder="1" applyAlignment="1">
      <alignment horizontal="center" vertical="center" wrapText="1"/>
    </xf>
    <xf numFmtId="3" fontId="237" fillId="0" borderId="0" xfId="0" applyNumberFormat="1" applyFont="1" applyFill="1" applyBorder="1" applyAlignment="1">
      <alignment horizontal="center"/>
    </xf>
    <xf numFmtId="9" fontId="237" fillId="0" borderId="0" xfId="27" applyNumberFormat="1" applyFont="1" applyFill="1" applyBorder="1" applyAlignment="1">
      <alignment horizontal="center" vertical="center" wrapText="1"/>
    </xf>
    <xf numFmtId="9" fontId="237" fillId="0" borderId="0" xfId="27" applyNumberFormat="1" applyFont="1" applyFill="1" applyBorder="1" applyAlignment="1">
      <alignment horizontal="right" vertical="center" wrapText="1"/>
    </xf>
    <xf numFmtId="9" fontId="237" fillId="0" borderId="0" xfId="27" applyNumberFormat="1" applyFont="1" applyFill="1" applyBorder="1" applyAlignment="1">
      <alignment horizontal="center" vertical="center"/>
    </xf>
    <xf numFmtId="2" fontId="237" fillId="0" borderId="0" xfId="0" applyNumberFormat="1" applyFont="1" applyFill="1" applyBorder="1" applyAlignment="1">
      <alignment horizontal="center" vertical="center"/>
    </xf>
    <xf numFmtId="0" fontId="18" fillId="30" borderId="116" xfId="0" applyFont="1" applyFill="1" applyBorder="1" applyAlignment="1">
      <alignment horizontal="center" vertical="center" wrapText="1"/>
    </xf>
    <xf numFmtId="0" fontId="18" fillId="30" borderId="124" xfId="0" applyFont="1" applyFill="1" applyBorder="1" applyAlignment="1">
      <alignment horizontal="center" vertical="center" wrapText="1"/>
    </xf>
    <xf numFmtId="0" fontId="18" fillId="30" borderId="117" xfId="0" applyFont="1" applyFill="1" applyBorder="1" applyAlignment="1">
      <alignment horizontal="center" vertical="center" wrapText="1"/>
    </xf>
    <xf numFmtId="0" fontId="21" fillId="66" borderId="118" xfId="0" applyFont="1" applyFill="1" applyBorder="1" applyAlignment="1">
      <alignment horizontal="left" vertical="center" wrapText="1"/>
    </xf>
    <xf numFmtId="3" fontId="21" fillId="66" borderId="117" xfId="0" applyNumberFormat="1" applyFont="1" applyFill="1" applyBorder="1" applyAlignment="1">
      <alignment horizontal="center"/>
    </xf>
    <xf numFmtId="2" fontId="21" fillId="66" borderId="118" xfId="0" applyNumberFormat="1" applyFont="1" applyFill="1" applyBorder="1" applyAlignment="1">
      <alignment horizontal="center" vertical="center"/>
    </xf>
    <xf numFmtId="9" fontId="21" fillId="66" borderId="112" xfId="27" applyNumberFormat="1" applyFont="1" applyFill="1" applyBorder="1" applyAlignment="1">
      <alignment horizontal="right" vertical="center" wrapText="1"/>
    </xf>
    <xf numFmtId="9" fontId="21" fillId="66" borderId="112" xfId="27" applyNumberFormat="1" applyFont="1" applyFill="1" applyBorder="1" applyAlignment="1">
      <alignment horizontal="center" vertical="center" wrapText="1"/>
    </xf>
    <xf numFmtId="9" fontId="21" fillId="66" borderId="112" xfId="27" applyNumberFormat="1" applyFont="1" applyFill="1" applyBorder="1" applyAlignment="1">
      <alignment horizontal="center" vertical="center"/>
    </xf>
    <xf numFmtId="0" fontId="21" fillId="66" borderId="119" xfId="0" applyFont="1" applyFill="1" applyBorder="1" applyAlignment="1">
      <alignment horizontal="left" vertical="center" wrapText="1"/>
    </xf>
    <xf numFmtId="2" fontId="21" fillId="66" borderId="119" xfId="0" applyNumberFormat="1" applyFont="1" applyFill="1" applyBorder="1" applyAlignment="1">
      <alignment horizontal="center" vertical="center"/>
    </xf>
    <xf numFmtId="2" fontId="21" fillId="66" borderId="122" xfId="0" applyNumberFormat="1" applyFont="1" applyFill="1" applyBorder="1" applyAlignment="1">
      <alignment horizontal="center" vertical="center"/>
    </xf>
    <xf numFmtId="9" fontId="21" fillId="66" borderId="127" xfId="27" applyNumberFormat="1" applyFont="1" applyFill="1" applyBorder="1" applyAlignment="1">
      <alignment horizontal="center" vertical="center"/>
    </xf>
    <xf numFmtId="0" fontId="18" fillId="30" borderId="45" xfId="0" applyFont="1" applyFill="1" applyBorder="1" applyAlignment="1">
      <alignment horizontal="center" vertical="center" wrapText="1"/>
    </xf>
    <xf numFmtId="10" fontId="237" fillId="0" borderId="0" xfId="0" applyNumberFormat="1" applyFont="1" applyFill="1" applyBorder="1" applyAlignment="1">
      <alignment horizontal="center" vertical="center" wrapText="1"/>
    </xf>
    <xf numFmtId="10" fontId="237" fillId="0" borderId="0" xfId="27" applyNumberFormat="1" applyFont="1" applyFill="1" applyBorder="1" applyAlignment="1">
      <alignment horizontal="center" vertical="center" wrapText="1"/>
    </xf>
    <xf numFmtId="10" fontId="237" fillId="0" borderId="0" xfId="0" applyNumberFormat="1" applyFont="1" applyFill="1" applyBorder="1" applyAlignment="1">
      <alignment horizontal="right" vertical="center" wrapText="1"/>
    </xf>
    <xf numFmtId="10" fontId="237" fillId="0" borderId="0" xfId="2" applyNumberFormat="1" applyFont="1" applyFill="1" applyBorder="1" applyAlignment="1">
      <alignment horizontal="center" vertical="center" wrapText="1"/>
    </xf>
    <xf numFmtId="165" fontId="237" fillId="0" borderId="0" xfId="0" applyNumberFormat="1" applyFont="1" applyFill="1" applyBorder="1" applyAlignment="1">
      <alignment horizontal="center" vertical="center" wrapText="1"/>
    </xf>
    <xf numFmtId="166" fontId="237" fillId="0" borderId="0" xfId="0" applyNumberFormat="1" applyFont="1" applyFill="1" applyBorder="1" applyAlignment="1">
      <alignment horizontal="center" vertical="center" wrapText="1"/>
    </xf>
    <xf numFmtId="165" fontId="21" fillId="66" borderId="117" xfId="0" applyNumberFormat="1" applyFont="1" applyFill="1" applyBorder="1" applyAlignment="1">
      <alignment horizontal="center" vertical="center" wrapText="1"/>
    </xf>
    <xf numFmtId="0" fontId="21" fillId="66" borderId="115" xfId="0" applyFont="1" applyFill="1" applyBorder="1" applyAlignment="1">
      <alignment horizontal="center" vertical="center" wrapText="1"/>
    </xf>
    <xf numFmtId="10" fontId="21" fillId="66" borderId="125" xfId="27" applyNumberFormat="1" applyFont="1" applyFill="1" applyBorder="1" applyAlignment="1">
      <alignment horizontal="center" vertical="center" wrapText="1"/>
    </xf>
    <xf numFmtId="10" fontId="21" fillId="66" borderId="115" xfId="0" applyNumberFormat="1" applyFont="1" applyFill="1" applyBorder="1" applyAlignment="1">
      <alignment horizontal="center" vertical="center" wrapText="1"/>
    </xf>
    <xf numFmtId="10" fontId="21" fillId="66" borderId="127" xfId="27" applyNumberFormat="1" applyFont="1" applyFill="1" applyBorder="1" applyAlignment="1">
      <alignment horizontal="center" vertical="center" wrapText="1"/>
    </xf>
    <xf numFmtId="10" fontId="21" fillId="66" borderId="127" xfId="0" applyNumberFormat="1" applyFont="1" applyFill="1" applyBorder="1" applyAlignment="1">
      <alignment horizontal="right" vertical="center" wrapText="1"/>
    </xf>
    <xf numFmtId="3" fontId="21" fillId="66" borderId="127" xfId="2" applyNumberFormat="1" applyFont="1" applyFill="1" applyBorder="1" applyAlignment="1">
      <alignment horizontal="center" vertical="center" wrapText="1"/>
    </xf>
    <xf numFmtId="10" fontId="21" fillId="66" borderId="125" xfId="2" applyNumberFormat="1" applyFont="1" applyFill="1" applyBorder="1" applyAlignment="1">
      <alignment horizontal="center" vertical="center" wrapText="1"/>
    </xf>
    <xf numFmtId="10" fontId="21" fillId="66" borderId="117" xfId="2" applyNumberFormat="1" applyFont="1" applyFill="1" applyBorder="1" applyAlignment="1">
      <alignment horizontal="center" vertical="center" wrapText="1"/>
    </xf>
    <xf numFmtId="165" fontId="21" fillId="66" borderId="118" xfId="0" applyNumberFormat="1" applyFont="1" applyFill="1" applyBorder="1" applyAlignment="1">
      <alignment horizontal="center" vertical="center" wrapText="1"/>
    </xf>
    <xf numFmtId="165" fontId="21" fillId="66" borderId="124" xfId="0" applyNumberFormat="1" applyFont="1" applyFill="1" applyBorder="1" applyAlignment="1">
      <alignment horizontal="center" vertical="center" wrapText="1"/>
    </xf>
    <xf numFmtId="166" fontId="21" fillId="66" borderId="124" xfId="0" applyNumberFormat="1" applyFont="1" applyFill="1" applyBorder="1" applyAlignment="1">
      <alignment horizontal="center" vertical="center" wrapText="1"/>
    </xf>
    <xf numFmtId="10" fontId="21" fillId="66" borderId="115" xfId="27" applyNumberFormat="1" applyFont="1" applyFill="1" applyBorder="1" applyAlignment="1">
      <alignment horizontal="center" vertical="center" wrapText="1"/>
    </xf>
    <xf numFmtId="10" fontId="21" fillId="66" borderId="125" xfId="0" applyNumberFormat="1" applyFont="1" applyFill="1" applyBorder="1" applyAlignment="1">
      <alignment horizontal="center" vertical="center" wrapText="1"/>
    </xf>
    <xf numFmtId="10" fontId="21" fillId="66" borderId="127" xfId="0" applyNumberFormat="1" applyFont="1" applyFill="1" applyBorder="1" applyAlignment="1">
      <alignment horizontal="center" vertical="center" wrapText="1"/>
    </xf>
    <xf numFmtId="3" fontId="21" fillId="66" borderId="127" xfId="0" applyNumberFormat="1" applyFont="1" applyFill="1" applyBorder="1" applyAlignment="1">
      <alignment horizontal="center" vertical="center" wrapText="1"/>
    </xf>
    <xf numFmtId="10" fontId="21" fillId="66" borderId="117" xfId="27" applyNumberFormat="1" applyFont="1" applyFill="1" applyBorder="1" applyAlignment="1">
      <alignment horizontal="center" vertical="center" wrapText="1"/>
    </xf>
    <xf numFmtId="10" fontId="21" fillId="66" borderId="118" xfId="0" applyNumberFormat="1" applyFont="1" applyFill="1" applyBorder="1" applyAlignment="1">
      <alignment horizontal="center" vertical="center" wrapText="1"/>
    </xf>
    <xf numFmtId="0" fontId="21" fillId="0" borderId="0" xfId="26" applyNumberFormat="1" applyFont="1"/>
    <xf numFmtId="3" fontId="21" fillId="0" borderId="0" xfId="0" applyNumberFormat="1" applyFont="1" applyAlignment="1"/>
    <xf numFmtId="41" fontId="21" fillId="0" borderId="0" xfId="0" applyNumberFormat="1" applyFont="1" applyAlignment="1"/>
    <xf numFmtId="3" fontId="21" fillId="0" borderId="0" xfId="26" applyNumberFormat="1" applyFont="1"/>
    <xf numFmtId="41" fontId="21" fillId="0" borderId="0" xfId="1" applyNumberFormat="1" applyFont="1" applyBorder="1"/>
    <xf numFmtId="166" fontId="0" fillId="0" borderId="0" xfId="0" applyNumberFormat="1" applyAlignment="1"/>
    <xf numFmtId="164" fontId="0" fillId="0" borderId="0" xfId="0" applyNumberFormat="1" applyAlignment="1"/>
    <xf numFmtId="3" fontId="0" fillId="0" borderId="0" xfId="0" applyNumberFormat="1" applyAlignment="1"/>
    <xf numFmtId="37" fontId="0" fillId="0" borderId="0" xfId="0" applyNumberFormat="1" applyAlignment="1"/>
    <xf numFmtId="0" fontId="237" fillId="0" borderId="0" xfId="0" applyFont="1" applyFill="1" applyBorder="1" applyAlignment="1">
      <alignment horizontal="center"/>
    </xf>
    <xf numFmtId="0" fontId="159" fillId="0" borderId="0" xfId="0" applyFont="1" applyFill="1" applyBorder="1" applyAlignment="1">
      <alignment vertical="center" wrapText="1"/>
    </xf>
    <xf numFmtId="0" fontId="18" fillId="30" borderId="112" xfId="0" applyFont="1" applyFill="1" applyBorder="1" applyAlignment="1">
      <alignment horizontal="center" vertical="center" wrapText="1"/>
    </xf>
    <xf numFmtId="0" fontId="18" fillId="30" borderId="112" xfId="0" applyFont="1" applyFill="1" applyBorder="1" applyAlignment="1">
      <alignment horizontal="center" vertical="center"/>
    </xf>
    <xf numFmtId="9" fontId="21" fillId="0" borderId="112" xfId="27" applyNumberFormat="1" applyFont="1" applyFill="1" applyBorder="1" applyAlignment="1">
      <alignment horizontal="center" vertical="center" wrapText="1"/>
    </xf>
    <xf numFmtId="9" fontId="21" fillId="0" borderId="112" xfId="27" applyNumberFormat="1" applyFont="1" applyFill="1" applyBorder="1" applyAlignment="1">
      <alignment horizontal="center" vertical="center"/>
    </xf>
    <xf numFmtId="3" fontId="237" fillId="0" borderId="0" xfId="0" applyNumberFormat="1" applyFont="1" applyBorder="1" applyAlignment="1">
      <alignment horizontal="center"/>
    </xf>
    <xf numFmtId="0" fontId="18" fillId="30" borderId="117" xfId="0" applyFont="1" applyFill="1" applyBorder="1" applyAlignment="1">
      <alignment horizontal="center" vertical="center"/>
    </xf>
    <xf numFmtId="0" fontId="21" fillId="0" borderId="115" xfId="0" applyFont="1" applyFill="1" applyBorder="1" applyAlignment="1">
      <alignment horizontal="left" vertical="center" wrapText="1"/>
    </xf>
    <xf numFmtId="9" fontId="21" fillId="0" borderId="117" xfId="27" applyNumberFormat="1" applyFont="1" applyFill="1" applyBorder="1" applyAlignment="1">
      <alignment horizontal="center" vertical="center"/>
    </xf>
    <xf numFmtId="0" fontId="21" fillId="0" borderId="129" xfId="0" applyFont="1" applyFill="1" applyBorder="1" applyAlignment="1">
      <alignment horizontal="left" vertical="center" wrapText="1"/>
    </xf>
    <xf numFmtId="9" fontId="21" fillId="0" borderId="121" xfId="27" applyNumberFormat="1" applyFont="1" applyFill="1" applyBorder="1" applyAlignment="1">
      <alignment horizontal="center" vertical="center" wrapText="1"/>
    </xf>
    <xf numFmtId="9" fontId="21" fillId="0" borderId="121" xfId="27" applyNumberFormat="1" applyFont="1" applyFill="1" applyBorder="1" applyAlignment="1">
      <alignment horizontal="center" vertical="center"/>
    </xf>
    <xf numFmtId="9" fontId="21" fillId="0" borderId="122" xfId="27" applyNumberFormat="1" applyFont="1" applyFill="1" applyBorder="1" applyAlignment="1">
      <alignment horizontal="center" vertical="center"/>
    </xf>
    <xf numFmtId="2" fontId="21" fillId="0" borderId="118" xfId="0" applyNumberFormat="1" applyFont="1" applyFill="1" applyBorder="1" applyAlignment="1">
      <alignment horizontal="center" vertical="center"/>
    </xf>
    <xf numFmtId="2" fontId="21" fillId="0" borderId="117" xfId="0" applyNumberFormat="1" applyFont="1" applyFill="1" applyBorder="1" applyAlignment="1">
      <alignment horizontal="center" vertical="center"/>
    </xf>
    <xf numFmtId="2" fontId="21" fillId="0" borderId="119" xfId="0" applyNumberFormat="1" applyFont="1" applyFill="1" applyBorder="1" applyAlignment="1">
      <alignment horizontal="center" vertical="center"/>
    </xf>
    <xf numFmtId="2" fontId="21" fillId="0" borderId="122" xfId="0" applyNumberFormat="1" applyFont="1" applyFill="1" applyBorder="1" applyAlignment="1">
      <alignment horizontal="center" vertical="center"/>
    </xf>
    <xf numFmtId="0" fontId="0" fillId="0" borderId="116" xfId="0" applyBorder="1" applyAlignment="1">
      <alignment horizontal="center"/>
    </xf>
    <xf numFmtId="2" fontId="0" fillId="0" borderId="0" xfId="0" applyNumberFormat="1" applyFill="1" applyBorder="1" applyAlignment="1">
      <alignment horizontal="right" vertical="center"/>
    </xf>
    <xf numFmtId="2" fontId="21" fillId="0" borderId="0" xfId="0" applyNumberFormat="1" applyFont="1" applyFill="1" applyBorder="1" applyAlignment="1">
      <alignment horizontal="right" vertical="center"/>
    </xf>
    <xf numFmtId="2" fontId="18" fillId="0" borderId="115" xfId="0" applyNumberFormat="1" applyFont="1" applyFill="1" applyBorder="1" applyAlignment="1">
      <alignment horizontal="center" vertical="center"/>
    </xf>
    <xf numFmtId="2" fontId="18" fillId="0" borderId="117" xfId="0" applyNumberFormat="1" applyFont="1" applyFill="1" applyBorder="1" applyAlignment="1">
      <alignment horizontal="center" vertical="center"/>
    </xf>
    <xf numFmtId="2" fontId="18" fillId="0" borderId="127" xfId="0" applyNumberFormat="1" applyFont="1" applyFill="1" applyBorder="1" applyAlignment="1">
      <alignment horizontal="center" vertical="center"/>
    </xf>
    <xf numFmtId="0" fontId="0" fillId="0" borderId="118" xfId="0" applyFill="1" applyBorder="1" applyAlignment="1">
      <alignment vertical="center"/>
    </xf>
    <xf numFmtId="2" fontId="21" fillId="0" borderId="116" xfId="7" applyNumberFormat="1" applyFont="1" applyFill="1" applyBorder="1" applyAlignment="1">
      <alignment horizontal="center" vertical="center"/>
    </xf>
    <xf numFmtId="2" fontId="18" fillId="0" borderId="117" xfId="7" applyNumberFormat="1" applyFont="1" applyFill="1" applyBorder="1" applyAlignment="1">
      <alignment horizontal="center" vertical="center"/>
    </xf>
    <xf numFmtId="2" fontId="21" fillId="0" borderId="112" xfId="7" applyNumberFormat="1" applyFont="1" applyFill="1" applyBorder="1" applyAlignment="1">
      <alignment horizontal="center" vertical="center"/>
    </xf>
    <xf numFmtId="2" fontId="18" fillId="0" borderId="127" xfId="7" applyNumberFormat="1" applyFont="1" applyFill="1" applyBorder="1" applyAlignment="1">
      <alignment horizontal="center" vertical="center"/>
    </xf>
    <xf numFmtId="0" fontId="21" fillId="0" borderId="119" xfId="0" applyFont="1" applyFill="1" applyBorder="1" applyAlignment="1">
      <alignment vertical="center"/>
    </xf>
    <xf numFmtId="0" fontId="21" fillId="0" borderId="119" xfId="0" applyFont="1" applyFill="1" applyBorder="1" applyAlignment="1">
      <alignment horizontal="center" vertical="center"/>
    </xf>
    <xf numFmtId="2" fontId="21" fillId="0" borderId="120" xfId="0" applyNumberFormat="1" applyFont="1" applyFill="1" applyBorder="1" applyAlignment="1">
      <alignment horizontal="center" vertical="center"/>
    </xf>
    <xf numFmtId="2" fontId="21" fillId="0" borderId="121" xfId="0" applyNumberFormat="1" applyFont="1" applyFill="1" applyBorder="1" applyAlignment="1">
      <alignment horizontal="center" vertical="center"/>
    </xf>
    <xf numFmtId="2" fontId="18" fillId="0" borderId="122" xfId="0" applyNumberFormat="1" applyFont="1" applyFill="1" applyBorder="1" applyAlignment="1">
      <alignment horizontal="center" vertical="center"/>
    </xf>
    <xf numFmtId="2" fontId="21" fillId="0" borderId="128" xfId="0" applyNumberFormat="1" applyFont="1" applyFill="1" applyBorder="1" applyAlignment="1">
      <alignment horizontal="center" vertical="center"/>
    </xf>
    <xf numFmtId="2" fontId="18" fillId="0" borderId="129" xfId="0" applyNumberFormat="1" applyFont="1" applyFill="1" applyBorder="1" applyAlignment="1">
      <alignment horizontal="center" vertical="center"/>
    </xf>
    <xf numFmtId="2" fontId="18" fillId="0" borderId="115" xfId="7" applyNumberFormat="1" applyFont="1" applyFill="1" applyBorder="1" applyAlignment="1">
      <alignment horizontal="center" vertical="center"/>
    </xf>
    <xf numFmtId="2" fontId="18" fillId="0" borderId="124" xfId="0" applyNumberFormat="1" applyFont="1" applyFill="1" applyBorder="1" applyAlignment="1">
      <alignment horizontal="center" vertical="center"/>
    </xf>
    <xf numFmtId="2" fontId="18" fillId="0" borderId="124" xfId="7" applyNumberFormat="1" applyFont="1" applyFill="1" applyBorder="1" applyAlignment="1">
      <alignment horizontal="center" vertical="center"/>
    </xf>
    <xf numFmtId="2" fontId="18" fillId="0" borderId="130" xfId="0" applyNumberFormat="1" applyFont="1" applyFill="1" applyBorder="1" applyAlignment="1">
      <alignment horizontal="center" vertical="center"/>
    </xf>
    <xf numFmtId="3" fontId="237" fillId="0" borderId="0" xfId="1" applyFont="1" applyFill="1" applyBorder="1" applyAlignment="1">
      <alignment horizontal="center" vertical="center"/>
    </xf>
    <xf numFmtId="3" fontId="21" fillId="0" borderId="116" xfId="1" applyFont="1" applyFill="1" applyBorder="1" applyAlignment="1">
      <alignment horizontal="center" vertical="center"/>
    </xf>
    <xf numFmtId="3" fontId="21" fillId="0" borderId="117" xfId="1" applyFont="1" applyFill="1" applyBorder="1" applyAlignment="1">
      <alignment horizontal="center" vertical="center"/>
    </xf>
    <xf numFmtId="3" fontId="21" fillId="0" borderId="120" xfId="1" applyFont="1" applyFill="1" applyBorder="1" applyAlignment="1">
      <alignment horizontal="center" vertical="center"/>
    </xf>
    <xf numFmtId="3" fontId="21" fillId="0" borderId="122" xfId="1" applyFont="1" applyFill="1" applyBorder="1" applyAlignment="1">
      <alignment horizontal="center" vertical="center"/>
    </xf>
    <xf numFmtId="2" fontId="159" fillId="0" borderId="0" xfId="0" applyNumberFormat="1" applyFont="1" applyFill="1" applyBorder="1" applyAlignment="1">
      <alignment horizontal="center" vertical="center"/>
    </xf>
    <xf numFmtId="0" fontId="237" fillId="0" borderId="0" xfId="0" applyFont="1" applyFill="1" applyBorder="1" applyAlignment="1">
      <alignment vertical="center"/>
    </xf>
    <xf numFmtId="0" fontId="237" fillId="0" borderId="0" xfId="0" applyFont="1" applyFill="1" applyBorder="1" applyAlignment="1">
      <alignment horizontal="center" vertical="center"/>
    </xf>
    <xf numFmtId="10" fontId="237" fillId="0" borderId="0" xfId="27" applyFont="1" applyFill="1" applyBorder="1" applyAlignment="1">
      <alignment horizontal="center" vertical="center"/>
    </xf>
    <xf numFmtId="2" fontId="237" fillId="0" borderId="0" xfId="0" applyNumberFormat="1" applyFont="1" applyFill="1" applyBorder="1" applyAlignment="1">
      <alignment horizontal="center"/>
    </xf>
    <xf numFmtId="2" fontId="159" fillId="0" borderId="0" xfId="0" applyNumberFormat="1" applyFont="1" applyFill="1" applyBorder="1" applyAlignment="1">
      <alignment horizontal="right" vertical="center"/>
    </xf>
    <xf numFmtId="0" fontId="159" fillId="0" borderId="0" xfId="0" applyFont="1" applyFill="1" applyBorder="1" applyAlignment="1"/>
    <xf numFmtId="1" fontId="237" fillId="0" borderId="0" xfId="0" applyNumberFormat="1" applyFont="1" applyFill="1" applyBorder="1" applyAlignment="1">
      <alignment horizontal="center" vertical="center"/>
    </xf>
    <xf numFmtId="2" fontId="237" fillId="0" borderId="0" xfId="7" applyNumberFormat="1" applyFont="1" applyFill="1" applyBorder="1" applyAlignment="1">
      <alignment horizontal="center" vertical="center"/>
    </xf>
    <xf numFmtId="0" fontId="0" fillId="66" borderId="118" xfId="0" applyFill="1" applyBorder="1" applyAlignment="1">
      <alignment vertical="center"/>
    </xf>
    <xf numFmtId="0" fontId="21" fillId="66" borderId="41" xfId="0" applyFont="1" applyFill="1" applyBorder="1" applyAlignment="1">
      <alignment horizontal="center" vertical="center"/>
    </xf>
    <xf numFmtId="0" fontId="21" fillId="66" borderId="115" xfId="0" applyFont="1" applyFill="1" applyBorder="1" applyAlignment="1">
      <alignment horizontal="center" vertical="center"/>
    </xf>
    <xf numFmtId="0" fontId="21" fillId="66" borderId="129" xfId="0" applyFont="1" applyFill="1" applyBorder="1" applyAlignment="1">
      <alignment horizontal="center" vertical="center"/>
    </xf>
    <xf numFmtId="2" fontId="18" fillId="66" borderId="22" xfId="7" applyNumberFormat="1" applyFont="1" applyFill="1" applyBorder="1" applyAlignment="1">
      <alignment horizontal="right" vertical="center"/>
    </xf>
    <xf numFmtId="2" fontId="18" fillId="66" borderId="117" xfId="0" applyNumberFormat="1" applyFont="1" applyFill="1" applyBorder="1" applyAlignment="1">
      <alignment horizontal="center" vertical="center"/>
    </xf>
    <xf numFmtId="2" fontId="18" fillId="66" borderId="124" xfId="0" applyNumberFormat="1" applyFont="1" applyFill="1" applyBorder="1" applyAlignment="1">
      <alignment horizontal="right" vertical="center"/>
    </xf>
    <xf numFmtId="2" fontId="18" fillId="66" borderId="127" xfId="0" applyNumberFormat="1" applyFont="1" applyFill="1" applyBorder="1" applyAlignment="1">
      <alignment horizontal="center" vertical="center"/>
    </xf>
    <xf numFmtId="2" fontId="21" fillId="66" borderId="116" xfId="7" applyNumberFormat="1" applyFont="1" applyFill="1" applyBorder="1" applyAlignment="1">
      <alignment horizontal="center" vertical="center"/>
    </xf>
    <xf numFmtId="2" fontId="18" fillId="66" borderId="117" xfId="7" applyNumberFormat="1" applyFont="1" applyFill="1" applyBorder="1" applyAlignment="1">
      <alignment horizontal="center" vertical="center"/>
    </xf>
    <xf numFmtId="2" fontId="21" fillId="66" borderId="112" xfId="7" applyNumberFormat="1" applyFont="1" applyFill="1" applyBorder="1" applyAlignment="1">
      <alignment horizontal="center" vertical="center"/>
    </xf>
    <xf numFmtId="2" fontId="18" fillId="66" borderId="124" xfId="7" applyNumberFormat="1" applyFont="1" applyFill="1" applyBorder="1" applyAlignment="1">
      <alignment horizontal="right" vertical="center"/>
    </xf>
    <xf numFmtId="0" fontId="21" fillId="66" borderId="119" xfId="0" applyFont="1" applyFill="1" applyBorder="1" applyAlignment="1">
      <alignment vertical="center"/>
    </xf>
    <xf numFmtId="2" fontId="21" fillId="66" borderId="120" xfId="0" applyNumberFormat="1" applyFont="1" applyFill="1" applyBorder="1" applyAlignment="1">
      <alignment horizontal="center" vertical="center"/>
    </xf>
    <xf numFmtId="2" fontId="21" fillId="66" borderId="121" xfId="0" applyNumberFormat="1" applyFont="1" applyFill="1" applyBorder="1" applyAlignment="1">
      <alignment horizontal="center" vertical="center"/>
    </xf>
    <xf numFmtId="2" fontId="18" fillId="66" borderId="122" xfId="0" applyNumberFormat="1" applyFont="1" applyFill="1" applyBorder="1" applyAlignment="1">
      <alignment horizontal="center" vertical="center"/>
    </xf>
    <xf numFmtId="2" fontId="18" fillId="66" borderId="130" xfId="0" applyNumberFormat="1" applyFont="1" applyFill="1" applyBorder="1" applyAlignment="1">
      <alignment horizontal="right" vertical="center"/>
    </xf>
    <xf numFmtId="2" fontId="18" fillId="66" borderId="128" xfId="0" applyNumberFormat="1" applyFont="1" applyFill="1" applyBorder="1" applyAlignment="1">
      <alignment horizontal="center" vertical="center"/>
    </xf>
    <xf numFmtId="2" fontId="18" fillId="66" borderId="117" xfId="0" applyNumberFormat="1" applyFont="1" applyFill="1" applyBorder="1" applyAlignment="1">
      <alignment horizontal="right" vertical="center"/>
    </xf>
    <xf numFmtId="2" fontId="18" fillId="66" borderId="117" xfId="7" applyNumberFormat="1" applyFont="1" applyFill="1" applyBorder="1" applyAlignment="1">
      <alignment horizontal="right" vertical="center"/>
    </xf>
    <xf numFmtId="2" fontId="18" fillId="66" borderId="127" xfId="7" applyNumberFormat="1" applyFont="1" applyFill="1" applyBorder="1" applyAlignment="1">
      <alignment horizontal="center" vertical="center"/>
    </xf>
    <xf numFmtId="0" fontId="21" fillId="66" borderId="119" xfId="0" applyFont="1" applyFill="1" applyBorder="1" applyAlignment="1">
      <alignment horizontal="center" vertical="center"/>
    </xf>
    <xf numFmtId="2" fontId="18" fillId="66" borderId="122" xfId="0" applyNumberFormat="1" applyFont="1" applyFill="1" applyBorder="1" applyAlignment="1">
      <alignment horizontal="right" vertical="center"/>
    </xf>
    <xf numFmtId="3" fontId="21" fillId="66" borderId="116" xfId="1" applyFont="1" applyFill="1" applyBorder="1" applyAlignment="1">
      <alignment horizontal="center" vertical="center"/>
    </xf>
    <xf numFmtId="3" fontId="21" fillId="66" borderId="117" xfId="1" applyFont="1" applyFill="1" applyBorder="1" applyAlignment="1">
      <alignment horizontal="center" vertical="center"/>
    </xf>
    <xf numFmtId="1" fontId="21" fillId="66" borderId="120" xfId="0" applyNumberFormat="1" applyFont="1" applyFill="1" applyBorder="1" applyAlignment="1">
      <alignment horizontal="center" vertical="center"/>
    </xf>
    <xf numFmtId="1" fontId="21" fillId="66" borderId="122" xfId="0" applyNumberFormat="1" applyFont="1" applyFill="1" applyBorder="1" applyAlignment="1">
      <alignment horizontal="center" vertical="center"/>
    </xf>
    <xf numFmtId="2" fontId="21" fillId="57" borderId="112" xfId="0" applyNumberFormat="1" applyFont="1" applyFill="1" applyBorder="1" applyAlignment="1">
      <alignment horizontal="center" vertical="center"/>
    </xf>
    <xf numFmtId="2" fontId="18" fillId="57" borderId="117" xfId="0" applyNumberFormat="1" applyFont="1" applyFill="1" applyBorder="1" applyAlignment="1">
      <alignment horizontal="center" vertical="center"/>
    </xf>
    <xf numFmtId="2" fontId="21" fillId="57" borderId="116" xfId="0" applyNumberFormat="1" applyFont="1" applyFill="1" applyBorder="1" applyAlignment="1">
      <alignment horizontal="center" vertical="center"/>
    </xf>
    <xf numFmtId="2" fontId="18" fillId="57" borderId="127" xfId="0" applyNumberFormat="1" applyFont="1" applyFill="1" applyBorder="1" applyAlignment="1">
      <alignment horizontal="center" vertical="center"/>
    </xf>
    <xf numFmtId="2" fontId="18" fillId="57" borderId="117" xfId="7" applyNumberFormat="1" applyFont="1" applyFill="1" applyBorder="1" applyAlignment="1">
      <alignment horizontal="center" vertical="center"/>
    </xf>
    <xf numFmtId="2" fontId="21" fillId="57" borderId="116" xfId="7" applyNumberFormat="1" applyFont="1" applyFill="1" applyBorder="1" applyAlignment="1">
      <alignment horizontal="center" vertical="center"/>
    </xf>
    <xf numFmtId="2" fontId="21" fillId="57" borderId="112" xfId="7" applyNumberFormat="1" applyFont="1" applyFill="1" applyBorder="1" applyAlignment="1">
      <alignment horizontal="center" vertical="center"/>
    </xf>
    <xf numFmtId="2" fontId="18" fillId="57" borderId="127" xfId="7" applyNumberFormat="1" applyFont="1" applyFill="1" applyBorder="1" applyAlignment="1">
      <alignment horizontal="center" vertical="center"/>
    </xf>
    <xf numFmtId="2" fontId="21" fillId="57" borderId="121" xfId="0" applyNumberFormat="1" applyFont="1" applyFill="1" applyBorder="1" applyAlignment="1">
      <alignment horizontal="center" vertical="center"/>
    </xf>
    <xf numFmtId="2" fontId="18" fillId="57" borderId="122" xfId="0" applyNumberFormat="1" applyFont="1" applyFill="1" applyBorder="1" applyAlignment="1">
      <alignment horizontal="center" vertical="center"/>
    </xf>
    <xf numFmtId="2" fontId="21" fillId="57" borderId="120" xfId="0" applyNumberFormat="1" applyFont="1" applyFill="1" applyBorder="1" applyAlignment="1">
      <alignment horizontal="center" vertical="center"/>
    </xf>
    <xf numFmtId="2" fontId="18" fillId="57" borderId="128" xfId="0" applyNumberFormat="1" applyFont="1" applyFill="1" applyBorder="1" applyAlignment="1">
      <alignment horizontal="center" vertical="center"/>
    </xf>
    <xf numFmtId="1" fontId="21" fillId="57" borderId="22" xfId="0" applyNumberFormat="1" applyFont="1" applyFill="1" applyBorder="1" applyAlignment="1">
      <alignment horizontal="center" vertical="center"/>
    </xf>
    <xf numFmtId="1" fontId="21" fillId="57" borderId="116" xfId="0" applyNumberFormat="1" applyFont="1" applyFill="1" applyBorder="1" applyAlignment="1">
      <alignment horizontal="center" vertical="center"/>
    </xf>
    <xf numFmtId="1" fontId="21" fillId="57" borderId="124" xfId="0" applyNumberFormat="1" applyFont="1" applyFill="1" applyBorder="1" applyAlignment="1">
      <alignment horizontal="center" vertical="center"/>
    </xf>
    <xf numFmtId="1" fontId="21" fillId="57" borderId="117" xfId="0" applyNumberFormat="1" applyFont="1" applyFill="1" applyBorder="1" applyAlignment="1">
      <alignment horizontal="center" vertical="center"/>
    </xf>
    <xf numFmtId="1" fontId="21" fillId="57" borderId="120" xfId="0" applyNumberFormat="1" applyFont="1" applyFill="1" applyBorder="1" applyAlignment="1">
      <alignment horizontal="center" vertical="center"/>
    </xf>
    <xf numFmtId="1" fontId="21" fillId="57" borderId="130" xfId="0" applyNumberFormat="1" applyFont="1" applyFill="1" applyBorder="1" applyAlignment="1">
      <alignment horizontal="center" vertical="center"/>
    </xf>
    <xf numFmtId="1" fontId="21" fillId="57" borderId="122" xfId="0" applyNumberFormat="1" applyFont="1" applyFill="1" applyBorder="1" applyAlignment="1">
      <alignment horizontal="center" vertical="center"/>
    </xf>
    <xf numFmtId="10" fontId="21" fillId="0" borderId="112" xfId="27" applyFont="1" applyFill="1" applyBorder="1" applyAlignment="1">
      <alignment horizontal="center" vertical="center"/>
    </xf>
    <xf numFmtId="10" fontId="21" fillId="0" borderId="121" xfId="27" applyFont="1" applyFill="1" applyBorder="1" applyAlignment="1">
      <alignment horizontal="center" vertical="center"/>
    </xf>
    <xf numFmtId="2" fontId="18" fillId="66" borderId="115" xfId="0" applyNumberFormat="1" applyFont="1" applyFill="1" applyBorder="1" applyAlignment="1"/>
    <xf numFmtId="2" fontId="18" fillId="66" borderId="129" xfId="0" applyNumberFormat="1" applyFont="1" applyFill="1" applyBorder="1" applyAlignment="1"/>
    <xf numFmtId="2" fontId="18" fillId="0" borderId="0" xfId="0" applyNumberFormat="1" applyFont="1" applyFill="1" applyBorder="1" applyAlignment="1">
      <alignment horizontal="right"/>
    </xf>
    <xf numFmtId="0" fontId="237" fillId="0" borderId="0" xfId="0" applyFont="1" applyFill="1" applyBorder="1" applyAlignment="1">
      <alignment horizontal="right"/>
    </xf>
    <xf numFmtId="165" fontId="21" fillId="0" borderId="117" xfId="0" applyNumberFormat="1" applyFont="1" applyFill="1" applyBorder="1" applyAlignment="1">
      <alignment horizontal="center" vertical="center" wrapText="1"/>
    </xf>
    <xf numFmtId="0" fontId="21" fillId="0" borderId="118" xfId="0" applyFont="1" applyFill="1" applyBorder="1" applyAlignment="1">
      <alignment horizontal="left" vertical="center" wrapText="1"/>
    </xf>
    <xf numFmtId="0" fontId="21" fillId="0" borderId="115" xfId="0" applyFont="1" applyFill="1" applyBorder="1" applyAlignment="1">
      <alignment horizontal="center" vertical="center" wrapText="1"/>
    </xf>
    <xf numFmtId="10" fontId="21" fillId="0" borderId="125" xfId="27" applyNumberFormat="1" applyFont="1" applyFill="1" applyBorder="1" applyAlignment="1">
      <alignment horizontal="center" vertical="center" wrapText="1"/>
    </xf>
    <xf numFmtId="10" fontId="21" fillId="0" borderId="115" xfId="0" applyNumberFormat="1" applyFont="1" applyFill="1" applyBorder="1" applyAlignment="1">
      <alignment horizontal="center" vertical="center" wrapText="1"/>
    </xf>
    <xf numFmtId="10" fontId="21" fillId="0" borderId="117" xfId="2" applyNumberFormat="1" applyFont="1" applyFill="1" applyBorder="1" applyAlignment="1">
      <alignment horizontal="center" vertical="center" wrapText="1"/>
    </xf>
    <xf numFmtId="10" fontId="21" fillId="0" borderId="115" xfId="27" applyNumberFormat="1" applyFont="1" applyFill="1" applyBorder="1" applyAlignment="1">
      <alignment horizontal="center" vertical="center" wrapText="1"/>
    </xf>
    <xf numFmtId="10" fontId="21" fillId="0" borderId="125" xfId="0" applyNumberFormat="1" applyFont="1" applyFill="1" applyBorder="1" applyAlignment="1">
      <alignment horizontal="center" vertical="center" wrapText="1"/>
    </xf>
    <xf numFmtId="10" fontId="21" fillId="0" borderId="117" xfId="27" applyNumberFormat="1" applyFont="1" applyFill="1" applyBorder="1" applyAlignment="1">
      <alignment horizontal="center" vertical="center" wrapText="1"/>
    </xf>
    <xf numFmtId="0" fontId="21" fillId="40" borderId="118" xfId="0" applyFont="1" applyFill="1" applyBorder="1" applyAlignment="1">
      <alignment horizontal="left" vertical="center" wrapText="1"/>
    </xf>
    <xf numFmtId="0" fontId="21" fillId="40" borderId="115" xfId="0" applyFont="1" applyFill="1" applyBorder="1" applyAlignment="1">
      <alignment horizontal="center" vertical="center" wrapText="1"/>
    </xf>
    <xf numFmtId="10" fontId="21" fillId="40" borderId="125" xfId="0" applyNumberFormat="1" applyFont="1" applyFill="1" applyBorder="1" applyAlignment="1">
      <alignment horizontal="center" vertical="center" wrapText="1"/>
    </xf>
    <xf numFmtId="0" fontId="21" fillId="0" borderId="119" xfId="0" applyFont="1" applyFill="1" applyBorder="1" applyAlignment="1">
      <alignment horizontal="left" vertical="center" wrapText="1"/>
    </xf>
    <xf numFmtId="0" fontId="21" fillId="0" borderId="129" xfId="0" applyFont="1" applyFill="1" applyBorder="1" applyAlignment="1">
      <alignment horizontal="center" vertical="center" wrapText="1"/>
    </xf>
    <xf numFmtId="10" fontId="21" fillId="0" borderId="126" xfId="0" applyNumberFormat="1" applyFont="1" applyFill="1" applyBorder="1" applyAlignment="1">
      <alignment horizontal="center" vertical="center" wrapText="1"/>
    </xf>
    <xf numFmtId="10" fontId="21" fillId="0" borderId="129" xfId="0" applyNumberFormat="1" applyFont="1" applyFill="1" applyBorder="1" applyAlignment="1">
      <alignment horizontal="center" vertical="center" wrapText="1"/>
    </xf>
    <xf numFmtId="10" fontId="21" fillId="0" borderId="122" xfId="2" applyNumberFormat="1" applyFont="1" applyFill="1" applyBorder="1" applyAlignment="1">
      <alignment horizontal="center" vertical="center" wrapText="1"/>
    </xf>
    <xf numFmtId="165" fontId="21" fillId="0" borderId="122" xfId="0" applyNumberFormat="1" applyFont="1" applyFill="1" applyBorder="1" applyAlignment="1">
      <alignment horizontal="center" vertical="center" wrapText="1"/>
    </xf>
    <xf numFmtId="3" fontId="237" fillId="0" borderId="0" xfId="0" applyNumberFormat="1" applyFont="1" applyFill="1" applyBorder="1" applyAlignment="1">
      <alignment horizontal="center" vertical="center" wrapText="1"/>
    </xf>
    <xf numFmtId="3" fontId="237" fillId="0" borderId="0" xfId="0" applyNumberFormat="1" applyFont="1" applyFill="1" applyBorder="1" applyAlignment="1">
      <alignment horizontal="right" vertical="center" wrapText="1"/>
    </xf>
    <xf numFmtId="0" fontId="237" fillId="0" borderId="0" xfId="0" applyFont="1" applyFill="1" applyBorder="1" applyAlignment="1">
      <alignment horizontal="right" vertical="center"/>
    </xf>
    <xf numFmtId="0" fontId="18" fillId="64" borderId="45" xfId="0" applyFont="1" applyFill="1" applyBorder="1" applyAlignment="1">
      <alignment horizontal="center"/>
    </xf>
    <xf numFmtId="0" fontId="21" fillId="0" borderId="0" xfId="0" applyFont="1" applyFill="1" applyBorder="1" applyAlignment="1">
      <alignment horizontal="center"/>
    </xf>
    <xf numFmtId="0" fontId="18" fillId="64" borderId="118" xfId="0" applyFont="1" applyFill="1" applyBorder="1" applyAlignment="1">
      <alignment horizontal="center"/>
    </xf>
    <xf numFmtId="0" fontId="21" fillId="57" borderId="118" xfId="0" applyFont="1" applyFill="1" applyBorder="1" applyAlignment="1">
      <alignment horizontal="left"/>
    </xf>
    <xf numFmtId="0" fontId="21" fillId="57" borderId="118" xfId="0" applyFont="1" applyFill="1" applyBorder="1" applyAlignment="1">
      <alignment horizontal="center"/>
    </xf>
    <xf numFmtId="2" fontId="21" fillId="57" borderId="116" xfId="0" applyNumberFormat="1" applyFont="1" applyFill="1" applyBorder="1" applyAlignment="1">
      <alignment horizontal="center"/>
    </xf>
    <xf numFmtId="2" fontId="21" fillId="57" borderId="112" xfId="0" applyNumberFormat="1" applyFont="1" applyFill="1" applyBorder="1" applyAlignment="1">
      <alignment horizontal="center"/>
    </xf>
    <xf numFmtId="2" fontId="21" fillId="57" borderId="117" xfId="0" applyNumberFormat="1" applyFont="1" applyFill="1" applyBorder="1" applyAlignment="1">
      <alignment horizontal="center"/>
    </xf>
    <xf numFmtId="0" fontId="21" fillId="57" borderId="119" xfId="0" applyFont="1" applyFill="1" applyBorder="1" applyAlignment="1">
      <alignment horizontal="left"/>
    </xf>
    <xf numFmtId="0" fontId="21" fillId="57" borderId="119" xfId="0" applyFont="1" applyFill="1" applyBorder="1" applyAlignment="1">
      <alignment horizontal="center"/>
    </xf>
    <xf numFmtId="2" fontId="21" fillId="57" borderId="120" xfId="0" applyNumberFormat="1" applyFont="1" applyFill="1" applyBorder="1" applyAlignment="1">
      <alignment horizontal="center"/>
    </xf>
    <xf numFmtId="2" fontId="21" fillId="57" borderId="121" xfId="0" applyNumberFormat="1" applyFont="1" applyFill="1" applyBorder="1" applyAlignment="1">
      <alignment horizontal="center"/>
    </xf>
    <xf numFmtId="2" fontId="21" fillId="57" borderId="122" xfId="0" applyNumberFormat="1" applyFont="1" applyFill="1" applyBorder="1" applyAlignment="1">
      <alignment horizontal="center"/>
    </xf>
    <xf numFmtId="10" fontId="21" fillId="0" borderId="116" xfId="27" applyFont="1" applyFill="1" applyBorder="1" applyAlignment="1">
      <alignment horizontal="center" vertical="center"/>
    </xf>
    <xf numFmtId="10" fontId="21" fillId="0" borderId="117" xfId="27" applyFont="1" applyFill="1" applyBorder="1" applyAlignment="1">
      <alignment horizontal="center" vertical="center"/>
    </xf>
    <xf numFmtId="0" fontId="21" fillId="0" borderId="119" xfId="0" applyFont="1" applyFill="1" applyBorder="1" applyAlignment="1"/>
    <xf numFmtId="0" fontId="21" fillId="0" borderId="119" xfId="0" applyFont="1" applyFill="1" applyBorder="1" applyAlignment="1">
      <alignment horizontal="center"/>
    </xf>
    <xf numFmtId="10" fontId="21" fillId="0" borderId="120" xfId="27" applyFont="1" applyFill="1" applyBorder="1" applyAlignment="1">
      <alignment horizontal="center" vertical="center"/>
    </xf>
    <xf numFmtId="10" fontId="21" fillId="0" borderId="122" xfId="27" applyFont="1" applyFill="1" applyBorder="1" applyAlignment="1">
      <alignment horizontal="center" vertical="center"/>
    </xf>
    <xf numFmtId="0" fontId="34" fillId="0" borderId="0" xfId="0" applyFont="1" applyAlignment="1">
      <alignment vertical="center"/>
    </xf>
    <xf numFmtId="0" fontId="18" fillId="0" borderId="0" xfId="0" applyFont="1" applyFill="1" applyBorder="1" applyAlignment="1">
      <alignment horizontal="center" vertical="center"/>
    </xf>
    <xf numFmtId="0" fontId="62" fillId="35" borderId="57" xfId="0" applyFont="1" applyFill="1" applyBorder="1" applyAlignment="1">
      <alignment horizontal="center" vertical="center"/>
    </xf>
    <xf numFmtId="10" fontId="108" fillId="0" borderId="0" xfId="26" applyFont="1" applyFill="1" applyBorder="1" applyAlignment="1">
      <alignment horizontal="center" vertical="center"/>
    </xf>
    <xf numFmtId="0" fontId="238" fillId="0" borderId="0" xfId="0" applyFont="1" applyFill="1" applyBorder="1" applyAlignment="1">
      <alignment horizontal="left" vertical="center"/>
    </xf>
    <xf numFmtId="7" fontId="238" fillId="40" borderId="0" xfId="0" applyNumberFormat="1" applyFont="1" applyFill="1" applyBorder="1" applyAlignment="1">
      <alignment horizontal="center" vertical="center"/>
    </xf>
    <xf numFmtId="7" fontId="238" fillId="40" borderId="0" xfId="7" applyNumberFormat="1" applyFont="1" applyFill="1" applyBorder="1" applyAlignment="1">
      <alignment horizontal="center" vertical="center"/>
    </xf>
    <xf numFmtId="0" fontId="239" fillId="0" borderId="0" xfId="0" applyFont="1" applyFill="1" applyBorder="1" applyAlignment="1">
      <alignment horizontal="left" vertical="center"/>
    </xf>
    <xf numFmtId="7" fontId="239" fillId="40" borderId="0" xfId="0" applyNumberFormat="1" applyFont="1" applyFill="1" applyBorder="1" applyAlignment="1">
      <alignment horizontal="center" vertical="center" wrapText="1"/>
    </xf>
    <xf numFmtId="0" fontId="69" fillId="0" borderId="119" xfId="0" applyFont="1" applyFill="1" applyBorder="1" applyAlignment="1">
      <alignment horizontal="left" vertical="center"/>
    </xf>
    <xf numFmtId="7" fontId="69" fillId="0" borderId="15" xfId="0" applyNumberFormat="1" applyFont="1" applyBorder="1" applyAlignment="1">
      <alignment horizontal="center" vertical="center"/>
    </xf>
    <xf numFmtId="14" fontId="17" fillId="0" borderId="0" xfId="0" applyNumberFormat="1" applyFont="1" applyAlignment="1">
      <alignment vertical="top"/>
    </xf>
    <xf numFmtId="0" fontId="18" fillId="0" borderId="0" xfId="0" applyFont="1" applyAlignment="1">
      <alignment vertical="top" wrapText="1"/>
    </xf>
    <xf numFmtId="0" fontId="0" fillId="0" borderId="0" xfId="0" applyAlignment="1">
      <alignment vertical="top"/>
    </xf>
    <xf numFmtId="0" fontId="42" fillId="0" borderId="0" xfId="0" applyFont="1" applyAlignment="1">
      <alignment vertical="top" wrapText="1"/>
    </xf>
    <xf numFmtId="0" fontId="65" fillId="0" borderId="0" xfId="0" applyFont="1" applyAlignment="1">
      <alignment vertical="top" wrapText="1"/>
    </xf>
    <xf numFmtId="0" fontId="48" fillId="4" borderId="0" xfId="0" applyFont="1" applyFill="1" applyAlignment="1">
      <alignment vertical="top"/>
    </xf>
    <xf numFmtId="0" fontId="48" fillId="5" borderId="0" xfId="0" applyFont="1" applyFill="1" applyAlignment="1">
      <alignment horizontal="center" vertical="top" wrapText="1"/>
    </xf>
    <xf numFmtId="0" fontId="48" fillId="5" borderId="0" xfId="0" applyFont="1" applyFill="1" applyAlignment="1">
      <alignment horizontal="left" vertical="top" wrapText="1"/>
    </xf>
    <xf numFmtId="0" fontId="48" fillId="4" borderId="0" xfId="0" applyFont="1" applyFill="1" applyAlignment="1">
      <alignment vertical="top" wrapText="1"/>
    </xf>
    <xf numFmtId="0" fontId="0" fillId="5" borderId="0" xfId="0" applyFill="1" applyAlignment="1">
      <alignment vertical="top" wrapText="1"/>
    </xf>
    <xf numFmtId="0" fontId="0" fillId="5" borderId="0" xfId="0" applyFill="1" applyAlignment="1">
      <alignment vertical="top"/>
    </xf>
    <xf numFmtId="0" fontId="0" fillId="0" borderId="0" xfId="0" applyFill="1" applyAlignment="1">
      <alignment vertical="top" wrapText="1"/>
    </xf>
    <xf numFmtId="0" fontId="42" fillId="0" borderId="0" xfId="0" applyFont="1" applyAlignment="1"/>
    <xf numFmtId="0" fontId="161" fillId="0" borderId="0" xfId="0" applyFont="1" applyFill="1" applyBorder="1" applyAlignment="1">
      <alignment horizontal="left" vertical="center"/>
    </xf>
    <xf numFmtId="0" fontId="86" fillId="0" borderId="0" xfId="0" applyFont="1" applyFill="1" applyAlignment="1">
      <alignment vertical="center" wrapText="1"/>
    </xf>
    <xf numFmtId="0" fontId="22" fillId="0" borderId="0" xfId="0" applyFont="1" applyFill="1" applyAlignment="1">
      <alignment vertical="top" wrapText="1"/>
    </xf>
    <xf numFmtId="0" fontId="0" fillId="0" borderId="0" xfId="0" applyFill="1" applyAlignment="1">
      <alignment vertical="top"/>
    </xf>
    <xf numFmtId="0" fontId="62" fillId="0" borderId="0" xfId="0" applyFont="1" applyFill="1" applyAlignment="1">
      <alignment vertical="center" wrapText="1"/>
    </xf>
    <xf numFmtId="0" fontId="18" fillId="0" borderId="0" xfId="0" applyFont="1" applyFill="1" applyAlignment="1">
      <alignment vertical="top" wrapText="1"/>
    </xf>
    <xf numFmtId="0" fontId="42" fillId="0" borderId="0" xfId="0" applyFont="1" applyFill="1" applyAlignment="1">
      <alignment vertical="top" wrapText="1"/>
    </xf>
    <xf numFmtId="2" fontId="18" fillId="66" borderId="41" xfId="0" applyNumberFormat="1" applyFont="1" applyFill="1" applyBorder="1" applyAlignment="1"/>
    <xf numFmtId="0" fontId="242" fillId="0" borderId="0" xfId="54" applyFont="1" applyAlignment="1">
      <alignment horizontal="left"/>
    </xf>
    <xf numFmtId="0" fontId="243" fillId="0" borderId="0" xfId="54" applyFont="1" applyAlignment="1">
      <alignment horizontal="center"/>
    </xf>
    <xf numFmtId="15" fontId="243" fillId="0" borderId="0" xfId="54" applyNumberFormat="1" applyFont="1" applyAlignment="1">
      <alignment horizontal="left"/>
    </xf>
    <xf numFmtId="0" fontId="244" fillId="0" borderId="0" xfId="54" applyFont="1"/>
    <xf numFmtId="0" fontId="242" fillId="0" borderId="0" xfId="54" applyFont="1" applyAlignment="1">
      <alignment horizontal="center" wrapText="1"/>
    </xf>
    <xf numFmtId="192" fontId="243" fillId="0" borderId="0" xfId="54" applyNumberFormat="1" applyFont="1" applyBorder="1" applyAlignment="1">
      <alignment horizontal="center"/>
    </xf>
    <xf numFmtId="0" fontId="242" fillId="0" borderId="0" xfId="54" applyFont="1" applyFill="1" applyBorder="1" applyAlignment="1">
      <alignment horizontal="center"/>
    </xf>
    <xf numFmtId="192" fontId="243" fillId="0" borderId="0" xfId="54" applyNumberFormat="1" applyFont="1" applyFill="1" applyBorder="1" applyAlignment="1">
      <alignment horizontal="center"/>
    </xf>
    <xf numFmtId="0" fontId="243" fillId="0" borderId="0" xfId="54" applyFont="1" applyFill="1" applyBorder="1" applyAlignment="1">
      <alignment horizontal="center"/>
    </xf>
    <xf numFmtId="0" fontId="242" fillId="0" borderId="0" xfId="54" applyFont="1" applyFill="1" applyBorder="1" applyAlignment="1">
      <alignment horizontal="left"/>
    </xf>
    <xf numFmtId="0" fontId="242" fillId="0" borderId="0" xfId="54" applyFont="1" applyFill="1" applyBorder="1" applyAlignment="1">
      <alignment horizontal="center" wrapText="1"/>
    </xf>
    <xf numFmtId="0" fontId="245" fillId="0" borderId="0" xfId="54" applyFont="1" applyFill="1" applyBorder="1" applyAlignment="1">
      <alignment wrapText="1"/>
    </xf>
    <xf numFmtId="164" fontId="242" fillId="0" borderId="0" xfId="54" applyNumberFormat="1" applyFont="1" applyFill="1" applyBorder="1" applyAlignment="1">
      <alignment horizontal="center"/>
    </xf>
    <xf numFmtId="0" fontId="244" fillId="0" borderId="0" xfId="54" applyFont="1" applyFill="1" applyBorder="1"/>
    <xf numFmtId="164" fontId="242" fillId="0" borderId="0" xfId="26" applyNumberFormat="1" applyFont="1" applyFill="1" applyBorder="1" applyAlignment="1">
      <alignment horizontal="center"/>
    </xf>
    <xf numFmtId="10" fontId="242" fillId="0" borderId="0" xfId="54" applyNumberFormat="1" applyFont="1" applyFill="1" applyBorder="1" applyAlignment="1">
      <alignment horizontal="center"/>
    </xf>
    <xf numFmtId="15" fontId="243" fillId="0" borderId="0" xfId="54" applyNumberFormat="1" applyFont="1" applyFill="1" applyBorder="1" applyAlignment="1">
      <alignment horizontal="left"/>
    </xf>
    <xf numFmtId="0" fontId="243" fillId="0" borderId="0" xfId="54" applyFont="1" applyBorder="1" applyAlignment="1">
      <alignment horizontal="center"/>
    </xf>
    <xf numFmtId="164" fontId="243" fillId="0" borderId="0" xfId="26" applyNumberFormat="1" applyFont="1" applyBorder="1" applyAlignment="1">
      <alignment horizontal="center"/>
    </xf>
    <xf numFmtId="0" fontId="244" fillId="0" borderId="0" xfId="54" applyFont="1" applyBorder="1"/>
    <xf numFmtId="164" fontId="243" fillId="0" borderId="0" xfId="0" applyNumberFormat="1" applyFont="1" applyBorder="1" applyAlignment="1">
      <alignment horizontal="center"/>
    </xf>
    <xf numFmtId="0" fontId="242" fillId="0" borderId="0" xfId="54" applyFont="1" applyBorder="1" applyAlignment="1">
      <alignment horizontal="left"/>
    </xf>
    <xf numFmtId="15" fontId="243" fillId="0" borderId="0" xfId="54" applyNumberFormat="1" applyFont="1" applyBorder="1" applyAlignment="1">
      <alignment horizontal="left"/>
    </xf>
    <xf numFmtId="0" fontId="242" fillId="0" borderId="0" xfId="54" applyFont="1" applyBorder="1" applyAlignment="1">
      <alignment horizontal="center" wrapText="1"/>
    </xf>
    <xf numFmtId="7" fontId="69" fillId="0" borderId="9" xfId="0" applyNumberFormat="1" applyFont="1" applyBorder="1" applyAlignment="1">
      <alignment horizontal="center" vertical="center"/>
    </xf>
    <xf numFmtId="7" fontId="108" fillId="40" borderId="4" xfId="7" applyNumberFormat="1" applyFont="1" applyFill="1" applyBorder="1" applyAlignment="1">
      <alignment horizontal="center" vertical="center"/>
    </xf>
    <xf numFmtId="7" fontId="108" fillId="40" borderId="3" xfId="0" applyNumberFormat="1" applyFont="1" applyFill="1" applyBorder="1" applyAlignment="1">
      <alignment horizontal="center" vertical="center"/>
    </xf>
    <xf numFmtId="7" fontId="108" fillId="40" borderId="11" xfId="0" applyNumberFormat="1" applyFont="1" applyFill="1" applyBorder="1" applyAlignment="1">
      <alignment horizontal="center" vertical="center" wrapText="1"/>
    </xf>
    <xf numFmtId="7" fontId="69" fillId="40" borderId="3" xfId="0" applyNumberFormat="1" applyFont="1" applyFill="1" applyBorder="1" applyAlignment="1">
      <alignment horizontal="center" vertical="center" wrapText="1"/>
    </xf>
    <xf numFmtId="7" fontId="69" fillId="40" borderId="91" xfId="0" applyNumberFormat="1" applyFont="1" applyFill="1" applyBorder="1" applyAlignment="1">
      <alignment horizontal="center" vertical="center"/>
    </xf>
    <xf numFmtId="2" fontId="21" fillId="0" borderId="39" xfId="0" applyNumberFormat="1" applyFont="1" applyFill="1" applyBorder="1" applyAlignment="1"/>
    <xf numFmtId="0" fontId="177" fillId="0" borderId="112" xfId="54" applyFont="1" applyBorder="1"/>
    <xf numFmtId="10" fontId="8" fillId="0" borderId="112" xfId="26" applyFont="1" applyBorder="1"/>
    <xf numFmtId="0" fontId="177" fillId="0" borderId="114" xfId="54" applyFont="1" applyBorder="1"/>
    <xf numFmtId="0" fontId="219" fillId="0" borderId="114" xfId="54" applyFont="1" applyFill="1" applyBorder="1" applyAlignment="1">
      <alignment wrapText="1"/>
    </xf>
    <xf numFmtId="0" fontId="177" fillId="0" borderId="114" xfId="54" applyFont="1" applyFill="1" applyBorder="1"/>
    <xf numFmtId="0" fontId="177" fillId="0" borderId="55" xfId="54" applyFont="1" applyBorder="1" applyAlignment="1">
      <alignment horizontal="left" wrapText="1"/>
    </xf>
    <xf numFmtId="0" fontId="177" fillId="0" borderId="116" xfId="54" applyFont="1" applyBorder="1" applyAlignment="1">
      <alignment wrapText="1"/>
    </xf>
    <xf numFmtId="0" fontId="177" fillId="0" borderId="120" xfId="54" applyFont="1" applyBorder="1" applyAlignment="1">
      <alignment wrapText="1"/>
    </xf>
    <xf numFmtId="0" fontId="177" fillId="0" borderId="121" xfId="54" applyFont="1" applyBorder="1"/>
    <xf numFmtId="0" fontId="177" fillId="0" borderId="122" xfId="54" applyFont="1" applyBorder="1"/>
    <xf numFmtId="0" fontId="177" fillId="0" borderId="55" xfId="54" applyFont="1" applyBorder="1" applyAlignment="1">
      <alignment wrapText="1"/>
    </xf>
    <xf numFmtId="0" fontId="177" fillId="0" borderId="52" xfId="54" applyFont="1" applyBorder="1"/>
    <xf numFmtId="0" fontId="177" fillId="0" borderId="52" xfId="54" applyFont="1" applyFill="1" applyBorder="1" applyAlignment="1">
      <alignment wrapText="1"/>
    </xf>
    <xf numFmtId="0" fontId="177" fillId="0" borderId="52" xfId="54" applyFont="1" applyFill="1" applyBorder="1"/>
    <xf numFmtId="171" fontId="8" fillId="0" borderId="0" xfId="54" applyNumberFormat="1"/>
    <xf numFmtId="3" fontId="0" fillId="58" borderId="0" xfId="2" applyFont="1" applyFill="1" applyBorder="1" applyAlignment="1">
      <alignment horizontal="center"/>
    </xf>
    <xf numFmtId="0" fontId="109" fillId="98" borderId="112" xfId="54" applyFont="1" applyFill="1" applyBorder="1" applyAlignment="1">
      <alignment horizontal="center"/>
    </xf>
    <xf numFmtId="0" fontId="109" fillId="98" borderId="112" xfId="54" applyFont="1" applyFill="1" applyBorder="1" applyAlignment="1">
      <alignment horizontal="center" wrapText="1"/>
    </xf>
    <xf numFmtId="164" fontId="21" fillId="0" borderId="0" xfId="0" applyNumberFormat="1" applyFont="1" applyAlignment="1"/>
    <xf numFmtId="5" fontId="21" fillId="0" borderId="0" xfId="1" applyNumberFormat="1" applyFont="1" applyAlignment="1">
      <alignment horizontal="left"/>
    </xf>
    <xf numFmtId="171" fontId="21" fillId="0" borderId="0" xfId="0" applyNumberFormat="1" applyFont="1" applyAlignment="1">
      <alignment horizontal="left"/>
    </xf>
    <xf numFmtId="0" fontId="21" fillId="0" borderId="0" xfId="1" applyNumberFormat="1" applyFont="1" applyAlignment="1">
      <alignment horizontal="left"/>
    </xf>
    <xf numFmtId="10" fontId="21" fillId="0" borderId="0" xfId="0" applyNumberFormat="1" applyFont="1" applyFill="1" applyAlignment="1">
      <alignment horizontal="left"/>
    </xf>
    <xf numFmtId="2" fontId="21" fillId="0" borderId="0" xfId="0" applyNumberFormat="1" applyFont="1" applyAlignment="1">
      <alignment horizontal="left"/>
    </xf>
    <xf numFmtId="3" fontId="21" fillId="0" borderId="0" xfId="0" applyNumberFormat="1" applyFont="1" applyAlignment="1">
      <alignment horizontal="left"/>
    </xf>
    <xf numFmtId="6" fontId="21" fillId="0" borderId="0" xfId="0" applyNumberFormat="1" applyFont="1" applyAlignment="1">
      <alignment horizontal="left"/>
    </xf>
    <xf numFmtId="6" fontId="21" fillId="0" borderId="0" xfId="0" applyNumberFormat="1" applyFont="1" applyFill="1" applyAlignment="1">
      <alignment horizontal="left"/>
    </xf>
    <xf numFmtId="0" fontId="18" fillId="0" borderId="0" xfId="0" applyFont="1" applyFill="1" applyAlignment="1">
      <alignment horizontal="left"/>
    </xf>
    <xf numFmtId="171" fontId="21" fillId="0" borderId="0" xfId="2" applyNumberFormat="1" applyFont="1" applyFill="1" applyBorder="1" applyAlignment="1"/>
    <xf numFmtId="185" fontId="21" fillId="0" borderId="0" xfId="1" applyNumberFormat="1" applyFont="1" applyFill="1" applyBorder="1" applyAlignment="1">
      <alignment horizontal="right" vertical="center"/>
    </xf>
    <xf numFmtId="185" fontId="21" fillId="0" borderId="0" xfId="23" applyNumberFormat="1" applyFont="1" applyFill="1" applyBorder="1" applyAlignment="1"/>
    <xf numFmtId="5" fontId="21" fillId="0" borderId="0" xfId="7" applyFont="1" applyFill="1" applyBorder="1" applyAlignment="1"/>
    <xf numFmtId="9" fontId="21" fillId="0" borderId="0" xfId="27" applyNumberFormat="1" applyFont="1" applyFill="1" applyBorder="1" applyAlignment="1">
      <alignment horizontal="center"/>
    </xf>
    <xf numFmtId="7" fontId="108" fillId="0" borderId="0" xfId="7" applyNumberFormat="1" applyFont="1" applyFill="1" applyBorder="1" applyAlignment="1">
      <alignment horizontal="center" vertical="center"/>
    </xf>
    <xf numFmtId="7" fontId="108" fillId="0" borderId="0" xfId="0" applyNumberFormat="1" applyFont="1" applyFill="1" applyBorder="1" applyAlignment="1">
      <alignment horizontal="center" vertical="center" wrapText="1"/>
    </xf>
    <xf numFmtId="7" fontId="69" fillId="0" borderId="0" xfId="0" applyNumberFormat="1" applyFont="1" applyFill="1" applyBorder="1" applyAlignment="1">
      <alignment horizontal="center" vertical="center" wrapText="1"/>
    </xf>
    <xf numFmtId="7" fontId="69" fillId="0" borderId="0" xfId="7" applyNumberFormat="1" applyFont="1" applyFill="1" applyBorder="1" applyAlignment="1">
      <alignment horizontal="center" vertical="center"/>
    </xf>
    <xf numFmtId="175" fontId="21" fillId="0" borderId="0" xfId="0" applyNumberFormat="1" applyFont="1" applyFill="1" applyBorder="1" applyAlignment="1">
      <alignment horizontal="center" vertical="center"/>
    </xf>
    <xf numFmtId="177" fontId="21" fillId="0" borderId="0" xfId="0" applyNumberFormat="1" applyFont="1" applyFill="1" applyBorder="1" applyAlignment="1">
      <alignment horizontal="center" vertical="center"/>
    </xf>
    <xf numFmtId="177" fontId="21" fillId="0" borderId="0" xfId="2" applyNumberFormat="1" applyFont="1" applyFill="1" applyBorder="1" applyAlignment="1">
      <alignment horizontal="center" vertical="center"/>
    </xf>
    <xf numFmtId="0" fontId="69" fillId="0" borderId="0" xfId="0" applyFont="1" applyFill="1" applyBorder="1" applyAlignment="1">
      <alignment horizontal="center" vertical="center"/>
    </xf>
    <xf numFmtId="7" fontId="69" fillId="0" borderId="0" xfId="0" applyNumberFormat="1" applyFont="1" applyFill="1" applyBorder="1" applyAlignment="1">
      <alignment horizontal="center" vertical="center"/>
    </xf>
    <xf numFmtId="9" fontId="38" fillId="0" borderId="0" xfId="26" applyNumberFormat="1" applyFont="1" applyFill="1" applyBorder="1" applyAlignment="1">
      <alignment vertical="center"/>
    </xf>
    <xf numFmtId="5" fontId="21" fillId="0" borderId="0" xfId="0" applyNumberFormat="1" applyFont="1" applyFill="1" applyBorder="1" applyAlignment="1">
      <alignment horizontal="right" vertical="center"/>
    </xf>
    <xf numFmtId="175" fontId="21" fillId="0" borderId="0" xfId="0" applyNumberFormat="1" applyFont="1" applyFill="1" applyBorder="1" applyAlignment="1">
      <alignment horizontal="right" vertical="center"/>
    </xf>
    <xf numFmtId="2" fontId="0" fillId="0" borderId="0" xfId="0" applyNumberFormat="1" applyFill="1" applyAlignment="1">
      <alignment horizontal="center"/>
    </xf>
    <xf numFmtId="2" fontId="18" fillId="0" borderId="0" xfId="0" applyNumberFormat="1" applyFont="1" applyFill="1" applyBorder="1" applyAlignment="1">
      <alignment horizontal="center" vertical="center" wrapText="1"/>
    </xf>
    <xf numFmtId="2" fontId="19" fillId="0" borderId="0" xfId="0" applyNumberFormat="1" applyFont="1" applyFill="1" applyBorder="1" applyAlignment="1">
      <alignment vertical="center"/>
    </xf>
    <xf numFmtId="2" fontId="18" fillId="58" borderId="32" xfId="0" applyNumberFormat="1" applyFont="1" applyFill="1" applyBorder="1" applyAlignment="1">
      <alignment horizontal="center" vertical="center" wrapText="1"/>
    </xf>
    <xf numFmtId="10" fontId="18" fillId="0" borderId="0" xfId="0" applyNumberFormat="1" applyFont="1" applyFill="1" applyBorder="1" applyAlignment="1">
      <alignment horizontal="center" vertical="center"/>
    </xf>
    <xf numFmtId="0" fontId="160" fillId="0" borderId="0" xfId="0" applyFont="1" applyFill="1" applyBorder="1" applyAlignment="1">
      <alignment wrapText="1"/>
    </xf>
    <xf numFmtId="1" fontId="21" fillId="0" borderId="9" xfId="0" applyNumberFormat="1" applyFont="1" applyFill="1" applyBorder="1" applyAlignment="1">
      <alignment horizontal="center" vertical="center" wrapText="1"/>
    </xf>
    <xf numFmtId="165" fontId="21" fillId="0" borderId="112" xfId="0" applyNumberFormat="1" applyFont="1" applyFill="1" applyBorder="1" applyAlignment="1">
      <alignment horizontal="center" vertical="center" wrapText="1"/>
    </xf>
    <xf numFmtId="166" fontId="21" fillId="0" borderId="112" xfId="0" applyNumberFormat="1" applyFont="1" applyFill="1" applyBorder="1" applyAlignment="1">
      <alignment horizontal="center" vertical="center" wrapText="1"/>
    </xf>
    <xf numFmtId="3" fontId="21" fillId="0" borderId="112" xfId="0" applyNumberFormat="1" applyFont="1" applyFill="1" applyBorder="1" applyAlignment="1">
      <alignment horizontal="center" vertical="center" wrapText="1"/>
    </xf>
    <xf numFmtId="165" fontId="21" fillId="40" borderId="112" xfId="0" applyNumberFormat="1" applyFont="1" applyFill="1" applyBorder="1" applyAlignment="1">
      <alignment horizontal="center" vertical="center" wrapText="1"/>
    </xf>
    <xf numFmtId="166" fontId="21" fillId="40" borderId="112" xfId="0" applyNumberFormat="1" applyFont="1" applyFill="1" applyBorder="1" applyAlignment="1">
      <alignment horizontal="center" vertical="center" wrapText="1"/>
    </xf>
    <xf numFmtId="0" fontId="18" fillId="30" borderId="98" xfId="0" applyFont="1" applyFill="1" applyBorder="1" applyAlignment="1">
      <alignment horizontal="center" wrapText="1"/>
    </xf>
    <xf numFmtId="0" fontId="21" fillId="0" borderId="116" xfId="0" applyFont="1" applyFill="1" applyBorder="1" applyAlignment="1">
      <alignment horizontal="left" vertical="center" wrapText="1"/>
    </xf>
    <xf numFmtId="0" fontId="21" fillId="0" borderId="120" xfId="0" applyFont="1" applyFill="1" applyBorder="1" applyAlignment="1">
      <alignment horizontal="left" vertical="center" wrapText="1"/>
    </xf>
    <xf numFmtId="165" fontId="21" fillId="0" borderId="121" xfId="0" applyNumberFormat="1" applyFont="1" applyFill="1" applyBorder="1" applyAlignment="1">
      <alignment horizontal="center" vertical="center" wrapText="1"/>
    </xf>
    <xf numFmtId="166" fontId="21" fillId="0" borderId="121" xfId="0" applyNumberFormat="1" applyFont="1" applyFill="1" applyBorder="1" applyAlignment="1">
      <alignment horizontal="center" vertical="center" wrapText="1"/>
    </xf>
    <xf numFmtId="1" fontId="21" fillId="0" borderId="115" xfId="0" applyNumberFormat="1" applyFont="1" applyBorder="1" applyAlignment="1">
      <alignment horizontal="center" vertical="center"/>
    </xf>
    <xf numFmtId="10" fontId="21" fillId="0" borderId="129" xfId="27" applyNumberFormat="1" applyFont="1" applyFill="1" applyBorder="1" applyAlignment="1">
      <alignment horizontal="center" vertical="center" wrapText="1"/>
    </xf>
    <xf numFmtId="0" fontId="18" fillId="30" borderId="97" xfId="0" applyFont="1" applyFill="1" applyBorder="1" applyAlignment="1">
      <alignment horizontal="center" wrapText="1"/>
    </xf>
    <xf numFmtId="165" fontId="21" fillId="0" borderId="31" xfId="0" applyNumberFormat="1" applyFont="1" applyFill="1" applyBorder="1" applyAlignment="1">
      <alignment horizontal="center" vertical="center" wrapText="1"/>
    </xf>
    <xf numFmtId="165" fontId="21" fillId="40" borderId="31" xfId="0" applyNumberFormat="1" applyFont="1" applyFill="1" applyBorder="1" applyAlignment="1">
      <alignment horizontal="center" vertical="center" wrapText="1"/>
    </xf>
    <xf numFmtId="165" fontId="21" fillId="0" borderId="76" xfId="0" applyNumberFormat="1" applyFont="1" applyFill="1" applyBorder="1" applyAlignment="1">
      <alignment horizontal="center" vertical="center" wrapText="1"/>
    </xf>
    <xf numFmtId="10" fontId="21" fillId="0" borderId="116" xfId="2" applyNumberFormat="1" applyFont="1" applyFill="1" applyBorder="1" applyAlignment="1">
      <alignment horizontal="center" vertical="center" wrapText="1"/>
    </xf>
    <xf numFmtId="10" fontId="21" fillId="0" borderId="116" xfId="27" applyNumberFormat="1" applyFont="1" applyFill="1" applyBorder="1" applyAlignment="1">
      <alignment horizontal="center" vertical="center" wrapText="1"/>
    </xf>
    <xf numFmtId="10" fontId="21" fillId="0" borderId="120" xfId="2" applyNumberFormat="1" applyFont="1" applyFill="1" applyBorder="1" applyAlignment="1">
      <alignment horizontal="center" vertical="center" wrapText="1"/>
    </xf>
    <xf numFmtId="3" fontId="21" fillId="0" borderId="125" xfId="2" applyNumberFormat="1" applyFont="1" applyFill="1" applyBorder="1" applyAlignment="1">
      <alignment horizontal="center" vertical="center" wrapText="1"/>
    </xf>
    <xf numFmtId="3" fontId="21" fillId="0" borderId="125" xfId="0" applyNumberFormat="1" applyFont="1" applyFill="1" applyBorder="1" applyAlignment="1">
      <alignment horizontal="center" vertical="center" wrapText="1"/>
    </xf>
    <xf numFmtId="3" fontId="21" fillId="0" borderId="126" xfId="2" applyNumberFormat="1" applyFont="1" applyFill="1" applyBorder="1" applyAlignment="1">
      <alignment horizontal="center" vertical="center" wrapText="1"/>
    </xf>
    <xf numFmtId="10" fontId="21" fillId="40" borderId="115" xfId="0" applyNumberFormat="1" applyFont="1" applyFill="1" applyBorder="1" applyAlignment="1">
      <alignment horizontal="center" vertical="center" wrapText="1"/>
    </xf>
    <xf numFmtId="1" fontId="21" fillId="0" borderId="112" xfId="0" applyNumberFormat="1" applyFont="1" applyFill="1" applyBorder="1" applyAlignment="1">
      <alignment horizontal="center" vertical="center" wrapText="1"/>
    </xf>
    <xf numFmtId="0" fontId="0" fillId="0" borderId="112" xfId="0" applyFill="1" applyBorder="1" applyAlignment="1">
      <alignment horizontal="center" vertical="center"/>
    </xf>
    <xf numFmtId="3" fontId="21" fillId="0" borderId="121" xfId="0" applyNumberFormat="1" applyFont="1" applyFill="1" applyBorder="1" applyAlignment="1">
      <alignment horizontal="center" vertical="center" wrapText="1"/>
    </xf>
    <xf numFmtId="0" fontId="18" fillId="30" borderId="117" xfId="0" applyFont="1" applyFill="1" applyBorder="1" applyAlignment="1">
      <alignment horizontal="right" vertical="center" wrapText="1"/>
    </xf>
    <xf numFmtId="1" fontId="21" fillId="66" borderId="112" xfId="0" applyNumberFormat="1" applyFont="1" applyFill="1" applyBorder="1" applyAlignment="1">
      <alignment horizontal="center" vertical="center" wrapText="1"/>
    </xf>
    <xf numFmtId="0" fontId="0" fillId="66" borderId="112" xfId="0" applyFill="1" applyBorder="1" applyAlignment="1">
      <alignment horizontal="center" vertical="center"/>
    </xf>
    <xf numFmtId="3" fontId="21" fillId="66" borderId="112" xfId="0" applyNumberFormat="1" applyFont="1" applyFill="1" applyBorder="1" applyAlignment="1">
      <alignment horizontal="center" vertical="center" wrapText="1"/>
    </xf>
    <xf numFmtId="3" fontId="21" fillId="66" borderId="121" xfId="0" applyNumberFormat="1" applyFont="1" applyFill="1" applyBorder="1" applyAlignment="1">
      <alignment horizontal="center" vertical="center" wrapText="1"/>
    </xf>
    <xf numFmtId="3" fontId="21" fillId="66" borderId="122" xfId="0" applyNumberFormat="1" applyFont="1" applyFill="1" applyBorder="1" applyAlignment="1">
      <alignment horizontal="center" vertical="center" wrapText="1"/>
    </xf>
    <xf numFmtId="1" fontId="21" fillId="66" borderId="117" xfId="0" applyNumberFormat="1" applyFont="1" applyFill="1" applyBorder="1" applyAlignment="1">
      <alignment horizontal="center" vertical="center" wrapText="1"/>
    </xf>
    <xf numFmtId="3" fontId="21" fillId="66" borderId="117" xfId="0" applyNumberFormat="1" applyFont="1" applyFill="1" applyBorder="1" applyAlignment="1">
      <alignment horizontal="center" vertical="center" wrapText="1"/>
    </xf>
    <xf numFmtId="0" fontId="18" fillId="30" borderId="111" xfId="0" applyFont="1" applyFill="1" applyBorder="1" applyAlignment="1">
      <alignment horizontal="center" vertical="center"/>
    </xf>
    <xf numFmtId="3" fontId="21" fillId="66" borderId="97" xfId="2" applyNumberFormat="1" applyFont="1" applyFill="1" applyBorder="1" applyAlignment="1">
      <alignment horizontal="center" vertical="center" wrapText="1"/>
    </xf>
    <xf numFmtId="9" fontId="21" fillId="66" borderId="111" xfId="27" applyNumberFormat="1" applyFont="1" applyFill="1" applyBorder="1" applyAlignment="1">
      <alignment horizontal="center" vertical="center"/>
    </xf>
    <xf numFmtId="0" fontId="21" fillId="66" borderId="119" xfId="0" applyFont="1" applyFill="1" applyBorder="1" applyAlignment="1">
      <alignment horizontal="center" vertical="center" wrapText="1"/>
    </xf>
    <xf numFmtId="0" fontId="159" fillId="0" borderId="0" xfId="0" applyFont="1" applyFill="1" applyBorder="1" applyAlignment="1">
      <alignment vertical="center"/>
    </xf>
    <xf numFmtId="3" fontId="0" fillId="0" borderId="0" xfId="0" applyNumberFormat="1" applyFill="1" applyBorder="1" applyAlignment="1"/>
    <xf numFmtId="3" fontId="21" fillId="0" borderId="97" xfId="2" applyNumberFormat="1" applyFont="1" applyFill="1" applyBorder="1" applyAlignment="1">
      <alignment horizontal="center" vertical="center" wrapText="1"/>
    </xf>
    <xf numFmtId="0" fontId="21" fillId="0" borderId="0" xfId="0" applyFont="1" applyFill="1" applyBorder="1" applyAlignment="1">
      <alignment horizontal="left" vertical="center" wrapText="1"/>
    </xf>
    <xf numFmtId="0" fontId="18" fillId="30" borderId="113" xfId="0" applyFont="1" applyFill="1" applyBorder="1" applyAlignment="1">
      <alignment horizontal="center" vertical="center" wrapText="1"/>
    </xf>
    <xf numFmtId="0" fontId="18" fillId="30" borderId="19" xfId="0" applyFont="1" applyFill="1" applyBorder="1" applyAlignment="1">
      <alignment horizontal="center" vertical="center" wrapText="1"/>
    </xf>
    <xf numFmtId="3" fontId="21" fillId="0" borderId="45" xfId="2" applyFont="1" applyFill="1" applyBorder="1" applyAlignment="1">
      <alignment horizontal="center" vertical="center" wrapText="1"/>
    </xf>
    <xf numFmtId="3" fontId="21" fillId="0" borderId="55" xfId="2" applyNumberFormat="1" applyFont="1" applyFill="1" applyBorder="1" applyAlignment="1">
      <alignment horizontal="center" vertical="center" wrapText="1"/>
    </xf>
    <xf numFmtId="3" fontId="21" fillId="0" borderId="64" xfId="2" applyNumberFormat="1" applyFont="1" applyFill="1" applyBorder="1" applyAlignment="1">
      <alignment horizontal="center" vertical="center" wrapText="1"/>
    </xf>
    <xf numFmtId="3" fontId="21" fillId="0" borderId="72" xfId="0" applyNumberFormat="1" applyFont="1" applyBorder="1" applyAlignment="1">
      <alignment horizontal="center"/>
    </xf>
    <xf numFmtId="3" fontId="21" fillId="0" borderId="117" xfId="0" applyNumberFormat="1" applyFont="1" applyBorder="1" applyAlignment="1">
      <alignment horizontal="center"/>
    </xf>
    <xf numFmtId="10" fontId="160" fillId="0" borderId="0" xfId="2" applyNumberFormat="1" applyFont="1" applyFill="1" applyBorder="1" applyAlignment="1">
      <alignment horizontal="center" vertical="center" wrapText="1"/>
    </xf>
    <xf numFmtId="10" fontId="21" fillId="66" borderId="15" xfId="27" applyNumberFormat="1" applyFont="1" applyFill="1" applyBorder="1" applyAlignment="1">
      <alignment horizontal="center" vertical="center" wrapText="1"/>
    </xf>
    <xf numFmtId="0" fontId="18" fillId="0" borderId="0" xfId="0" applyFont="1" applyFill="1" applyBorder="1" applyAlignment="1">
      <alignment horizontal="center"/>
    </xf>
    <xf numFmtId="3" fontId="0" fillId="58" borderId="0" xfId="0" applyNumberFormat="1" applyFill="1" applyBorder="1" applyAlignment="1">
      <alignment horizontal="center"/>
    </xf>
    <xf numFmtId="3" fontId="0" fillId="0" borderId="0" xfId="1" applyNumberFormat="1" applyFont="1" applyFill="1" applyBorder="1" applyAlignment="1">
      <alignment horizontal="center"/>
    </xf>
    <xf numFmtId="3" fontId="0" fillId="0" borderId="0" xfId="2" applyNumberFormat="1" applyFont="1" applyFill="1" applyBorder="1" applyAlignment="1">
      <alignment horizontal="center"/>
    </xf>
    <xf numFmtId="3" fontId="0" fillId="0" borderId="0" xfId="0" applyNumberFormat="1" applyFill="1" applyBorder="1" applyAlignment="1">
      <alignment horizontal="center"/>
    </xf>
    <xf numFmtId="2" fontId="18" fillId="0" borderId="112" xfId="0" applyNumberFormat="1" applyFont="1" applyFill="1" applyBorder="1" applyAlignment="1">
      <alignment horizontal="center" vertical="center"/>
    </xf>
    <xf numFmtId="10" fontId="0" fillId="0" borderId="0" xfId="26" applyFont="1" applyFill="1" applyBorder="1" applyAlignment="1">
      <alignment horizontal="center"/>
    </xf>
    <xf numFmtId="4" fontId="0" fillId="0" borderId="0" xfId="1" applyNumberFormat="1" applyFont="1" applyFill="1" applyBorder="1" applyAlignment="1">
      <alignment horizontal="center"/>
    </xf>
    <xf numFmtId="4" fontId="0" fillId="0" borderId="0" xfId="2" applyNumberFormat="1" applyFont="1" applyFill="1" applyBorder="1" applyAlignment="1">
      <alignment horizontal="center"/>
    </xf>
    <xf numFmtId="4" fontId="0" fillId="0" borderId="0" xfId="0" applyNumberFormat="1" applyFill="1" applyBorder="1" applyAlignment="1">
      <alignment horizontal="center"/>
    </xf>
    <xf numFmtId="4" fontId="0" fillId="0" borderId="3" xfId="1" applyNumberFormat="1" applyFont="1" applyFill="1" applyBorder="1" applyAlignment="1">
      <alignment horizontal="center"/>
    </xf>
    <xf numFmtId="4" fontId="0" fillId="0" borderId="6" xfId="2" applyNumberFormat="1" applyFont="1" applyFill="1" applyBorder="1" applyAlignment="1">
      <alignment horizontal="center"/>
    </xf>
    <xf numFmtId="4" fontId="0" fillId="0" borderId="3" xfId="2" applyNumberFormat="1" applyFont="1" applyFill="1" applyBorder="1" applyAlignment="1">
      <alignment horizontal="center"/>
    </xf>
    <xf numFmtId="4" fontId="0" fillId="0" borderId="6" xfId="0" applyNumberFormat="1" applyFill="1" applyBorder="1" applyAlignment="1"/>
    <xf numFmtId="4" fontId="0" fillId="0" borderId="3" xfId="0" applyNumberFormat="1" applyFill="1" applyBorder="1" applyAlignment="1">
      <alignment horizontal="center"/>
    </xf>
    <xf numFmtId="4" fontId="0" fillId="0" borderId="6" xfId="1" applyNumberFormat="1" applyFont="1" applyFill="1" applyBorder="1" applyAlignment="1">
      <alignment horizontal="center"/>
    </xf>
    <xf numFmtId="4" fontId="0" fillId="0" borderId="6" xfId="0" applyNumberFormat="1" applyFill="1" applyBorder="1" applyAlignment="1">
      <alignment horizontal="center"/>
    </xf>
    <xf numFmtId="4" fontId="0" fillId="0" borderId="9" xfId="0" applyNumberFormat="1" applyFill="1" applyBorder="1" applyAlignment="1">
      <alignment horizontal="center"/>
    </xf>
    <xf numFmtId="4" fontId="0" fillId="0" borderId="10" xfId="1" applyNumberFormat="1" applyFont="1" applyFill="1" applyBorder="1" applyAlignment="1">
      <alignment horizontal="center"/>
    </xf>
    <xf numFmtId="4" fontId="0" fillId="0" borderId="7" xfId="1" applyNumberFormat="1" applyFont="1" applyFill="1" applyBorder="1" applyAlignment="1">
      <alignment horizontal="center"/>
    </xf>
    <xf numFmtId="4" fontId="0" fillId="0" borderId="3" xfId="0" applyNumberFormat="1" applyFill="1" applyBorder="1" applyAlignment="1"/>
    <xf numFmtId="4" fontId="0" fillId="0" borderId="9" xfId="0" applyNumberFormat="1" applyFill="1" applyBorder="1" applyAlignment="1"/>
    <xf numFmtId="4" fontId="0" fillId="0" borderId="10" xfId="0" applyNumberFormat="1" applyFill="1" applyBorder="1" applyAlignment="1"/>
    <xf numFmtId="4" fontId="0" fillId="0" borderId="7" xfId="0" applyNumberFormat="1" applyFill="1" applyBorder="1" applyAlignment="1">
      <alignment horizontal="center"/>
    </xf>
    <xf numFmtId="4" fontId="0" fillId="0" borderId="10" xfId="0" applyNumberFormat="1" applyFill="1" applyBorder="1" applyAlignment="1">
      <alignment horizontal="center"/>
    </xf>
    <xf numFmtId="0" fontId="18" fillId="0" borderId="89" xfId="0" applyFont="1" applyFill="1" applyBorder="1" applyAlignment="1">
      <alignment horizontal="center"/>
    </xf>
    <xf numFmtId="10" fontId="0" fillId="0" borderId="3" xfId="26" applyFont="1" applyFill="1" applyBorder="1" applyAlignment="1">
      <alignment horizontal="center"/>
    </xf>
    <xf numFmtId="10" fontId="0" fillId="0" borderId="6" xfId="26" applyFont="1" applyFill="1" applyBorder="1" applyAlignment="1">
      <alignment horizontal="center"/>
    </xf>
    <xf numFmtId="3" fontId="0" fillId="0" borderId="3" xfId="1" applyNumberFormat="1" applyFont="1" applyFill="1" applyBorder="1" applyAlignment="1">
      <alignment horizontal="center"/>
    </xf>
    <xf numFmtId="3" fontId="0" fillId="0" borderId="6" xfId="1" applyNumberFormat="1" applyFont="1" applyFill="1" applyBorder="1" applyAlignment="1">
      <alignment horizontal="center"/>
    </xf>
    <xf numFmtId="3" fontId="0" fillId="0" borderId="3" xfId="2" applyNumberFormat="1" applyFont="1" applyFill="1" applyBorder="1" applyAlignment="1">
      <alignment horizontal="center"/>
    </xf>
    <xf numFmtId="3" fontId="0" fillId="0" borderId="6" xfId="2" applyNumberFormat="1" applyFont="1" applyFill="1" applyBorder="1" applyAlignment="1">
      <alignment horizontal="center"/>
    </xf>
    <xf numFmtId="3" fontId="0" fillId="0" borderId="3" xfId="0" applyNumberFormat="1" applyFill="1" applyBorder="1" applyAlignment="1">
      <alignment horizontal="center"/>
    </xf>
    <xf numFmtId="3" fontId="0" fillId="0" borderId="6" xfId="0" applyNumberFormat="1" applyFill="1" applyBorder="1" applyAlignment="1">
      <alignment horizontal="center"/>
    </xf>
    <xf numFmtId="10" fontId="0" fillId="0" borderId="9" xfId="26" applyFont="1" applyFill="1" applyBorder="1" applyAlignment="1">
      <alignment horizontal="center"/>
    </xf>
    <xf numFmtId="10" fontId="0" fillId="0" borderId="10" xfId="26" applyFont="1" applyFill="1" applyBorder="1" applyAlignment="1">
      <alignment horizontal="center"/>
    </xf>
    <xf numFmtId="10" fontId="0" fillId="0" borderId="7" xfId="26" applyFont="1" applyFill="1" applyBorder="1" applyAlignment="1">
      <alignment horizontal="center"/>
    </xf>
    <xf numFmtId="0" fontId="21" fillId="0" borderId="0" xfId="0" applyFont="1" applyFill="1" applyBorder="1" applyAlignment="1">
      <alignment horizontal="center"/>
    </xf>
    <xf numFmtId="0" fontId="0" fillId="0" borderId="0" xfId="0" applyFill="1" applyBorder="1" applyAlignment="1">
      <alignment horizontal="center"/>
    </xf>
    <xf numFmtId="0" fontId="18" fillId="0" borderId="0" xfId="0" applyFont="1" applyFill="1" applyBorder="1" applyAlignment="1">
      <alignment horizontal="center"/>
    </xf>
    <xf numFmtId="0" fontId="18" fillId="0" borderId="55" xfId="0" applyFont="1" applyFill="1" applyBorder="1" applyAlignment="1">
      <alignment horizontal="center"/>
    </xf>
    <xf numFmtId="0" fontId="18" fillId="0" borderId="72" xfId="0" applyFont="1" applyFill="1" applyBorder="1" applyAlignment="1">
      <alignment horizontal="center"/>
    </xf>
    <xf numFmtId="1" fontId="21" fillId="57" borderId="62" xfId="0" applyNumberFormat="1" applyFont="1" applyFill="1" applyBorder="1" applyAlignment="1">
      <alignment horizontal="center" vertical="center"/>
    </xf>
    <xf numFmtId="1" fontId="21" fillId="57" borderId="69" xfId="0" applyNumberFormat="1" applyFont="1" applyFill="1" applyBorder="1" applyAlignment="1">
      <alignment horizontal="center" vertical="center"/>
    </xf>
    <xf numFmtId="1" fontId="21" fillId="57" borderId="68" xfId="0" applyNumberFormat="1" applyFont="1" applyFill="1" applyBorder="1" applyAlignment="1">
      <alignment horizontal="center" vertical="center"/>
    </xf>
    <xf numFmtId="10" fontId="21" fillId="0" borderId="31" xfId="27" applyFont="1" applyFill="1" applyBorder="1" applyAlignment="1">
      <alignment horizontal="center" vertical="center"/>
    </xf>
    <xf numFmtId="10" fontId="21" fillId="0" borderId="76" xfId="27" applyFont="1" applyFill="1" applyBorder="1" applyAlignment="1">
      <alignment horizontal="center" vertical="center"/>
    </xf>
    <xf numFmtId="0" fontId="0" fillId="0" borderId="0" xfId="0" applyFill="1" applyAlignment="1">
      <alignment wrapText="1"/>
    </xf>
    <xf numFmtId="0" fontId="18" fillId="0" borderId="0" xfId="0" applyFont="1" applyFill="1" applyBorder="1" applyAlignment="1">
      <alignment horizontal="center"/>
    </xf>
    <xf numFmtId="0" fontId="18" fillId="0" borderId="131" xfId="0" applyFont="1" applyFill="1" applyBorder="1" applyAlignment="1">
      <alignment horizontal="center"/>
    </xf>
    <xf numFmtId="0" fontId="18" fillId="0" borderId="133" xfId="0" applyFont="1" applyFill="1" applyBorder="1" applyAlignment="1">
      <alignment horizontal="center"/>
    </xf>
    <xf numFmtId="0" fontId="18" fillId="0" borderId="134" xfId="0" applyFont="1" applyFill="1" applyBorder="1" applyAlignment="1">
      <alignment horizontal="center"/>
    </xf>
    <xf numFmtId="0" fontId="18" fillId="0" borderId="135" xfId="0" applyFont="1" applyFill="1" applyBorder="1" applyAlignment="1">
      <alignment horizontal="center"/>
    </xf>
    <xf numFmtId="0" fontId="18" fillId="0" borderId="37" xfId="0" applyFont="1" applyFill="1" applyBorder="1" applyAlignment="1">
      <alignment horizontal="center"/>
    </xf>
    <xf numFmtId="2" fontId="21" fillId="0" borderId="122" xfId="0" applyNumberFormat="1" applyFont="1" applyFill="1" applyBorder="1" applyAlignment="1">
      <alignment horizontal="center" vertical="center" wrapText="1"/>
    </xf>
    <xf numFmtId="2" fontId="18" fillId="0" borderId="98" xfId="7" applyNumberFormat="1" applyFont="1" applyFill="1" applyBorder="1" applyAlignment="1">
      <alignment horizontal="center" vertical="center"/>
    </xf>
    <xf numFmtId="3" fontId="161" fillId="0" borderId="0" xfId="0" applyNumberFormat="1" applyFont="1" applyFill="1" applyAlignment="1">
      <alignment horizontal="center" vertical="center"/>
    </xf>
    <xf numFmtId="0" fontId="109" fillId="98" borderId="117" xfId="54" applyFont="1" applyFill="1" applyBorder="1" applyAlignment="1">
      <alignment horizontal="center"/>
    </xf>
    <xf numFmtId="0" fontId="177" fillId="0" borderId="123" xfId="54" applyFont="1" applyBorder="1"/>
    <xf numFmtId="0" fontId="177" fillId="0" borderId="117" xfId="54" applyFont="1" applyBorder="1"/>
    <xf numFmtId="0" fontId="177" fillId="0" borderId="72" xfId="54" applyFont="1" applyFill="1" applyBorder="1"/>
    <xf numFmtId="10" fontId="8" fillId="0" borderId="117" xfId="26" applyFont="1" applyBorder="1"/>
    <xf numFmtId="10" fontId="8" fillId="0" borderId="121" xfId="26" applyFont="1" applyBorder="1"/>
    <xf numFmtId="10" fontId="8" fillId="0" borderId="122" xfId="26" applyFont="1" applyBorder="1"/>
    <xf numFmtId="0" fontId="1" fillId="0" borderId="113" xfId="54" applyFont="1" applyBorder="1"/>
    <xf numFmtId="171" fontId="177" fillId="0" borderId="52" xfId="54" applyNumberFormat="1" applyFont="1" applyBorder="1"/>
    <xf numFmtId="171" fontId="177" fillId="0" borderId="72" xfId="54" applyNumberFormat="1" applyFont="1" applyBorder="1"/>
    <xf numFmtId="171" fontId="177" fillId="0" borderId="112" xfId="54" applyNumberFormat="1" applyFont="1" applyBorder="1"/>
    <xf numFmtId="171" fontId="177" fillId="0" borderId="117" xfId="54" applyNumberFormat="1" applyFont="1" applyBorder="1"/>
    <xf numFmtId="171" fontId="177" fillId="0" borderId="121" xfId="54" applyNumberFormat="1" applyFont="1" applyBorder="1"/>
    <xf numFmtId="171" fontId="177" fillId="0" borderId="122" xfId="54" applyNumberFormat="1" applyFont="1" applyBorder="1"/>
    <xf numFmtId="171" fontId="177" fillId="0" borderId="134" xfId="54" applyNumberFormat="1" applyFont="1" applyBorder="1"/>
    <xf numFmtId="171" fontId="177" fillId="0" borderId="135" xfId="54" applyNumberFormat="1" applyFont="1" applyBorder="1"/>
    <xf numFmtId="171" fontId="177" fillId="0" borderId="52" xfId="54" applyNumberFormat="1" applyFont="1" applyBorder="1" applyAlignment="1">
      <alignment horizontal="right"/>
    </xf>
    <xf numFmtId="171" fontId="177" fillId="0" borderId="72" xfId="54" applyNumberFormat="1" applyFont="1" applyBorder="1" applyAlignment="1">
      <alignment horizontal="right"/>
    </xf>
    <xf numFmtId="0" fontId="18" fillId="8" borderId="8" xfId="0" applyFont="1" applyFill="1" applyBorder="1" applyAlignment="1">
      <alignment horizontal="center"/>
    </xf>
    <xf numFmtId="0" fontId="18" fillId="8" borderId="32" xfId="0" applyFont="1" applyFill="1" applyBorder="1" applyAlignment="1">
      <alignment horizontal="center"/>
    </xf>
    <xf numFmtId="0" fontId="1" fillId="0" borderId="116" xfId="54" applyFont="1" applyBorder="1"/>
    <xf numFmtId="0" fontId="1" fillId="0" borderId="120" xfId="54" applyFont="1" applyBorder="1"/>
    <xf numFmtId="0" fontId="177" fillId="0" borderId="133" xfId="54" applyFont="1" applyFill="1" applyBorder="1" applyAlignment="1">
      <alignment wrapText="1"/>
    </xf>
    <xf numFmtId="0" fontId="177" fillId="0" borderId="116" xfId="54" applyFont="1" applyFill="1" applyBorder="1" applyAlignment="1">
      <alignment wrapText="1"/>
    </xf>
    <xf numFmtId="0" fontId="177" fillId="0" borderId="113" xfId="54" applyFont="1" applyFill="1" applyBorder="1" applyAlignment="1">
      <alignment wrapText="1"/>
    </xf>
    <xf numFmtId="171" fontId="177" fillId="0" borderId="114" xfId="54" applyNumberFormat="1" applyFont="1" applyBorder="1"/>
    <xf numFmtId="171" fontId="177" fillId="0" borderId="123" xfId="54" applyNumberFormat="1" applyFont="1" applyBorder="1"/>
    <xf numFmtId="0" fontId="1" fillId="0" borderId="55" xfId="54" applyFont="1" applyBorder="1"/>
    <xf numFmtId="10" fontId="8" fillId="0" borderId="52" xfId="26" applyFont="1" applyBorder="1"/>
    <xf numFmtId="10" fontId="8" fillId="0" borderId="72" xfId="26" applyFont="1" applyBorder="1"/>
    <xf numFmtId="0" fontId="237" fillId="0" borderId="0" xfId="0" applyFont="1" applyBorder="1" applyAlignment="1">
      <alignment horizontal="left" vertical="center"/>
    </xf>
    <xf numFmtId="9" fontId="237" fillId="0" borderId="0" xfId="26" applyNumberFormat="1" applyFont="1" applyFill="1" applyBorder="1" applyAlignment="1"/>
    <xf numFmtId="10" fontId="237" fillId="0" borderId="0" xfId="26" applyFont="1" applyBorder="1" applyAlignment="1"/>
    <xf numFmtId="0" fontId="159" fillId="0" borderId="0" xfId="0" applyFont="1" applyBorder="1" applyAlignment="1"/>
    <xf numFmtId="5" fontId="159" fillId="0" borderId="0" xfId="6" applyFont="1" applyBorder="1" applyAlignment="1"/>
    <xf numFmtId="5" fontId="237" fillId="0" borderId="0" xfId="0" applyNumberFormat="1" applyFont="1" applyFill="1" applyBorder="1" applyAlignment="1"/>
    <xf numFmtId="10" fontId="159" fillId="0" borderId="0" xfId="26" applyFont="1" applyBorder="1" applyAlignment="1"/>
    <xf numFmtId="10" fontId="159" fillId="0" borderId="0" xfId="0" applyNumberFormat="1" applyFont="1" applyBorder="1" applyAlignment="1"/>
    <xf numFmtId="0" fontId="21" fillId="0" borderId="132" xfId="0" applyFont="1" applyFill="1" applyBorder="1" applyAlignment="1">
      <alignment horizontal="left" indent="1"/>
    </xf>
    <xf numFmtId="10" fontId="21" fillId="71" borderId="111" xfId="26" applyFont="1" applyFill="1" applyBorder="1" applyAlignment="1"/>
    <xf numFmtId="0" fontId="35" fillId="0" borderId="119" xfId="0" applyFont="1" applyFill="1" applyBorder="1" applyAlignment="1"/>
    <xf numFmtId="0" fontId="21" fillId="0" borderId="126" xfId="0" applyFont="1" applyBorder="1" applyAlignment="1"/>
    <xf numFmtId="7" fontId="35" fillId="0" borderId="128" xfId="0" applyNumberFormat="1" applyFont="1" applyBorder="1" applyAlignment="1"/>
    <xf numFmtId="175" fontId="6" fillId="0" borderId="0" xfId="55" applyNumberFormat="1"/>
    <xf numFmtId="7" fontId="20" fillId="0" borderId="39" xfId="6" applyNumberFormat="1" applyFont="1" applyFill="1" applyBorder="1"/>
    <xf numFmtId="0" fontId="161" fillId="0" borderId="0" xfId="0" applyFont="1" applyAlignment="1"/>
    <xf numFmtId="3" fontId="6" fillId="0" borderId="0" xfId="1" applyFont="1"/>
    <xf numFmtId="1" fontId="21" fillId="0" borderId="0" xfId="0" applyNumberFormat="1" applyFont="1" applyFill="1" applyBorder="1" applyAlignment="1">
      <alignment horizontal="center" vertical="center" wrapText="1"/>
    </xf>
    <xf numFmtId="3" fontId="21" fillId="0" borderId="0" xfId="2" applyFont="1" applyFill="1" applyBorder="1" applyAlignment="1">
      <alignment horizontal="center" vertical="center" wrapText="1"/>
    </xf>
    <xf numFmtId="3" fontId="21" fillId="0" borderId="0" xfId="2" applyNumberFormat="1" applyFont="1" applyFill="1" applyBorder="1" applyAlignment="1">
      <alignment horizontal="center" vertical="center" wrapText="1"/>
    </xf>
    <xf numFmtId="3" fontId="21" fillId="0" borderId="0" xfId="0" applyNumberFormat="1" applyFont="1" applyBorder="1" applyAlignment="1">
      <alignment horizontal="center"/>
    </xf>
    <xf numFmtId="0" fontId="18" fillId="0" borderId="0" xfId="0" applyFont="1" applyFill="1" applyBorder="1" applyAlignment="1">
      <alignment horizontal="center" vertical="center"/>
    </xf>
    <xf numFmtId="0" fontId="18" fillId="0" borderId="4" xfId="0" applyFont="1" applyFill="1" applyBorder="1" applyAlignment="1">
      <alignment horizontal="center"/>
    </xf>
    <xf numFmtId="0" fontId="18" fillId="0" borderId="2" xfId="0" applyFont="1" applyFill="1" applyBorder="1" applyAlignment="1">
      <alignment horizontal="center"/>
    </xf>
    <xf numFmtId="0" fontId="189" fillId="55" borderId="20" xfId="0" applyFont="1" applyFill="1" applyBorder="1" applyAlignment="1">
      <alignment horizontal="left" vertical="center"/>
    </xf>
    <xf numFmtId="2" fontId="19" fillId="0" borderId="134" xfId="0" applyNumberFormat="1" applyFont="1" applyFill="1" applyBorder="1" applyAlignment="1">
      <alignment vertical="center"/>
    </xf>
    <xf numFmtId="0" fontId="36" fillId="0" borderId="6" xfId="0" applyFont="1" applyFill="1" applyBorder="1" applyAlignment="1">
      <alignment vertical="center"/>
    </xf>
    <xf numFmtId="2" fontId="19" fillId="0" borderId="121" xfId="0" applyNumberFormat="1" applyFont="1" applyFill="1" applyBorder="1" applyAlignment="1">
      <alignment vertical="center"/>
    </xf>
    <xf numFmtId="0" fontId="36" fillId="0" borderId="7" xfId="0" applyFont="1" applyFill="1" applyBorder="1" applyAlignment="1">
      <alignment vertical="center"/>
    </xf>
    <xf numFmtId="3" fontId="0" fillId="0" borderId="0" xfId="2" applyFont="1" applyFill="1" applyBorder="1" applyAlignment="1">
      <alignment horizontal="center"/>
    </xf>
    <xf numFmtId="10" fontId="0" fillId="0" borderId="0" xfId="26" applyFont="1" applyFill="1" applyAlignment="1">
      <alignment horizontal="center"/>
    </xf>
    <xf numFmtId="0" fontId="159" fillId="0" borderId="0" xfId="0" applyFont="1" applyBorder="1" applyAlignment="1">
      <alignment vertical="center"/>
    </xf>
    <xf numFmtId="0" fontId="159" fillId="0" borderId="0" xfId="0" applyFont="1" applyFill="1" applyBorder="1" applyAlignment="1">
      <alignment horizontal="center" vertical="center" wrapText="1"/>
    </xf>
    <xf numFmtId="2" fontId="18" fillId="0" borderId="111" xfId="7" applyNumberFormat="1" applyFont="1" applyFill="1" applyBorder="1" applyAlignment="1">
      <alignment horizontal="center" vertical="center"/>
    </xf>
    <xf numFmtId="0" fontId="159" fillId="0" borderId="0" xfId="0" applyFont="1" applyFill="1" applyBorder="1" applyAlignment="1">
      <alignment horizontal="center" vertical="center"/>
    </xf>
    <xf numFmtId="0" fontId="44" fillId="0" borderId="0" xfId="0" applyFont="1" applyBorder="1" applyAlignment="1">
      <alignment vertical="center"/>
    </xf>
    <xf numFmtId="2" fontId="237" fillId="0" borderId="0" xfId="0" applyNumberFormat="1" applyFont="1" applyBorder="1" applyAlignment="1">
      <alignment horizontal="center"/>
    </xf>
    <xf numFmtId="2" fontId="159" fillId="0" borderId="0" xfId="0" applyNumberFormat="1" applyFont="1" applyBorder="1" applyAlignment="1">
      <alignment horizontal="right" vertical="center"/>
    </xf>
    <xf numFmtId="0" fontId="237" fillId="0" borderId="0" xfId="0" applyFont="1" applyBorder="1" applyAlignment="1">
      <alignment vertical="center"/>
    </xf>
    <xf numFmtId="0" fontId="237" fillId="0" borderId="0" xfId="0" applyFont="1" applyBorder="1" applyAlignment="1">
      <alignment vertical="center" wrapText="1"/>
    </xf>
    <xf numFmtId="0" fontId="21" fillId="0" borderId="41" xfId="0" applyFont="1" applyFill="1" applyBorder="1" applyAlignment="1">
      <alignment vertical="center"/>
    </xf>
    <xf numFmtId="0" fontId="21" fillId="0" borderId="15" xfId="0" applyFont="1" applyFill="1" applyBorder="1" applyAlignment="1">
      <alignment vertical="center"/>
    </xf>
    <xf numFmtId="2" fontId="18" fillId="66" borderId="111" xfId="7" applyNumberFormat="1" applyFont="1" applyFill="1" applyBorder="1" applyAlignment="1">
      <alignment horizontal="center" vertical="center"/>
    </xf>
    <xf numFmtId="4" fontId="161" fillId="71" borderId="39" xfId="1" applyNumberFormat="1" applyFont="1" applyFill="1" applyBorder="1" applyProtection="1">
      <protection locked="0"/>
    </xf>
    <xf numFmtId="2" fontId="19" fillId="0" borderId="3" xfId="0" applyNumberFormat="1" applyFont="1" applyBorder="1" applyAlignment="1">
      <alignment horizontal="center"/>
    </xf>
    <xf numFmtId="2" fontId="19" fillId="0" borderId="9" xfId="0" applyNumberFormat="1" applyFont="1" applyBorder="1" applyAlignment="1">
      <alignment horizontal="center"/>
    </xf>
    <xf numFmtId="0" fontId="18" fillId="0" borderId="4" xfId="0" applyFont="1" applyBorder="1" applyAlignment="1">
      <alignment horizontal="left"/>
    </xf>
    <xf numFmtId="0" fontId="18" fillId="0" borderId="0" xfId="0" applyFont="1" applyFill="1" applyBorder="1" applyAlignment="1">
      <alignment horizontal="center"/>
    </xf>
    <xf numFmtId="169" fontId="100" fillId="0" borderId="0" xfId="0" applyNumberFormat="1" applyFont="1" applyBorder="1" applyAlignment="1">
      <alignment horizontal="center" vertical="top"/>
    </xf>
    <xf numFmtId="169" fontId="21" fillId="0" borderId="0" xfId="0" applyNumberFormat="1" applyFont="1" applyFill="1" applyBorder="1">
      <alignment vertical="top"/>
    </xf>
    <xf numFmtId="0" fontId="100" fillId="0" borderId="0" xfId="0" applyFont="1" applyBorder="1" applyAlignment="1">
      <alignment horizontal="center"/>
    </xf>
    <xf numFmtId="169" fontId="0" fillId="0" borderId="0" xfId="7" applyNumberFormat="1" applyFont="1" applyFill="1" applyBorder="1"/>
    <xf numFmtId="1" fontId="21" fillId="0" borderId="39" xfId="0" applyNumberFormat="1" applyFont="1" applyFill="1" applyBorder="1" applyAlignment="1"/>
    <xf numFmtId="0" fontId="21" fillId="0" borderId="15" xfId="0" applyFont="1" applyBorder="1">
      <alignment vertical="top"/>
    </xf>
    <xf numFmtId="169" fontId="100" fillId="0" borderId="0" xfId="0" applyNumberFormat="1" applyFont="1" applyBorder="1" applyAlignment="1">
      <alignment horizontal="center"/>
    </xf>
    <xf numFmtId="0" fontId="21" fillId="0" borderId="15" xfId="0" quotePrefix="1" applyFont="1" applyBorder="1">
      <alignment vertical="top"/>
    </xf>
    <xf numFmtId="0" fontId="21" fillId="0" borderId="39" xfId="0" applyFont="1" applyBorder="1">
      <alignment vertical="top"/>
    </xf>
    <xf numFmtId="169" fontId="100" fillId="0" borderId="0" xfId="0" applyNumberFormat="1" applyFont="1" applyBorder="1" applyAlignment="1">
      <alignment horizontal="right"/>
    </xf>
    <xf numFmtId="169" fontId="21" fillId="0" borderId="0" xfId="7" applyNumberFormat="1" applyFont="1" applyFill="1" applyBorder="1"/>
    <xf numFmtId="191" fontId="0" fillId="0" borderId="0" xfId="7" applyNumberFormat="1" applyFont="1" applyFill="1" applyBorder="1"/>
    <xf numFmtId="0" fontId="21" fillId="0" borderId="0" xfId="0" applyFont="1" applyFill="1" applyBorder="1" applyAlignment="1">
      <alignment horizontal="center"/>
    </xf>
    <xf numFmtId="0" fontId="18" fillId="0" borderId="0" xfId="0" applyFont="1" applyFill="1" applyBorder="1" applyAlignment="1">
      <alignment horizontal="center"/>
    </xf>
    <xf numFmtId="0" fontId="21" fillId="0" borderId="0" xfId="0" applyFont="1" applyFill="1" applyBorder="1" applyAlignment="1">
      <alignment horizontal="center"/>
    </xf>
    <xf numFmtId="0" fontId="0" fillId="0" borderId="0" xfId="0" applyFill="1" applyBorder="1" applyAlignment="1">
      <alignment horizontal="right" vertical="top"/>
    </xf>
    <xf numFmtId="0" fontId="0" fillId="0" borderId="0" xfId="0" quotePrefix="1" applyFill="1" applyBorder="1" applyAlignment="1">
      <alignment horizontal="right"/>
    </xf>
    <xf numFmtId="0" fontId="23" fillId="0" borderId="0" xfId="0" applyFont="1" applyFill="1" applyBorder="1" applyAlignment="1">
      <alignment horizontal="right"/>
    </xf>
    <xf numFmtId="7" fontId="100" fillId="0" borderId="0" xfId="6" applyNumberFormat="1" applyFont="1" applyFill="1" applyBorder="1" applyAlignment="1">
      <alignment horizontal="center"/>
    </xf>
    <xf numFmtId="169" fontId="100" fillId="0" borderId="0" xfId="0" applyNumberFormat="1" applyFont="1" applyFill="1" applyBorder="1" applyAlignment="1">
      <alignment horizontal="center" vertical="top"/>
    </xf>
    <xf numFmtId="0" fontId="100" fillId="0" borderId="0" xfId="0" applyFont="1" applyFill="1" applyBorder="1" applyAlignment="1">
      <alignment horizontal="center"/>
    </xf>
    <xf numFmtId="169" fontId="100" fillId="0" borderId="0" xfId="0" applyNumberFormat="1" applyFont="1" applyFill="1" applyBorder="1" applyAlignment="1">
      <alignment horizontal="right"/>
    </xf>
    <xf numFmtId="0" fontId="101" fillId="0" borderId="0" xfId="0" applyFont="1" applyFill="1" applyBorder="1">
      <alignment vertical="top"/>
    </xf>
    <xf numFmtId="169" fontId="100" fillId="0" borderId="0" xfId="0" applyNumberFormat="1" applyFont="1" applyFill="1" applyBorder="1" applyAlignment="1">
      <alignment horizontal="center"/>
    </xf>
    <xf numFmtId="3" fontId="18" fillId="0" borderId="0" xfId="1" applyFont="1" applyFill="1" applyBorder="1" applyAlignment="1"/>
    <xf numFmtId="200" fontId="21" fillId="0" borderId="0" xfId="26" applyNumberFormat="1" applyFont="1" applyAlignment="1"/>
    <xf numFmtId="199" fontId="18" fillId="0" borderId="0" xfId="0" applyNumberFormat="1" applyFont="1" applyFill="1" applyBorder="1" applyAlignment="1">
      <alignment horizontal="center"/>
    </xf>
    <xf numFmtId="7" fontId="100" fillId="0" borderId="0" xfId="0" applyNumberFormat="1" applyFont="1" applyBorder="1" applyAlignment="1">
      <alignment horizontal="center"/>
    </xf>
    <xf numFmtId="0" fontId="195" fillId="0" borderId="112" xfId="54" applyFont="1" applyBorder="1" applyAlignment="1">
      <alignment horizontal="center"/>
    </xf>
    <xf numFmtId="0" fontId="195" fillId="0" borderId="52" xfId="54" applyFont="1" applyBorder="1" applyAlignment="1">
      <alignment horizontal="center"/>
    </xf>
    <xf numFmtId="0" fontId="8" fillId="0" borderId="52" xfId="54" applyBorder="1" applyAlignment="1">
      <alignment horizontal="center"/>
    </xf>
    <xf numFmtId="0" fontId="8" fillId="0" borderId="52" xfId="54" applyBorder="1"/>
    <xf numFmtId="0" fontId="8" fillId="0" borderId="72" xfId="54" applyBorder="1"/>
    <xf numFmtId="0" fontId="195" fillId="0" borderId="117" xfId="54" applyFont="1" applyBorder="1" applyAlignment="1">
      <alignment horizontal="center"/>
    </xf>
    <xf numFmtId="0" fontId="195" fillId="0" borderId="121" xfId="54" applyFont="1" applyBorder="1" applyAlignment="1">
      <alignment horizontal="center"/>
    </xf>
    <xf numFmtId="0" fontId="195" fillId="0" borderId="122" xfId="54" applyFont="1" applyBorder="1" applyAlignment="1">
      <alignment horizontal="center"/>
    </xf>
    <xf numFmtId="0" fontId="196" fillId="0" borderId="3" xfId="54" applyFont="1" applyBorder="1" applyAlignment="1">
      <alignment horizontal="center"/>
    </xf>
    <xf numFmtId="0" fontId="196" fillId="0" borderId="0" xfId="54" applyFont="1" applyBorder="1" applyAlignment="1">
      <alignment horizontal="center"/>
    </xf>
    <xf numFmtId="0" fontId="196" fillId="74" borderId="0" xfId="54" applyFont="1" applyFill="1" applyBorder="1" applyAlignment="1">
      <alignment horizontal="center"/>
    </xf>
    <xf numFmtId="0" fontId="196" fillId="74" borderId="6" xfId="54" applyFont="1" applyFill="1" applyBorder="1" applyAlignment="1">
      <alignment horizontal="center"/>
    </xf>
    <xf numFmtId="0" fontId="195" fillId="58" borderId="137" xfId="54" applyFont="1" applyFill="1" applyBorder="1" applyAlignment="1">
      <alignment horizontal="center"/>
    </xf>
    <xf numFmtId="10" fontId="195" fillId="74" borderId="138" xfId="54" applyNumberFormat="1" applyFont="1" applyFill="1" applyBorder="1" applyAlignment="1">
      <alignment horizontal="center"/>
    </xf>
    <xf numFmtId="0" fontId="195" fillId="58" borderId="139" xfId="54" applyFont="1" applyFill="1" applyBorder="1" applyAlignment="1">
      <alignment horizontal="center"/>
    </xf>
    <xf numFmtId="10" fontId="195" fillId="74" borderId="140" xfId="54" applyNumberFormat="1" applyFont="1" applyFill="1" applyBorder="1" applyAlignment="1">
      <alignment horizontal="center"/>
    </xf>
    <xf numFmtId="0" fontId="195" fillId="58" borderId="141" xfId="54" applyFont="1" applyFill="1" applyBorder="1" applyAlignment="1">
      <alignment horizontal="center"/>
    </xf>
    <xf numFmtId="10" fontId="195" fillId="74" borderId="142" xfId="54" applyNumberFormat="1" applyFont="1" applyFill="1" applyBorder="1" applyAlignment="1">
      <alignment horizontal="center"/>
    </xf>
    <xf numFmtId="0" fontId="195" fillId="0" borderId="137" xfId="54" applyFont="1" applyBorder="1" applyAlignment="1">
      <alignment horizontal="center"/>
    </xf>
    <xf numFmtId="0" fontId="195" fillId="0" borderId="139" xfId="54" applyFont="1" applyBorder="1" applyAlignment="1">
      <alignment horizontal="center"/>
    </xf>
    <xf numFmtId="0" fontId="195" fillId="0" borderId="143" xfId="54" applyFont="1" applyBorder="1" applyAlignment="1">
      <alignment horizontal="center"/>
    </xf>
    <xf numFmtId="10" fontId="195" fillId="74" borderId="144" xfId="54" applyNumberFormat="1" applyFont="1" applyFill="1" applyBorder="1" applyAlignment="1">
      <alignment horizontal="center"/>
    </xf>
    <xf numFmtId="0" fontId="195" fillId="58" borderId="145" xfId="54" applyFont="1" applyFill="1" applyBorder="1" applyAlignment="1">
      <alignment horizontal="center"/>
    </xf>
    <xf numFmtId="10" fontId="195" fillId="74" borderId="146" xfId="54" applyNumberFormat="1" applyFont="1" applyFill="1" applyBorder="1" applyAlignment="1">
      <alignment horizontal="center"/>
    </xf>
    <xf numFmtId="0" fontId="195" fillId="58" borderId="147" xfId="54" applyFont="1" applyFill="1" applyBorder="1" applyAlignment="1">
      <alignment horizontal="center"/>
    </xf>
    <xf numFmtId="0" fontId="195" fillId="0" borderId="148" xfId="54" quotePrefix="1" applyFont="1" applyBorder="1" applyAlignment="1">
      <alignment horizontal="center"/>
    </xf>
    <xf numFmtId="37" fontId="195" fillId="0" borderId="148" xfId="54" quotePrefix="1" applyNumberFormat="1" applyFont="1" applyBorder="1" applyAlignment="1">
      <alignment horizontal="center"/>
    </xf>
    <xf numFmtId="37" fontId="195" fillId="0" borderId="148" xfId="54" applyNumberFormat="1" applyFont="1" applyBorder="1" applyAlignment="1">
      <alignment horizontal="center"/>
    </xf>
    <xf numFmtId="165" fontId="195" fillId="0" borderId="148" xfId="54" applyNumberFormat="1" applyFont="1" applyBorder="1" applyAlignment="1">
      <alignment horizontal="center"/>
    </xf>
    <xf numFmtId="0" fontId="197" fillId="0" borderId="148" xfId="54" applyFont="1" applyBorder="1" applyAlignment="1">
      <alignment horizontal="center"/>
    </xf>
    <xf numFmtId="37" fontId="197" fillId="74" borderId="148" xfId="54" applyNumberFormat="1" applyFont="1" applyFill="1" applyBorder="1" applyAlignment="1">
      <alignment horizontal="center"/>
    </xf>
    <xf numFmtId="2" fontId="8" fillId="0" borderId="148" xfId="54" applyNumberFormat="1" applyBorder="1" applyAlignment="1">
      <alignment horizontal="center"/>
    </xf>
    <xf numFmtId="10" fontId="195" fillId="74" borderId="149" xfId="54" applyNumberFormat="1" applyFont="1" applyFill="1" applyBorder="1" applyAlignment="1">
      <alignment horizontal="center"/>
    </xf>
    <xf numFmtId="0" fontId="180" fillId="0" borderId="0" xfId="54" applyFont="1" applyAlignment="1">
      <alignment horizontal="center"/>
    </xf>
    <xf numFmtId="0" fontId="109" fillId="0" borderId="116" xfId="54" applyFont="1" applyBorder="1" applyAlignment="1">
      <alignment horizontal="center" wrapText="1"/>
    </xf>
    <xf numFmtId="0" fontId="17" fillId="0" borderId="55" xfId="54" applyFont="1" applyBorder="1" applyAlignment="1">
      <alignment horizontal="center" vertical="center" wrapText="1"/>
    </xf>
    <xf numFmtId="0" fontId="113" fillId="0" borderId="52" xfId="54" applyFont="1" applyBorder="1" applyAlignment="1">
      <alignment horizontal="center" vertical="center" wrapText="1"/>
    </xf>
    <xf numFmtId="0" fontId="113" fillId="0" borderId="52" xfId="54" applyFont="1" applyFill="1" applyBorder="1" applyAlignment="1">
      <alignment horizontal="center" vertical="center" wrapText="1"/>
    </xf>
    <xf numFmtId="0" fontId="113" fillId="0" borderId="72" xfId="54" applyFont="1" applyBorder="1" applyAlignment="1">
      <alignment horizontal="center" vertical="center" wrapText="1"/>
    </xf>
    <xf numFmtId="179" fontId="18" fillId="0" borderId="0" xfId="27" applyNumberFormat="1" applyFont="1" applyFill="1" applyBorder="1"/>
    <xf numFmtId="0" fontId="18" fillId="0" borderId="0" xfId="23" applyFont="1" applyFill="1" applyAlignment="1"/>
    <xf numFmtId="0" fontId="20" fillId="0" borderId="0" xfId="23" applyFont="1" applyFill="1" applyBorder="1" applyAlignment="1">
      <alignment horizontal="center"/>
    </xf>
    <xf numFmtId="10" fontId="18" fillId="0" borderId="0" xfId="23" applyNumberFormat="1" applyFont="1" applyFill="1" applyBorder="1" applyAlignment="1"/>
    <xf numFmtId="9" fontId="18" fillId="0" borderId="0" xfId="23" applyNumberFormat="1" applyFont="1" applyFill="1" applyBorder="1" applyAlignment="1"/>
    <xf numFmtId="1" fontId="18" fillId="0" borderId="0" xfId="23" applyNumberFormat="1" applyFont="1" applyFill="1" applyBorder="1" applyAlignment="1"/>
    <xf numFmtId="3" fontId="18" fillId="0" borderId="0" xfId="2" applyFont="1" applyFill="1" applyBorder="1"/>
    <xf numFmtId="5" fontId="18" fillId="0" borderId="0" xfId="23" applyNumberFormat="1" applyFont="1" applyFill="1" applyBorder="1" applyAlignment="1"/>
    <xf numFmtId="9" fontId="18" fillId="0" borderId="0" xfId="23" applyNumberFormat="1" applyFont="1" applyFill="1" applyBorder="1" applyAlignment="1">
      <alignment horizontal="center"/>
    </xf>
    <xf numFmtId="0" fontId="18" fillId="0" borderId="0" xfId="2" applyNumberFormat="1" applyFont="1" applyFill="1" applyBorder="1" applyAlignment="1">
      <alignment horizontal="center"/>
    </xf>
    <xf numFmtId="179" fontId="21" fillId="0" borderId="0" xfId="27" applyNumberFormat="1" applyFont="1" applyFill="1" applyBorder="1"/>
    <xf numFmtId="175" fontId="21" fillId="0" borderId="0" xfId="23" applyNumberFormat="1" applyFont="1" applyFill="1" applyBorder="1" applyAlignment="1"/>
    <xf numFmtId="185" fontId="21" fillId="0" borderId="0" xfId="23" applyNumberFormat="1" applyFont="1" applyFill="1" applyAlignment="1"/>
    <xf numFmtId="3" fontId="21" fillId="0" borderId="0" xfId="23" applyNumberFormat="1" applyFont="1" applyFill="1" applyAlignment="1"/>
    <xf numFmtId="7" fontId="21" fillId="0" borderId="0" xfId="23" applyNumberFormat="1" applyFont="1" applyFill="1">
      <alignment vertical="top"/>
    </xf>
    <xf numFmtId="5" fontId="21" fillId="0" borderId="0" xfId="23" applyNumberFormat="1" applyFont="1" applyFill="1" applyBorder="1" applyAlignment="1"/>
    <xf numFmtId="170" fontId="21" fillId="0" borderId="0" xfId="23" applyNumberFormat="1" applyFont="1" applyFill="1">
      <alignment vertical="top"/>
    </xf>
    <xf numFmtId="165" fontId="21" fillId="0" borderId="0" xfId="23" applyNumberFormat="1" applyFont="1" applyFill="1">
      <alignment vertical="top"/>
    </xf>
    <xf numFmtId="0" fontId="21" fillId="0" borderId="0" xfId="2" applyNumberFormat="1" applyFont="1" applyFill="1" applyBorder="1" applyAlignment="1">
      <alignment horizontal="center"/>
    </xf>
    <xf numFmtId="0" fontId="67" fillId="0" borderId="0" xfId="23" applyFont="1" applyFill="1" applyBorder="1" applyAlignment="1">
      <alignment horizontal="right"/>
    </xf>
    <xf numFmtId="10" fontId="67" fillId="0" borderId="0" xfId="27" applyFont="1" applyFill="1" applyBorder="1" applyAlignment="1">
      <alignment horizontal="right"/>
    </xf>
    <xf numFmtId="164" fontId="67" fillId="0" borderId="0" xfId="27" applyNumberFormat="1" applyFont="1" applyFill="1" applyBorder="1"/>
    <xf numFmtId="10" fontId="67" fillId="0" borderId="0" xfId="27" applyNumberFormat="1" applyFont="1" applyFill="1" applyBorder="1"/>
    <xf numFmtId="10" fontId="67" fillId="0" borderId="0" xfId="23" applyNumberFormat="1" applyFont="1" applyFill="1" applyBorder="1" applyAlignment="1"/>
    <xf numFmtId="10" fontId="21" fillId="0" borderId="0" xfId="27" applyFont="1" applyFill="1" applyBorder="1" applyAlignment="1">
      <alignment horizontal="right"/>
    </xf>
    <xf numFmtId="2" fontId="21" fillId="0" borderId="0" xfId="27" applyNumberFormat="1" applyFont="1" applyFill="1" applyBorder="1" applyAlignment="1">
      <alignment horizontal="right"/>
    </xf>
    <xf numFmtId="2" fontId="67" fillId="0" borderId="0" xfId="27" applyNumberFormat="1" applyFont="1" applyFill="1" applyBorder="1"/>
    <xf numFmtId="2" fontId="67" fillId="0" borderId="0" xfId="23" applyNumberFormat="1" applyFont="1" applyFill="1" applyBorder="1" applyAlignment="1"/>
    <xf numFmtId="3" fontId="67" fillId="0" borderId="0" xfId="23" quotePrefix="1" applyNumberFormat="1" applyFont="1" applyFill="1" applyAlignment="1"/>
    <xf numFmtId="3" fontId="21" fillId="0" borderId="0" xfId="2" quotePrefix="1" applyFont="1" applyFill="1" applyAlignment="1"/>
    <xf numFmtId="9" fontId="67" fillId="0" borderId="0" xfId="27" applyNumberFormat="1" applyFont="1" applyFill="1" applyBorder="1"/>
    <xf numFmtId="9" fontId="67" fillId="0" borderId="0" xfId="23" applyNumberFormat="1" applyFont="1" applyFill="1" applyBorder="1" applyAlignment="1"/>
    <xf numFmtId="1" fontId="67" fillId="0" borderId="0" xfId="27" applyNumberFormat="1" applyFont="1" applyFill="1" applyBorder="1"/>
    <xf numFmtId="1" fontId="67" fillId="0" borderId="0" xfId="23" applyNumberFormat="1" applyFont="1" applyFill="1" applyBorder="1" applyAlignment="1"/>
    <xf numFmtId="6" fontId="67" fillId="0" borderId="0" xfId="23" applyNumberFormat="1" applyFont="1" applyFill="1" applyBorder="1" applyAlignment="1" applyProtection="1">
      <protection locked="0"/>
    </xf>
    <xf numFmtId="8" fontId="67" fillId="0" borderId="0" xfId="23" applyNumberFormat="1" applyFont="1" applyFill="1" applyBorder="1" applyAlignment="1" applyProtection="1">
      <protection locked="0"/>
    </xf>
    <xf numFmtId="171" fontId="21" fillId="0" borderId="0" xfId="0" applyNumberFormat="1" applyFont="1" applyFill="1" applyAlignment="1">
      <alignment vertical="center"/>
    </xf>
    <xf numFmtId="185" fontId="44" fillId="0" borderId="0" xfId="2" quotePrefix="1" applyNumberFormat="1" applyFont="1" applyFill="1"/>
    <xf numFmtId="171" fontId="67" fillId="0" borderId="0" xfId="23" applyNumberFormat="1" applyFont="1" applyFill="1" applyBorder="1" applyAlignment="1"/>
    <xf numFmtId="0" fontId="67" fillId="0" borderId="0" xfId="23" quotePrefix="1" applyFont="1" applyFill="1" applyAlignment="1"/>
    <xf numFmtId="0" fontId="67" fillId="0" borderId="0" xfId="23" applyFont="1" applyFill="1" applyAlignment="1"/>
    <xf numFmtId="3" fontId="67" fillId="0" borderId="0" xfId="23" applyNumberFormat="1" applyFont="1" applyFill="1" applyBorder="1" applyAlignment="1"/>
    <xf numFmtId="165" fontId="67" fillId="0" borderId="0" xfId="23" applyNumberFormat="1" applyFont="1" applyFill="1">
      <alignment vertical="top"/>
    </xf>
    <xf numFmtId="170" fontId="67" fillId="0" borderId="0" xfId="23" applyNumberFormat="1" applyFont="1" applyFill="1" applyBorder="1" applyAlignment="1"/>
    <xf numFmtId="165" fontId="21" fillId="0" borderId="0" xfId="23" applyNumberFormat="1" applyFont="1" applyFill="1" applyBorder="1" applyAlignment="1">
      <alignment horizontal="right"/>
    </xf>
    <xf numFmtId="9" fontId="67" fillId="0" borderId="0" xfId="0" applyNumberFormat="1" applyFont="1" applyFill="1" applyBorder="1" applyAlignment="1">
      <alignment horizontal="center"/>
    </xf>
    <xf numFmtId="169" fontId="21" fillId="0" borderId="0" xfId="23" applyNumberFormat="1" applyFont="1" applyFill="1" applyBorder="1" applyAlignment="1">
      <alignment horizontal="center"/>
    </xf>
    <xf numFmtId="8" fontId="21" fillId="0" borderId="0" xfId="23" applyNumberFormat="1" applyFont="1" applyFill="1" applyBorder="1" applyAlignment="1">
      <alignment horizontal="center"/>
    </xf>
    <xf numFmtId="171" fontId="21" fillId="0" borderId="0" xfId="23" applyNumberFormat="1" applyFont="1" applyFill="1" applyBorder="1" applyAlignment="1">
      <alignment horizontal="center"/>
    </xf>
    <xf numFmtId="10" fontId="67" fillId="0" borderId="0" xfId="27" applyFont="1" applyFill="1" applyBorder="1" applyAlignment="1"/>
    <xf numFmtId="185" fontId="67" fillId="0" borderId="0" xfId="2" quotePrefix="1" applyNumberFormat="1" applyFont="1" applyFill="1"/>
    <xf numFmtId="1" fontId="21" fillId="0" borderId="0" xfId="23" applyNumberFormat="1" applyFont="1" applyFill="1" applyAlignment="1">
      <alignment horizontal="left" vertical="center"/>
    </xf>
    <xf numFmtId="201" fontId="21" fillId="0" borderId="0" xfId="2" quotePrefix="1" applyNumberFormat="1" applyFont="1" applyFill="1" applyAlignment="1">
      <alignment horizontal="center" vertical="center"/>
    </xf>
    <xf numFmtId="175" fontId="21" fillId="0" borderId="0" xfId="2" quotePrefix="1" applyNumberFormat="1" applyFont="1" applyFill="1" applyAlignment="1"/>
    <xf numFmtId="2" fontId="67" fillId="0" borderId="0" xfId="27" applyNumberFormat="1" applyFont="1" applyFill="1" applyBorder="1" applyAlignment="1">
      <alignment horizontal="right"/>
    </xf>
    <xf numFmtId="9" fontId="67" fillId="0" borderId="0" xfId="27" applyNumberFormat="1" applyFont="1" applyFill="1" applyBorder="1" applyAlignment="1"/>
    <xf numFmtId="1" fontId="21" fillId="0" borderId="0" xfId="27" applyNumberFormat="1" applyFont="1" applyFill="1" applyBorder="1" applyAlignment="1">
      <alignment horizontal="center"/>
    </xf>
    <xf numFmtId="179" fontId="44" fillId="0" borderId="0" xfId="27" applyNumberFormat="1" applyFont="1" applyFill="1" applyBorder="1"/>
    <xf numFmtId="10" fontId="44" fillId="0" borderId="0" xfId="27" applyNumberFormat="1" applyFont="1" applyFill="1" applyBorder="1"/>
    <xf numFmtId="164" fontId="44" fillId="0" borderId="0" xfId="27" applyNumberFormat="1" applyFont="1" applyFill="1" applyBorder="1"/>
    <xf numFmtId="198" fontId="21" fillId="0" borderId="0" xfId="23" applyNumberFormat="1" applyFont="1" applyFill="1" applyBorder="1" applyAlignment="1"/>
    <xf numFmtId="10" fontId="34" fillId="0" borderId="0" xfId="23" applyNumberFormat="1" applyFont="1" applyFill="1" applyBorder="1" applyAlignment="1"/>
    <xf numFmtId="0" fontId="34" fillId="0" borderId="0" xfId="23" applyFont="1" applyFill="1" applyBorder="1" applyAlignment="1">
      <alignment horizontal="right"/>
    </xf>
    <xf numFmtId="10" fontId="34" fillId="0" borderId="0" xfId="27" applyFont="1" applyFill="1" applyBorder="1" applyAlignment="1">
      <alignment horizontal="right"/>
    </xf>
    <xf numFmtId="10" fontId="34" fillId="0" borderId="0" xfId="27" applyNumberFormat="1" applyFont="1" applyFill="1" applyBorder="1"/>
    <xf numFmtId="179" fontId="17" fillId="0" borderId="0" xfId="27" applyNumberFormat="1" applyFont="1" applyFill="1" applyBorder="1"/>
    <xf numFmtId="10" fontId="17" fillId="0" borderId="0" xfId="27" applyNumberFormat="1" applyFont="1" applyFill="1" applyBorder="1"/>
    <xf numFmtId="9" fontId="18" fillId="0" borderId="0" xfId="27" applyNumberFormat="1" applyFont="1" applyFill="1" applyBorder="1" applyAlignment="1">
      <alignment horizontal="right"/>
    </xf>
    <xf numFmtId="10" fontId="18" fillId="0" borderId="0" xfId="27" applyFont="1" applyFill="1" applyBorder="1" applyAlignment="1">
      <alignment horizontal="right"/>
    </xf>
    <xf numFmtId="2" fontId="18" fillId="0" borderId="0" xfId="27" applyNumberFormat="1" applyFont="1" applyFill="1" applyBorder="1" applyAlignment="1">
      <alignment horizontal="right"/>
    </xf>
    <xf numFmtId="2" fontId="18" fillId="0" borderId="0" xfId="23" applyNumberFormat="1" applyFont="1" applyFill="1" applyBorder="1" applyAlignment="1"/>
    <xf numFmtId="2" fontId="34" fillId="0" borderId="0" xfId="27" applyNumberFormat="1" applyFont="1" applyFill="1" applyBorder="1"/>
    <xf numFmtId="3" fontId="34" fillId="0" borderId="0" xfId="2" quotePrefix="1" applyFont="1" applyFill="1" applyAlignment="1"/>
    <xf numFmtId="3" fontId="18" fillId="0" borderId="0" xfId="2" quotePrefix="1" applyFont="1" applyFill="1" applyAlignment="1"/>
    <xf numFmtId="9" fontId="34" fillId="0" borderId="0" xfId="27" applyNumberFormat="1" applyFont="1" applyFill="1" applyBorder="1"/>
    <xf numFmtId="1" fontId="34" fillId="0" borderId="0" xfId="27" applyNumberFormat="1" applyFont="1" applyFill="1" applyBorder="1"/>
    <xf numFmtId="164" fontId="34" fillId="0" borderId="0" xfId="27" applyNumberFormat="1" applyFont="1" applyFill="1" applyBorder="1"/>
    <xf numFmtId="10" fontId="17" fillId="0" borderId="0" xfId="26" quotePrefix="1" applyFont="1" applyFill="1"/>
    <xf numFmtId="2" fontId="34" fillId="0" borderId="0" xfId="23" applyNumberFormat="1" applyFont="1" applyFill="1" applyBorder="1" applyAlignment="1"/>
    <xf numFmtId="166" fontId="34" fillId="0" borderId="0" xfId="23" applyNumberFormat="1" applyFont="1" applyFill="1" applyBorder="1" applyAlignment="1"/>
    <xf numFmtId="191" fontId="34" fillId="0" borderId="0" xfId="23" applyNumberFormat="1" applyFont="1" applyFill="1" applyBorder="1" applyAlignment="1"/>
    <xf numFmtId="1" fontId="34" fillId="0" borderId="0" xfId="23" applyNumberFormat="1" applyFont="1" applyFill="1" applyBorder="1" applyAlignment="1"/>
    <xf numFmtId="6" fontId="34" fillId="0" borderId="0" xfId="23" applyNumberFormat="1" applyFont="1" applyFill="1" applyBorder="1" applyAlignment="1" applyProtection="1">
      <protection locked="0"/>
    </xf>
    <xf numFmtId="8" fontId="34" fillId="0" borderId="0" xfId="23" applyNumberFormat="1" applyFont="1" applyFill="1" applyBorder="1" applyAlignment="1" applyProtection="1">
      <protection locked="0"/>
    </xf>
    <xf numFmtId="8" fontId="34" fillId="0" borderId="0" xfId="23" applyNumberFormat="1" applyFont="1" applyFill="1" applyBorder="1" applyAlignment="1"/>
    <xf numFmtId="198" fontId="34" fillId="0" borderId="0" xfId="23" applyNumberFormat="1" applyFont="1" applyFill="1" applyBorder="1" applyAlignment="1"/>
    <xf numFmtId="172" fontId="34" fillId="0" borderId="0" xfId="23" applyNumberFormat="1" applyFont="1" applyFill="1" applyBorder="1" applyAlignment="1"/>
    <xf numFmtId="185" fontId="18" fillId="0" borderId="0" xfId="23" applyNumberFormat="1" applyFont="1" applyFill="1" applyBorder="1" applyAlignment="1"/>
    <xf numFmtId="185" fontId="17" fillId="0" borderId="0" xfId="2" quotePrefix="1" applyNumberFormat="1" applyFont="1" applyFill="1"/>
    <xf numFmtId="5" fontId="21" fillId="0" borderId="0" xfId="23" applyNumberFormat="1" applyFont="1" applyFill="1" applyAlignment="1"/>
    <xf numFmtId="177" fontId="21" fillId="0" borderId="0" xfId="2" applyNumberFormat="1" applyFont="1" applyFill="1" applyBorder="1"/>
    <xf numFmtId="6" fontId="34" fillId="0" borderId="0" xfId="0" applyNumberFormat="1" applyFont="1" applyFill="1" applyAlignment="1"/>
    <xf numFmtId="3" fontId="34" fillId="0" borderId="0" xfId="23" applyNumberFormat="1" applyFont="1" applyFill="1" applyBorder="1" applyAlignment="1"/>
    <xf numFmtId="165" fontId="34" fillId="0" borderId="0" xfId="23" applyNumberFormat="1" applyFont="1" applyFill="1">
      <alignment vertical="top"/>
    </xf>
    <xf numFmtId="9" fontId="18" fillId="0" borderId="0" xfId="0" applyNumberFormat="1" applyFont="1" applyFill="1" applyBorder="1" applyAlignment="1">
      <alignment horizontal="center"/>
    </xf>
    <xf numFmtId="9" fontId="34" fillId="0" borderId="0" xfId="0" applyNumberFormat="1" applyFont="1" applyFill="1" applyBorder="1" applyAlignment="1">
      <alignment horizontal="center"/>
    </xf>
    <xf numFmtId="0" fontId="20" fillId="0" borderId="0" xfId="23" applyFont="1" applyFill="1" applyBorder="1" applyAlignment="1"/>
    <xf numFmtId="0" fontId="210" fillId="0" borderId="0" xfId="23" applyFont="1" applyFill="1" applyBorder="1" applyAlignment="1"/>
    <xf numFmtId="3" fontId="210" fillId="0" borderId="0" xfId="23" applyNumberFormat="1" applyFont="1" applyFill="1" applyBorder="1" applyAlignment="1"/>
    <xf numFmtId="164" fontId="210" fillId="0" borderId="0" xfId="27" applyNumberFormat="1" applyFont="1" applyFill="1" applyBorder="1"/>
    <xf numFmtId="2" fontId="231" fillId="0" borderId="0" xfId="23" applyNumberFormat="1" applyFont="1" applyFill="1" applyBorder="1" applyAlignment="1"/>
    <xf numFmtId="6" fontId="231" fillId="0" borderId="0" xfId="23" applyNumberFormat="1" applyFont="1" applyFill="1" applyBorder="1" applyAlignment="1" applyProtection="1">
      <protection locked="0"/>
    </xf>
    <xf numFmtId="8" fontId="231" fillId="0" borderId="0" xfId="23" applyNumberFormat="1" applyFont="1" applyFill="1" applyBorder="1" applyAlignment="1" applyProtection="1">
      <protection locked="0"/>
    </xf>
    <xf numFmtId="8" fontId="232" fillId="0" borderId="0" xfId="23" applyNumberFormat="1" applyFont="1" applyFill="1" applyBorder="1" applyAlignment="1"/>
    <xf numFmtId="8" fontId="225" fillId="0" borderId="0" xfId="23" applyNumberFormat="1" applyFont="1" applyFill="1" applyBorder="1" applyAlignment="1"/>
    <xf numFmtId="185" fontId="170" fillId="0" borderId="0" xfId="2" quotePrefix="1" applyNumberFormat="1" applyFont="1" applyFill="1"/>
    <xf numFmtId="2" fontId="160" fillId="0" borderId="0" xfId="23" applyNumberFormat="1" applyFont="1" applyFill="1" applyBorder="1" applyAlignment="1"/>
    <xf numFmtId="5" fontId="67" fillId="0" borderId="0" xfId="6" applyFont="1" applyFill="1" applyBorder="1" applyAlignment="1"/>
    <xf numFmtId="3" fontId="231" fillId="0" borderId="0" xfId="23" applyNumberFormat="1" applyFont="1" applyFill="1" applyBorder="1" applyAlignment="1"/>
    <xf numFmtId="0" fontId="231" fillId="0" borderId="0" xfId="23" applyFont="1" applyFill="1" applyBorder="1" applyAlignment="1">
      <alignment horizontal="right"/>
    </xf>
    <xf numFmtId="0" fontId="230" fillId="0" borderId="0" xfId="23" applyFont="1" applyFill="1" applyBorder="1" applyAlignment="1">
      <alignment horizontal="right"/>
    </xf>
    <xf numFmtId="165" fontId="227" fillId="0" borderId="0" xfId="23" applyNumberFormat="1" applyFont="1" applyFill="1">
      <alignment vertical="top"/>
    </xf>
    <xf numFmtId="165" fontId="231" fillId="0" borderId="0" xfId="23" applyNumberFormat="1" applyFont="1" applyFill="1">
      <alignment vertical="top"/>
    </xf>
    <xf numFmtId="170" fontId="21" fillId="0" borderId="0" xfId="23" applyNumberFormat="1" applyFill="1">
      <alignment vertical="top"/>
    </xf>
    <xf numFmtId="9" fontId="192" fillId="0" borderId="0" xfId="0" applyNumberFormat="1" applyFont="1" applyFill="1" applyBorder="1" applyAlignment="1">
      <alignment horizontal="center"/>
    </xf>
    <xf numFmtId="4" fontId="0" fillId="58" borderId="0" xfId="1" applyNumberFormat="1" applyFont="1" applyFill="1" applyBorder="1" applyAlignment="1">
      <alignment horizontal="center"/>
    </xf>
    <xf numFmtId="4" fontId="0" fillId="58" borderId="0" xfId="2" applyNumberFormat="1" applyFont="1" applyFill="1" applyBorder="1" applyAlignment="1">
      <alignment horizontal="center"/>
    </xf>
    <xf numFmtId="4" fontId="0" fillId="58" borderId="0" xfId="0" applyNumberFormat="1" applyFill="1" applyBorder="1" applyAlignment="1">
      <alignment horizontal="center"/>
    </xf>
    <xf numFmtId="4" fontId="237" fillId="0" borderId="0" xfId="0" applyNumberFormat="1" applyFont="1" applyBorder="1" applyAlignment="1">
      <alignment horizontal="center"/>
    </xf>
    <xf numFmtId="4" fontId="237" fillId="0" borderId="0" xfId="0" applyNumberFormat="1" applyFont="1" applyFill="1" applyBorder="1" applyAlignment="1">
      <alignment horizontal="center"/>
    </xf>
    <xf numFmtId="10" fontId="21" fillId="0" borderId="39" xfId="0" applyNumberFormat="1" applyFont="1" applyFill="1" applyBorder="1" applyAlignment="1" applyProtection="1">
      <protection locked="0"/>
    </xf>
    <xf numFmtId="7" fontId="69" fillId="0" borderId="0" xfId="0" applyNumberFormat="1" applyFont="1" applyBorder="1" applyAlignment="1">
      <alignment horizontal="center" vertical="center"/>
    </xf>
    <xf numFmtId="0" fontId="18" fillId="30" borderId="38" xfId="0" applyFont="1" applyFill="1" applyBorder="1" applyAlignment="1">
      <alignment horizontal="center" vertical="center" wrapText="1"/>
    </xf>
    <xf numFmtId="0" fontId="18" fillId="30" borderId="41" xfId="0" applyFont="1" applyFill="1" applyBorder="1" applyAlignment="1">
      <alignment horizontal="center" vertical="center" wrapText="1"/>
    </xf>
    <xf numFmtId="0" fontId="18" fillId="30" borderId="11" xfId="0" applyFont="1" applyFill="1" applyBorder="1" applyAlignment="1">
      <alignment horizontal="center" vertical="center" wrapText="1"/>
    </xf>
    <xf numFmtId="0" fontId="18" fillId="30" borderId="89" xfId="0" applyFont="1" applyFill="1" applyBorder="1" applyAlignment="1">
      <alignment horizontal="center" vertical="center" wrapText="1"/>
    </xf>
    <xf numFmtId="0" fontId="18" fillId="30" borderId="97" xfId="0" applyFont="1" applyFill="1" applyBorder="1" applyAlignment="1">
      <alignment horizontal="center" vertical="center" wrapText="1"/>
    </xf>
    <xf numFmtId="0" fontId="127" fillId="0" borderId="0" xfId="23" applyFont="1" applyFill="1" applyAlignment="1"/>
    <xf numFmtId="0" fontId="128" fillId="0" borderId="23" xfId="23" applyFont="1" applyFill="1" applyBorder="1" applyAlignment="1">
      <alignment horizontal="center" wrapText="1"/>
    </xf>
    <xf numFmtId="0" fontId="168" fillId="0" borderId="23" xfId="23" applyFont="1" applyFill="1" applyBorder="1" applyAlignment="1">
      <alignment horizontal="center" wrapText="1"/>
    </xf>
    <xf numFmtId="0" fontId="127" fillId="0" borderId="0" xfId="23" applyFont="1" applyFill="1" applyBorder="1" applyAlignment="1">
      <alignment vertical="top" wrapText="1"/>
    </xf>
    <xf numFmtId="3" fontId="127" fillId="0" borderId="0" xfId="23" applyNumberFormat="1" applyFont="1" applyFill="1" applyBorder="1" applyAlignment="1"/>
    <xf numFmtId="3" fontId="127" fillId="0" borderId="0" xfId="2" applyFont="1" applyFill="1" applyBorder="1"/>
    <xf numFmtId="185" fontId="189" fillId="0" borderId="0" xfId="2" applyNumberFormat="1" applyFont="1" applyFill="1" applyBorder="1"/>
    <xf numFmtId="0" fontId="168" fillId="0" borderId="0" xfId="23" applyFont="1" applyFill="1" applyAlignment="1"/>
    <xf numFmtId="3" fontId="189" fillId="0" borderId="0" xfId="23" applyNumberFormat="1" applyFont="1" applyFill="1" applyAlignment="1"/>
    <xf numFmtId="0" fontId="127" fillId="0" borderId="0" xfId="23" applyFont="1" applyFill="1" applyAlignment="1">
      <alignment horizontal="left" indent="1"/>
    </xf>
    <xf numFmtId="185" fontId="168" fillId="0" borderId="0" xfId="1" applyNumberFormat="1" applyFont="1" applyFill="1" applyBorder="1"/>
    <xf numFmtId="10" fontId="127" fillId="0" borderId="0" xfId="27" applyFont="1" applyFill="1" applyBorder="1" applyAlignment="1"/>
    <xf numFmtId="10" fontId="189" fillId="0" borderId="0" xfId="27" applyFont="1" applyFill="1" applyBorder="1" applyAlignment="1"/>
    <xf numFmtId="7" fontId="127" fillId="0" borderId="0" xfId="23" applyNumberFormat="1" applyFont="1" applyFill="1">
      <alignment vertical="top"/>
    </xf>
    <xf numFmtId="166" fontId="127" fillId="0" borderId="0" xfId="23" applyNumberFormat="1" applyFont="1" applyFill="1" applyBorder="1" applyAlignment="1"/>
    <xf numFmtId="7" fontId="189" fillId="0" borderId="0" xfId="23" applyNumberFormat="1" applyFont="1" applyFill="1" applyBorder="1" applyAlignment="1"/>
    <xf numFmtId="0" fontId="126" fillId="0" borderId="0" xfId="23" applyFont="1" applyFill="1" applyBorder="1" applyAlignment="1">
      <alignment horizontal="centerContinuous"/>
    </xf>
    <xf numFmtId="165" fontId="127" fillId="0" borderId="0" xfId="23" applyNumberFormat="1" applyFont="1" applyFill="1" applyBorder="1" applyAlignment="1"/>
    <xf numFmtId="170" fontId="127" fillId="0" borderId="0" xfId="23" applyNumberFormat="1" applyFont="1" applyFill="1" applyBorder="1" applyAlignment="1"/>
    <xf numFmtId="9" fontId="189" fillId="0" borderId="0" xfId="26" applyNumberFormat="1" applyFont="1" applyFill="1" applyBorder="1" applyAlignment="1">
      <alignment horizontal="center"/>
    </xf>
    <xf numFmtId="9" fontId="189" fillId="0" borderId="0" xfId="0" applyNumberFormat="1" applyFont="1" applyFill="1" applyBorder="1" applyAlignment="1">
      <alignment horizontal="center"/>
    </xf>
    <xf numFmtId="171" fontId="127" fillId="0" borderId="0" xfId="23" applyNumberFormat="1" applyFont="1" applyFill="1" applyBorder="1" applyAlignment="1">
      <alignment horizontal="center"/>
    </xf>
    <xf numFmtId="171" fontId="189" fillId="0" borderId="0" xfId="23" applyNumberFormat="1" applyFont="1" applyFill="1" applyBorder="1" applyAlignment="1">
      <alignment horizontal="center"/>
    </xf>
    <xf numFmtId="1" fontId="134" fillId="0" borderId="0" xfId="23" applyNumberFormat="1" applyFont="1" applyFill="1" applyBorder="1" applyAlignment="1"/>
    <xf numFmtId="0" fontId="168" fillId="0" borderId="0" xfId="0" applyFont="1" applyFill="1" applyBorder="1" applyAlignment="1"/>
    <xf numFmtId="1" fontId="168" fillId="0" borderId="0" xfId="23" applyNumberFormat="1" applyFont="1" applyFill="1" applyBorder="1" applyAlignment="1"/>
    <xf numFmtId="14" fontId="18" fillId="0" borderId="0" xfId="0" applyNumberFormat="1" applyFont="1" applyAlignment="1">
      <alignment vertical="top"/>
    </xf>
    <xf numFmtId="0" fontId="237" fillId="0" borderId="0" xfId="0" applyFont="1" applyBorder="1" applyAlignment="1">
      <alignment horizontal="center"/>
    </xf>
    <xf numFmtId="166" fontId="21" fillId="0" borderId="132" xfId="0" applyNumberFormat="1" applyFont="1" applyFill="1" applyBorder="1" applyAlignment="1">
      <alignment horizontal="center" vertical="center" wrapText="1"/>
    </xf>
    <xf numFmtId="1" fontId="21" fillId="0" borderId="132" xfId="0" applyNumberFormat="1" applyFont="1" applyFill="1" applyBorder="1" applyAlignment="1">
      <alignment horizontal="center" vertical="center" wrapText="1"/>
    </xf>
    <xf numFmtId="3" fontId="21" fillId="0" borderId="132" xfId="2" applyFont="1" applyFill="1" applyBorder="1" applyAlignment="1">
      <alignment horizontal="center" vertical="center" wrapText="1"/>
    </xf>
    <xf numFmtId="3" fontId="21" fillId="0" borderId="133" xfId="2" applyNumberFormat="1" applyFont="1" applyFill="1" applyBorder="1" applyAlignment="1">
      <alignment horizontal="center" vertical="center" wrapText="1"/>
    </xf>
    <xf numFmtId="3" fontId="21" fillId="0" borderId="122" xfId="0" applyNumberFormat="1" applyFont="1" applyBorder="1" applyAlignment="1">
      <alignment horizontal="center"/>
    </xf>
    <xf numFmtId="0" fontId="0" fillId="0" borderId="120" xfId="0" applyBorder="1" applyAlignment="1">
      <alignment horizontal="center"/>
    </xf>
    <xf numFmtId="0" fontId="18" fillId="30" borderId="132" xfId="0" applyFont="1" applyFill="1" applyBorder="1" applyAlignment="1">
      <alignment horizontal="center" vertical="center" wrapText="1"/>
    </xf>
    <xf numFmtId="0" fontId="18" fillId="30" borderId="135" xfId="0" applyFont="1" applyFill="1" applyBorder="1" applyAlignment="1">
      <alignment horizontal="center" vertical="center" wrapText="1"/>
    </xf>
    <xf numFmtId="0" fontId="18" fillId="30" borderId="135" xfId="0" applyFont="1" applyFill="1" applyBorder="1" applyAlignment="1">
      <alignment horizontal="center" wrapText="1"/>
    </xf>
    <xf numFmtId="2" fontId="21" fillId="66" borderId="122" xfId="0" applyNumberFormat="1" applyFont="1" applyFill="1" applyBorder="1" applyAlignment="1">
      <alignment horizontal="center" vertical="center" wrapText="1"/>
    </xf>
    <xf numFmtId="0" fontId="21" fillId="66" borderId="116" xfId="0" applyFont="1" applyFill="1" applyBorder="1" applyAlignment="1">
      <alignment horizontal="left" vertical="center"/>
    </xf>
    <xf numFmtId="0" fontId="21" fillId="66" borderId="120" xfId="0" applyFont="1" applyFill="1" applyBorder="1" applyAlignment="1">
      <alignment horizontal="left" vertical="center"/>
    </xf>
    <xf numFmtId="10" fontId="21" fillId="66" borderId="97" xfId="27" applyNumberFormat="1" applyFont="1" applyFill="1" applyBorder="1" applyAlignment="1">
      <alignment horizontal="center" vertical="center" wrapText="1"/>
    </xf>
    <xf numFmtId="10" fontId="21" fillId="66" borderId="111" xfId="27" applyNumberFormat="1" applyFont="1" applyFill="1" applyBorder="1" applyAlignment="1">
      <alignment horizontal="center" vertical="center" wrapText="1"/>
    </xf>
    <xf numFmtId="10" fontId="21" fillId="66" borderId="111" xfId="0" applyNumberFormat="1" applyFont="1" applyFill="1" applyBorder="1" applyAlignment="1">
      <alignment horizontal="right" vertical="center" wrapText="1"/>
    </xf>
    <xf numFmtId="3" fontId="21" fillId="66" borderId="111" xfId="2" applyNumberFormat="1" applyFont="1" applyFill="1" applyBorder="1" applyAlignment="1">
      <alignment horizontal="center" vertical="center" wrapText="1"/>
    </xf>
    <xf numFmtId="10" fontId="21" fillId="66" borderId="97" xfId="2" applyNumberFormat="1" applyFont="1" applyFill="1" applyBorder="1" applyAlignment="1">
      <alignment horizontal="center" vertical="center" wrapText="1"/>
    </xf>
    <xf numFmtId="10" fontId="21" fillId="66" borderId="135" xfId="2" applyNumberFormat="1" applyFont="1" applyFill="1" applyBorder="1" applyAlignment="1">
      <alignment horizontal="center" vertical="center" wrapText="1"/>
    </xf>
    <xf numFmtId="165" fontId="21" fillId="66" borderId="98" xfId="0" applyNumberFormat="1" applyFont="1" applyFill="1" applyBorder="1" applyAlignment="1">
      <alignment horizontal="center" vertical="center" wrapText="1"/>
    </xf>
    <xf numFmtId="166" fontId="21" fillId="66" borderId="98" xfId="0" applyNumberFormat="1" applyFont="1" applyFill="1" applyBorder="1" applyAlignment="1">
      <alignment horizontal="center" vertical="center" wrapText="1"/>
    </xf>
    <xf numFmtId="0" fontId="21" fillId="66" borderId="129" xfId="0" applyFont="1" applyFill="1" applyBorder="1" applyAlignment="1">
      <alignment horizontal="center" vertical="center" wrapText="1"/>
    </xf>
    <xf numFmtId="10" fontId="21" fillId="66" borderId="126" xfId="0" applyNumberFormat="1" applyFont="1" applyFill="1" applyBorder="1" applyAlignment="1">
      <alignment horizontal="center" vertical="center" wrapText="1"/>
    </xf>
    <xf numFmtId="10" fontId="21" fillId="66" borderId="119" xfId="27" applyNumberFormat="1" applyFont="1" applyFill="1" applyBorder="1" applyAlignment="1">
      <alignment horizontal="center" vertical="center" wrapText="1"/>
    </xf>
    <xf numFmtId="10" fontId="21" fillId="66" borderId="129" xfId="0" applyNumberFormat="1" applyFont="1" applyFill="1" applyBorder="1" applyAlignment="1">
      <alignment horizontal="center" vertical="center" wrapText="1"/>
    </xf>
    <xf numFmtId="10" fontId="21" fillId="66" borderId="128" xfId="0" applyNumberFormat="1" applyFont="1" applyFill="1" applyBorder="1" applyAlignment="1">
      <alignment horizontal="center" vertical="center" wrapText="1"/>
    </xf>
    <xf numFmtId="10" fontId="21" fillId="66" borderId="128" xfId="0" applyNumberFormat="1" applyFont="1" applyFill="1" applyBorder="1" applyAlignment="1">
      <alignment horizontal="right" vertical="center" wrapText="1"/>
    </xf>
    <xf numFmtId="3" fontId="21" fillId="66" borderId="128" xfId="2" applyNumberFormat="1" applyFont="1" applyFill="1" applyBorder="1" applyAlignment="1">
      <alignment horizontal="center" vertical="center" wrapText="1"/>
    </xf>
    <xf numFmtId="10" fontId="21" fillId="66" borderId="126" xfId="2" applyNumberFormat="1" applyFont="1" applyFill="1" applyBorder="1" applyAlignment="1">
      <alignment horizontal="center" vertical="center" wrapText="1"/>
    </xf>
    <xf numFmtId="10" fontId="21" fillId="66" borderId="122" xfId="2" applyNumberFormat="1" applyFont="1" applyFill="1" applyBorder="1" applyAlignment="1">
      <alignment horizontal="center" vertical="center" wrapText="1"/>
    </xf>
    <xf numFmtId="165" fontId="21" fillId="66" borderId="119" xfId="0" applyNumberFormat="1" applyFont="1" applyFill="1" applyBorder="1" applyAlignment="1">
      <alignment horizontal="center" vertical="center" wrapText="1"/>
    </xf>
    <xf numFmtId="165" fontId="21" fillId="66" borderId="130" xfId="0" applyNumberFormat="1" applyFont="1" applyFill="1" applyBorder="1" applyAlignment="1">
      <alignment horizontal="center" vertical="center" wrapText="1"/>
    </xf>
    <xf numFmtId="166" fontId="21" fillId="66" borderId="130" xfId="0" applyNumberFormat="1" applyFont="1" applyFill="1" applyBorder="1" applyAlignment="1">
      <alignment horizontal="center" vertical="center" wrapText="1"/>
    </xf>
    <xf numFmtId="165" fontId="21" fillId="66" borderId="122" xfId="0" applyNumberFormat="1" applyFont="1" applyFill="1" applyBorder="1" applyAlignment="1">
      <alignment horizontal="center" vertical="center" wrapText="1"/>
    </xf>
    <xf numFmtId="0" fontId="18" fillId="30" borderId="134" xfId="0" applyFont="1" applyFill="1" applyBorder="1" applyAlignment="1">
      <alignment horizontal="right" vertical="center" wrapText="1"/>
    </xf>
    <xf numFmtId="0" fontId="18" fillId="30" borderId="134" xfId="0" applyFont="1" applyFill="1" applyBorder="1" applyAlignment="1">
      <alignment horizontal="center" vertical="center" wrapText="1"/>
    </xf>
    <xf numFmtId="0" fontId="18" fillId="30" borderId="134" xfId="0" applyFont="1" applyFill="1" applyBorder="1" applyAlignment="1">
      <alignment horizontal="center" vertical="center"/>
    </xf>
    <xf numFmtId="9" fontId="21" fillId="66" borderId="134" xfId="27" applyNumberFormat="1" applyFont="1" applyFill="1" applyBorder="1" applyAlignment="1">
      <alignment horizontal="right" vertical="center" wrapText="1"/>
    </xf>
    <xf numFmtId="9" fontId="21" fillId="66" borderId="134" xfId="27" applyNumberFormat="1" applyFont="1" applyFill="1" applyBorder="1" applyAlignment="1">
      <alignment horizontal="center" vertical="center" wrapText="1"/>
    </xf>
    <xf numFmtId="9" fontId="21" fillId="66" borderId="134" xfId="27" applyNumberFormat="1" applyFont="1" applyFill="1" applyBorder="1" applyAlignment="1">
      <alignment horizontal="center" vertical="center"/>
    </xf>
    <xf numFmtId="0" fontId="21" fillId="66" borderId="9" xfId="0" applyFont="1" applyFill="1" applyBorder="1" applyAlignment="1">
      <alignment horizontal="center" vertical="center" wrapText="1"/>
    </xf>
    <xf numFmtId="3" fontId="21" fillId="66" borderId="9" xfId="2" applyFont="1" applyFill="1" applyBorder="1" applyAlignment="1">
      <alignment horizontal="center" vertical="center" wrapText="1"/>
    </xf>
    <xf numFmtId="3" fontId="21" fillId="66" borderId="62" xfId="2" applyNumberFormat="1" applyFont="1" applyFill="1" applyBorder="1" applyAlignment="1">
      <alignment horizontal="center" vertical="center" wrapText="1"/>
    </xf>
    <xf numFmtId="3" fontId="21" fillId="66" borderId="10" xfId="2" applyNumberFormat="1" applyFont="1" applyFill="1" applyBorder="1" applyAlignment="1">
      <alignment horizontal="center" vertical="center" wrapText="1"/>
    </xf>
    <xf numFmtId="3" fontId="21" fillId="66" borderId="122" xfId="0" applyNumberFormat="1" applyFont="1" applyFill="1" applyBorder="1" applyAlignment="1">
      <alignment horizontal="center"/>
    </xf>
    <xf numFmtId="9" fontId="21" fillId="66" borderId="121" xfId="27" applyNumberFormat="1" applyFont="1" applyFill="1" applyBorder="1" applyAlignment="1">
      <alignment horizontal="center" vertical="center" wrapText="1"/>
    </xf>
    <xf numFmtId="9" fontId="21" fillId="66" borderId="121" xfId="27" applyNumberFormat="1" applyFont="1" applyFill="1" applyBorder="1" applyAlignment="1">
      <alignment horizontal="right" vertical="center" wrapText="1"/>
    </xf>
    <xf numFmtId="9" fontId="21" fillId="66" borderId="121" xfId="27" applyNumberFormat="1" applyFont="1" applyFill="1" applyBorder="1" applyAlignment="1">
      <alignment horizontal="center" vertical="center"/>
    </xf>
    <xf numFmtId="9" fontId="21" fillId="66" borderId="128" xfId="27" applyNumberFormat="1" applyFont="1" applyFill="1" applyBorder="1" applyAlignment="1">
      <alignment horizontal="center" vertical="center"/>
    </xf>
    <xf numFmtId="0" fontId="69" fillId="0" borderId="0" xfId="0" applyFont="1" applyFill="1" applyAlignment="1">
      <alignment horizontal="left" vertical="center"/>
    </xf>
    <xf numFmtId="0" fontId="0" fillId="0" borderId="0" xfId="0" applyFill="1" applyBorder="1" applyAlignment="1">
      <alignment horizontal="center" vertical="center"/>
    </xf>
    <xf numFmtId="3" fontId="21" fillId="0" borderId="0" xfId="0" applyNumberFormat="1" applyFont="1" applyFill="1" applyBorder="1" applyAlignment="1">
      <alignment horizontal="center" vertical="center" wrapText="1"/>
    </xf>
    <xf numFmtId="0" fontId="18" fillId="30" borderId="67" xfId="0" applyFont="1" applyFill="1" applyBorder="1" applyAlignment="1">
      <alignment horizontal="center" vertical="center"/>
    </xf>
    <xf numFmtId="0" fontId="0" fillId="0" borderId="117" xfId="0" applyFill="1" applyBorder="1" applyAlignment="1">
      <alignment horizontal="center" vertical="center"/>
    </xf>
    <xf numFmtId="0" fontId="0" fillId="0" borderId="121" xfId="0" applyFill="1" applyBorder="1" applyAlignment="1">
      <alignment horizontal="center" vertical="center"/>
    </xf>
    <xf numFmtId="0" fontId="0" fillId="0" borderId="122" xfId="0" applyFill="1" applyBorder="1" applyAlignment="1">
      <alignment horizontal="center" vertical="center"/>
    </xf>
    <xf numFmtId="0" fontId="0" fillId="66" borderId="121" xfId="0" applyFill="1" applyBorder="1" applyAlignment="1">
      <alignment horizontal="center" vertical="center"/>
    </xf>
    <xf numFmtId="5" fontId="56" fillId="0" borderId="6" xfId="0" applyNumberFormat="1" applyFont="1" applyFill="1" applyBorder="1" applyAlignment="1">
      <alignment horizontal="right" vertical="center"/>
    </xf>
    <xf numFmtId="5" fontId="56" fillId="0" borderId="7" xfId="0" applyNumberFormat="1" applyFont="1" applyFill="1" applyBorder="1" applyAlignment="1">
      <alignment horizontal="right" vertical="center"/>
    </xf>
    <xf numFmtId="0" fontId="52" fillId="0" borderId="4" xfId="0" applyFont="1" applyBorder="1" applyAlignment="1">
      <alignment vertical="center"/>
    </xf>
    <xf numFmtId="0" fontId="56" fillId="0" borderId="3" xfId="0" applyFont="1" applyBorder="1" applyAlignment="1">
      <alignment horizontal="right" vertical="center"/>
    </xf>
    <xf numFmtId="2" fontId="18" fillId="0" borderId="128" xfId="0" applyNumberFormat="1" applyFont="1" applyFill="1" applyBorder="1" applyAlignment="1">
      <alignment horizontal="center" vertical="center"/>
    </xf>
    <xf numFmtId="198" fontId="36" fillId="0" borderId="0" xfId="0" applyNumberFormat="1" applyFont="1" applyFill="1" applyAlignment="1"/>
    <xf numFmtId="198" fontId="36" fillId="0" borderId="0" xfId="0" applyNumberFormat="1" applyFont="1" applyAlignment="1"/>
    <xf numFmtId="0" fontId="180" fillId="0" borderId="0" xfId="61" applyFont="1" applyAlignment="1">
      <alignment horizontal="center"/>
    </xf>
    <xf numFmtId="0" fontId="1" fillId="0" borderId="0" xfId="61"/>
    <xf numFmtId="0" fontId="246" fillId="0" borderId="0" xfId="61" applyFont="1" applyAlignment="1">
      <alignment horizontal="center"/>
    </xf>
    <xf numFmtId="15" fontId="180" fillId="0" borderId="0" xfId="61" applyNumberFormat="1" applyFont="1"/>
    <xf numFmtId="0" fontId="1" fillId="0" borderId="0" xfId="61" applyAlignment="1">
      <alignment horizontal="center"/>
    </xf>
    <xf numFmtId="0" fontId="247" fillId="0" borderId="0" xfId="61" applyFont="1"/>
    <xf numFmtId="0" fontId="248" fillId="0" borderId="0" xfId="61" applyFont="1" applyAlignment="1">
      <alignment horizontal="center"/>
    </xf>
    <xf numFmtId="15" fontId="248" fillId="0" borderId="0" xfId="61" applyNumberFormat="1" applyFont="1" applyAlignment="1">
      <alignment horizontal="center"/>
    </xf>
    <xf numFmtId="0" fontId="18" fillId="0" borderId="0" xfId="0" applyFont="1" applyFill="1" applyBorder="1" applyAlignment="1" applyProtection="1">
      <alignment horizontal="center"/>
    </xf>
    <xf numFmtId="0" fontId="21" fillId="0" borderId="0" xfId="0" applyFont="1" applyFill="1" applyBorder="1" applyAlignment="1" applyProtection="1">
      <alignment horizontal="center"/>
    </xf>
    <xf numFmtId="0" fontId="59" fillId="0" borderId="0" xfId="0" applyFont="1" applyFill="1" applyBorder="1" applyAlignment="1">
      <alignment horizontal="left" vertical="top"/>
    </xf>
    <xf numFmtId="0" fontId="59" fillId="0" borderId="0" xfId="0" applyFont="1" applyFill="1" applyBorder="1" applyAlignment="1" applyProtection="1">
      <alignment horizontal="left" wrapText="1"/>
    </xf>
    <xf numFmtId="0" fontId="21" fillId="0" borderId="0" xfId="0" applyFont="1" applyFill="1" applyBorder="1" applyAlignment="1" applyProtection="1"/>
    <xf numFmtId="0" fontId="18" fillId="0" borderId="0" xfId="0" applyFont="1" applyFill="1" applyBorder="1" applyAlignment="1" applyProtection="1">
      <alignment horizontal="right"/>
    </xf>
    <xf numFmtId="0" fontId="21" fillId="0" borderId="0" xfId="0" applyFont="1" applyFill="1" applyBorder="1" applyAlignment="1" applyProtection="1">
      <alignment horizontal="right"/>
    </xf>
    <xf numFmtId="0" fontId="18" fillId="0" borderId="0" xfId="0" applyFont="1" applyFill="1" applyBorder="1" applyAlignment="1">
      <alignment horizontal="left"/>
    </xf>
    <xf numFmtId="0" fontId="244" fillId="0" borderId="0" xfId="54" applyFont="1" applyFill="1" applyBorder="1" applyAlignment="1">
      <alignment horizontal="center"/>
    </xf>
    <xf numFmtId="0" fontId="195" fillId="0" borderId="0" xfId="54" applyFont="1" applyFill="1" applyBorder="1" applyAlignment="1">
      <alignment horizontal="center"/>
    </xf>
    <xf numFmtId="0" fontId="180" fillId="0" borderId="0" xfId="54" applyFont="1" applyFill="1" applyBorder="1" applyAlignment="1">
      <alignment horizontal="center"/>
    </xf>
    <xf numFmtId="0" fontId="8" fillId="0" borderId="0" xfId="54" applyFill="1" applyBorder="1"/>
    <xf numFmtId="0" fontId="109" fillId="0" borderId="0" xfId="54" applyFont="1" applyFill="1" applyBorder="1" applyAlignment="1">
      <alignment horizontal="center"/>
    </xf>
    <xf numFmtId="0" fontId="2" fillId="0" borderId="0" xfId="54" applyFont="1" applyFill="1" applyBorder="1" applyAlignment="1">
      <alignment horizontal="center"/>
    </xf>
    <xf numFmtId="0" fontId="177" fillId="0" borderId="0" xfId="54" applyFont="1" applyFill="1" applyBorder="1" applyAlignment="1">
      <alignment horizontal="center" wrapText="1"/>
    </xf>
    <xf numFmtId="0" fontId="177" fillId="0" borderId="0" xfId="54" applyFont="1" applyFill="1" applyBorder="1" applyAlignment="1">
      <alignment wrapText="1"/>
    </xf>
    <xf numFmtId="0" fontId="2" fillId="0" borderId="0" xfId="54" applyFont="1" applyFill="1" applyBorder="1"/>
    <xf numFmtId="0" fontId="177" fillId="0" borderId="0" xfId="54" applyFont="1" applyFill="1" applyBorder="1"/>
    <xf numFmtId="0" fontId="177" fillId="0" borderId="0" xfId="54" applyFont="1" applyFill="1" applyBorder="1" applyAlignment="1">
      <alignment horizontal="center"/>
    </xf>
    <xf numFmtId="10" fontId="8" fillId="0" borderId="0" xfId="26" applyFont="1" applyFill="1" applyBorder="1"/>
    <xf numFmtId="0" fontId="109" fillId="0" borderId="0" xfId="54" applyFont="1" applyFill="1" applyBorder="1" applyAlignment="1">
      <alignment horizontal="center" wrapText="1"/>
    </xf>
    <xf numFmtId="0" fontId="219" fillId="0" borderId="0" xfId="54" applyFont="1" applyFill="1" applyBorder="1" applyAlignment="1">
      <alignment wrapText="1"/>
    </xf>
    <xf numFmtId="0" fontId="42" fillId="0" borderId="0" xfId="0" applyFont="1" applyBorder="1" applyAlignment="1">
      <alignment horizontal="center" vertical="center" wrapText="1"/>
    </xf>
    <xf numFmtId="0" fontId="20" fillId="0" borderId="98" xfId="0" applyFont="1" applyBorder="1" applyAlignment="1"/>
    <xf numFmtId="0" fontId="0" fillId="0" borderId="99" xfId="0" applyBorder="1" applyAlignment="1">
      <alignment horizontal="left"/>
    </xf>
    <xf numFmtId="9" fontId="0" fillId="0" borderId="134" xfId="0" applyNumberFormat="1" applyBorder="1" applyAlignment="1"/>
    <xf numFmtId="169" fontId="21" fillId="0" borderId="15" xfId="0" applyNumberFormat="1" applyFont="1" applyBorder="1" applyAlignment="1"/>
    <xf numFmtId="175" fontId="21" fillId="0" borderId="38" xfId="1" applyNumberFormat="1" applyFont="1" applyFill="1" applyBorder="1" applyAlignment="1">
      <alignment horizontal="center"/>
    </xf>
    <xf numFmtId="175" fontId="21" fillId="0" borderId="15" xfId="1" applyNumberFormat="1" applyFont="1" applyFill="1" applyBorder="1" applyAlignment="1">
      <alignment horizontal="center"/>
    </xf>
    <xf numFmtId="0" fontId="180" fillId="0" borderId="8" xfId="55" applyFont="1" applyBorder="1"/>
    <xf numFmtId="0" fontId="21" fillId="0" borderId="33" xfId="0" applyFont="1" applyBorder="1" applyAlignment="1"/>
    <xf numFmtId="198" fontId="21" fillId="0" borderId="33" xfId="0" applyNumberFormat="1" applyFont="1" applyFill="1" applyBorder="1" applyAlignment="1"/>
    <xf numFmtId="198" fontId="21" fillId="0" borderId="33" xfId="0" applyNumberFormat="1" applyFont="1" applyBorder="1" applyAlignment="1"/>
    <xf numFmtId="0" fontId="21" fillId="0" borderId="32" xfId="0" applyFont="1" applyBorder="1" applyAlignment="1"/>
    <xf numFmtId="0" fontId="21" fillId="0" borderId="89" xfId="0" applyFont="1" applyFill="1" applyBorder="1" applyAlignment="1"/>
    <xf numFmtId="0" fontId="18" fillId="8" borderId="4" xfId="0" applyFont="1" applyFill="1" applyBorder="1" applyAlignment="1">
      <alignment horizontal="centerContinuous"/>
    </xf>
    <xf numFmtId="0" fontId="27" fillId="0" borderId="0" xfId="1" applyNumberFormat="1" applyFont="1" applyBorder="1" applyAlignment="1">
      <alignment horizontal="right"/>
    </xf>
    <xf numFmtId="0" fontId="108" fillId="0" borderId="0" xfId="0" applyFont="1" applyAlignment="1">
      <alignment horizontal="right"/>
    </xf>
    <xf numFmtId="0" fontId="161" fillId="0" borderId="3" xfId="0" applyFont="1" applyFill="1" applyBorder="1" applyAlignment="1">
      <alignment horizontal="left"/>
    </xf>
    <xf numFmtId="0" fontId="161" fillId="0" borderId="9" xfId="0" applyFont="1" applyFill="1" applyBorder="1" applyAlignment="1">
      <alignment horizontal="left"/>
    </xf>
    <xf numFmtId="0" fontId="18" fillId="8" borderId="15" xfId="0" applyFont="1" applyFill="1" applyBorder="1" applyAlignment="1">
      <alignment horizontal="center" vertical="center"/>
    </xf>
    <xf numFmtId="0" fontId="18" fillId="0" borderId="39" xfId="0" applyFont="1" applyBorder="1">
      <alignment vertical="top"/>
    </xf>
    <xf numFmtId="0" fontId="101" fillId="0" borderId="6" xfId="0" applyFont="1" applyBorder="1">
      <alignment vertical="top"/>
    </xf>
    <xf numFmtId="0" fontId="21" fillId="0" borderId="39" xfId="0" quotePrefix="1" applyFont="1" applyBorder="1">
      <alignment vertical="top"/>
    </xf>
    <xf numFmtId="169" fontId="18" fillId="0" borderId="3" xfId="0" applyNumberFormat="1" applyFont="1" applyFill="1" applyBorder="1" applyAlignment="1">
      <alignment horizontal="center"/>
    </xf>
    <xf numFmtId="0" fontId="18" fillId="0" borderId="37" xfId="0" applyFont="1" applyBorder="1" applyAlignment="1">
      <alignment vertical="center"/>
    </xf>
    <xf numFmtId="169" fontId="100" fillId="0" borderId="0" xfId="0" applyNumberFormat="1" applyFont="1" applyBorder="1" applyAlignment="1">
      <alignment horizontal="center" vertical="center"/>
    </xf>
    <xf numFmtId="169" fontId="48" fillId="0" borderId="3" xfId="0" applyNumberFormat="1" applyFont="1" applyFill="1" applyBorder="1" applyAlignment="1">
      <alignment horizontal="center"/>
    </xf>
    <xf numFmtId="169" fontId="48" fillId="0" borderId="67" xfId="0" applyNumberFormat="1" applyFont="1" applyFill="1" applyBorder="1" applyAlignment="1">
      <alignment horizontal="center"/>
    </xf>
    <xf numFmtId="0" fontId="48" fillId="0" borderId="38" xfId="0" applyFont="1" applyBorder="1">
      <alignment vertical="top"/>
    </xf>
    <xf numFmtId="0" fontId="48" fillId="0" borderId="39" xfId="0" applyFont="1" applyBorder="1" applyAlignment="1"/>
    <xf numFmtId="0" fontId="65" fillId="0" borderId="0" xfId="0" applyFont="1" applyAlignment="1"/>
    <xf numFmtId="0" fontId="100" fillId="0" borderId="10" xfId="0" applyFont="1" applyBorder="1" applyAlignment="1">
      <alignment horizontal="center"/>
    </xf>
    <xf numFmtId="189" fontId="0" fillId="0" borderId="0" xfId="1" applyNumberFormat="1" applyFont="1" applyAlignment="1"/>
    <xf numFmtId="189" fontId="21" fillId="0" borderId="12" xfId="1" applyNumberFormat="1" applyFont="1" applyBorder="1"/>
    <xf numFmtId="169" fontId="0" fillId="0" borderId="3" xfId="7" applyNumberFormat="1" applyFont="1" applyFill="1" applyBorder="1" applyAlignment="1">
      <alignment horizontal="center"/>
    </xf>
    <xf numFmtId="0" fontId="34" fillId="0" borderId="15" xfId="0" applyFont="1" applyBorder="1" applyAlignment="1">
      <alignment horizontal="center" vertical="top"/>
    </xf>
    <xf numFmtId="4" fontId="21" fillId="0" borderId="0" xfId="0" applyNumberFormat="1" applyFont="1" applyFill="1" applyAlignment="1"/>
    <xf numFmtId="169" fontId="20" fillId="0" borderId="0" xfId="6" applyNumberFormat="1" applyFont="1"/>
    <xf numFmtId="10" fontId="20" fillId="0" borderId="0" xfId="26" applyFont="1"/>
    <xf numFmtId="1" fontId="78" fillId="0" borderId="0" xfId="0" applyNumberFormat="1" applyFont="1" applyBorder="1" applyAlignment="1"/>
    <xf numFmtId="4" fontId="78" fillId="0" borderId="0" xfId="0" applyNumberFormat="1" applyFont="1" applyFill="1" applyBorder="1" applyAlignment="1"/>
    <xf numFmtId="169" fontId="78" fillId="0" borderId="0" xfId="6" applyNumberFormat="1" applyFont="1" applyFill="1" applyBorder="1"/>
    <xf numFmtId="171" fontId="78" fillId="0" borderId="0" xfId="6" applyNumberFormat="1" applyFont="1" applyBorder="1"/>
    <xf numFmtId="1" fontId="85" fillId="0" borderId="0" xfId="0" applyNumberFormat="1" applyFont="1" applyBorder="1" applyAlignment="1"/>
    <xf numFmtId="1" fontId="85" fillId="0" borderId="0" xfId="0" applyNumberFormat="1" applyFont="1" applyFill="1" applyBorder="1" applyAlignment="1"/>
    <xf numFmtId="169" fontId="85" fillId="0" borderId="0" xfId="6" applyNumberFormat="1" applyFont="1" applyFill="1" applyBorder="1"/>
    <xf numFmtId="169" fontId="130" fillId="0" borderId="0" xfId="6" applyNumberFormat="1" applyFont="1" applyBorder="1"/>
    <xf numFmtId="1" fontId="90" fillId="0" borderId="97" xfId="0" applyNumberFormat="1" applyFont="1" applyBorder="1" applyAlignment="1"/>
    <xf numFmtId="1" fontId="78" fillId="0" borderId="97" xfId="0" applyNumberFormat="1" applyFont="1" applyBorder="1" applyAlignment="1"/>
    <xf numFmtId="169" fontId="90" fillId="0" borderId="97" xfId="6" applyNumberFormat="1" applyFont="1" applyFill="1" applyBorder="1"/>
    <xf numFmtId="10" fontId="111" fillId="0" borderId="97" xfId="26" applyFont="1" applyBorder="1"/>
    <xf numFmtId="4" fontId="78" fillId="0" borderId="97" xfId="0" applyNumberFormat="1" applyFont="1" applyFill="1" applyBorder="1" applyAlignment="1"/>
    <xf numFmtId="1" fontId="281" fillId="0" borderId="163" xfId="0" applyNumberFormat="1" applyFont="1" applyBorder="1" applyAlignment="1"/>
    <xf numFmtId="1" fontId="78" fillId="0" borderId="163" xfId="0" applyNumberFormat="1" applyFont="1" applyBorder="1" applyAlignment="1"/>
    <xf numFmtId="169" fontId="90" fillId="0" borderId="163" xfId="6" applyNumberFormat="1" applyFont="1" applyFill="1" applyBorder="1"/>
    <xf numFmtId="10" fontId="111" fillId="0" borderId="163" xfId="26" applyFont="1" applyBorder="1"/>
    <xf numFmtId="4" fontId="78" fillId="0" borderId="163" xfId="0" applyNumberFormat="1" applyFont="1" applyFill="1" applyBorder="1" applyAlignment="1"/>
    <xf numFmtId="0" fontId="78" fillId="0" borderId="163" xfId="0" applyFont="1" applyBorder="1" applyAlignment="1"/>
    <xf numFmtId="0" fontId="85" fillId="0" borderId="0" xfId="0" applyFont="1" applyBorder="1" applyAlignment="1"/>
    <xf numFmtId="0" fontId="78" fillId="0" borderId="97" xfId="0" applyFont="1" applyBorder="1" applyAlignment="1"/>
    <xf numFmtId="169" fontId="0" fillId="0" borderId="3" xfId="0" applyNumberFormat="1" applyFill="1" applyBorder="1" applyAlignment="1">
      <alignment horizontal="center" vertical="top"/>
    </xf>
    <xf numFmtId="169" fontId="0" fillId="0" borderId="67" xfId="0" applyNumberFormat="1" applyFill="1" applyBorder="1" applyAlignment="1">
      <alignment horizontal="center" vertical="top"/>
    </xf>
    <xf numFmtId="169" fontId="0" fillId="0" borderId="67" xfId="7" applyNumberFormat="1" applyFont="1" applyFill="1" applyBorder="1" applyAlignment="1">
      <alignment horizontal="center"/>
    </xf>
    <xf numFmtId="169" fontId="21" fillId="0" borderId="3" xfId="7" applyNumberFormat="1" applyFont="1" applyFill="1" applyBorder="1" applyAlignment="1">
      <alignment horizontal="center"/>
    </xf>
    <xf numFmtId="169" fontId="0" fillId="0" borderId="68" xfId="7" applyNumberFormat="1" applyFont="1" applyFill="1" applyBorder="1" applyAlignment="1">
      <alignment horizontal="center"/>
    </xf>
    <xf numFmtId="7" fontId="101" fillId="0" borderId="6" xfId="0" applyNumberFormat="1" applyFont="1" applyBorder="1">
      <alignment vertical="top"/>
    </xf>
    <xf numFmtId="0" fontId="161" fillId="0" borderId="164" xfId="0" applyFont="1" applyFill="1" applyBorder="1" applyAlignment="1">
      <alignment horizontal="left" vertical="center"/>
    </xf>
    <xf numFmtId="0" fontId="0" fillId="0" borderId="164" xfId="0" applyFill="1" applyBorder="1" applyAlignment="1"/>
    <xf numFmtId="0" fontId="21" fillId="0" borderId="164" xfId="0" applyFont="1" applyFill="1" applyBorder="1" applyAlignment="1"/>
    <xf numFmtId="0" fontId="18" fillId="0" borderId="164" xfId="0" applyFont="1" applyFill="1" applyBorder="1" applyAlignment="1"/>
    <xf numFmtId="14" fontId="0" fillId="0" borderId="164" xfId="0" applyNumberFormat="1" applyFill="1" applyBorder="1" applyAlignment="1"/>
    <xf numFmtId="0" fontId="44" fillId="0" borderId="0" xfId="23" applyFont="1" applyBorder="1" applyAlignment="1">
      <alignment horizontal="left" wrapText="1"/>
    </xf>
    <xf numFmtId="0" fontId="44" fillId="0" borderId="0" xfId="23" applyFont="1" applyFill="1" applyAlignment="1">
      <alignment horizontal="left" wrapText="1"/>
    </xf>
    <xf numFmtId="0" fontId="21" fillId="0" borderId="8" xfId="0" applyFont="1" applyBorder="1" applyAlignment="1">
      <alignment horizontal="left" wrapText="1"/>
    </xf>
    <xf numFmtId="0" fontId="21" fillId="0" borderId="33" xfId="0" applyFont="1" applyBorder="1" applyAlignment="1">
      <alignment horizontal="left" wrapText="1"/>
    </xf>
    <xf numFmtId="0" fontId="21" fillId="0" borderId="32" xfId="0" applyFont="1" applyBorder="1" applyAlignment="1">
      <alignment horizontal="left" wrapText="1"/>
    </xf>
    <xf numFmtId="0" fontId="66" fillId="0" borderId="0" xfId="0" applyFont="1" applyAlignment="1">
      <alignment horizontal="center" vertical="center"/>
    </xf>
    <xf numFmtId="0" fontId="66" fillId="0" borderId="0" xfId="0" applyFont="1" applyAlignment="1">
      <alignment horizontal="left" vertical="center"/>
    </xf>
    <xf numFmtId="0" fontId="69" fillId="0" borderId="0" xfId="0" applyFont="1" applyFill="1" applyBorder="1" applyAlignment="1">
      <alignment horizontal="center"/>
    </xf>
    <xf numFmtId="3" fontId="18" fillId="14" borderId="38" xfId="0" applyNumberFormat="1" applyFont="1" applyFill="1" applyBorder="1" applyAlignment="1" applyProtection="1">
      <alignment horizontal="center" vertical="center" wrapText="1"/>
    </xf>
    <xf numFmtId="3" fontId="18" fillId="14" borderId="15" xfId="0" applyNumberFormat="1" applyFont="1" applyFill="1" applyBorder="1" applyAlignment="1" applyProtection="1">
      <alignment horizontal="center" vertical="center" wrapText="1"/>
    </xf>
    <xf numFmtId="0" fontId="18" fillId="14" borderId="38" xfId="0" applyFont="1" applyFill="1" applyBorder="1" applyAlignment="1">
      <alignment horizontal="center" vertical="center"/>
    </xf>
    <xf numFmtId="0" fontId="18" fillId="14" borderId="15" xfId="0" applyFont="1" applyFill="1" applyBorder="1" applyAlignment="1">
      <alignment horizontal="center" vertical="center"/>
    </xf>
    <xf numFmtId="0" fontId="18" fillId="0" borderId="0" xfId="0" applyFont="1" applyFill="1" applyBorder="1" applyAlignment="1">
      <alignment horizontal="center" vertical="center"/>
    </xf>
    <xf numFmtId="0" fontId="17" fillId="0" borderId="8" xfId="0" applyFont="1" applyFill="1" applyBorder="1" applyAlignment="1">
      <alignment horizontal="center"/>
    </xf>
    <xf numFmtId="0" fontId="17" fillId="0" borderId="32" xfId="0" applyFont="1" applyFill="1" applyBorder="1" applyAlignment="1">
      <alignment horizontal="center"/>
    </xf>
    <xf numFmtId="0" fontId="34" fillId="0" borderId="0" xfId="0" applyFont="1" applyFill="1" applyBorder="1" applyAlignment="1">
      <alignment horizontal="center" vertical="center"/>
    </xf>
    <xf numFmtId="0" fontId="69" fillId="0" borderId="8" xfId="0" applyFont="1" applyFill="1" applyBorder="1" applyAlignment="1">
      <alignment horizontal="center"/>
    </xf>
    <xf numFmtId="0" fontId="69" fillId="0" borderId="32" xfId="0" applyFont="1" applyFill="1" applyBorder="1" applyAlignment="1">
      <alignment horizontal="center"/>
    </xf>
    <xf numFmtId="0" fontId="106" fillId="0" borderId="0" xfId="0" applyFont="1" applyAlignment="1">
      <alignment horizontal="left"/>
    </xf>
    <xf numFmtId="0" fontId="186" fillId="0" borderId="0" xfId="0" applyFont="1" applyAlignment="1">
      <alignment horizontal="center" vertical="center"/>
    </xf>
    <xf numFmtId="0" fontId="106" fillId="0" borderId="0" xfId="0" applyFont="1" applyBorder="1" applyAlignment="1">
      <alignment horizontal="center" vertical="center"/>
    </xf>
    <xf numFmtId="0" fontId="106" fillId="55" borderId="4" xfId="0" applyFont="1" applyFill="1" applyBorder="1" applyAlignment="1">
      <alignment horizontal="center"/>
    </xf>
    <xf numFmtId="0" fontId="106" fillId="55" borderId="89" xfId="0" applyFont="1" applyFill="1" applyBorder="1" applyAlignment="1">
      <alignment horizontal="center"/>
    </xf>
    <xf numFmtId="0" fontId="106" fillId="55" borderId="2" xfId="0" applyFont="1" applyFill="1" applyBorder="1" applyAlignment="1">
      <alignment horizontal="center"/>
    </xf>
    <xf numFmtId="0" fontId="106" fillId="0" borderId="0" xfId="0" applyFont="1" applyBorder="1" applyAlignment="1">
      <alignment horizontal="center"/>
    </xf>
    <xf numFmtId="0" fontId="18" fillId="0" borderId="24" xfId="0" applyFont="1" applyFill="1" applyBorder="1" applyAlignment="1">
      <alignment vertical="center"/>
    </xf>
    <xf numFmtId="0" fontId="18" fillId="0" borderId="17" xfId="0" applyFont="1" applyFill="1" applyBorder="1" applyAlignment="1">
      <alignment vertical="center"/>
    </xf>
    <xf numFmtId="0" fontId="55" fillId="11" borderId="24" xfId="0" applyFont="1" applyFill="1" applyBorder="1" applyAlignment="1">
      <alignment horizontal="center" vertical="top" wrapText="1"/>
    </xf>
    <xf numFmtId="0" fontId="55" fillId="11" borderId="17" xfId="0" applyFont="1" applyFill="1" applyBorder="1" applyAlignment="1">
      <alignment horizontal="center" vertical="top" wrapText="1"/>
    </xf>
    <xf numFmtId="0" fontId="185" fillId="55" borderId="9" xfId="0" applyFont="1" applyFill="1" applyBorder="1" applyAlignment="1">
      <alignment horizontal="center" vertical="center"/>
    </xf>
    <xf numFmtId="0" fontId="185" fillId="55" borderId="10" xfId="0" applyFont="1" applyFill="1" applyBorder="1" applyAlignment="1">
      <alignment horizontal="center" vertical="center"/>
    </xf>
    <xf numFmtId="0" fontId="185" fillId="55" borderId="7" xfId="0" applyFont="1" applyFill="1" applyBorder="1" applyAlignment="1">
      <alignment horizontal="center" vertical="center"/>
    </xf>
    <xf numFmtId="0" fontId="187" fillId="0" borderId="19" xfId="0" applyFont="1" applyFill="1" applyBorder="1" applyAlignment="1">
      <alignment horizontal="center"/>
    </xf>
    <xf numFmtId="0" fontId="187" fillId="0" borderId="29" xfId="0" applyFont="1" applyFill="1" applyBorder="1" applyAlignment="1">
      <alignment horizontal="center"/>
    </xf>
    <xf numFmtId="0" fontId="187" fillId="0" borderId="25" xfId="0" applyFont="1" applyFill="1" applyBorder="1" applyAlignment="1">
      <alignment horizontal="center"/>
    </xf>
    <xf numFmtId="0" fontId="187" fillId="0" borderId="20" xfId="0" applyFont="1" applyFill="1" applyBorder="1" applyAlignment="1">
      <alignment horizontal="center" vertical="center"/>
    </xf>
    <xf numFmtId="0" fontId="187" fillId="0" borderId="0" xfId="0" applyFont="1" applyFill="1" applyBorder="1" applyAlignment="1">
      <alignment horizontal="center" vertical="center"/>
    </xf>
    <xf numFmtId="0" fontId="187" fillId="0" borderId="21" xfId="0" applyFont="1" applyFill="1" applyBorder="1" applyAlignment="1">
      <alignment horizontal="center" vertical="center"/>
    </xf>
    <xf numFmtId="0" fontId="168" fillId="0" borderId="20" xfId="0" applyFont="1" applyFill="1" applyBorder="1" applyAlignment="1">
      <alignment vertical="center"/>
    </xf>
    <xf numFmtId="0" fontId="189" fillId="0" borderId="20" xfId="0" applyFont="1" applyFill="1" applyBorder="1" applyAlignment="1">
      <alignment vertical="center"/>
    </xf>
    <xf numFmtId="0" fontId="188" fillId="0" borderId="20" xfId="0" applyFont="1" applyFill="1" applyBorder="1" applyAlignment="1">
      <alignment horizontal="center"/>
    </xf>
    <xf numFmtId="0" fontId="188" fillId="0" borderId="0" xfId="0" applyFont="1" applyFill="1" applyBorder="1" applyAlignment="1">
      <alignment horizontal="center"/>
    </xf>
    <xf numFmtId="0" fontId="188" fillId="0" borderId="21" xfId="0" applyFont="1" applyFill="1" applyBorder="1" applyAlignment="1">
      <alignment horizontal="center"/>
    </xf>
    <xf numFmtId="3" fontId="168" fillId="0" borderId="0" xfId="0" applyNumberFormat="1" applyFont="1" applyFill="1" applyBorder="1" applyAlignment="1" applyProtection="1">
      <alignment horizontal="center" vertical="center" wrapText="1"/>
    </xf>
    <xf numFmtId="0" fontId="189" fillId="0" borderId="20" xfId="0" applyFont="1" applyFill="1" applyBorder="1" applyAlignment="1">
      <alignment horizontal="center" vertical="center"/>
    </xf>
    <xf numFmtId="3" fontId="18" fillId="0" borderId="0" xfId="0" applyNumberFormat="1" applyFont="1" applyFill="1" applyBorder="1" applyAlignment="1" applyProtection="1">
      <alignment horizontal="center" vertical="center" wrapText="1"/>
    </xf>
    <xf numFmtId="0" fontId="56" fillId="14" borderId="8" xfId="0" applyFont="1" applyFill="1" applyBorder="1" applyAlignment="1">
      <alignment horizontal="center" vertical="center"/>
    </xf>
    <xf numFmtId="0" fontId="56" fillId="14" borderId="33" xfId="0" applyFont="1" applyFill="1" applyBorder="1" applyAlignment="1">
      <alignment horizontal="center" vertical="center"/>
    </xf>
    <xf numFmtId="0" fontId="56" fillId="14" borderId="32" xfId="0" applyFont="1" applyFill="1" applyBorder="1" applyAlignment="1">
      <alignment horizontal="center" vertical="center"/>
    </xf>
    <xf numFmtId="0" fontId="69" fillId="30" borderId="53" xfId="0" applyFont="1" applyFill="1" applyBorder="1" applyAlignment="1">
      <alignment horizontal="center" vertical="center"/>
    </xf>
    <xf numFmtId="0" fontId="69" fillId="30" borderId="66" xfId="0" applyFont="1" applyFill="1" applyBorder="1" applyAlignment="1">
      <alignment horizontal="center" vertical="center"/>
    </xf>
    <xf numFmtId="0" fontId="18" fillId="30" borderId="78" xfId="0" applyFont="1" applyFill="1" applyBorder="1" applyAlignment="1">
      <alignment horizontal="center" vertical="center" wrapText="1"/>
    </xf>
    <xf numFmtId="0" fontId="18" fillId="30" borderId="64" xfId="0" applyFont="1" applyFill="1" applyBorder="1" applyAlignment="1">
      <alignment horizontal="center" vertical="center" wrapText="1"/>
    </xf>
    <xf numFmtId="0" fontId="18" fillId="30" borderId="75" xfId="0" applyFont="1" applyFill="1" applyBorder="1" applyAlignment="1">
      <alignment horizontal="center" vertical="center" wrapText="1"/>
    </xf>
    <xf numFmtId="0" fontId="18" fillId="0" borderId="8" xfId="0" applyFont="1" applyBorder="1" applyAlignment="1">
      <alignment horizontal="center" vertical="center"/>
    </xf>
    <xf numFmtId="0" fontId="18" fillId="0" borderId="33" xfId="0" applyFont="1" applyBorder="1" applyAlignment="1">
      <alignment horizontal="center" vertical="center"/>
    </xf>
    <xf numFmtId="0" fontId="18" fillId="0" borderId="32" xfId="0" applyFont="1" applyBorder="1" applyAlignment="1">
      <alignment horizontal="center" vertical="center"/>
    </xf>
    <xf numFmtId="0" fontId="21" fillId="0" borderId="8" xfId="0" applyFont="1" applyFill="1" applyBorder="1" applyAlignment="1">
      <alignment horizontal="center" vertical="center"/>
    </xf>
    <xf numFmtId="0" fontId="21" fillId="0" borderId="33" xfId="0" applyFont="1" applyFill="1" applyBorder="1" applyAlignment="1">
      <alignment horizontal="center" vertical="center"/>
    </xf>
    <xf numFmtId="0" fontId="21" fillId="0" borderId="32" xfId="0" applyFont="1" applyFill="1" applyBorder="1" applyAlignment="1">
      <alignment horizontal="center" vertical="center"/>
    </xf>
    <xf numFmtId="0" fontId="21" fillId="0" borderId="8" xfId="0" applyFont="1" applyFill="1" applyBorder="1" applyAlignment="1">
      <alignment horizontal="center"/>
    </xf>
    <xf numFmtId="0" fontId="21" fillId="0" borderId="33" xfId="0" applyFont="1" applyFill="1" applyBorder="1" applyAlignment="1">
      <alignment horizontal="center"/>
    </xf>
    <xf numFmtId="0" fontId="21" fillId="0" borderId="32" xfId="0" applyFont="1" applyFill="1" applyBorder="1" applyAlignment="1">
      <alignment horizontal="center"/>
    </xf>
    <xf numFmtId="0" fontId="18" fillId="0" borderId="8" xfId="0" applyFont="1" applyFill="1" applyBorder="1" applyAlignment="1">
      <alignment horizontal="center"/>
    </xf>
    <xf numFmtId="0" fontId="18" fillId="0" borderId="32" xfId="0" applyFont="1" applyFill="1" applyBorder="1" applyAlignment="1">
      <alignment horizontal="center"/>
    </xf>
    <xf numFmtId="0" fontId="18" fillId="0" borderId="38" xfId="0" applyFont="1" applyFill="1" applyBorder="1" applyAlignment="1">
      <alignment horizontal="center" vertical="center"/>
    </xf>
    <xf numFmtId="0" fontId="18" fillId="0" borderId="41" xfId="0" applyFont="1" applyFill="1" applyBorder="1" applyAlignment="1">
      <alignment horizontal="center" vertical="center"/>
    </xf>
    <xf numFmtId="0" fontId="18" fillId="30" borderId="38" xfId="0" applyFont="1" applyFill="1" applyBorder="1" applyAlignment="1">
      <alignment horizontal="center" vertical="center" wrapText="1"/>
    </xf>
    <xf numFmtId="0" fontId="18" fillId="30" borderId="41" xfId="0" applyFont="1" applyFill="1" applyBorder="1" applyAlignment="1">
      <alignment horizontal="center" vertical="center" wrapText="1"/>
    </xf>
    <xf numFmtId="0" fontId="18" fillId="30" borderId="77" xfId="0" applyFont="1" applyFill="1" applyBorder="1" applyAlignment="1">
      <alignment horizontal="center" vertical="center" wrapText="1"/>
    </xf>
    <xf numFmtId="0" fontId="18" fillId="30" borderId="70" xfId="0" applyFont="1" applyFill="1" applyBorder="1" applyAlignment="1">
      <alignment horizontal="center" vertical="center" wrapText="1"/>
    </xf>
    <xf numFmtId="0" fontId="18" fillId="30" borderId="4" xfId="0" applyFont="1" applyFill="1" applyBorder="1" applyAlignment="1">
      <alignment horizontal="center" vertical="center"/>
    </xf>
    <xf numFmtId="0" fontId="18" fillId="30" borderId="89" xfId="0" applyFont="1" applyFill="1" applyBorder="1" applyAlignment="1">
      <alignment horizontal="center" vertical="center"/>
    </xf>
    <xf numFmtId="0" fontId="18" fillId="30" borderId="2" xfId="0" applyFont="1" applyFill="1" applyBorder="1" applyAlignment="1">
      <alignment horizontal="center" vertical="center"/>
    </xf>
    <xf numFmtId="0" fontId="18" fillId="64" borderId="38" xfId="0" applyFont="1" applyFill="1" applyBorder="1" applyAlignment="1">
      <alignment horizontal="center" vertical="center"/>
    </xf>
    <xf numFmtId="0" fontId="18" fillId="64" borderId="41" xfId="0" applyFont="1" applyFill="1" applyBorder="1" applyAlignment="1">
      <alignment horizontal="center" vertical="center"/>
    </xf>
    <xf numFmtId="0" fontId="18" fillId="64" borderId="45" xfId="0" applyFont="1" applyFill="1" applyBorder="1" applyAlignment="1">
      <alignment horizontal="center"/>
    </xf>
    <xf numFmtId="0" fontId="18" fillId="64" borderId="64" xfId="0" applyFont="1" applyFill="1" applyBorder="1" applyAlignment="1">
      <alignment horizontal="center"/>
    </xf>
    <xf numFmtId="0" fontId="18" fillId="64" borderId="46" xfId="0" applyFont="1" applyFill="1" applyBorder="1" applyAlignment="1">
      <alignment horizontal="center"/>
    </xf>
    <xf numFmtId="0" fontId="18" fillId="30" borderId="33" xfId="0" applyFont="1" applyFill="1" applyBorder="1" applyAlignment="1">
      <alignment horizontal="center" vertical="center"/>
    </xf>
    <xf numFmtId="0" fontId="18" fillId="30" borderId="32" xfId="0" applyFont="1" applyFill="1" applyBorder="1" applyAlignment="1">
      <alignment horizontal="center" vertical="center"/>
    </xf>
    <xf numFmtId="0" fontId="18" fillId="30" borderId="4" xfId="0" applyFont="1" applyFill="1" applyBorder="1" applyAlignment="1">
      <alignment horizontal="center" vertical="center" wrapText="1"/>
    </xf>
    <xf numFmtId="0" fontId="18" fillId="30" borderId="11" xfId="0" applyFont="1" applyFill="1" applyBorder="1" applyAlignment="1">
      <alignment horizontal="center" vertical="center" wrapText="1"/>
    </xf>
    <xf numFmtId="0" fontId="18" fillId="64" borderId="45" xfId="0" applyFont="1" applyFill="1" applyBorder="1" applyAlignment="1">
      <alignment horizontal="center" wrapText="1"/>
    </xf>
    <xf numFmtId="0" fontId="18" fillId="64" borderId="64" xfId="0" applyFont="1" applyFill="1" applyBorder="1" applyAlignment="1">
      <alignment horizontal="center" wrapText="1"/>
    </xf>
    <xf numFmtId="0" fontId="18" fillId="64" borderId="46" xfId="0" applyFont="1" applyFill="1" applyBorder="1" applyAlignment="1">
      <alignment horizontal="center" wrapText="1"/>
    </xf>
    <xf numFmtId="0" fontId="18" fillId="30" borderId="53" xfId="0" applyFont="1" applyFill="1" applyBorder="1" applyAlignment="1">
      <alignment horizontal="center" vertical="center" wrapText="1"/>
    </xf>
    <xf numFmtId="0" fontId="18" fillId="30" borderId="66" xfId="0" applyFont="1" applyFill="1" applyBorder="1" applyAlignment="1">
      <alignment horizontal="center" vertical="center" wrapText="1"/>
    </xf>
    <xf numFmtId="0" fontId="18" fillId="30" borderId="8" xfId="0" applyFont="1" applyFill="1" applyBorder="1" applyAlignment="1">
      <alignment horizontal="center" vertical="center" wrapText="1"/>
    </xf>
    <xf numFmtId="0" fontId="0" fillId="0" borderId="32" xfId="0" applyBorder="1" applyAlignment="1"/>
    <xf numFmtId="0" fontId="18" fillId="30" borderId="46" xfId="0" applyFont="1" applyFill="1" applyBorder="1" applyAlignment="1">
      <alignment horizontal="center" vertical="center" wrapText="1"/>
    </xf>
    <xf numFmtId="0" fontId="18" fillId="30" borderId="8" xfId="0" applyFont="1" applyFill="1" applyBorder="1" applyAlignment="1">
      <alignment horizontal="center" vertical="center"/>
    </xf>
    <xf numFmtId="0" fontId="159" fillId="0" borderId="0" xfId="0" applyFont="1" applyFill="1" applyBorder="1" applyAlignment="1">
      <alignment horizontal="center" vertical="center"/>
    </xf>
    <xf numFmtId="0" fontId="18" fillId="0" borderId="33" xfId="0" applyFont="1" applyFill="1" applyBorder="1" applyAlignment="1">
      <alignment horizontal="center"/>
    </xf>
    <xf numFmtId="0" fontId="18" fillId="0" borderId="0" xfId="0" applyFont="1" applyFill="1" applyBorder="1" applyAlignment="1">
      <alignment horizontal="center" vertical="center" wrapText="1"/>
    </xf>
    <xf numFmtId="0" fontId="18" fillId="64" borderId="4" xfId="0" applyFont="1" applyFill="1" applyBorder="1" applyAlignment="1">
      <alignment horizontal="center" vertical="center" wrapText="1"/>
    </xf>
    <xf numFmtId="0" fontId="18" fillId="64" borderId="3" xfId="0" applyFont="1" applyFill="1" applyBorder="1" applyAlignment="1">
      <alignment horizontal="center" vertical="center" wrapText="1"/>
    </xf>
    <xf numFmtId="0" fontId="18" fillId="30" borderId="131" xfId="0" applyFont="1" applyFill="1" applyBorder="1" applyAlignment="1">
      <alignment horizontal="center" vertical="center" wrapText="1"/>
    </xf>
    <xf numFmtId="0" fontId="18" fillId="30" borderId="3" xfId="0" applyFont="1" applyFill="1" applyBorder="1" applyAlignment="1">
      <alignment horizontal="center" vertical="center" wrapText="1"/>
    </xf>
    <xf numFmtId="0" fontId="18" fillId="64" borderId="4" xfId="0" applyFont="1" applyFill="1" applyBorder="1" applyAlignment="1">
      <alignment horizontal="center" vertical="center"/>
    </xf>
    <xf numFmtId="0" fontId="18" fillId="64" borderId="3" xfId="0" applyFont="1" applyFill="1" applyBorder="1" applyAlignment="1">
      <alignment horizontal="center" vertical="center"/>
    </xf>
    <xf numFmtId="0" fontId="18" fillId="30" borderId="32" xfId="0" applyFont="1" applyFill="1" applyBorder="1" applyAlignment="1">
      <alignment horizontal="center" vertical="center" wrapText="1"/>
    </xf>
    <xf numFmtId="0" fontId="18" fillId="30" borderId="89" xfId="0" applyFont="1" applyFill="1" applyBorder="1" applyAlignment="1">
      <alignment horizontal="center" vertical="center" wrapText="1"/>
    </xf>
    <xf numFmtId="0" fontId="18" fillId="30" borderId="97" xfId="0" applyFont="1" applyFill="1" applyBorder="1" applyAlignment="1">
      <alignment horizontal="center" vertical="center" wrapText="1"/>
    </xf>
    <xf numFmtId="0" fontId="18" fillId="0" borderId="8" xfId="0" applyFont="1" applyBorder="1" applyAlignment="1">
      <alignment horizontal="center"/>
    </xf>
    <xf numFmtId="0" fontId="18" fillId="0" borderId="33" xfId="0" applyFont="1" applyBorder="1" applyAlignment="1">
      <alignment horizontal="center"/>
    </xf>
    <xf numFmtId="0" fontId="18" fillId="0" borderId="32" xfId="0" applyFont="1" applyBorder="1" applyAlignment="1">
      <alignment horizontal="center"/>
    </xf>
    <xf numFmtId="0" fontId="18" fillId="0" borderId="0" xfId="0" applyFont="1" applyFill="1" applyBorder="1" applyAlignment="1">
      <alignment horizontal="center" wrapText="1"/>
    </xf>
    <xf numFmtId="0" fontId="173" fillId="63" borderId="4" xfId="0" applyFont="1" applyFill="1" applyBorder="1" applyAlignment="1">
      <alignment horizontal="left" vertical="center" wrapText="1"/>
    </xf>
    <xf numFmtId="0" fontId="173" fillId="63" borderId="5" xfId="0" applyFont="1" applyFill="1" applyBorder="1" applyAlignment="1">
      <alignment horizontal="left" vertical="center" wrapText="1"/>
    </xf>
    <xf numFmtId="0" fontId="27" fillId="0" borderId="0" xfId="0" applyFont="1" applyFill="1" applyBorder="1" applyAlignment="1" applyProtection="1">
      <alignment horizontal="center" vertical="top" wrapText="1"/>
    </xf>
    <xf numFmtId="0" fontId="55" fillId="0" borderId="0" xfId="0" applyFont="1" applyFill="1" applyBorder="1" applyAlignment="1">
      <alignment wrapText="1"/>
    </xf>
    <xf numFmtId="0" fontId="35" fillId="8" borderId="8" xfId="0" applyFont="1" applyFill="1" applyBorder="1" applyAlignment="1">
      <alignment horizontal="center"/>
    </xf>
    <xf numFmtId="0" fontId="35" fillId="8" borderId="33" xfId="0" applyFont="1" applyFill="1" applyBorder="1" applyAlignment="1">
      <alignment horizontal="center"/>
    </xf>
    <xf numFmtId="0" fontId="35" fillId="8" borderId="32" xfId="0" applyFont="1" applyFill="1" applyBorder="1" applyAlignment="1">
      <alignment horizontal="center"/>
    </xf>
    <xf numFmtId="0" fontId="35" fillId="8" borderId="8" xfId="0" applyFont="1" applyFill="1" applyBorder="1" applyAlignment="1">
      <alignment horizontal="left"/>
    </xf>
    <xf numFmtId="0" fontId="35" fillId="8" borderId="33" xfId="0" applyFont="1" applyFill="1" applyBorder="1" applyAlignment="1">
      <alignment horizontal="left"/>
    </xf>
    <xf numFmtId="0" fontId="35" fillId="8" borderId="32" xfId="0" applyFont="1" applyFill="1" applyBorder="1" applyAlignment="1">
      <alignment horizontal="left"/>
    </xf>
    <xf numFmtId="0" fontId="18" fillId="0" borderId="3" xfId="0" applyFont="1" applyBorder="1" applyAlignment="1">
      <alignment horizontal="center"/>
    </xf>
    <xf numFmtId="0" fontId="18" fillId="0" borderId="6" xfId="0" applyFont="1" applyBorder="1" applyAlignment="1">
      <alignment horizontal="center"/>
    </xf>
    <xf numFmtId="0" fontId="18" fillId="0" borderId="8" xfId="0" applyFont="1" applyFill="1" applyBorder="1" applyAlignment="1">
      <alignment horizontal="left" wrapText="1"/>
    </xf>
    <xf numFmtId="0" fontId="18" fillId="0" borderId="32" xfId="0" applyFont="1" applyFill="1" applyBorder="1" applyAlignment="1">
      <alignment horizontal="left" wrapText="1"/>
    </xf>
    <xf numFmtId="167" fontId="18" fillId="8" borderId="8" xfId="0" applyNumberFormat="1" applyFont="1" applyFill="1" applyBorder="1" applyAlignment="1">
      <alignment horizontal="center"/>
    </xf>
    <xf numFmtId="167" fontId="35" fillId="8" borderId="33" xfId="0" applyNumberFormat="1" applyFont="1" applyFill="1" applyBorder="1" applyAlignment="1">
      <alignment horizontal="center"/>
    </xf>
    <xf numFmtId="167" fontId="35" fillId="8" borderId="32" xfId="0" applyNumberFormat="1" applyFont="1" applyFill="1" applyBorder="1" applyAlignment="1">
      <alignment horizontal="center"/>
    </xf>
    <xf numFmtId="7" fontId="18" fillId="0" borderId="38" xfId="0" applyNumberFormat="1" applyFont="1" applyBorder="1" applyAlignment="1">
      <alignment horizontal="center" vertical="center" wrapText="1"/>
    </xf>
    <xf numFmtId="7" fontId="18" fillId="0" borderId="39" xfId="0" applyNumberFormat="1" applyFont="1" applyBorder="1" applyAlignment="1">
      <alignment horizontal="center" vertical="center" wrapText="1"/>
    </xf>
    <xf numFmtId="7" fontId="18" fillId="0" borderId="15" xfId="0" applyNumberFormat="1" applyFont="1" applyBorder="1" applyAlignment="1">
      <alignment horizontal="center" vertical="center" wrapText="1"/>
    </xf>
    <xf numFmtId="9" fontId="18" fillId="0" borderId="38" xfId="26" applyNumberFormat="1" applyFont="1" applyBorder="1" applyAlignment="1">
      <alignment horizontal="center" vertical="center" wrapText="1"/>
    </xf>
    <xf numFmtId="9" fontId="18" fillId="0" borderId="39" xfId="26" applyNumberFormat="1" applyFont="1" applyBorder="1" applyAlignment="1">
      <alignment horizontal="center" vertical="center" wrapText="1"/>
    </xf>
    <xf numFmtId="9" fontId="18" fillId="0" borderId="15" xfId="26" applyNumberFormat="1" applyFont="1" applyBorder="1" applyAlignment="1">
      <alignment horizontal="center" vertical="center" wrapText="1"/>
    </xf>
    <xf numFmtId="0" fontId="18" fillId="0" borderId="38" xfId="0" applyFont="1" applyBorder="1" applyAlignment="1">
      <alignment horizontal="center" vertical="center"/>
    </xf>
    <xf numFmtId="0" fontId="18" fillId="0" borderId="39" xfId="0" applyFont="1" applyBorder="1" applyAlignment="1">
      <alignment horizontal="center" vertical="center"/>
    </xf>
    <xf numFmtId="0" fontId="18" fillId="0" borderId="15" xfId="0" applyFont="1" applyBorder="1" applyAlignment="1">
      <alignment horizontal="center" vertical="center"/>
    </xf>
    <xf numFmtId="0" fontId="18" fillId="14" borderId="8" xfId="0" applyFont="1" applyFill="1" applyBorder="1" applyAlignment="1">
      <alignment horizontal="center" wrapText="1"/>
    </xf>
    <xf numFmtId="0" fontId="18" fillId="14" borderId="136" xfId="0" applyFont="1" applyFill="1" applyBorder="1" applyAlignment="1">
      <alignment horizontal="center" wrapText="1"/>
    </xf>
    <xf numFmtId="0" fontId="21" fillId="0" borderId="0" xfId="0" applyFont="1" applyFill="1" applyAlignment="1">
      <alignment wrapText="1"/>
    </xf>
    <xf numFmtId="0" fontId="0" fillId="0" borderId="0" xfId="0" applyFill="1" applyAlignment="1">
      <alignment wrapText="1"/>
    </xf>
    <xf numFmtId="0" fontId="18" fillId="0" borderId="0" xfId="0" applyFont="1" applyFill="1" applyBorder="1" applyAlignment="1">
      <alignment horizontal="left" vertical="top" wrapText="1"/>
    </xf>
    <xf numFmtId="0" fontId="42" fillId="0" borderId="0" xfId="0" applyFont="1" applyFill="1" applyBorder="1" applyAlignment="1">
      <alignment horizontal="left" wrapText="1"/>
    </xf>
    <xf numFmtId="0" fontId="18" fillId="8" borderId="8" xfId="0" applyFont="1" applyFill="1" applyBorder="1" applyAlignment="1">
      <alignment horizontal="center"/>
    </xf>
    <xf numFmtId="0" fontId="18" fillId="8" borderId="33" xfId="0" applyFont="1" applyFill="1" applyBorder="1" applyAlignment="1">
      <alignment horizontal="center"/>
    </xf>
    <xf numFmtId="0" fontId="18" fillId="8" borderId="32" xfId="0" applyFont="1" applyFill="1" applyBorder="1" applyAlignment="1">
      <alignment horizontal="center"/>
    </xf>
    <xf numFmtId="0" fontId="161" fillId="0" borderId="4" xfId="0" applyFont="1" applyBorder="1" applyAlignment="1">
      <alignment horizontal="left"/>
    </xf>
    <xf numFmtId="0" fontId="161" fillId="0" borderId="2" xfId="0" applyFont="1" applyBorder="1" applyAlignment="1">
      <alignment horizontal="left"/>
    </xf>
    <xf numFmtId="169" fontId="18" fillId="0" borderId="9" xfId="0" applyNumberFormat="1" applyFont="1" applyFill="1" applyBorder="1" applyAlignment="1">
      <alignment horizontal="center"/>
    </xf>
    <xf numFmtId="169" fontId="18" fillId="0" borderId="7" xfId="0" applyNumberFormat="1" applyFont="1" applyFill="1" applyBorder="1" applyAlignment="1">
      <alignment horizontal="center"/>
    </xf>
    <xf numFmtId="169" fontId="18" fillId="0" borderId="3" xfId="0" applyNumberFormat="1" applyFont="1" applyFill="1" applyBorder="1" applyAlignment="1">
      <alignment horizontal="center"/>
    </xf>
    <xf numFmtId="169" fontId="18" fillId="0" borderId="6" xfId="0" applyNumberFormat="1" applyFont="1" applyFill="1" applyBorder="1" applyAlignment="1">
      <alignment horizontal="center"/>
    </xf>
    <xf numFmtId="0" fontId="48" fillId="0" borderId="4" xfId="0" applyFont="1" applyFill="1" applyBorder="1" applyAlignment="1">
      <alignment horizontal="center"/>
    </xf>
    <xf numFmtId="0" fontId="48" fillId="0" borderId="2" xfId="0" applyFont="1" applyFill="1" applyBorder="1" applyAlignment="1">
      <alignment horizontal="center"/>
    </xf>
    <xf numFmtId="169" fontId="18" fillId="0" borderId="9" xfId="7" applyNumberFormat="1" applyFont="1" applyFill="1" applyBorder="1" applyAlignment="1">
      <alignment horizontal="center"/>
    </xf>
    <xf numFmtId="169" fontId="18" fillId="0" borderId="7" xfId="7" applyNumberFormat="1" applyFont="1" applyFill="1" applyBorder="1" applyAlignment="1">
      <alignment horizontal="center"/>
    </xf>
    <xf numFmtId="169" fontId="21" fillId="0" borderId="3" xfId="0" applyNumberFormat="1" applyFont="1" applyFill="1" applyBorder="1" applyAlignment="1">
      <alignment horizontal="center"/>
    </xf>
    <xf numFmtId="169" fontId="21" fillId="0" borderId="6" xfId="0" applyNumberFormat="1" applyFont="1" applyFill="1" applyBorder="1" applyAlignment="1">
      <alignment horizontal="center"/>
    </xf>
    <xf numFmtId="169" fontId="0" fillId="0" borderId="3" xfId="7" applyNumberFormat="1" applyFont="1" applyFill="1" applyBorder="1" applyAlignment="1">
      <alignment horizontal="center"/>
    </xf>
    <xf numFmtId="169" fontId="0" fillId="0" borderId="6" xfId="7" applyNumberFormat="1" applyFont="1" applyFill="1" applyBorder="1" applyAlignment="1">
      <alignment horizontal="center"/>
    </xf>
    <xf numFmtId="169" fontId="36" fillId="0" borderId="3" xfId="0" applyNumberFormat="1" applyFont="1" applyBorder="1" applyAlignment="1">
      <alignment horizontal="center"/>
    </xf>
    <xf numFmtId="169" fontId="36" fillId="0" borderId="6" xfId="0" applyNumberFormat="1" applyFont="1" applyBorder="1" applyAlignment="1">
      <alignment horizontal="center"/>
    </xf>
    <xf numFmtId="169" fontId="18" fillId="0" borderId="8" xfId="0" applyNumberFormat="1" applyFont="1" applyFill="1" applyBorder="1" applyAlignment="1">
      <alignment horizontal="center" vertical="center"/>
    </xf>
    <xf numFmtId="169" fontId="18" fillId="0" borderId="32" xfId="0" applyNumberFormat="1" applyFont="1" applyFill="1" applyBorder="1" applyAlignment="1">
      <alignment horizontal="center" vertical="center"/>
    </xf>
    <xf numFmtId="169" fontId="48" fillId="0" borderId="4" xfId="7" applyNumberFormat="1" applyFont="1" applyFill="1" applyBorder="1" applyAlignment="1">
      <alignment horizontal="center"/>
    </xf>
    <xf numFmtId="169" fontId="48" fillId="0" borderId="2" xfId="7" applyNumberFormat="1" applyFont="1" applyFill="1" applyBorder="1" applyAlignment="1">
      <alignment horizontal="center"/>
    </xf>
    <xf numFmtId="0" fontId="21" fillId="0" borderId="2" xfId="0" applyFont="1" applyBorder="1" applyAlignment="1">
      <alignment horizontal="center" vertical="top" wrapText="1"/>
    </xf>
    <xf numFmtId="0" fontId="21" fillId="0" borderId="6" xfId="0" applyFont="1" applyBorder="1" applyAlignment="1">
      <alignment horizontal="center" vertical="top" wrapText="1"/>
    </xf>
    <xf numFmtId="0" fontId="18" fillId="0" borderId="4" xfId="0" applyFont="1" applyBorder="1" applyAlignment="1">
      <alignment horizontal="center" vertical="center"/>
    </xf>
    <xf numFmtId="0" fontId="18" fillId="0" borderId="2" xfId="0" applyFont="1" applyBorder="1" applyAlignment="1">
      <alignment horizontal="center" vertical="center"/>
    </xf>
    <xf numFmtId="0" fontId="18" fillId="0" borderId="9" xfId="0" applyFont="1" applyBorder="1" applyAlignment="1">
      <alignment horizontal="center" vertical="center"/>
    </xf>
    <xf numFmtId="0" fontId="18" fillId="0" borderId="7" xfId="0" applyFont="1" applyBorder="1" applyAlignment="1">
      <alignment horizontal="center" vertical="center"/>
    </xf>
    <xf numFmtId="0" fontId="18" fillId="0" borderId="4" xfId="0" applyFont="1" applyBorder="1" applyAlignment="1">
      <alignment horizontal="center" wrapText="1"/>
    </xf>
    <xf numFmtId="0" fontId="18" fillId="0" borderId="89" xfId="0" applyFont="1" applyBorder="1" applyAlignment="1">
      <alignment horizontal="center" wrapText="1"/>
    </xf>
    <xf numFmtId="0" fontId="18" fillId="0" borderId="2" xfId="0" applyFont="1" applyBorder="1" applyAlignment="1">
      <alignment horizontal="center" wrapText="1"/>
    </xf>
    <xf numFmtId="0" fontId="18" fillId="0" borderId="9" xfId="0" applyFont="1" applyBorder="1" applyAlignment="1">
      <alignment horizontal="center" wrapText="1"/>
    </xf>
    <xf numFmtId="0" fontId="18" fillId="0" borderId="10" xfId="0" applyFont="1" applyBorder="1" applyAlignment="1">
      <alignment horizontal="center" wrapText="1"/>
    </xf>
    <xf numFmtId="0" fontId="18" fillId="0" borderId="7" xfId="0" applyFont="1" applyBorder="1" applyAlignment="1">
      <alignment horizontal="center" wrapText="1"/>
    </xf>
    <xf numFmtId="0" fontId="18" fillId="0" borderId="0" xfId="0" applyFont="1" applyFill="1" applyBorder="1" applyAlignment="1">
      <alignment horizontal="center"/>
    </xf>
    <xf numFmtId="0" fontId="0" fillId="0" borderId="0" xfId="0" applyFill="1" applyBorder="1" applyAlignment="1">
      <alignment horizontal="center"/>
    </xf>
    <xf numFmtId="0" fontId="69" fillId="0" borderId="38" xfId="0" applyFont="1" applyBorder="1" applyAlignment="1">
      <alignment horizontal="center" vertical="center" wrapText="1"/>
    </xf>
    <xf numFmtId="0" fontId="69" fillId="0" borderId="39" xfId="0" applyFont="1" applyBorder="1" applyAlignment="1">
      <alignment horizontal="center" vertical="center" wrapText="1"/>
    </xf>
    <xf numFmtId="0" fontId="36" fillId="0" borderId="18" xfId="0" applyFont="1" applyBorder="1" applyAlignment="1">
      <alignment horizontal="center"/>
    </xf>
    <xf numFmtId="0" fontId="34" fillId="0" borderId="0" xfId="0" applyFont="1" applyFill="1" applyBorder="1" applyAlignment="1">
      <alignment horizontal="center" vertical="center" wrapText="1"/>
    </xf>
    <xf numFmtId="0" fontId="34" fillId="0" borderId="38" xfId="0" applyFont="1" applyBorder="1" applyAlignment="1">
      <alignment horizontal="center" vertical="center" wrapText="1"/>
    </xf>
    <xf numFmtId="0" fontId="34" fillId="0" borderId="15" xfId="0" applyFont="1" applyBorder="1" applyAlignment="1">
      <alignment horizontal="center" vertical="center" wrapText="1"/>
    </xf>
    <xf numFmtId="0" fontId="18" fillId="0" borderId="4" xfId="0" applyFont="1" applyBorder="1" applyAlignment="1">
      <alignment horizontal="center"/>
    </xf>
    <xf numFmtId="0" fontId="18" fillId="0" borderId="5" xfId="0" applyFont="1" applyBorder="1" applyAlignment="1">
      <alignment horizontal="center"/>
    </xf>
    <xf numFmtId="0" fontId="18" fillId="0" borderId="2" xfId="0" applyFont="1" applyBorder="1" applyAlignment="1">
      <alignment horizontal="center"/>
    </xf>
    <xf numFmtId="0" fontId="0" fillId="0" borderId="8" xfId="0" applyBorder="1" applyAlignment="1">
      <alignment horizontal="center"/>
    </xf>
    <xf numFmtId="0" fontId="0" fillId="0" borderId="32" xfId="0" applyBorder="1" applyAlignment="1">
      <alignment horizontal="center"/>
    </xf>
    <xf numFmtId="0" fontId="42" fillId="0" borderId="0" xfId="0" applyFont="1" applyAlignment="1">
      <alignment horizontal="center" vertical="center" wrapText="1"/>
    </xf>
    <xf numFmtId="0" fontId="162" fillId="0" borderId="8" xfId="54" applyFont="1" applyBorder="1" applyAlignment="1">
      <alignment horizontal="center"/>
    </xf>
    <xf numFmtId="0" fontId="162" fillId="0" borderId="33" xfId="54" applyFont="1" applyBorder="1" applyAlignment="1">
      <alignment horizontal="center"/>
    </xf>
    <xf numFmtId="0" fontId="162" fillId="0" borderId="32" xfId="54" applyFont="1" applyBorder="1" applyAlignment="1">
      <alignment horizontal="center"/>
    </xf>
    <xf numFmtId="0" fontId="214" fillId="0" borderId="43" xfId="0" applyFont="1" applyBorder="1" applyAlignment="1">
      <alignment horizontal="left"/>
    </xf>
    <xf numFmtId="0" fontId="214" fillId="0" borderId="23" xfId="0" applyFont="1" applyBorder="1" applyAlignment="1">
      <alignment horizontal="left"/>
    </xf>
    <xf numFmtId="0" fontId="214" fillId="0" borderId="65" xfId="0" applyFont="1" applyBorder="1" applyAlignment="1">
      <alignment horizontal="left"/>
    </xf>
    <xf numFmtId="0" fontId="214" fillId="0" borderId="59" xfId="0" applyFont="1" applyBorder="1" applyAlignment="1">
      <alignment horizontal="left"/>
    </xf>
    <xf numFmtId="0" fontId="214" fillId="0" borderId="56" xfId="0" applyFont="1" applyBorder="1" applyAlignment="1">
      <alignment horizontal="left"/>
    </xf>
    <xf numFmtId="0" fontId="214" fillId="0" borderId="73" xfId="0" applyFont="1" applyBorder="1" applyAlignment="1">
      <alignment horizontal="left"/>
    </xf>
    <xf numFmtId="0" fontId="162" fillId="0" borderId="45" xfId="0" applyFont="1" applyBorder="1" applyAlignment="1">
      <alignment horizontal="center"/>
    </xf>
    <xf numFmtId="0" fontId="162" fillId="0" borderId="64" xfId="0" applyFont="1" applyBorder="1" applyAlignment="1">
      <alignment horizontal="center"/>
    </xf>
    <xf numFmtId="0" fontId="162" fillId="0" borderId="46" xfId="0" applyFont="1" applyBorder="1" applyAlignment="1">
      <alignment horizontal="center"/>
    </xf>
    <xf numFmtId="0" fontId="214" fillId="0" borderId="55" xfId="0" applyFont="1" applyBorder="1" applyAlignment="1">
      <alignment horizontal="center"/>
    </xf>
    <xf numFmtId="0" fontId="214" fillId="0" borderId="52" xfId="0" applyFont="1" applyBorder="1" applyAlignment="1">
      <alignment horizontal="center"/>
    </xf>
    <xf numFmtId="0" fontId="214" fillId="0" borderId="72" xfId="0" applyFont="1" applyBorder="1" applyAlignment="1">
      <alignment horizontal="center"/>
    </xf>
    <xf numFmtId="0" fontId="83" fillId="0" borderId="10" xfId="0" applyFont="1" applyBorder="1" applyAlignment="1">
      <alignment horizontal="center"/>
    </xf>
    <xf numFmtId="0" fontId="21" fillId="0" borderId="0" xfId="0" applyFont="1" applyAlignment="1">
      <alignment horizontal="center"/>
    </xf>
    <xf numFmtId="0" fontId="0" fillId="0" borderId="30" xfId="0" applyBorder="1" applyAlignment="1">
      <alignment horizontal="left"/>
    </xf>
    <xf numFmtId="0" fontId="0" fillId="0" borderId="27" xfId="0" applyBorder="1" applyAlignment="1">
      <alignment horizontal="left"/>
    </xf>
    <xf numFmtId="0" fontId="0" fillId="0" borderId="31" xfId="0" applyBorder="1" applyAlignment="1">
      <alignment horizontal="left"/>
    </xf>
    <xf numFmtId="0" fontId="18" fillId="0" borderId="30" xfId="0" applyFont="1" applyBorder="1" applyAlignment="1">
      <alignment horizontal="center"/>
    </xf>
    <xf numFmtId="0" fontId="18" fillId="0" borderId="27" xfId="0" applyFont="1" applyBorder="1" applyAlignment="1">
      <alignment horizontal="center"/>
    </xf>
    <xf numFmtId="0" fontId="18" fillId="0" borderId="31" xfId="0" applyFont="1" applyBorder="1" applyAlignment="1">
      <alignment horizontal="center"/>
    </xf>
    <xf numFmtId="0" fontId="21" fillId="0" borderId="27" xfId="0" applyFont="1" applyBorder="1" applyAlignment="1">
      <alignment horizontal="right"/>
    </xf>
    <xf numFmtId="0" fontId="21" fillId="0" borderId="43" xfId="0" applyFont="1" applyBorder="1" applyAlignment="1">
      <alignment horizontal="left"/>
    </xf>
    <xf numFmtId="0" fontId="0" fillId="0" borderId="23" xfId="0" applyBorder="1" applyAlignment="1">
      <alignment horizontal="left"/>
    </xf>
    <xf numFmtId="0" fontId="0" fillId="0" borderId="65" xfId="0" applyBorder="1" applyAlignment="1">
      <alignment horizontal="left"/>
    </xf>
    <xf numFmtId="0" fontId="21" fillId="0" borderId="59" xfId="0" applyFont="1" applyBorder="1" applyAlignment="1">
      <alignment horizontal="left"/>
    </xf>
    <xf numFmtId="0" fontId="0" fillId="0" borderId="56" xfId="0" applyBorder="1" applyAlignment="1">
      <alignment horizontal="left"/>
    </xf>
    <xf numFmtId="0" fontId="0" fillId="0" borderId="73" xfId="0" applyBorder="1" applyAlignment="1">
      <alignment horizontal="left"/>
    </xf>
    <xf numFmtId="0" fontId="21" fillId="0" borderId="30" xfId="0" applyFont="1" applyBorder="1" applyAlignment="1">
      <alignment horizontal="left"/>
    </xf>
    <xf numFmtId="0" fontId="214" fillId="0" borderId="30" xfId="0" applyFont="1" applyBorder="1" applyAlignment="1">
      <alignment horizontal="left"/>
    </xf>
    <xf numFmtId="0" fontId="214" fillId="0" borderId="88" xfId="0" applyFont="1" applyBorder="1" applyAlignment="1">
      <alignment horizontal="left"/>
    </xf>
    <xf numFmtId="0" fontId="214" fillId="0" borderId="78" xfId="0" applyFont="1" applyBorder="1" applyAlignment="1">
      <alignment horizontal="center"/>
    </xf>
    <xf numFmtId="0" fontId="18" fillId="0" borderId="4" xfId="0" applyFont="1" applyFill="1" applyBorder="1" applyAlignment="1">
      <alignment horizontal="center"/>
    </xf>
    <xf numFmtId="0" fontId="18" fillId="0" borderId="2" xfId="0" applyFont="1" applyFill="1" applyBorder="1" applyAlignment="1">
      <alignment horizontal="center"/>
    </xf>
    <xf numFmtId="0" fontId="42" fillId="0" borderId="21" xfId="0" applyFont="1" applyBorder="1" applyAlignment="1">
      <alignment horizontal="center" vertical="center" wrapText="1"/>
    </xf>
  </cellXfs>
  <cellStyles count="739">
    <cellStyle name="$/RMB" xfId="62"/>
    <cellStyle name="$/RMB 0.00" xfId="63"/>
    <cellStyle name="$/RMB 0.0000" xfId="64"/>
    <cellStyle name="$HK" xfId="65"/>
    <cellStyle name="$HK 0.000" xfId="66"/>
    <cellStyle name="_x0010_“+ˆÉ•?pý¤" xfId="67"/>
    <cellStyle name="0" xfId="68"/>
    <cellStyle name="20% - Accent1 2" xfId="69"/>
    <cellStyle name="20% - Accent1 2 2" xfId="70"/>
    <cellStyle name="20% - Accent2 2" xfId="71"/>
    <cellStyle name="20% - Accent2 2 2" xfId="72"/>
    <cellStyle name="20% - Accent3 2" xfId="73"/>
    <cellStyle name="20% - Accent3 2 2" xfId="74"/>
    <cellStyle name="20% - Accent4 2" xfId="75"/>
    <cellStyle name="20% - Accent4 2 2" xfId="76"/>
    <cellStyle name="20% - Accent5 2" xfId="77"/>
    <cellStyle name="20% - Accent5 2 2" xfId="78"/>
    <cellStyle name="20% - Accent6 2" xfId="79"/>
    <cellStyle name="20% - Accent6 2 2" xfId="80"/>
    <cellStyle name="40% - Accent1 2" xfId="81"/>
    <cellStyle name="40% - Accent1 2 2" xfId="82"/>
    <cellStyle name="40% - Accent2 2" xfId="83"/>
    <cellStyle name="40% - Accent2 2 2" xfId="84"/>
    <cellStyle name="40% - Accent3 2" xfId="85"/>
    <cellStyle name="40% - Accent3 2 2" xfId="86"/>
    <cellStyle name="40% - Accent4 2" xfId="87"/>
    <cellStyle name="40% - Accent4 2 2" xfId="88"/>
    <cellStyle name="40% - Accent5 2" xfId="89"/>
    <cellStyle name="40% - Accent5 2 2" xfId="90"/>
    <cellStyle name="40% - Accent6 2" xfId="91"/>
    <cellStyle name="40% - Accent6 2 2" xfId="92"/>
    <cellStyle name="60% - Accent1 2" xfId="93"/>
    <cellStyle name="60% - Accent2 2" xfId="94"/>
    <cellStyle name="60% - Accent3 2" xfId="95"/>
    <cellStyle name="60% - Accent4 2" xfId="96"/>
    <cellStyle name="60% - Accent5 2" xfId="97"/>
    <cellStyle name="60% - Accent6 2" xfId="98"/>
    <cellStyle name="A_green" xfId="99"/>
    <cellStyle name="A_green_NCSC1003" xfId="100"/>
    <cellStyle name="Accent1 2" xfId="101"/>
    <cellStyle name="Accent2 2" xfId="102"/>
    <cellStyle name="Accent3 2" xfId="103"/>
    <cellStyle name="Accent4 2" xfId="104"/>
    <cellStyle name="Accent5 2" xfId="105"/>
    <cellStyle name="Accent6 2" xfId="106"/>
    <cellStyle name="Actual Date" xfId="107"/>
    <cellStyle name="Bad 2" xfId="108"/>
    <cellStyle name="Black" xfId="109"/>
    <cellStyle name="bli - Style6" xfId="110"/>
    <cellStyle name="Blue" xfId="111"/>
    <cellStyle name="Calculation 2" xfId="112"/>
    <cellStyle name="Cents" xfId="113"/>
    <cellStyle name="Check Cell 2" xfId="114"/>
    <cellStyle name="Comma" xfId="1" builtinId="3"/>
    <cellStyle name="Comma [0] 2" xfId="115"/>
    <cellStyle name="Comma [0] 3" xfId="116"/>
    <cellStyle name="Comma [0] 3 2" xfId="117"/>
    <cellStyle name="Comma [0] 3 2 2" xfId="118"/>
    <cellStyle name="Comma [0] 3 2 3" xfId="119"/>
    <cellStyle name="Comma [0] 3 3" xfId="120"/>
    <cellStyle name="Comma [0] 3 4" xfId="121"/>
    <cellStyle name="Comma [00]" xfId="122"/>
    <cellStyle name="Comma 10" xfId="123"/>
    <cellStyle name="Comma 10 2" xfId="124"/>
    <cellStyle name="Comma 10 2 2" xfId="125"/>
    <cellStyle name="Comma 10 2 2 2" xfId="126"/>
    <cellStyle name="Comma 10 2 2 3" xfId="127"/>
    <cellStyle name="Comma 10 2 3" xfId="128"/>
    <cellStyle name="Comma 10 2 4" xfId="129"/>
    <cellStyle name="Comma 11" xfId="130"/>
    <cellStyle name="Comma 11 2" xfId="131"/>
    <cellStyle name="Comma 11 2 2" xfId="132"/>
    <cellStyle name="Comma 11 2 2 2" xfId="133"/>
    <cellStyle name="Comma 11 2 2 3" xfId="134"/>
    <cellStyle name="Comma 11 2 3" xfId="135"/>
    <cellStyle name="Comma 11 2 4" xfId="136"/>
    <cellStyle name="Comma 12" xfId="137"/>
    <cellStyle name="Comma 12 2" xfId="138"/>
    <cellStyle name="Comma 12 2 2" xfId="139"/>
    <cellStyle name="Comma 12 2 3" xfId="140"/>
    <cellStyle name="Comma 12 3" xfId="141"/>
    <cellStyle name="Comma 12 4" xfId="142"/>
    <cellStyle name="Comma 13" xfId="143"/>
    <cellStyle name="Comma 13 2" xfId="144"/>
    <cellStyle name="Comma 13 2 2" xfId="145"/>
    <cellStyle name="Comma 13 2 3" xfId="146"/>
    <cellStyle name="Comma 13 3" xfId="147"/>
    <cellStyle name="Comma 13 4" xfId="148"/>
    <cellStyle name="Comma 14" xfId="149"/>
    <cellStyle name="Comma 14 2" xfId="150"/>
    <cellStyle name="Comma 14 3" xfId="151"/>
    <cellStyle name="Comma 15" xfId="152"/>
    <cellStyle name="Comma 15 2" xfId="153"/>
    <cellStyle name="Comma 15 3" xfId="154"/>
    <cellStyle name="Comma 16" xfId="155"/>
    <cellStyle name="Comma 16 2" xfId="156"/>
    <cellStyle name="Comma 16 3" xfId="157"/>
    <cellStyle name="Comma 17" xfId="158"/>
    <cellStyle name="Comma 17 2" xfId="159"/>
    <cellStyle name="Comma 17 3" xfId="160"/>
    <cellStyle name="Comma 18" xfId="161"/>
    <cellStyle name="Comma 18 2" xfId="162"/>
    <cellStyle name="Comma 18 3" xfId="163"/>
    <cellStyle name="Comma 19" xfId="164"/>
    <cellStyle name="Comma 19 2" xfId="165"/>
    <cellStyle name="Comma 19 3" xfId="166"/>
    <cellStyle name="Comma 2" xfId="2"/>
    <cellStyle name="Comma 2 2" xfId="60"/>
    <cellStyle name="Comma 2 2 2" xfId="167"/>
    <cellStyle name="Comma 2 2 3" xfId="168"/>
    <cellStyle name="Comma 2 2 4" xfId="169"/>
    <cellStyle name="Comma 2 3" xfId="170"/>
    <cellStyle name="Comma 2 3 2" xfId="171"/>
    <cellStyle name="Comma 2 3 3" xfId="172"/>
    <cellStyle name="Comma 2 4" xfId="173"/>
    <cellStyle name="Comma 20" xfId="174"/>
    <cellStyle name="Comma 20 2" xfId="175"/>
    <cellStyle name="Comma 20 3" xfId="176"/>
    <cellStyle name="Comma 21" xfId="177"/>
    <cellStyle name="Comma 21 2" xfId="178"/>
    <cellStyle name="Comma 21 3" xfId="179"/>
    <cellStyle name="Comma 22" xfId="180"/>
    <cellStyle name="Comma 22 2" xfId="181"/>
    <cellStyle name="Comma 22 3" xfId="182"/>
    <cellStyle name="Comma 23" xfId="183"/>
    <cellStyle name="Comma 23 2" xfId="184"/>
    <cellStyle name="Comma 23 3" xfId="185"/>
    <cellStyle name="Comma 24" xfId="186"/>
    <cellStyle name="Comma 24 2" xfId="187"/>
    <cellStyle name="Comma 24 3" xfId="188"/>
    <cellStyle name="Comma 25" xfId="189"/>
    <cellStyle name="Comma 25 2" xfId="190"/>
    <cellStyle name="Comma 25 3" xfId="191"/>
    <cellStyle name="Comma 26" xfId="192"/>
    <cellStyle name="Comma 26 2" xfId="193"/>
    <cellStyle name="Comma 26 3" xfId="194"/>
    <cellStyle name="Comma 27" xfId="195"/>
    <cellStyle name="Comma 27 2" xfId="196"/>
    <cellStyle name="Comma 27 3" xfId="197"/>
    <cellStyle name="Comma 28" xfId="198"/>
    <cellStyle name="Comma 28 2" xfId="199"/>
    <cellStyle name="Comma 28 3" xfId="200"/>
    <cellStyle name="Comma 29" xfId="201"/>
    <cellStyle name="Comma 29 2" xfId="202"/>
    <cellStyle name="Comma 29 3" xfId="203"/>
    <cellStyle name="Comma 3" xfId="56"/>
    <cellStyle name="Comma 3 2" xfId="204"/>
    <cellStyle name="Comma 3 2 2" xfId="205"/>
    <cellStyle name="Comma 3 2 3" xfId="206"/>
    <cellStyle name="Comma 3 2 4" xfId="207"/>
    <cellStyle name="Comma 3 2 5" xfId="208"/>
    <cellStyle name="Comma 3 3" xfId="209"/>
    <cellStyle name="Comma 3 4" xfId="210"/>
    <cellStyle name="Comma 3 5" xfId="211"/>
    <cellStyle name="Comma 3 6" xfId="212"/>
    <cellStyle name="Comma 30" xfId="213"/>
    <cellStyle name="Comma 30 2" xfId="214"/>
    <cellStyle name="Comma 30 3" xfId="215"/>
    <cellStyle name="Comma 31" xfId="216"/>
    <cellStyle name="Comma 31 2" xfId="217"/>
    <cellStyle name="Comma 31 3" xfId="218"/>
    <cellStyle name="Comma 32" xfId="219"/>
    <cellStyle name="Comma 32 2" xfId="220"/>
    <cellStyle name="Comma 32 3" xfId="221"/>
    <cellStyle name="Comma 33" xfId="222"/>
    <cellStyle name="Comma 33 2" xfId="223"/>
    <cellStyle name="Comma 33 3" xfId="224"/>
    <cellStyle name="Comma 34" xfId="225"/>
    <cellStyle name="Comma 34 2" xfId="226"/>
    <cellStyle name="Comma 34 3" xfId="227"/>
    <cellStyle name="Comma 35" xfId="228"/>
    <cellStyle name="Comma 35 2" xfId="229"/>
    <cellStyle name="Comma 35 3" xfId="230"/>
    <cellStyle name="Comma 36" xfId="231"/>
    <cellStyle name="Comma 36 2" xfId="232"/>
    <cellStyle name="Comma 36 3" xfId="233"/>
    <cellStyle name="Comma 37" xfId="234"/>
    <cellStyle name="Comma 37 2" xfId="235"/>
    <cellStyle name="Comma 37 3" xfId="236"/>
    <cellStyle name="Comma 38" xfId="237"/>
    <cellStyle name="Comma 38 2" xfId="238"/>
    <cellStyle name="Comma 38 3" xfId="239"/>
    <cellStyle name="Comma 39" xfId="240"/>
    <cellStyle name="Comma 39 2" xfId="241"/>
    <cellStyle name="Comma 39 3" xfId="242"/>
    <cellStyle name="Comma 4" xfId="243"/>
    <cellStyle name="Comma 4 2" xfId="244"/>
    <cellStyle name="Comma 4 3" xfId="245"/>
    <cellStyle name="Comma 4 4" xfId="246"/>
    <cellStyle name="Comma 40" xfId="247"/>
    <cellStyle name="Comma 40 2" xfId="248"/>
    <cellStyle name="Comma 40 3" xfId="249"/>
    <cellStyle name="Comma 41" xfId="250"/>
    <cellStyle name="Comma 41 2" xfId="251"/>
    <cellStyle name="Comma 41 3" xfId="252"/>
    <cellStyle name="Comma 42" xfId="253"/>
    <cellStyle name="Comma 42 2" xfId="254"/>
    <cellStyle name="Comma 42 3" xfId="255"/>
    <cellStyle name="Comma 43" xfId="256"/>
    <cellStyle name="Comma 43 2" xfId="257"/>
    <cellStyle name="Comma 43 3" xfId="258"/>
    <cellStyle name="Comma 44" xfId="259"/>
    <cellStyle name="Comma 44 2" xfId="260"/>
    <cellStyle name="Comma 44 3" xfId="261"/>
    <cellStyle name="Comma 45" xfId="262"/>
    <cellStyle name="Comma 45 2" xfId="263"/>
    <cellStyle name="Comma 45 3" xfId="264"/>
    <cellStyle name="Comma 46" xfId="265"/>
    <cellStyle name="Comma 46 2" xfId="266"/>
    <cellStyle name="Comma 46 3" xfId="267"/>
    <cellStyle name="Comma 47" xfId="268"/>
    <cellStyle name="Comma 47 2" xfId="269"/>
    <cellStyle name="Comma 47 3" xfId="270"/>
    <cellStyle name="Comma 48" xfId="271"/>
    <cellStyle name="Comma 48 2" xfId="272"/>
    <cellStyle name="Comma 48 3" xfId="273"/>
    <cellStyle name="Comma 49" xfId="274"/>
    <cellStyle name="Comma 49 2" xfId="275"/>
    <cellStyle name="Comma 49 3" xfId="276"/>
    <cellStyle name="Comma 5" xfId="277"/>
    <cellStyle name="Comma 5 2" xfId="278"/>
    <cellStyle name="Comma 50" xfId="279"/>
    <cellStyle name="Comma 50 2" xfId="280"/>
    <cellStyle name="Comma 50 3" xfId="281"/>
    <cellStyle name="Comma 51" xfId="282"/>
    <cellStyle name="Comma 51 2" xfId="283"/>
    <cellStyle name="Comma 51 3" xfId="284"/>
    <cellStyle name="Comma 52" xfId="285"/>
    <cellStyle name="Comma 52 2" xfId="286"/>
    <cellStyle name="Comma 52 3" xfId="287"/>
    <cellStyle name="Comma 53" xfId="288"/>
    <cellStyle name="Comma 53 2" xfId="289"/>
    <cellStyle name="Comma 53 3" xfId="290"/>
    <cellStyle name="Comma 54" xfId="291"/>
    <cellStyle name="Comma 55" xfId="292"/>
    <cellStyle name="Comma 56" xfId="293"/>
    <cellStyle name="Comma 57" xfId="294"/>
    <cellStyle name="Comma 58" xfId="295"/>
    <cellStyle name="Comma 59" xfId="296"/>
    <cellStyle name="Comma 6" xfId="297"/>
    <cellStyle name="Comma 6 2" xfId="298"/>
    <cellStyle name="Comma 7" xfId="299"/>
    <cellStyle name="Comma 7 2" xfId="300"/>
    <cellStyle name="Comma 7 2 2" xfId="301"/>
    <cellStyle name="Comma 7 2 2 2" xfId="302"/>
    <cellStyle name="Comma 7 2 2 3" xfId="303"/>
    <cellStyle name="Comma 7 2 3" xfId="304"/>
    <cellStyle name="Comma 7 2 4" xfId="305"/>
    <cellStyle name="Comma 7 3" xfId="306"/>
    <cellStyle name="Comma 8" xfId="307"/>
    <cellStyle name="Comma 8 2" xfId="308"/>
    <cellStyle name="Comma 8 2 2" xfId="309"/>
    <cellStyle name="Comma 8 2 2 2" xfId="310"/>
    <cellStyle name="Comma 8 2 2 3" xfId="311"/>
    <cellStyle name="Comma 8 2 3" xfId="312"/>
    <cellStyle name="Comma 8 2 4" xfId="313"/>
    <cellStyle name="Comma 8 3" xfId="314"/>
    <cellStyle name="Comma 9" xfId="315"/>
    <cellStyle name="Comma 9 2" xfId="316"/>
    <cellStyle name="Comma 9 2 2" xfId="317"/>
    <cellStyle name="Comma 9 2 2 2" xfId="318"/>
    <cellStyle name="Comma 9 2 2 3" xfId="319"/>
    <cellStyle name="Comma 9 2 3" xfId="320"/>
    <cellStyle name="Comma 9 2 4" xfId="321"/>
    <cellStyle name="Comma 9 3" xfId="322"/>
    <cellStyle name="Comma0" xfId="3"/>
    <cellStyle name="Comma0 - Style1" xfId="323"/>
    <cellStyle name="Comma0 - Style5" xfId="324"/>
    <cellStyle name="Comma0 2" xfId="4"/>
    <cellStyle name="Comma0 3" xfId="5"/>
    <cellStyle name="Comma0 4" xfId="32"/>
    <cellStyle name="Comma0 5" xfId="45"/>
    <cellStyle name="Comma1 - Style1" xfId="325"/>
    <cellStyle name="Currency" xfId="6" builtinId="4"/>
    <cellStyle name="Currency [0] 2" xfId="326"/>
    <cellStyle name="Currency [0] 2 2" xfId="327"/>
    <cellStyle name="Currency [0] 2 2 2" xfId="328"/>
    <cellStyle name="Currency [0] 2 2 3" xfId="329"/>
    <cellStyle name="Currency [0] 2 3" xfId="330"/>
    <cellStyle name="Currency [0] 2 4" xfId="331"/>
    <cellStyle name="Currency [00]" xfId="332"/>
    <cellStyle name="Currency 10" xfId="333"/>
    <cellStyle name="Currency 10 2" xfId="334"/>
    <cellStyle name="Currency 10 2 2" xfId="335"/>
    <cellStyle name="Currency 10 2 2 2" xfId="336"/>
    <cellStyle name="Currency 10 2 2 3" xfId="337"/>
    <cellStyle name="Currency 10 2 3" xfId="338"/>
    <cellStyle name="Currency 10 2 4" xfId="339"/>
    <cellStyle name="Currency 11" xfId="340"/>
    <cellStyle name="Currency 11 2" xfId="341"/>
    <cellStyle name="Currency 11 2 2" xfId="342"/>
    <cellStyle name="Currency 11 2 2 2" xfId="343"/>
    <cellStyle name="Currency 11 2 2 3" xfId="344"/>
    <cellStyle name="Currency 11 2 3" xfId="345"/>
    <cellStyle name="Currency 11 2 4" xfId="346"/>
    <cellStyle name="Currency 12" xfId="347"/>
    <cellStyle name="Currency 12 2" xfId="348"/>
    <cellStyle name="Currency 12 2 2" xfId="349"/>
    <cellStyle name="Currency 12 2 3" xfId="350"/>
    <cellStyle name="Currency 12 3" xfId="351"/>
    <cellStyle name="Currency 12 4" xfId="352"/>
    <cellStyle name="Currency 13" xfId="353"/>
    <cellStyle name="Currency 13 2" xfId="354"/>
    <cellStyle name="Currency 13 2 2" xfId="355"/>
    <cellStyle name="Currency 13 2 3" xfId="356"/>
    <cellStyle name="Currency 13 3" xfId="357"/>
    <cellStyle name="Currency 13 4" xfId="358"/>
    <cellStyle name="Currency 2" xfId="7"/>
    <cellStyle name="Currency 2 2" xfId="359"/>
    <cellStyle name="Currency 2 2 2" xfId="360"/>
    <cellStyle name="Currency 2 3" xfId="361"/>
    <cellStyle name="Currency 2 3 2" xfId="362"/>
    <cellStyle name="Currency 2 3 2 2" xfId="363"/>
    <cellStyle name="Currency 2 3 2 3" xfId="364"/>
    <cellStyle name="Currency 2 3 3" xfId="365"/>
    <cellStyle name="Currency 2 3 4" xfId="366"/>
    <cellStyle name="Currency 3" xfId="58"/>
    <cellStyle name="Currency 3 2" xfId="367"/>
    <cellStyle name="Currency 3 2 2" xfId="368"/>
    <cellStyle name="Currency 3 2 2 2" xfId="369"/>
    <cellStyle name="Currency 3 2 2 3" xfId="370"/>
    <cellStyle name="Currency 3 2 3" xfId="371"/>
    <cellStyle name="Currency 3 2 4" xfId="372"/>
    <cellStyle name="Currency 4" xfId="44"/>
    <cellStyle name="Currency 4 2" xfId="373"/>
    <cellStyle name="Currency 4 2 2" xfId="374"/>
    <cellStyle name="Currency 4 2 2 2" xfId="375"/>
    <cellStyle name="Currency 4 2 2 3" xfId="376"/>
    <cellStyle name="Currency 4 2 3" xfId="377"/>
    <cellStyle name="Currency 4 2 4" xfId="378"/>
    <cellStyle name="Currency 5" xfId="379"/>
    <cellStyle name="Currency 5 2" xfId="380"/>
    <cellStyle name="Currency 5 2 2" xfId="381"/>
    <cellStyle name="Currency 5 2 2 2" xfId="382"/>
    <cellStyle name="Currency 5 2 2 3" xfId="383"/>
    <cellStyle name="Currency 5 2 3" xfId="384"/>
    <cellStyle name="Currency 5 2 4" xfId="385"/>
    <cellStyle name="Currency 6" xfId="386"/>
    <cellStyle name="Currency 6 2" xfId="387"/>
    <cellStyle name="Currency 6 2 2" xfId="388"/>
    <cellStyle name="Currency 6 2 2 2" xfId="389"/>
    <cellStyle name="Currency 6 2 2 3" xfId="390"/>
    <cellStyle name="Currency 6 2 3" xfId="391"/>
    <cellStyle name="Currency 6 2 4" xfId="392"/>
    <cellStyle name="Currency 7" xfId="393"/>
    <cellStyle name="Currency 7 2" xfId="394"/>
    <cellStyle name="Currency 7 2 2" xfId="395"/>
    <cellStyle name="Currency 7 2 2 2" xfId="396"/>
    <cellStyle name="Currency 7 2 2 3" xfId="397"/>
    <cellStyle name="Currency 7 2 3" xfId="398"/>
    <cellStyle name="Currency 7 2 4" xfId="399"/>
    <cellStyle name="Currency 8" xfId="400"/>
    <cellStyle name="Currency 8 2" xfId="401"/>
    <cellStyle name="Currency 8 2 2" xfId="402"/>
    <cellStyle name="Currency 8 2 2 2" xfId="403"/>
    <cellStyle name="Currency 8 2 2 3" xfId="404"/>
    <cellStyle name="Currency 8 2 3" xfId="405"/>
    <cellStyle name="Currency 8 2 4" xfId="406"/>
    <cellStyle name="Currency 9" xfId="407"/>
    <cellStyle name="Currency 9 2" xfId="408"/>
    <cellStyle name="Currency 9 2 2" xfId="409"/>
    <cellStyle name="Currency 9 2 2 2" xfId="410"/>
    <cellStyle name="Currency 9 2 2 3" xfId="411"/>
    <cellStyle name="Currency 9 2 3" xfId="412"/>
    <cellStyle name="Currency 9 2 4" xfId="413"/>
    <cellStyle name="Currency0" xfId="8"/>
    <cellStyle name="Currency0 2" xfId="9"/>
    <cellStyle name="Currency0 3" xfId="10"/>
    <cellStyle name="Currency0 4" xfId="34"/>
    <cellStyle name="Currency0 5" xfId="43"/>
    <cellStyle name="Date" xfId="11"/>
    <cellStyle name="Date 2" xfId="12"/>
    <cellStyle name="Date 3" xfId="13"/>
    <cellStyle name="Date 4" xfId="36"/>
    <cellStyle name="Date 5" xfId="40"/>
    <cellStyle name="Edge" xfId="414"/>
    <cellStyle name="Euro" xfId="415"/>
    <cellStyle name="Explanatory Text 2" xfId="416"/>
    <cellStyle name="Fixed" xfId="14"/>
    <cellStyle name="Fixed 2" xfId="15"/>
    <cellStyle name="Fixed 3" xfId="16"/>
    <cellStyle name="Fixed 4" xfId="37"/>
    <cellStyle name="Fixed 5" xfId="38"/>
    <cellStyle name="Fixed1 - Style1" xfId="417"/>
    <cellStyle name="Good 2" xfId="418"/>
    <cellStyle name="Green" xfId="419"/>
    <cellStyle name="Grey" xfId="420"/>
    <cellStyle name="HEADER" xfId="421"/>
    <cellStyle name="HEADING" xfId="422"/>
    <cellStyle name="Heading 1" xfId="17" builtinId="16" customBuiltin="1"/>
    <cellStyle name="Heading 1 2" xfId="18"/>
    <cellStyle name="Heading 1 2 2" xfId="39"/>
    <cellStyle name="Heading 1 2 3" xfId="35"/>
    <cellStyle name="Heading 2" xfId="19" builtinId="17" customBuiltin="1"/>
    <cellStyle name="Heading 2 2" xfId="20"/>
    <cellStyle name="Heading 2 2 2" xfId="41"/>
    <cellStyle name="Heading 2 2 3" xfId="33"/>
    <cellStyle name="Heading 3 2" xfId="423"/>
    <cellStyle name="Heading 4 2" xfId="424"/>
    <cellStyle name="Heading1" xfId="425"/>
    <cellStyle name="Heading2" xfId="426"/>
    <cellStyle name="HIGHLIGHT" xfId="427"/>
    <cellStyle name="Hyperlink" xfId="21" builtinId="8"/>
    <cellStyle name="Hyperlink 2" xfId="428"/>
    <cellStyle name="Hyperlink 2 2" xfId="429"/>
    <cellStyle name="Hyperlink 2 3" xfId="430"/>
    <cellStyle name="Hyperlink 2 4" xfId="431"/>
    <cellStyle name="Hyperlink 2 5" xfId="432"/>
    <cellStyle name="Hyperlink 2 6" xfId="433"/>
    <cellStyle name="Hyperlink 2 7" xfId="434"/>
    <cellStyle name="Input [yellow]" xfId="435"/>
    <cellStyle name="Input 2" xfId="436"/>
    <cellStyle name="Input 3" xfId="437"/>
    <cellStyle name="Input 4" xfId="438"/>
    <cellStyle name="Input 5" xfId="439"/>
    <cellStyle name="Input 6" xfId="440"/>
    <cellStyle name="Input 7" xfId="441"/>
    <cellStyle name="LeapYears" xfId="442"/>
    <cellStyle name="Linked Cell 2" xfId="443"/>
    <cellStyle name="Maintenance" xfId="444"/>
    <cellStyle name="Moneda [0]_Mex-Braz-Arg" xfId="445"/>
    <cellStyle name="Moneda_Mex-Braz-Arg" xfId="446"/>
    <cellStyle name="Neutral 2" xfId="447"/>
    <cellStyle name="NIS" xfId="448"/>
    <cellStyle name="no dec" xfId="449"/>
    <cellStyle name="Normal" xfId="0" builtinId="0"/>
    <cellStyle name="Normal - Style1" xfId="450"/>
    <cellStyle name="Normal - Style1 2" xfId="451"/>
    <cellStyle name="Normal - Style1 3" xfId="452"/>
    <cellStyle name="Normal 10" xfId="453"/>
    <cellStyle name="Normal 10 2" xfId="454"/>
    <cellStyle name="Normal 11" xfId="455"/>
    <cellStyle name="Normal 11 2" xfId="456"/>
    <cellStyle name="Normal 12" xfId="457"/>
    <cellStyle name="Normal 12 2" xfId="458"/>
    <cellStyle name="Normal 13" xfId="459"/>
    <cellStyle name="Normal 14" xfId="460"/>
    <cellStyle name="Normal 15" xfId="461"/>
    <cellStyle name="Normal 16" xfId="462"/>
    <cellStyle name="Normal 17" xfId="463"/>
    <cellStyle name="Normal 18" xfId="464"/>
    <cellStyle name="Normal 19" xfId="465"/>
    <cellStyle name="Normal 2" xfId="22"/>
    <cellStyle name="Normal 2 10" xfId="466"/>
    <cellStyle name="Normal 2 11" xfId="467"/>
    <cellStyle name="Normal 2 12" xfId="468"/>
    <cellStyle name="Normal 2 13" xfId="469"/>
    <cellStyle name="Normal 2 14" xfId="470"/>
    <cellStyle name="Normal 2 15" xfId="471"/>
    <cellStyle name="Normal 2 16" xfId="472"/>
    <cellStyle name="Normal 2 17" xfId="473"/>
    <cellStyle name="Normal 2 18" xfId="474"/>
    <cellStyle name="Normal 2 19" xfId="475"/>
    <cellStyle name="Normal 2 2" xfId="23"/>
    <cellStyle name="Normal 2 2 2" xfId="476"/>
    <cellStyle name="Normal 2 2 3" xfId="477"/>
    <cellStyle name="Normal 2 2 4" xfId="478"/>
    <cellStyle name="Normal 2 2 5" xfId="479"/>
    <cellStyle name="Normal 2 20" xfId="480"/>
    <cellStyle name="Normal 2 21" xfId="481"/>
    <cellStyle name="Normal 2 22" xfId="482"/>
    <cellStyle name="Normal 2 23" xfId="483"/>
    <cellStyle name="Normal 2 24" xfId="484"/>
    <cellStyle name="Normal 2 25" xfId="485"/>
    <cellStyle name="Normal 2 26" xfId="486"/>
    <cellStyle name="Normal 2 27" xfId="487"/>
    <cellStyle name="Normal 2 28" xfId="488"/>
    <cellStyle name="Normal 2 29" xfId="489"/>
    <cellStyle name="Normal 2 3" xfId="24"/>
    <cellStyle name="Normal 2 3 2" xfId="490"/>
    <cellStyle name="Normal 2 3 3" xfId="491"/>
    <cellStyle name="Normal 2 30" xfId="492"/>
    <cellStyle name="Normal 2 31" xfId="493"/>
    <cellStyle name="Normal 2 32" xfId="494"/>
    <cellStyle name="Normal 2 33" xfId="495"/>
    <cellStyle name="Normal 2 34" xfId="496"/>
    <cellStyle name="Normal 2 35" xfId="497"/>
    <cellStyle name="Normal 2 36" xfId="498"/>
    <cellStyle name="Normal 2 37" xfId="499"/>
    <cellStyle name="Normal 2 38" xfId="500"/>
    <cellStyle name="Normal 2 39" xfId="501"/>
    <cellStyle name="Normal 2 4" xfId="42"/>
    <cellStyle name="Normal 2 4 2" xfId="50"/>
    <cellStyle name="Normal 2 4 3" xfId="53"/>
    <cellStyle name="Normal 2 40" xfId="502"/>
    <cellStyle name="Normal 2 41" xfId="503"/>
    <cellStyle name="Normal 2 42" xfId="504"/>
    <cellStyle name="Normal 2 43" xfId="505"/>
    <cellStyle name="Normal 2 5" xfId="31"/>
    <cellStyle name="Normal 2 5 2" xfId="49"/>
    <cellStyle name="Normal 2 5 3" xfId="52"/>
    <cellStyle name="Normal 2 6" xfId="48"/>
    <cellStyle name="Normal 2 7" xfId="51"/>
    <cellStyle name="Normal 2 7 2" xfId="506"/>
    <cellStyle name="Normal 2 8" xfId="507"/>
    <cellStyle name="Normal 2 9" xfId="508"/>
    <cellStyle name="Normal 20" xfId="509"/>
    <cellStyle name="Normal 21" xfId="510"/>
    <cellStyle name="Normal 22" xfId="511"/>
    <cellStyle name="Normal 23" xfId="512"/>
    <cellStyle name="Normal 24" xfId="513"/>
    <cellStyle name="Normal 25" xfId="514"/>
    <cellStyle name="Normal 26" xfId="515"/>
    <cellStyle name="Normal 27" xfId="516"/>
    <cellStyle name="Normal 28" xfId="517"/>
    <cellStyle name="Normal 29" xfId="518"/>
    <cellStyle name="Normal 3" xfId="54"/>
    <cellStyle name="Normal 3 2" xfId="519"/>
    <cellStyle name="Normal 3 2 2" xfId="520"/>
    <cellStyle name="Normal 3 3" xfId="521"/>
    <cellStyle name="Normal 3 3 2" xfId="522"/>
    <cellStyle name="Normal 3 3 3" xfId="523"/>
    <cellStyle name="Normal 3 4" xfId="524"/>
    <cellStyle name="Normal 3 5" xfId="525"/>
    <cellStyle name="Normal 3 6" xfId="526"/>
    <cellStyle name="Normal 3 7" xfId="527"/>
    <cellStyle name="Normal 30" xfId="528"/>
    <cellStyle name="Normal 31" xfId="529"/>
    <cellStyle name="Normal 32" xfId="530"/>
    <cellStyle name="Normal 33" xfId="531"/>
    <cellStyle name="Normal 34" xfId="532"/>
    <cellStyle name="Normal 35" xfId="533"/>
    <cellStyle name="Normal 36" xfId="534"/>
    <cellStyle name="Normal 37" xfId="535"/>
    <cellStyle name="Normal 38" xfId="536"/>
    <cellStyle name="Normal 39" xfId="537"/>
    <cellStyle name="Normal 4" xfId="55"/>
    <cellStyle name="Normal 4 10" xfId="538"/>
    <cellStyle name="Normal 4 2" xfId="539"/>
    <cellStyle name="Normal 4 3" xfId="540"/>
    <cellStyle name="Normal 4 4" xfId="541"/>
    <cellStyle name="Normal 4 5" xfId="542"/>
    <cellStyle name="Normal 4 6" xfId="543"/>
    <cellStyle name="Normal 4 7" xfId="544"/>
    <cellStyle name="Normal 4 8" xfId="545"/>
    <cellStyle name="Normal 4 9" xfId="546"/>
    <cellStyle name="Normal 40" xfId="547"/>
    <cellStyle name="Normal 41" xfId="548"/>
    <cellStyle name="Normal 42" xfId="549"/>
    <cellStyle name="Normal 43" xfId="550"/>
    <cellStyle name="Normal 44" xfId="551"/>
    <cellStyle name="Normal 45" xfId="552"/>
    <cellStyle name="Normal 46" xfId="553"/>
    <cellStyle name="Normal 47" xfId="554"/>
    <cellStyle name="Normal 48" xfId="555"/>
    <cellStyle name="Normal 49" xfId="556"/>
    <cellStyle name="Normal 5" xfId="59"/>
    <cellStyle name="Normal 5 2" xfId="557"/>
    <cellStyle name="Normal 5 2 2" xfId="558"/>
    <cellStyle name="Normal 5 3" xfId="559"/>
    <cellStyle name="Normal 5 4" xfId="560"/>
    <cellStyle name="Normal 50" xfId="561"/>
    <cellStyle name="Normal 51" xfId="562"/>
    <cellStyle name="Normal 52" xfId="563"/>
    <cellStyle name="Normal 53" xfId="564"/>
    <cellStyle name="Normal 54" xfId="565"/>
    <cellStyle name="Normal 55" xfId="566"/>
    <cellStyle name="Normal 56" xfId="567"/>
    <cellStyle name="Normal 57" xfId="568"/>
    <cellStyle name="Normal 58" xfId="569"/>
    <cellStyle name="Normal 59" xfId="570"/>
    <cellStyle name="Normal 6" xfId="61"/>
    <cellStyle name="Normal 6 2" xfId="571"/>
    <cellStyle name="Normal 6 3" xfId="572"/>
    <cellStyle name="Normal 6 4" xfId="573"/>
    <cellStyle name="Normal 6 5" xfId="574"/>
    <cellStyle name="Normal 60" xfId="575"/>
    <cellStyle name="Normal 61" xfId="576"/>
    <cellStyle name="Normal 62" xfId="577"/>
    <cellStyle name="Normal 63" xfId="578"/>
    <cellStyle name="Normal 64" xfId="579"/>
    <cellStyle name="Normal 65" xfId="580"/>
    <cellStyle name="Normal 66" xfId="581"/>
    <cellStyle name="Normal 67" xfId="582"/>
    <cellStyle name="Normal 68" xfId="583"/>
    <cellStyle name="Normal 69" xfId="584"/>
    <cellStyle name="Normal 7" xfId="585"/>
    <cellStyle name="Normal 7 2" xfId="586"/>
    <cellStyle name="Normal 7 2 2" xfId="587"/>
    <cellStyle name="Normal 7 2 3" xfId="588"/>
    <cellStyle name="Normal 7 3" xfId="589"/>
    <cellStyle name="Normal 7 4" xfId="590"/>
    <cellStyle name="Normal 7 5" xfId="591"/>
    <cellStyle name="Normal 70" xfId="592"/>
    <cellStyle name="Normal 71" xfId="593"/>
    <cellStyle name="Normal 72" xfId="594"/>
    <cellStyle name="Normal 73" xfId="595"/>
    <cellStyle name="Normal 74" xfId="596"/>
    <cellStyle name="Normal 75" xfId="597"/>
    <cellStyle name="Normal 76" xfId="598"/>
    <cellStyle name="Normal 77" xfId="599"/>
    <cellStyle name="Normal 78" xfId="600"/>
    <cellStyle name="Normal 79" xfId="601"/>
    <cellStyle name="Normal 8" xfId="602"/>
    <cellStyle name="Normal 8 2" xfId="603"/>
    <cellStyle name="Normal 9" xfId="604"/>
    <cellStyle name="Normal 9 2" xfId="605"/>
    <cellStyle name="Normal 9 2 2" xfId="606"/>
    <cellStyle name="Normal_BLS-Employment Costs-2006" xfId="25"/>
    <cellStyle name="Note 2" xfId="607"/>
    <cellStyle name="Note 2 2" xfId="608"/>
    <cellStyle name="Note 2 3" xfId="609"/>
    <cellStyle name="Output 2" xfId="610"/>
    <cellStyle name="Percen - Style2" xfId="611"/>
    <cellStyle name="Percent" xfId="26" builtinId="5"/>
    <cellStyle name="Percent [2]" xfId="612"/>
    <cellStyle name="Percent 0%" xfId="613"/>
    <cellStyle name="Percent 10" xfId="614"/>
    <cellStyle name="Percent 11" xfId="615"/>
    <cellStyle name="Percent 12" xfId="616"/>
    <cellStyle name="Percent 13" xfId="617"/>
    <cellStyle name="Percent 13 2" xfId="618"/>
    <cellStyle name="Percent 13 3" xfId="619"/>
    <cellStyle name="Percent 14" xfId="620"/>
    <cellStyle name="Percent 14 2" xfId="621"/>
    <cellStyle name="Percent 14 3" xfId="622"/>
    <cellStyle name="Percent 15" xfId="623"/>
    <cellStyle name="Percent 15 2" xfId="624"/>
    <cellStyle name="Percent 15 3" xfId="625"/>
    <cellStyle name="Percent 16" xfId="626"/>
    <cellStyle name="Percent 16 2" xfId="627"/>
    <cellStyle name="Percent 16 3" xfId="628"/>
    <cellStyle name="Percent 17" xfId="629"/>
    <cellStyle name="Percent 17 2" xfId="630"/>
    <cellStyle name="Percent 17 3" xfId="631"/>
    <cellStyle name="Percent 18" xfId="632"/>
    <cellStyle name="Percent 18 2" xfId="633"/>
    <cellStyle name="Percent 18 3" xfId="634"/>
    <cellStyle name="Percent 19" xfId="635"/>
    <cellStyle name="Percent 19 2" xfId="636"/>
    <cellStyle name="Percent 19 3" xfId="637"/>
    <cellStyle name="Percent 2" xfId="27"/>
    <cellStyle name="Percent 2 2" xfId="638"/>
    <cellStyle name="Percent 2 3" xfId="639"/>
    <cellStyle name="Percent 2 4" xfId="640"/>
    <cellStyle name="Percent 20" xfId="641"/>
    <cellStyle name="Percent 20 2" xfId="642"/>
    <cellStyle name="Percent 20 3" xfId="643"/>
    <cellStyle name="Percent 21" xfId="644"/>
    <cellStyle name="Percent 21 2" xfId="645"/>
    <cellStyle name="Percent 21 3" xfId="646"/>
    <cellStyle name="Percent 22" xfId="647"/>
    <cellStyle name="Percent 22 2" xfId="648"/>
    <cellStyle name="Percent 22 3" xfId="649"/>
    <cellStyle name="Percent 23" xfId="650"/>
    <cellStyle name="Percent 23 2" xfId="651"/>
    <cellStyle name="Percent 23 3" xfId="652"/>
    <cellStyle name="Percent 24" xfId="653"/>
    <cellStyle name="Percent 24 2" xfId="654"/>
    <cellStyle name="Percent 24 3" xfId="655"/>
    <cellStyle name="Percent 25" xfId="656"/>
    <cellStyle name="Percent 25 2" xfId="657"/>
    <cellStyle name="Percent 25 3" xfId="658"/>
    <cellStyle name="Percent 26" xfId="659"/>
    <cellStyle name="Percent 26 2" xfId="660"/>
    <cellStyle name="Percent 26 3" xfId="661"/>
    <cellStyle name="Percent 27" xfId="662"/>
    <cellStyle name="Percent 27 2" xfId="663"/>
    <cellStyle name="Percent 27 3" xfId="664"/>
    <cellStyle name="Percent 28" xfId="665"/>
    <cellStyle name="Percent 28 2" xfId="666"/>
    <cellStyle name="Percent 28 3" xfId="667"/>
    <cellStyle name="Percent 29" xfId="668"/>
    <cellStyle name="Percent 29 2" xfId="669"/>
    <cellStyle name="Percent 29 3" xfId="670"/>
    <cellStyle name="Percent 3" xfId="28"/>
    <cellStyle name="Percent 3 2" xfId="671"/>
    <cellStyle name="Percent 3 2 2" xfId="672"/>
    <cellStyle name="Percent 3 2 2 2" xfId="673"/>
    <cellStyle name="Percent 3 2 2 3" xfId="674"/>
    <cellStyle name="Percent 3 2 3" xfId="675"/>
    <cellStyle name="Percent 3 2 4" xfId="676"/>
    <cellStyle name="Percent 3 2 5" xfId="677"/>
    <cellStyle name="Percent 30" xfId="678"/>
    <cellStyle name="Percent 30 2" xfId="679"/>
    <cellStyle name="Percent 30 3" xfId="680"/>
    <cellStyle name="Percent 31" xfId="681"/>
    <cellStyle name="Percent 31 2" xfId="682"/>
    <cellStyle name="Percent 31 3" xfId="683"/>
    <cellStyle name="Percent 32" xfId="684"/>
    <cellStyle name="Percent 32 2" xfId="685"/>
    <cellStyle name="Percent 32 3" xfId="686"/>
    <cellStyle name="Percent 33" xfId="687"/>
    <cellStyle name="Percent 33 2" xfId="688"/>
    <cellStyle name="Percent 33 3" xfId="689"/>
    <cellStyle name="Percent 34" xfId="690"/>
    <cellStyle name="Percent 34 2" xfId="691"/>
    <cellStyle name="Percent 34 3" xfId="692"/>
    <cellStyle name="Percent 35" xfId="693"/>
    <cellStyle name="Percent 35 2" xfId="694"/>
    <cellStyle name="Percent 35 3" xfId="695"/>
    <cellStyle name="Percent 36" xfId="696"/>
    <cellStyle name="Percent 36 2" xfId="697"/>
    <cellStyle name="Percent 36 3" xfId="698"/>
    <cellStyle name="Percent 37" xfId="699"/>
    <cellStyle name="Percent 37 2" xfId="700"/>
    <cellStyle name="Percent 37 3" xfId="701"/>
    <cellStyle name="Percent 38" xfId="702"/>
    <cellStyle name="Percent 38 2" xfId="703"/>
    <cellStyle name="Percent 38 3" xfId="704"/>
    <cellStyle name="Percent 39" xfId="705"/>
    <cellStyle name="Percent 39 2" xfId="706"/>
    <cellStyle name="Percent 39 3" xfId="707"/>
    <cellStyle name="Percent 4" xfId="57"/>
    <cellStyle name="Percent 40" xfId="708"/>
    <cellStyle name="Percent 40 2" xfId="709"/>
    <cellStyle name="Percent 40 3" xfId="710"/>
    <cellStyle name="Percent 41" xfId="711"/>
    <cellStyle name="Percent 41 2" xfId="712"/>
    <cellStyle name="Percent 41 3" xfId="713"/>
    <cellStyle name="Percent 42" xfId="714"/>
    <cellStyle name="Percent 42 2" xfId="715"/>
    <cellStyle name="Percent 42 3" xfId="716"/>
    <cellStyle name="Percent 5" xfId="717"/>
    <cellStyle name="Percent 6" xfId="718"/>
    <cellStyle name="Percent 7" xfId="719"/>
    <cellStyle name="Percent 8" xfId="720"/>
    <cellStyle name="Percent 9" xfId="721"/>
    <cellStyle name="Pink" xfId="722"/>
    <cellStyle name="Red" xfId="723"/>
    <cellStyle name="RMB" xfId="724"/>
    <cellStyle name="Rmb [0]" xfId="725"/>
    <cellStyle name="RMB 0.00" xfId="726"/>
    <cellStyle name="Special" xfId="727"/>
    <cellStyle name="Style 1" xfId="728"/>
    <cellStyle name="Style 1 2" xfId="729"/>
    <cellStyle name="Times New Roman" xfId="730"/>
    <cellStyle name="Title 2" xfId="731"/>
    <cellStyle name="Total" xfId="29" builtinId="25" customBuiltin="1"/>
    <cellStyle name="Total 2" xfId="30"/>
    <cellStyle name="Total 3" xfId="46"/>
    <cellStyle name="Total 4" xfId="47"/>
    <cellStyle name="Unprot" xfId="732"/>
    <cellStyle name="Unprot$" xfId="733"/>
    <cellStyle name="Unprot_Blending &amp; Inflation Rate" xfId="734"/>
    <cellStyle name="Unprotect" xfId="735"/>
    <cellStyle name="User_Defined_A" xfId="736"/>
    <cellStyle name="Warning Text 2" xfId="737"/>
    <cellStyle name="Yellow" xfId="738"/>
  </cellStyles>
  <dxfs count="4">
    <dxf>
      <font>
        <condense val="0"/>
        <extend val="0"/>
        <color indexed="13"/>
      </font>
      <fill>
        <patternFill>
          <bgColor indexed="10"/>
        </patternFill>
      </fill>
    </dxf>
    <dxf>
      <font>
        <condense val="0"/>
        <extend val="0"/>
        <color indexed="13"/>
      </font>
      <fill>
        <patternFill>
          <bgColor indexed="10"/>
        </patternFill>
      </fill>
    </dxf>
    <dxf>
      <fill>
        <patternFill>
          <bgColor rgb="FFFF0000"/>
        </patternFill>
      </fill>
    </dxf>
    <dxf>
      <font>
        <b/>
        <i val="0"/>
        <strike val="0"/>
        <color rgb="FFFF0000"/>
      </font>
    </dxf>
  </dxfs>
  <tableStyles count="0" defaultTableStyle="TableStyleMedium9" defaultPivotStyle="PivotStyleLight16"/>
  <colors>
    <mruColors>
      <color rgb="FFFF99CC"/>
      <color rgb="FF3366FF"/>
      <color rgb="FFFFFF66"/>
      <color rgb="FF00FFFF"/>
      <color rgb="FFFF99FF"/>
      <color rgb="FFCCFFCC"/>
      <color rgb="FFFF0066"/>
      <color rgb="FF008000"/>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2.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1.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75" b="1" i="0" u="none" strike="noStrike" baseline="0">
                <a:solidFill>
                  <a:srgbClr val="000000"/>
                </a:solidFill>
                <a:latin typeface="Arial"/>
                <a:ea typeface="Arial"/>
                <a:cs typeface="Arial"/>
              </a:defRPr>
            </a:pPr>
            <a:r>
              <a:rPr lang="en-US"/>
              <a:t>Annual Fixed and Variable Power Plant Costs</a:t>
            </a:r>
          </a:p>
        </c:rich>
      </c:tx>
      <c:layout>
        <c:manualLayout>
          <c:xMode val="edge"/>
          <c:yMode val="edge"/>
          <c:x val="0.35413306770388642"/>
          <c:y val="3.7162401574803182E-2"/>
        </c:manualLayout>
      </c:layout>
      <c:overlay val="0"/>
      <c:spPr>
        <a:noFill/>
        <a:ln w="25400">
          <a:noFill/>
        </a:ln>
      </c:spPr>
    </c:title>
    <c:autoTitleDeleted val="0"/>
    <c:plotArea>
      <c:layout>
        <c:manualLayout>
          <c:layoutTarget val="inner"/>
          <c:xMode val="edge"/>
          <c:yMode val="edge"/>
          <c:x val="6.3683340327459495E-2"/>
          <c:y val="0.2850006088269843"/>
          <c:w val="0.91394199226705564"/>
          <c:h val="0.502501073458128"/>
        </c:manualLayout>
      </c:layout>
      <c:lineChart>
        <c:grouping val="standard"/>
        <c:varyColors val="0"/>
        <c:ser>
          <c:idx val="2"/>
          <c:order val="0"/>
          <c:tx>
            <c:strRef>
              <c:f>'Annual Cost Charts'!$A$25</c:f>
              <c:strCache>
                <c:ptCount val="1"/>
                <c:pt idx="0">
                  <c:v>Total Costs</c:v>
                </c:pt>
              </c:strCache>
            </c:strRef>
          </c:tx>
          <c:spPr>
            <a:ln w="38100">
              <a:solidFill>
                <a:srgbClr val="993366"/>
              </a:solidFill>
              <a:prstDash val="solid"/>
            </a:ln>
          </c:spPr>
          <c:marker>
            <c:symbol val="none"/>
          </c:marker>
          <c:cat>
            <c:numRef>
              <c:f>'Annual Cost Charts'!$D$22:$W$22</c:f>
              <c:numCache>
                <c:formatCode>0</c:formatCode>
                <c:ptCount val="20"/>
                <c:pt idx="0">
                  <c:v>2013</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pt idx="15">
                  <c:v>2028</c:v>
                </c:pt>
                <c:pt idx="16">
                  <c:v>2029</c:v>
                </c:pt>
                <c:pt idx="17">
                  <c:v>2030</c:v>
                </c:pt>
                <c:pt idx="18">
                  <c:v>2031</c:v>
                </c:pt>
                <c:pt idx="19">
                  <c:v>2032</c:v>
                </c:pt>
              </c:numCache>
            </c:numRef>
          </c:cat>
          <c:val>
            <c:numRef>
              <c:f>'Annual Cost Charts'!$D$25:$W$25</c:f>
              <c:numCache>
                <c:formatCode>"$"#,##0_);\("$"#,##0\)</c:formatCode>
                <c:ptCount val="20"/>
                <c:pt idx="0">
                  <c:v>73.676591367554053</c:v>
                </c:pt>
                <c:pt idx="1">
                  <c:v>75.080930618349498</c:v>
                </c:pt>
                <c:pt idx="2">
                  <c:v>76.330469910471649</c:v>
                </c:pt>
                <c:pt idx="3">
                  <c:v>77.566916185451333</c:v>
                </c:pt>
                <c:pt idx="4">
                  <c:v>78.685186787680664</c:v>
                </c:pt>
                <c:pt idx="5">
                  <c:v>79.709034950199523</c:v>
                </c:pt>
                <c:pt idx="6">
                  <c:v>80.704666398380326</c:v>
                </c:pt>
                <c:pt idx="7">
                  <c:v>81.691900861845312</c:v>
                </c:pt>
                <c:pt idx="8">
                  <c:v>82.701463290791892</c:v>
                </c:pt>
                <c:pt idx="9">
                  <c:v>83.733177691403696</c:v>
                </c:pt>
                <c:pt idx="10">
                  <c:v>84.809059820142579</c:v>
                </c:pt>
                <c:pt idx="11">
                  <c:v>85.899085306531319</c:v>
                </c:pt>
                <c:pt idx="12">
                  <c:v>87.00344536649996</c:v>
                </c:pt>
                <c:pt idx="13">
                  <c:v>88.122333886812783</c:v>
                </c:pt>
                <c:pt idx="14">
                  <c:v>89.25594746372127</c:v>
                </c:pt>
                <c:pt idx="15">
                  <c:v>90.404485442196645</c:v>
                </c:pt>
                <c:pt idx="16">
                  <c:v>91.568149955752077</c:v>
                </c:pt>
                <c:pt idx="17">
                  <c:v>92.747145966862192</c:v>
                </c:pt>
                <c:pt idx="18">
                  <c:v>93.941681307990223</c:v>
                </c:pt>
                <c:pt idx="19">
                  <c:v>95.151966723232334</c:v>
                </c:pt>
              </c:numCache>
            </c:numRef>
          </c:val>
          <c:smooth val="0"/>
        </c:ser>
        <c:ser>
          <c:idx val="1"/>
          <c:order val="1"/>
          <c:tx>
            <c:strRef>
              <c:f>'Annual Cost Charts'!$A$24</c:f>
              <c:strCache>
                <c:ptCount val="1"/>
                <c:pt idx="0">
                  <c:v>Variable Costs</c:v>
                </c:pt>
              </c:strCache>
            </c:strRef>
          </c:tx>
          <c:spPr>
            <a:ln w="38100">
              <a:solidFill>
                <a:srgbClr val="FF0000"/>
              </a:solidFill>
              <a:prstDash val="solid"/>
            </a:ln>
          </c:spPr>
          <c:marker>
            <c:symbol val="none"/>
          </c:marker>
          <c:cat>
            <c:numRef>
              <c:f>'Annual Cost Charts'!$D$22:$W$22</c:f>
              <c:numCache>
                <c:formatCode>0</c:formatCode>
                <c:ptCount val="20"/>
                <c:pt idx="0">
                  <c:v>2013</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pt idx="15">
                  <c:v>2028</c:v>
                </c:pt>
                <c:pt idx="16">
                  <c:v>2029</c:v>
                </c:pt>
                <c:pt idx="17">
                  <c:v>2030</c:v>
                </c:pt>
                <c:pt idx="18">
                  <c:v>2031</c:v>
                </c:pt>
                <c:pt idx="19">
                  <c:v>2032</c:v>
                </c:pt>
              </c:numCache>
            </c:numRef>
          </c:cat>
          <c:val>
            <c:numRef>
              <c:f>'Annual Cost Charts'!$D$24:$W$24</c:f>
              <c:numCache>
                <c:formatCode>"$"#,##0_);\("$"#,##0\)</c:formatCode>
                <c:ptCount val="20"/>
                <c:pt idx="0">
                  <c:v>10.15029321716221</c:v>
                </c:pt>
                <c:pt idx="1">
                  <c:v>10.329465647060422</c:v>
                </c:pt>
                <c:pt idx="2">
                  <c:v>10.511800819053745</c:v>
                </c:pt>
                <c:pt idx="3">
                  <c:v>10.697354561695523</c:v>
                </c:pt>
                <c:pt idx="4">
                  <c:v>10.886183689021717</c:v>
                </c:pt>
                <c:pt idx="5">
                  <c:v>11.078346017946597</c:v>
                </c:pt>
                <c:pt idx="6">
                  <c:v>11.273900385965499</c:v>
                </c:pt>
                <c:pt idx="7">
                  <c:v>11.472906669170055</c:v>
                </c:pt>
                <c:pt idx="8">
                  <c:v>11.675425800581445</c:v>
                </c:pt>
                <c:pt idx="9">
                  <c:v>11.881519788807266</c:v>
                </c:pt>
                <c:pt idx="10">
                  <c:v>12.091251737027724</c:v>
                </c:pt>
                <c:pt idx="11">
                  <c:v>12.304685862316953</c:v>
                </c:pt>
                <c:pt idx="12">
                  <c:v>12.521887515305451</c:v>
                </c:pt>
                <c:pt idx="13">
                  <c:v>12.742923200189502</c:v>
                </c:pt>
                <c:pt idx="14">
                  <c:v>12.967860595093903</c:v>
                </c:pt>
                <c:pt idx="15">
                  <c:v>13.196768572794062</c:v>
                </c:pt>
                <c:pt idx="16">
                  <c:v>13.429717221803923</c:v>
                </c:pt>
                <c:pt idx="17">
                  <c:v>13.6667778678361</c:v>
                </c:pt>
                <c:pt idx="18">
                  <c:v>13.908023095640848</c:v>
                </c:pt>
                <c:pt idx="19">
                  <c:v>14.153526771230542</c:v>
                </c:pt>
              </c:numCache>
            </c:numRef>
          </c:val>
          <c:smooth val="0"/>
        </c:ser>
        <c:ser>
          <c:idx val="0"/>
          <c:order val="2"/>
          <c:tx>
            <c:strRef>
              <c:f>'Annual Cost Charts'!$A$23</c:f>
              <c:strCache>
                <c:ptCount val="1"/>
                <c:pt idx="0">
                  <c:v>Fixed Costs</c:v>
                </c:pt>
              </c:strCache>
            </c:strRef>
          </c:tx>
          <c:spPr>
            <a:ln w="38100">
              <a:solidFill>
                <a:srgbClr val="000080"/>
              </a:solidFill>
              <a:prstDash val="solid"/>
            </a:ln>
          </c:spPr>
          <c:marker>
            <c:symbol val="none"/>
          </c:marker>
          <c:cat>
            <c:numRef>
              <c:f>'Annual Cost Charts'!$D$22:$W$22</c:f>
              <c:numCache>
                <c:formatCode>0</c:formatCode>
                <c:ptCount val="20"/>
                <c:pt idx="0">
                  <c:v>2013</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pt idx="15">
                  <c:v>2028</c:v>
                </c:pt>
                <c:pt idx="16">
                  <c:v>2029</c:v>
                </c:pt>
                <c:pt idx="17">
                  <c:v>2030</c:v>
                </c:pt>
                <c:pt idx="18">
                  <c:v>2031</c:v>
                </c:pt>
                <c:pt idx="19">
                  <c:v>2032</c:v>
                </c:pt>
              </c:numCache>
            </c:numRef>
          </c:cat>
          <c:val>
            <c:numRef>
              <c:f>'Annual Cost Charts'!$D$23:$W$23</c:f>
              <c:numCache>
                <c:formatCode>"$"#,##0_);\("$"#,##0\)</c:formatCode>
                <c:ptCount val="20"/>
                <c:pt idx="0">
                  <c:v>63.526298150391845</c:v>
                </c:pt>
                <c:pt idx="1">
                  <c:v>64.751464971289082</c:v>
                </c:pt>
                <c:pt idx="2">
                  <c:v>65.818669091417902</c:v>
                </c:pt>
                <c:pt idx="3">
                  <c:v>66.869561623755814</c:v>
                </c:pt>
                <c:pt idx="4">
                  <c:v>67.799003098658943</c:v>
                </c:pt>
                <c:pt idx="5">
                  <c:v>68.630688932252923</c:v>
                </c:pt>
                <c:pt idx="6">
                  <c:v>69.430766012414821</c:v>
                </c:pt>
                <c:pt idx="7">
                  <c:v>70.218994192675254</c:v>
                </c:pt>
                <c:pt idx="8">
                  <c:v>71.026037490210442</c:v>
                </c:pt>
                <c:pt idx="9">
                  <c:v>71.851657902596429</c:v>
                </c:pt>
                <c:pt idx="10">
                  <c:v>72.717808083114861</c:v>
                </c:pt>
                <c:pt idx="11">
                  <c:v>73.594399444214361</c:v>
                </c:pt>
                <c:pt idx="12">
                  <c:v>74.481557851194509</c:v>
                </c:pt>
                <c:pt idx="13">
                  <c:v>75.379410686623288</c:v>
                </c:pt>
                <c:pt idx="14">
                  <c:v>76.28808686862736</c:v>
                </c:pt>
                <c:pt idx="15">
                  <c:v>77.207716869402589</c:v>
                </c:pt>
                <c:pt idx="16">
                  <c:v>78.13843273394815</c:v>
                </c:pt>
                <c:pt idx="17">
                  <c:v>79.080368099026089</c:v>
                </c:pt>
                <c:pt idx="18">
                  <c:v>80.03365821234938</c:v>
                </c:pt>
                <c:pt idx="19">
                  <c:v>80.998439952001789</c:v>
                </c:pt>
              </c:numCache>
            </c:numRef>
          </c:val>
          <c:smooth val="0"/>
        </c:ser>
        <c:dLbls>
          <c:showLegendKey val="0"/>
          <c:showVal val="0"/>
          <c:showCatName val="0"/>
          <c:showSerName val="0"/>
          <c:showPercent val="0"/>
          <c:showBubbleSize val="0"/>
        </c:dLbls>
        <c:marker val="1"/>
        <c:smooth val="0"/>
        <c:axId val="284318336"/>
        <c:axId val="284324608"/>
      </c:lineChart>
      <c:catAx>
        <c:axId val="284318336"/>
        <c:scaling>
          <c:orientation val="minMax"/>
        </c:scaling>
        <c:delete val="0"/>
        <c:axPos val="b"/>
        <c:title>
          <c:tx>
            <c:rich>
              <a:bodyPr/>
              <a:lstStyle/>
              <a:p>
                <a:pPr>
                  <a:defRPr sz="825" b="1" i="0" u="none" strike="noStrike" baseline="0">
                    <a:solidFill>
                      <a:srgbClr val="000000"/>
                    </a:solidFill>
                    <a:latin typeface="Arial"/>
                    <a:ea typeface="Arial"/>
                    <a:cs typeface="Arial"/>
                  </a:defRPr>
                </a:pPr>
                <a:r>
                  <a:rPr lang="en-US"/>
                  <a:t>Year</a:t>
                </a:r>
              </a:p>
            </c:rich>
          </c:tx>
          <c:layout>
            <c:manualLayout>
              <c:xMode val="edge"/>
              <c:yMode val="edge"/>
              <c:x val="0.50567278487778256"/>
              <c:y val="0.8783782808399001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284324608"/>
        <c:crosses val="autoZero"/>
        <c:auto val="1"/>
        <c:lblAlgn val="ctr"/>
        <c:lblOffset val="100"/>
        <c:tickLblSkip val="1"/>
        <c:tickMarkSkip val="1"/>
        <c:noMultiLvlLbl val="0"/>
      </c:catAx>
      <c:valAx>
        <c:axId val="284324608"/>
        <c:scaling>
          <c:orientation val="minMax"/>
        </c:scaling>
        <c:delete val="0"/>
        <c:axPos val="l"/>
        <c:majorGridlines>
          <c:spPr>
            <a:ln w="3175">
              <a:solidFill>
                <a:srgbClr val="000000"/>
              </a:solidFill>
              <a:prstDash val="solid"/>
            </a:ln>
          </c:spPr>
        </c:majorGridlines>
        <c:title>
          <c:tx>
            <c:rich>
              <a:bodyPr/>
              <a:lstStyle/>
              <a:p>
                <a:pPr algn="ctr" rtl="0">
                  <a:defRPr lang="en-US" sz="1100" b="1" i="0" u="none" strike="noStrike" kern="1200" baseline="0">
                    <a:solidFill>
                      <a:srgbClr val="000000"/>
                    </a:solidFill>
                    <a:latin typeface="Arial"/>
                    <a:ea typeface="Arial"/>
                    <a:cs typeface="Arial"/>
                  </a:defRPr>
                </a:pPr>
                <a:r>
                  <a:rPr lang="en-US" sz="1100" b="1" i="0" u="none" strike="noStrike" kern="1200" baseline="0">
                    <a:solidFill>
                      <a:srgbClr val="000000"/>
                    </a:solidFill>
                    <a:latin typeface="Arial"/>
                    <a:ea typeface="Arial"/>
                    <a:cs typeface="Arial"/>
                  </a:rPr>
                  <a:t>Annual Costs ($/MWh)</a:t>
                </a:r>
              </a:p>
            </c:rich>
          </c:tx>
          <c:layout>
            <c:manualLayout>
              <c:xMode val="edge"/>
              <c:yMode val="edge"/>
              <c:x val="1.2155603687441978E-2"/>
              <c:y val="0.2877255777476252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284318336"/>
        <c:crosses val="autoZero"/>
        <c:crossBetween val="between"/>
      </c:valAx>
      <c:spPr>
        <a:noFill/>
        <a:ln w="12700">
          <a:solidFill>
            <a:srgbClr val="808080"/>
          </a:solidFill>
          <a:prstDash val="solid"/>
        </a:ln>
      </c:spPr>
    </c:plotArea>
    <c:legend>
      <c:legendPos val="r"/>
      <c:layout>
        <c:manualLayout>
          <c:xMode val="edge"/>
          <c:yMode val="edge"/>
          <c:x val="0.83274373752020325"/>
          <c:y val="0.41588504384808639"/>
          <c:w val="6.5987663561188487E-2"/>
          <c:h val="0.23139463047104941"/>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Fixed and Variable Costs by Percentage</a:t>
            </a:r>
          </a:p>
        </c:rich>
      </c:tx>
      <c:layout/>
      <c:overlay val="0"/>
    </c:title>
    <c:autoTitleDeleted val="0"/>
    <c:plotArea>
      <c:layout/>
      <c:pieChart>
        <c:varyColors val="1"/>
        <c:ser>
          <c:idx val="0"/>
          <c:order val="0"/>
          <c:dPt>
            <c:idx val="0"/>
            <c:bubble3D val="0"/>
            <c:explosion val="30"/>
          </c:dPt>
          <c:dLbls>
            <c:dLbl>
              <c:idx val="0"/>
              <c:layout>
                <c:manualLayout>
                  <c:x val="0.16200458278304922"/>
                  <c:y val="-9.7383838367182715E-2"/>
                </c:manualLayout>
              </c:layout>
              <c:showLegendKey val="0"/>
              <c:showVal val="1"/>
              <c:showCatName val="1"/>
              <c:showSerName val="0"/>
              <c:showPercent val="0"/>
              <c:showBubbleSize val="0"/>
            </c:dLbl>
            <c:dLbl>
              <c:idx val="1"/>
              <c:layout>
                <c:manualLayout>
                  <c:x val="-0.19798276095985418"/>
                  <c:y val="5.0728234716999013E-2"/>
                </c:manualLayout>
              </c:layout>
              <c:showLegendKey val="0"/>
              <c:showVal val="1"/>
              <c:showCatName val="1"/>
              <c:showSerName val="0"/>
              <c:showPercent val="0"/>
              <c:showBubbleSize val="0"/>
            </c:dLbl>
            <c:showLegendKey val="0"/>
            <c:showVal val="1"/>
            <c:showCatName val="1"/>
            <c:showSerName val="0"/>
            <c:showPercent val="0"/>
            <c:showBubbleSize val="0"/>
            <c:showLeaderLines val="1"/>
          </c:dLbls>
          <c:cat>
            <c:strRef>
              <c:f>('INPUT-OUTPUT'!$S$13,'INPUT-OUTPUT'!$S$16)</c:f>
              <c:strCache>
                <c:ptCount val="2"/>
                <c:pt idx="0">
                  <c:v>Total Fixed Costs</c:v>
                </c:pt>
                <c:pt idx="1">
                  <c:v>Total Variable Costs</c:v>
                </c:pt>
              </c:strCache>
            </c:strRef>
          </c:cat>
          <c:val>
            <c:numRef>
              <c:f>('INPUT-OUTPUT'!$V$13,'INPUT-OUTPUT'!$V$16)</c:f>
              <c:numCache>
                <c:formatCode>0.0%</c:formatCode>
                <c:ptCount val="2"/>
                <c:pt idx="0">
                  <c:v>0.85664268228215135</c:v>
                </c:pt>
                <c:pt idx="1">
                  <c:v>0.14335731771784849</c:v>
                </c:pt>
              </c:numCache>
            </c:numRef>
          </c:val>
        </c:ser>
        <c:dLbls>
          <c:showLegendKey val="0"/>
          <c:showVal val="0"/>
          <c:showCatName val="1"/>
          <c:showSerName val="0"/>
          <c:showPercent val="0"/>
          <c:showBubbleSize val="0"/>
          <c:showLeaderLines val="1"/>
        </c:dLbls>
        <c:firstSliceAng val="0"/>
      </c:pie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Fixed Costs as Percentages</a:t>
            </a:r>
          </a:p>
        </c:rich>
      </c:tx>
      <c:layout/>
      <c:overlay val="0"/>
    </c:title>
    <c:autoTitleDeleted val="0"/>
    <c:plotArea>
      <c:layout/>
      <c:pieChart>
        <c:varyColors val="1"/>
        <c:ser>
          <c:idx val="0"/>
          <c:order val="0"/>
          <c:dLbls>
            <c:dLbl>
              <c:idx val="0"/>
              <c:layout>
                <c:manualLayout>
                  <c:x val="8.7417357953494847E-3"/>
                  <c:y val="5.2654688797437753E-2"/>
                </c:manualLayout>
              </c:layout>
              <c:showLegendKey val="0"/>
              <c:showVal val="0"/>
              <c:showCatName val="1"/>
              <c:showSerName val="0"/>
              <c:showPercent val="1"/>
              <c:showBubbleSize val="0"/>
            </c:dLbl>
            <c:dLbl>
              <c:idx val="1"/>
              <c:layout>
                <c:manualLayout>
                  <c:x val="1.1768743849646129E-2"/>
                  <c:y val="3.1487257165279871E-2"/>
                </c:manualLayout>
              </c:layout>
              <c:showLegendKey val="0"/>
              <c:showVal val="0"/>
              <c:showCatName val="1"/>
              <c:showSerName val="0"/>
              <c:showPercent val="1"/>
              <c:showBubbleSize val="0"/>
            </c:dLbl>
            <c:dLbl>
              <c:idx val="2"/>
              <c:layout>
                <c:manualLayout>
                  <c:x val="-8.0729296024231845E-2"/>
                  <c:y val="4.0657353249810672E-2"/>
                </c:manualLayout>
              </c:layout>
              <c:showLegendKey val="0"/>
              <c:showVal val="0"/>
              <c:showCatName val="1"/>
              <c:showSerName val="0"/>
              <c:showPercent val="1"/>
              <c:showBubbleSize val="0"/>
            </c:dLbl>
            <c:dLbl>
              <c:idx val="4"/>
              <c:layout>
                <c:manualLayout>
                  <c:x val="-0.13747601403019241"/>
                  <c:y val="9.3723024700933747E-3"/>
                </c:manualLayout>
              </c:layout>
              <c:showLegendKey val="0"/>
              <c:showVal val="0"/>
              <c:showCatName val="1"/>
              <c:showSerName val="0"/>
              <c:showPercent val="1"/>
              <c:showBubbleSize val="0"/>
            </c:dLbl>
            <c:showLegendKey val="0"/>
            <c:showVal val="0"/>
            <c:showCatName val="1"/>
            <c:showSerName val="0"/>
            <c:showPercent val="1"/>
            <c:showBubbleSize val="0"/>
            <c:showLeaderLines val="1"/>
          </c:dLbls>
          <c:cat>
            <c:strRef>
              <c:f>'INPUT-OUTPUT'!$S$8:$S$12</c:f>
              <c:strCache>
                <c:ptCount val="5"/>
                <c:pt idx="0">
                  <c:v>Capital &amp; Financing - Construction</c:v>
                </c:pt>
                <c:pt idx="1">
                  <c:v>Insurance</c:v>
                </c:pt>
                <c:pt idx="2">
                  <c:v>Ad Valorem Costs</c:v>
                </c:pt>
                <c:pt idx="3">
                  <c:v>Fixed O&amp;M</c:v>
                </c:pt>
                <c:pt idx="4">
                  <c:v>Corporate Taxes (w/Credits)</c:v>
                </c:pt>
              </c:strCache>
            </c:strRef>
          </c:cat>
          <c:val>
            <c:numRef>
              <c:f>'INPUT-OUTPUT'!$T$8:$T$12</c:f>
              <c:numCache>
                <c:formatCode>"$"#,##0.00_);\("$"#,##0.00\)</c:formatCode>
                <c:ptCount val="5"/>
                <c:pt idx="0">
                  <c:v>171.31335951810115</c:v>
                </c:pt>
                <c:pt idx="1">
                  <c:v>14.635139806572186</c:v>
                </c:pt>
                <c:pt idx="2">
                  <c:v>21.391440826369717</c:v>
                </c:pt>
                <c:pt idx="3">
                  <c:v>0</c:v>
                </c:pt>
                <c:pt idx="4">
                  <c:v>-51.649302851754157</c:v>
                </c:pt>
              </c:numCache>
            </c:numRef>
          </c:val>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Variable Costs as Percentages</a:t>
            </a:r>
          </a:p>
        </c:rich>
      </c:tx>
      <c:layout/>
      <c:overlay val="0"/>
    </c:title>
    <c:autoTitleDeleted val="0"/>
    <c:plotArea>
      <c:layout/>
      <c:pieChart>
        <c:varyColors val="1"/>
        <c:ser>
          <c:idx val="0"/>
          <c:order val="0"/>
          <c:dLbls>
            <c:dLbl>
              <c:idx val="0"/>
              <c:layout>
                <c:manualLayout>
                  <c:x val="0.32187390638671753"/>
                  <c:y val="0.10384167908859022"/>
                </c:manualLayout>
              </c:layout>
              <c:showLegendKey val="0"/>
              <c:showVal val="0"/>
              <c:showCatName val="1"/>
              <c:showSerName val="0"/>
              <c:showPercent val="1"/>
              <c:showBubbleSize val="0"/>
            </c:dLbl>
            <c:dLbl>
              <c:idx val="1"/>
              <c:layout>
                <c:manualLayout>
                  <c:x val="-0.32326487314088426"/>
                  <c:y val="-5.5490027526644101E-2"/>
                </c:manualLayout>
              </c:layout>
              <c:showLegendKey val="0"/>
              <c:showVal val="0"/>
              <c:showCatName val="1"/>
              <c:showSerName val="0"/>
              <c:showPercent val="1"/>
              <c:showBubbleSize val="0"/>
            </c:dLbl>
            <c:showLegendKey val="0"/>
            <c:showVal val="0"/>
            <c:showCatName val="1"/>
            <c:showSerName val="0"/>
            <c:showPercent val="1"/>
            <c:showBubbleSize val="0"/>
            <c:showLeaderLines val="1"/>
          </c:dLbls>
          <c:cat>
            <c:strRef>
              <c:f>'INPUT-OUTPUT'!$S$14:$S$15</c:f>
              <c:strCache>
                <c:ptCount val="2"/>
                <c:pt idx="0">
                  <c:v>Fuel &amp; GHG Emissions Costs</c:v>
                </c:pt>
                <c:pt idx="1">
                  <c:v>Variable O&amp;M</c:v>
                </c:pt>
              </c:strCache>
            </c:strRef>
          </c:cat>
          <c:val>
            <c:numRef>
              <c:f>'INPUT-OUTPUT'!$T$14:$T$15</c:f>
              <c:numCache>
                <c:formatCode>"$"#,##0.00_);\("$"#,##0.00\)</c:formatCode>
                <c:ptCount val="2"/>
                <c:pt idx="0">
                  <c:v>0</c:v>
                </c:pt>
                <c:pt idx="1">
                  <c:v>26.054494620263569</c:v>
                </c:pt>
              </c:numCache>
            </c:numRef>
          </c:val>
        </c:ser>
        <c:dLbls>
          <c:showLegendKey val="0"/>
          <c:showVal val="0"/>
          <c:showCatName val="1"/>
          <c:showSerName val="0"/>
          <c:showPercent val="1"/>
          <c:showBubbleSize val="0"/>
          <c:showLeaderLines val="1"/>
        </c:dLbls>
        <c:firstSliceAng val="84"/>
      </c:pie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defRPr>
            </a:pPr>
            <a:r>
              <a:rPr lang="en-US" sz="1800" b="1" i="0" u="none" strike="noStrike" baseline="0">
                <a:solidFill>
                  <a:srgbClr val="000000"/>
                </a:solidFill>
                <a:latin typeface="Arial"/>
              </a:rPr>
              <a:t>Yearly Costs</a:t>
            </a:r>
          </a:p>
        </c:rich>
      </c:tx>
      <c:layout/>
      <c:overlay val="0"/>
    </c:title>
    <c:autoTitleDeleted val="0"/>
    <c:plotArea>
      <c:layout/>
      <c:lineChart>
        <c:grouping val="standard"/>
        <c:varyColors val="0"/>
        <c:ser>
          <c:idx val="0"/>
          <c:order val="0"/>
          <c:tx>
            <c:v>Combined Cycle - 2 CTs No Duct Firing 500 MW - Lower cost - Merchant - Levelized - Nominal - $/MWh</c:v>
          </c:tx>
          <c:spPr>
            <a:ln w="38100">
              <a:solidFill>
                <a:srgbClr val="FF0000"/>
              </a:solidFill>
              <a:prstDash val="solid"/>
            </a:ln>
            <a:effectLst/>
          </c:spPr>
          <c:marker>
            <c:symbol val="none"/>
          </c:marker>
          <c:cat>
            <c:numRef>
              <c:f>'Yearly Costs'!$I$42:$T$42</c:f>
              <c:numCache>
                <c:formatCode>0</c:formatCode>
                <c:ptCount val="12"/>
                <c:pt idx="0">
                  <c:v>2013</c:v>
                </c:pt>
                <c:pt idx="1">
                  <c:v>2014</c:v>
                </c:pt>
                <c:pt idx="2">
                  <c:v>2015</c:v>
                </c:pt>
                <c:pt idx="3">
                  <c:v>2016</c:v>
                </c:pt>
                <c:pt idx="4">
                  <c:v>2017</c:v>
                </c:pt>
                <c:pt idx="5">
                  <c:v>2018</c:v>
                </c:pt>
                <c:pt idx="6">
                  <c:v>2019</c:v>
                </c:pt>
                <c:pt idx="7">
                  <c:v>2020</c:v>
                </c:pt>
                <c:pt idx="8">
                  <c:v>2021</c:v>
                </c:pt>
                <c:pt idx="9">
                  <c:v>2022</c:v>
                </c:pt>
                <c:pt idx="10">
                  <c:v>2023</c:v>
                </c:pt>
                <c:pt idx="11">
                  <c:v>2024</c:v>
                </c:pt>
              </c:numCache>
            </c:numRef>
          </c:cat>
          <c:val>
            <c:numRef>
              <c:f>'Yearly Costs'!$I$43:$T$43</c:f>
              <c:numCache>
                <c:formatCode>#,##0</c:formatCode>
                <c:ptCount val="12"/>
                <c:pt idx="0" formatCode="#,##0.00">
                  <c:v>62.4788</c:v>
                </c:pt>
                <c:pt idx="1">
                  <c:v>64.764399999999995</c:v>
                </c:pt>
                <c:pt idx="2">
                  <c:v>67.038200000000003</c:v>
                </c:pt>
                <c:pt idx="3">
                  <c:v>69.418499999999995</c:v>
                </c:pt>
                <c:pt idx="4">
                  <c:v>71.818200000000004</c:v>
                </c:pt>
                <c:pt idx="5">
                  <c:v>74.254599999999996</c:v>
                </c:pt>
                <c:pt idx="6">
                  <c:v>76.874300000000005</c:v>
                </c:pt>
                <c:pt idx="7">
                  <c:v>79.621099999999998</c:v>
                </c:pt>
                <c:pt idx="8">
                  <c:v>82.513199999999998</c:v>
                </c:pt>
                <c:pt idx="9">
                  <c:v>85.589299999999994</c:v>
                </c:pt>
                <c:pt idx="10">
                  <c:v>88.855199999999996</c:v>
                </c:pt>
                <c:pt idx="11">
                  <c:v>92.278000000000006</c:v>
                </c:pt>
              </c:numCache>
            </c:numRef>
          </c:val>
          <c:smooth val="1"/>
        </c:ser>
        <c:ser>
          <c:idx val="1"/>
          <c:order val="1"/>
          <c:tx>
            <c:v>Combined Cycle - 2 CTs No Duct Firing 500 MW - Mid-range - Merchant - Levelized - Nominal - $/MWh</c:v>
          </c:tx>
          <c:spPr>
            <a:ln w="38100">
              <a:solidFill>
                <a:srgbClr val="00FF00"/>
              </a:solidFill>
              <a:prstDash val="solid"/>
            </a:ln>
            <a:effectLst/>
          </c:spPr>
          <c:marker>
            <c:symbol val="none"/>
          </c:marker>
          <c:cat>
            <c:numRef>
              <c:f>'Yearly Costs'!$I$42:$T$42</c:f>
              <c:numCache>
                <c:formatCode>0</c:formatCode>
                <c:ptCount val="12"/>
                <c:pt idx="0">
                  <c:v>2013</c:v>
                </c:pt>
                <c:pt idx="1">
                  <c:v>2014</c:v>
                </c:pt>
                <c:pt idx="2">
                  <c:v>2015</c:v>
                </c:pt>
                <c:pt idx="3">
                  <c:v>2016</c:v>
                </c:pt>
                <c:pt idx="4">
                  <c:v>2017</c:v>
                </c:pt>
                <c:pt idx="5">
                  <c:v>2018</c:v>
                </c:pt>
                <c:pt idx="6">
                  <c:v>2019</c:v>
                </c:pt>
                <c:pt idx="7">
                  <c:v>2020</c:v>
                </c:pt>
                <c:pt idx="8">
                  <c:v>2021</c:v>
                </c:pt>
                <c:pt idx="9">
                  <c:v>2022</c:v>
                </c:pt>
                <c:pt idx="10">
                  <c:v>2023</c:v>
                </c:pt>
                <c:pt idx="11">
                  <c:v>2024</c:v>
                </c:pt>
              </c:numCache>
            </c:numRef>
          </c:cat>
          <c:val>
            <c:numRef>
              <c:f>'Yearly Costs'!$I$44:$T$44</c:f>
              <c:numCache>
                <c:formatCode>#,##0</c:formatCode>
                <c:ptCount val="12"/>
                <c:pt idx="0" formatCode="#,##0.00">
                  <c:v>116.50539999999999</c:v>
                </c:pt>
                <c:pt idx="1">
                  <c:v>120.709</c:v>
                </c:pt>
                <c:pt idx="2">
                  <c:v>124.8411</c:v>
                </c:pt>
                <c:pt idx="3">
                  <c:v>129.11070000000001</c:v>
                </c:pt>
                <c:pt idx="4">
                  <c:v>133.31309999999999</c:v>
                </c:pt>
                <c:pt idx="5">
                  <c:v>137.4811</c:v>
                </c:pt>
                <c:pt idx="6">
                  <c:v>141.9453</c:v>
                </c:pt>
                <c:pt idx="7">
                  <c:v>146.56829999999999</c:v>
                </c:pt>
                <c:pt idx="8">
                  <c:v>151.39269999999999</c:v>
                </c:pt>
                <c:pt idx="9">
                  <c:v>156.4973</c:v>
                </c:pt>
                <c:pt idx="10">
                  <c:v>161.8801</c:v>
                </c:pt>
                <c:pt idx="11">
                  <c:v>167.4555</c:v>
                </c:pt>
              </c:numCache>
            </c:numRef>
          </c:val>
          <c:smooth val="1"/>
        </c:ser>
        <c:ser>
          <c:idx val="2"/>
          <c:order val="2"/>
          <c:tx>
            <c:v>Combined Cycle - 2 CTs No Duct Firing 500 MW - Higher cost - Merchant - Levelized - Nominal - $/MWh</c:v>
          </c:tx>
          <c:spPr>
            <a:ln w="38100">
              <a:solidFill>
                <a:srgbClr val="0000FF"/>
              </a:solidFill>
              <a:prstDash val="solid"/>
            </a:ln>
            <a:effectLst/>
          </c:spPr>
          <c:marker>
            <c:symbol val="none"/>
          </c:marker>
          <c:cat>
            <c:numRef>
              <c:f>'Yearly Costs'!$I$42:$T$42</c:f>
              <c:numCache>
                <c:formatCode>0</c:formatCode>
                <c:ptCount val="12"/>
                <c:pt idx="0">
                  <c:v>2013</c:v>
                </c:pt>
                <c:pt idx="1">
                  <c:v>2014</c:v>
                </c:pt>
                <c:pt idx="2">
                  <c:v>2015</c:v>
                </c:pt>
                <c:pt idx="3">
                  <c:v>2016</c:v>
                </c:pt>
                <c:pt idx="4">
                  <c:v>2017</c:v>
                </c:pt>
                <c:pt idx="5">
                  <c:v>2018</c:v>
                </c:pt>
                <c:pt idx="6">
                  <c:v>2019</c:v>
                </c:pt>
                <c:pt idx="7">
                  <c:v>2020</c:v>
                </c:pt>
                <c:pt idx="8">
                  <c:v>2021</c:v>
                </c:pt>
                <c:pt idx="9">
                  <c:v>2022</c:v>
                </c:pt>
                <c:pt idx="10">
                  <c:v>2023</c:v>
                </c:pt>
                <c:pt idx="11">
                  <c:v>2024</c:v>
                </c:pt>
              </c:numCache>
            </c:numRef>
          </c:cat>
          <c:val>
            <c:numRef>
              <c:f>'Yearly Costs'!$I$45:$T$45</c:f>
              <c:numCache>
                <c:formatCode>#,##0</c:formatCode>
                <c:ptCount val="12"/>
                <c:pt idx="0" formatCode="#,##0.00">
                  <c:v>203.42359999999999</c:v>
                </c:pt>
                <c:pt idx="1">
                  <c:v>210.58619999999999</c:v>
                </c:pt>
                <c:pt idx="2">
                  <c:v>217.49770000000001</c:v>
                </c:pt>
                <c:pt idx="3">
                  <c:v>224.6131</c:v>
                </c:pt>
                <c:pt idx="4">
                  <c:v>231.39689999999999</c:v>
                </c:pt>
                <c:pt idx="5">
                  <c:v>237.91659999999999</c:v>
                </c:pt>
                <c:pt idx="6">
                  <c:v>245.00630000000001</c:v>
                </c:pt>
                <c:pt idx="7">
                  <c:v>252.33779999999999</c:v>
                </c:pt>
                <c:pt idx="8">
                  <c:v>259.96660000000003</c:v>
                </c:pt>
                <c:pt idx="9">
                  <c:v>268.03590000000003</c:v>
                </c:pt>
                <c:pt idx="10">
                  <c:v>276.52370000000002</c:v>
                </c:pt>
                <c:pt idx="11">
                  <c:v>285.18119999999999</c:v>
                </c:pt>
              </c:numCache>
            </c:numRef>
          </c:val>
          <c:smooth val="1"/>
        </c:ser>
        <c:dLbls>
          <c:showLegendKey val="0"/>
          <c:showVal val="0"/>
          <c:showCatName val="0"/>
          <c:showSerName val="0"/>
          <c:showPercent val="0"/>
          <c:showBubbleSize val="0"/>
        </c:dLbls>
        <c:marker val="1"/>
        <c:smooth val="0"/>
        <c:axId val="284625536"/>
        <c:axId val="284631808"/>
      </c:lineChart>
      <c:catAx>
        <c:axId val="284625536"/>
        <c:scaling>
          <c:orientation val="minMax"/>
        </c:scaling>
        <c:delete val="0"/>
        <c:axPos val="b"/>
        <c:majorGridlines>
          <c:spPr>
            <a:ln w="3175">
              <a:solidFill>
                <a:srgbClr val="000000"/>
              </a:solidFill>
              <a:prstDash val="sysDash"/>
            </a:ln>
          </c:spPr>
        </c:majorGridlines>
        <c:title>
          <c:tx>
            <c:rich>
              <a:bodyPr/>
              <a:lstStyle/>
              <a:p>
                <a:pPr>
                  <a:defRPr sz="1800"/>
                </a:pPr>
                <a:r>
                  <a:rPr lang="en-US"/>
                  <a:t>Start Year</a:t>
                </a:r>
              </a:p>
            </c:rich>
          </c:tx>
          <c:layout/>
          <c:overlay val="0"/>
        </c:title>
        <c:numFmt formatCode="0" sourceLinked="1"/>
        <c:majorTickMark val="none"/>
        <c:minorTickMark val="none"/>
        <c:tickLblPos val="low"/>
        <c:spPr>
          <a:ln w="3175">
            <a:solidFill>
              <a:srgbClr val="000000"/>
            </a:solidFill>
            <a:prstDash val="sysDash"/>
          </a:ln>
        </c:spPr>
        <c:txPr>
          <a:bodyPr rot="0" vert="horz"/>
          <a:lstStyle/>
          <a:p>
            <a:pPr>
              <a:defRPr sz="1400"/>
            </a:pPr>
            <a:endParaRPr lang="en-US"/>
          </a:p>
        </c:txPr>
        <c:crossAx val="284631808"/>
        <c:crosses val="autoZero"/>
        <c:auto val="1"/>
        <c:lblAlgn val="ctr"/>
        <c:lblOffset val="40"/>
        <c:noMultiLvlLbl val="0"/>
      </c:catAx>
      <c:valAx>
        <c:axId val="284631808"/>
        <c:scaling>
          <c:orientation val="minMax"/>
        </c:scaling>
        <c:delete val="0"/>
        <c:axPos val="l"/>
        <c:majorGridlines>
          <c:spPr>
            <a:ln w="3175">
              <a:solidFill>
                <a:srgbClr val="000000"/>
              </a:solidFill>
              <a:prstDash val="sysDash"/>
            </a:ln>
          </c:spPr>
        </c:majorGridlines>
        <c:title>
          <c:tx>
            <c:rich>
              <a:bodyPr/>
              <a:lstStyle/>
              <a:p>
                <a:pPr>
                  <a:defRPr sz="1800"/>
                </a:pPr>
                <a:endParaRPr lang="en-US"/>
              </a:p>
            </c:rich>
          </c:tx>
          <c:layout/>
          <c:overlay val="0"/>
        </c:title>
        <c:numFmt formatCode="#,##0" sourceLinked="0"/>
        <c:majorTickMark val="out"/>
        <c:minorTickMark val="none"/>
        <c:tickLblPos val="nextTo"/>
        <c:txPr>
          <a:bodyPr/>
          <a:lstStyle/>
          <a:p>
            <a:pPr>
              <a:defRPr sz="1400"/>
            </a:pPr>
            <a:endParaRPr lang="en-US"/>
          </a:p>
        </c:txPr>
        <c:crossAx val="284625536"/>
        <c:crossesAt val="1"/>
        <c:crossBetween val="midCat"/>
      </c:valAx>
      <c:spPr>
        <a:solidFill>
          <a:srgbClr val="C0C0C0"/>
        </a:solidFill>
        <a:ln w="12700">
          <a:solidFill>
            <a:srgbClr val="000000"/>
          </a:solidFill>
          <a:prstDash val="solid"/>
        </a:ln>
      </c:spPr>
    </c:plotArea>
    <c:legend>
      <c:legendPos val="r"/>
      <c:layout/>
      <c:overlay val="0"/>
      <c:txPr>
        <a:bodyPr/>
        <a:lstStyle/>
        <a:p>
          <a:pPr>
            <a:defRPr sz="1400"/>
          </a:pPr>
          <a:endParaRPr lang="en-US"/>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defRPr>
            </a:pPr>
            <a:r>
              <a:rPr lang="en-US" sz="1800" b="1" i="0" u="none" strike="noStrike" baseline="0">
                <a:solidFill>
                  <a:srgbClr val="000000"/>
                </a:solidFill>
                <a:latin typeface="Arial"/>
              </a:rPr>
              <a:t>SCREENING CURVE - Start Year 2013 (Nominal 2013$)</a:t>
            </a:r>
          </a:p>
        </c:rich>
      </c:tx>
      <c:layout/>
      <c:overlay val="0"/>
    </c:title>
    <c:autoTitleDeleted val="0"/>
    <c:plotArea>
      <c:layout/>
      <c:lineChart>
        <c:grouping val="standard"/>
        <c:varyColors val="0"/>
        <c:ser>
          <c:idx val="0"/>
          <c:order val="0"/>
          <c:tx>
            <c:strRef>
              <c:f>'Screening Curve'!$C$42</c:f>
              <c:strCache>
                <c:ptCount val="1"/>
                <c:pt idx="0">
                  <c:v>Combined Cycle - 2 CTs No Duct Firing 500 MW</c:v>
                </c:pt>
              </c:strCache>
            </c:strRef>
          </c:tx>
          <c:spPr>
            <a:ln w="38100">
              <a:solidFill>
                <a:srgbClr val="008000"/>
              </a:solidFill>
              <a:prstDash val="solid"/>
            </a:ln>
            <a:effectLst/>
          </c:spPr>
          <c:marker>
            <c:symbol val="none"/>
          </c:marker>
          <c:cat>
            <c:numRef>
              <c:f>'Screening Curve'!$D$41:$V$41</c:f>
              <c:numCache>
                <c:formatCode>0%</c:formatCode>
                <c:ptCount val="19"/>
                <c:pt idx="0">
                  <c:v>0.1</c:v>
                </c:pt>
                <c:pt idx="1">
                  <c:v>0.15</c:v>
                </c:pt>
                <c:pt idx="2">
                  <c:v>0.2</c:v>
                </c:pt>
                <c:pt idx="3">
                  <c:v>0.25</c:v>
                </c:pt>
                <c:pt idx="4">
                  <c:v>0.3</c:v>
                </c:pt>
                <c:pt idx="5">
                  <c:v>0.35</c:v>
                </c:pt>
                <c:pt idx="6">
                  <c:v>0.4</c:v>
                </c:pt>
                <c:pt idx="7">
                  <c:v>0.45</c:v>
                </c:pt>
                <c:pt idx="8">
                  <c:v>0.5</c:v>
                </c:pt>
                <c:pt idx="9">
                  <c:v>0.55000000000000004</c:v>
                </c:pt>
                <c:pt idx="10">
                  <c:v>0.6</c:v>
                </c:pt>
                <c:pt idx="11">
                  <c:v>0.65</c:v>
                </c:pt>
                <c:pt idx="12">
                  <c:v>0.7</c:v>
                </c:pt>
                <c:pt idx="13">
                  <c:v>0.75</c:v>
                </c:pt>
                <c:pt idx="14">
                  <c:v>0.8</c:v>
                </c:pt>
                <c:pt idx="15">
                  <c:v>0.85</c:v>
                </c:pt>
                <c:pt idx="16">
                  <c:v>0.9</c:v>
                </c:pt>
                <c:pt idx="17">
                  <c:v>0.95</c:v>
                </c:pt>
                <c:pt idx="18">
                  <c:v>1</c:v>
                </c:pt>
              </c:numCache>
            </c:numRef>
          </c:cat>
          <c:val>
            <c:numRef>
              <c:f>'Screening Curve'!$D$42:$V$42</c:f>
              <c:numCache>
                <c:formatCode>#,##0.00</c:formatCode>
                <c:ptCount val="19"/>
                <c:pt idx="0">
                  <c:v>322.7303</c:v>
                </c:pt>
                <c:pt idx="1">
                  <c:v>239.36279999999999</c:v>
                </c:pt>
                <c:pt idx="2">
                  <c:v>197.67910000000001</c:v>
                </c:pt>
                <c:pt idx="3">
                  <c:v>172.6688</c:v>
                </c:pt>
                <c:pt idx="4">
                  <c:v>155.99529999999999</c:v>
                </c:pt>
                <c:pt idx="5">
                  <c:v>144.0857</c:v>
                </c:pt>
                <c:pt idx="6">
                  <c:v>135.1534</c:v>
                </c:pt>
                <c:pt idx="7">
                  <c:v>128.20609999999999</c:v>
                </c:pt>
                <c:pt idx="8">
                  <c:v>122.64830000000001</c:v>
                </c:pt>
                <c:pt idx="9">
                  <c:v>118.101</c:v>
                </c:pt>
                <c:pt idx="10">
                  <c:v>114.3116</c:v>
                </c:pt>
                <c:pt idx="11">
                  <c:v>111.10509999999999</c:v>
                </c:pt>
                <c:pt idx="12">
                  <c:v>108.3567</c:v>
                </c:pt>
                <c:pt idx="13">
                  <c:v>105.9748</c:v>
                </c:pt>
                <c:pt idx="14">
                  <c:v>103.89060000000001</c:v>
                </c:pt>
                <c:pt idx="15">
                  <c:v>102.05159999999999</c:v>
                </c:pt>
                <c:pt idx="16">
                  <c:v>100.417</c:v>
                </c:pt>
                <c:pt idx="17">
                  <c:v>99.849900000000005</c:v>
                </c:pt>
                <c:pt idx="18">
                  <c:v>99.849900000000005</c:v>
                </c:pt>
              </c:numCache>
            </c:numRef>
          </c:val>
          <c:smooth val="1"/>
        </c:ser>
        <c:dLbls>
          <c:showLegendKey val="0"/>
          <c:showVal val="0"/>
          <c:showCatName val="0"/>
          <c:showSerName val="0"/>
          <c:showPercent val="0"/>
          <c:showBubbleSize val="0"/>
        </c:dLbls>
        <c:marker val="1"/>
        <c:smooth val="0"/>
        <c:axId val="286902912"/>
        <c:axId val="286905088"/>
      </c:lineChart>
      <c:catAx>
        <c:axId val="286902912"/>
        <c:scaling>
          <c:orientation val="minMax"/>
        </c:scaling>
        <c:delete val="0"/>
        <c:axPos val="b"/>
        <c:title>
          <c:tx>
            <c:rich>
              <a:bodyPr/>
              <a:lstStyle/>
              <a:p>
                <a:pPr>
                  <a:defRPr sz="1800"/>
                </a:pPr>
                <a:r>
                  <a:rPr lang="en-US"/>
                  <a:t>Capacity Factor</a:t>
                </a:r>
              </a:p>
            </c:rich>
          </c:tx>
          <c:layout/>
          <c:overlay val="0"/>
        </c:title>
        <c:numFmt formatCode="0%" sourceLinked="1"/>
        <c:majorTickMark val="out"/>
        <c:minorTickMark val="none"/>
        <c:tickLblPos val="nextTo"/>
        <c:txPr>
          <a:bodyPr rot="0" vert="horz"/>
          <a:lstStyle/>
          <a:p>
            <a:pPr>
              <a:defRPr sz="1400"/>
            </a:pPr>
            <a:endParaRPr lang="en-US"/>
          </a:p>
        </c:txPr>
        <c:crossAx val="286905088"/>
        <c:crosses val="autoZero"/>
        <c:auto val="1"/>
        <c:lblAlgn val="ctr"/>
        <c:lblOffset val="40"/>
        <c:tickLblSkip val="2"/>
        <c:tickMarkSkip val="1"/>
        <c:noMultiLvlLbl val="0"/>
      </c:catAx>
      <c:valAx>
        <c:axId val="286905088"/>
        <c:scaling>
          <c:orientation val="minMax"/>
        </c:scaling>
        <c:delete val="0"/>
        <c:axPos val="l"/>
        <c:majorGridlines>
          <c:spPr>
            <a:ln w="3175">
              <a:solidFill>
                <a:srgbClr val="000000"/>
              </a:solidFill>
              <a:prstDash val="sysDash"/>
            </a:ln>
          </c:spPr>
        </c:majorGridlines>
        <c:title>
          <c:tx>
            <c:rich>
              <a:bodyPr/>
              <a:lstStyle/>
              <a:p>
                <a:pPr>
                  <a:defRPr sz="1800"/>
                </a:pPr>
                <a:r>
                  <a:rPr lang="en-US"/>
                  <a:t>Levelized Cost ($/MWh)</a:t>
                </a:r>
              </a:p>
            </c:rich>
          </c:tx>
          <c:layout/>
          <c:overlay val="0"/>
        </c:title>
        <c:numFmt formatCode="#,##0" sourceLinked="0"/>
        <c:majorTickMark val="out"/>
        <c:minorTickMark val="none"/>
        <c:tickLblPos val="nextTo"/>
        <c:txPr>
          <a:bodyPr/>
          <a:lstStyle/>
          <a:p>
            <a:pPr>
              <a:defRPr sz="1400"/>
            </a:pPr>
            <a:endParaRPr lang="en-US"/>
          </a:p>
        </c:txPr>
        <c:crossAx val="286902912"/>
        <c:crossesAt val="1"/>
        <c:crossBetween val="midCat"/>
      </c:valAx>
      <c:spPr>
        <a:solidFill>
          <a:srgbClr val="C0C0C0"/>
        </a:solidFill>
        <a:ln w="12700">
          <a:solidFill>
            <a:srgbClr val="808080"/>
          </a:solidFill>
          <a:prstDash val="solid"/>
        </a:ln>
      </c:spPr>
    </c:plotArea>
    <c:legend>
      <c:legendPos val="r"/>
      <c:layout/>
      <c:overlay val="0"/>
      <c:txPr>
        <a:bodyPr/>
        <a:lstStyle/>
        <a:p>
          <a:pPr>
            <a:defRPr sz="1400"/>
          </a:pPr>
          <a:endParaRPr lang="en-US"/>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defRPr>
            </a:pPr>
            <a:r>
              <a:rPr lang="en-US" sz="1800" b="1" i="0" u="none" strike="noStrike" baseline="0">
                <a:solidFill>
                  <a:srgbClr val="000000"/>
                </a:solidFill>
                <a:latin typeface="Arial"/>
              </a:rPr>
              <a:t>Effect on Levelized Cost of Input Assumptions - Start Year 2013 (Nominal 2013$)
Combined Cycle - 2 CTs No Duct Firing 500 MW
Base values: Fuel Price = $7.98, Installed Cost = $1,088.36</a:t>
            </a:r>
          </a:p>
        </c:rich>
      </c:tx>
      <c:layout/>
      <c:overlay val="0"/>
    </c:title>
    <c:autoTitleDeleted val="0"/>
    <c:plotArea>
      <c:layout/>
      <c:lineChart>
        <c:grouping val="standard"/>
        <c:varyColors val="0"/>
        <c:ser>
          <c:idx val="0"/>
          <c:order val="0"/>
          <c:tx>
            <c:strRef>
              <c:f>'Sensitivity Curve'!$D$46</c:f>
              <c:strCache>
                <c:ptCount val="1"/>
                <c:pt idx="0">
                  <c:v>Fuel Price</c:v>
                </c:pt>
              </c:strCache>
            </c:strRef>
          </c:tx>
          <c:spPr>
            <a:ln w="38100">
              <a:solidFill>
                <a:srgbClr val="008000"/>
              </a:solidFill>
              <a:prstDash val="solid"/>
            </a:ln>
            <a:effectLst/>
          </c:spPr>
          <c:marker>
            <c:symbol val="none"/>
          </c:marker>
          <c:cat>
            <c:numRef>
              <c:f>'Sensitivity Curve'!$E$45:$U$45</c:f>
              <c:numCache>
                <c:formatCode>#0%</c:formatCode>
                <c:ptCount val="17"/>
                <c:pt idx="0">
                  <c:v>-0.6</c:v>
                </c:pt>
                <c:pt idx="1">
                  <c:v>-0.5</c:v>
                </c:pt>
                <c:pt idx="2">
                  <c:v>-0.4</c:v>
                </c:pt>
                <c:pt idx="3">
                  <c:v>-0.30000000000000004</c:v>
                </c:pt>
                <c:pt idx="4">
                  <c:v>-0.19999999999999996</c:v>
                </c:pt>
                <c:pt idx="5">
                  <c:v>-9.9999999999999978E-2</c:v>
                </c:pt>
                <c:pt idx="6">
                  <c:v>0</c:v>
                </c:pt>
                <c:pt idx="7">
                  <c:v>0.10000000000000009</c:v>
                </c:pt>
                <c:pt idx="8">
                  <c:v>0.19999999999999996</c:v>
                </c:pt>
                <c:pt idx="9">
                  <c:v>0.30000000000000004</c:v>
                </c:pt>
                <c:pt idx="10">
                  <c:v>0.39999999999999991</c:v>
                </c:pt>
                <c:pt idx="11">
                  <c:v>0.5</c:v>
                </c:pt>
                <c:pt idx="12">
                  <c:v>0.60000000000000009</c:v>
                </c:pt>
                <c:pt idx="13">
                  <c:v>0.7</c:v>
                </c:pt>
                <c:pt idx="14">
                  <c:v>0.8</c:v>
                </c:pt>
                <c:pt idx="15">
                  <c:v>0.89999999999999991</c:v>
                </c:pt>
                <c:pt idx="16">
                  <c:v>1</c:v>
                </c:pt>
              </c:numCache>
            </c:numRef>
          </c:cat>
          <c:val>
            <c:numRef>
              <c:f>'Sensitivity Curve'!$E$46:$U$46</c:f>
              <c:numCache>
                <c:formatCode>#,##0.00</c:formatCode>
                <c:ptCount val="17"/>
                <c:pt idx="0">
                  <c:v>83.8904</c:v>
                </c:pt>
                <c:pt idx="1">
                  <c:v>89.3262</c:v>
                </c:pt>
                <c:pt idx="2">
                  <c:v>94.762100000000004</c:v>
                </c:pt>
                <c:pt idx="3">
                  <c:v>100.1979</c:v>
                </c:pt>
                <c:pt idx="4">
                  <c:v>105.6337</c:v>
                </c:pt>
                <c:pt idx="5">
                  <c:v>111.06959999999999</c:v>
                </c:pt>
                <c:pt idx="6">
                  <c:v>116.50539999999999</c:v>
                </c:pt>
                <c:pt idx="7">
                  <c:v>121.9413</c:v>
                </c:pt>
                <c:pt idx="8">
                  <c:v>127.3771</c:v>
                </c:pt>
                <c:pt idx="9">
                  <c:v>132.81299999999999</c:v>
                </c:pt>
                <c:pt idx="10">
                  <c:v>138.24879999999999</c:v>
                </c:pt>
                <c:pt idx="11">
                  <c:v>143.68469999999999</c:v>
                </c:pt>
                <c:pt idx="12">
                  <c:v>149.12049999999999</c:v>
                </c:pt>
                <c:pt idx="13">
                  <c:v>154.5564</c:v>
                </c:pt>
                <c:pt idx="14">
                  <c:v>159.9922</c:v>
                </c:pt>
                <c:pt idx="15">
                  <c:v>165.4281</c:v>
                </c:pt>
                <c:pt idx="16">
                  <c:v>170.8639</c:v>
                </c:pt>
              </c:numCache>
            </c:numRef>
          </c:val>
          <c:smooth val="1"/>
        </c:ser>
        <c:ser>
          <c:idx val="1"/>
          <c:order val="1"/>
          <c:tx>
            <c:strRef>
              <c:f>'Sensitivity Curve'!$D$47</c:f>
              <c:strCache>
                <c:ptCount val="1"/>
                <c:pt idx="0">
                  <c:v>Installed Cost</c:v>
                </c:pt>
              </c:strCache>
            </c:strRef>
          </c:tx>
          <c:spPr>
            <a:ln w="38100">
              <a:solidFill>
                <a:srgbClr val="000080"/>
              </a:solidFill>
              <a:prstDash val="solid"/>
            </a:ln>
            <a:effectLst/>
          </c:spPr>
          <c:marker>
            <c:symbol val="none"/>
          </c:marker>
          <c:val>
            <c:numRef>
              <c:f>'Sensitivity Curve'!$E$47:$U$47</c:f>
              <c:numCache>
                <c:formatCode>#,##0.00</c:formatCode>
                <c:ptCount val="17"/>
                <c:pt idx="0">
                  <c:v>94.665999999999997</c:v>
                </c:pt>
                <c:pt idx="1">
                  <c:v>98.305899999999994</c:v>
                </c:pt>
                <c:pt idx="2">
                  <c:v>101.94580000000001</c:v>
                </c:pt>
                <c:pt idx="3">
                  <c:v>105.5857</c:v>
                </c:pt>
                <c:pt idx="4">
                  <c:v>109.2256</c:v>
                </c:pt>
                <c:pt idx="5">
                  <c:v>112.8655</c:v>
                </c:pt>
                <c:pt idx="6">
                  <c:v>116.50539999999999</c:v>
                </c:pt>
                <c:pt idx="7">
                  <c:v>120.14530000000001</c:v>
                </c:pt>
                <c:pt idx="8">
                  <c:v>123.7852</c:v>
                </c:pt>
                <c:pt idx="9">
                  <c:v>127.4251</c:v>
                </c:pt>
                <c:pt idx="10">
                  <c:v>131.065</c:v>
                </c:pt>
                <c:pt idx="11">
                  <c:v>134.70490000000001</c:v>
                </c:pt>
                <c:pt idx="12">
                  <c:v>138.34479999999999</c:v>
                </c:pt>
                <c:pt idx="13">
                  <c:v>141.9847</c:v>
                </c:pt>
                <c:pt idx="14">
                  <c:v>145.62459999999999</c:v>
                </c:pt>
                <c:pt idx="15">
                  <c:v>149.2645</c:v>
                </c:pt>
                <c:pt idx="16">
                  <c:v>152.90440000000001</c:v>
                </c:pt>
              </c:numCache>
            </c:numRef>
          </c:val>
          <c:smooth val="1"/>
        </c:ser>
        <c:dLbls>
          <c:showLegendKey val="0"/>
          <c:showVal val="0"/>
          <c:showCatName val="0"/>
          <c:showSerName val="0"/>
          <c:showPercent val="0"/>
          <c:showBubbleSize val="0"/>
        </c:dLbls>
        <c:marker val="1"/>
        <c:smooth val="0"/>
        <c:axId val="287927296"/>
        <c:axId val="287949952"/>
      </c:lineChart>
      <c:catAx>
        <c:axId val="287927296"/>
        <c:scaling>
          <c:orientation val="minMax"/>
        </c:scaling>
        <c:delete val="0"/>
        <c:axPos val="b"/>
        <c:majorGridlines>
          <c:spPr>
            <a:ln w="3175">
              <a:solidFill>
                <a:srgbClr val="000000"/>
              </a:solidFill>
              <a:prstDash val="sysDash"/>
            </a:ln>
          </c:spPr>
        </c:majorGridlines>
        <c:title>
          <c:tx>
            <c:rich>
              <a:bodyPr/>
              <a:lstStyle/>
              <a:p>
                <a:pPr>
                  <a:defRPr sz="1800"/>
                </a:pPr>
                <a:r>
                  <a:rPr lang="en-US"/>
                  <a:t>Relative Change</a:t>
                </a:r>
              </a:p>
            </c:rich>
          </c:tx>
          <c:layout/>
          <c:overlay val="0"/>
        </c:title>
        <c:numFmt formatCode="#0%" sourceLinked="1"/>
        <c:majorTickMark val="none"/>
        <c:minorTickMark val="none"/>
        <c:tickLblPos val="low"/>
        <c:spPr>
          <a:ln w="3175">
            <a:solidFill>
              <a:srgbClr val="000000"/>
            </a:solidFill>
            <a:prstDash val="sysDash"/>
          </a:ln>
        </c:spPr>
        <c:txPr>
          <a:bodyPr rot="0" vert="horz"/>
          <a:lstStyle/>
          <a:p>
            <a:pPr>
              <a:defRPr sz="1400"/>
            </a:pPr>
            <a:endParaRPr lang="en-US"/>
          </a:p>
        </c:txPr>
        <c:crossAx val="287949952"/>
        <c:crosses val="autoZero"/>
        <c:auto val="1"/>
        <c:lblAlgn val="ctr"/>
        <c:lblOffset val="40"/>
        <c:noMultiLvlLbl val="0"/>
      </c:catAx>
      <c:valAx>
        <c:axId val="287949952"/>
        <c:scaling>
          <c:orientation val="minMax"/>
        </c:scaling>
        <c:delete val="0"/>
        <c:axPos val="l"/>
        <c:majorGridlines>
          <c:spPr>
            <a:ln w="3175">
              <a:solidFill>
                <a:srgbClr val="000000"/>
              </a:solidFill>
              <a:prstDash val="sysDash"/>
            </a:ln>
          </c:spPr>
        </c:majorGridlines>
        <c:title>
          <c:tx>
            <c:rich>
              <a:bodyPr/>
              <a:lstStyle/>
              <a:p>
                <a:pPr>
                  <a:defRPr sz="1800"/>
                </a:pPr>
                <a:r>
                  <a:rPr lang="en-US"/>
                  <a:t>Levelized Cost ($/MWh)</a:t>
                </a:r>
              </a:p>
            </c:rich>
          </c:tx>
          <c:layout/>
          <c:overlay val="0"/>
        </c:title>
        <c:numFmt formatCode="#,##0" sourceLinked="0"/>
        <c:majorTickMark val="out"/>
        <c:minorTickMark val="none"/>
        <c:tickLblPos val="nextTo"/>
        <c:txPr>
          <a:bodyPr/>
          <a:lstStyle/>
          <a:p>
            <a:pPr>
              <a:defRPr sz="1400"/>
            </a:pPr>
            <a:endParaRPr lang="en-US"/>
          </a:p>
        </c:txPr>
        <c:crossAx val="287927296"/>
        <c:crossesAt val="1"/>
        <c:crossBetween val="midCat"/>
      </c:valAx>
      <c:spPr>
        <a:solidFill>
          <a:srgbClr val="C0C0C0"/>
        </a:solidFill>
        <a:ln w="12700">
          <a:solidFill>
            <a:srgbClr val="000000"/>
          </a:solidFill>
          <a:prstDash val="solid"/>
        </a:ln>
      </c:spPr>
    </c:plotArea>
    <c:legend>
      <c:legendPos val="r"/>
      <c:layout/>
      <c:overlay val="0"/>
      <c:txPr>
        <a:bodyPr/>
        <a:lstStyle/>
        <a:p>
          <a:pPr>
            <a:defRPr sz="1400"/>
          </a:pPr>
          <a:endParaRPr lang="en-US"/>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800" b="1" i="0" u="none" strike="noStrike" baseline="0">
                <a:solidFill>
                  <a:srgbClr val="000000"/>
                </a:solidFill>
                <a:latin typeface="Arial"/>
                <a:ea typeface="Arial"/>
                <a:cs typeface="Arial"/>
              </a:defRPr>
            </a:pPr>
            <a:r>
              <a:rPr lang="en-US" sz="2800"/>
              <a:t>UTILITY Gas Price Forecasts</a:t>
            </a:r>
          </a:p>
        </c:rich>
      </c:tx>
      <c:layout>
        <c:manualLayout>
          <c:xMode val="edge"/>
          <c:yMode val="edge"/>
          <c:x val="0.22823284567623744"/>
          <c:y val="2.9303977598766615E-2"/>
        </c:manualLayout>
      </c:layout>
      <c:overlay val="0"/>
      <c:spPr>
        <a:noFill/>
        <a:ln w="25400">
          <a:noFill/>
        </a:ln>
      </c:spPr>
    </c:title>
    <c:autoTitleDeleted val="0"/>
    <c:plotArea>
      <c:layout>
        <c:manualLayout>
          <c:layoutTarget val="inner"/>
          <c:xMode val="edge"/>
          <c:yMode val="edge"/>
          <c:x val="0.16190755596859716"/>
          <c:y val="0.15722390477264594"/>
          <c:w val="0.79229941783720004"/>
          <c:h val="0.77337163969248679"/>
        </c:manualLayout>
      </c:layout>
      <c:scatterChart>
        <c:scatterStyle val="smoothMarker"/>
        <c:varyColors val="0"/>
        <c:ser>
          <c:idx val="0"/>
          <c:order val="0"/>
          <c:tx>
            <c:strRef>
              <c:f>'Fuel Price Forecasts'!$J$4</c:f>
              <c:strCache>
                <c:ptCount val="1"/>
                <c:pt idx="0">
                  <c:v>SDG&amp;E</c:v>
                </c:pt>
              </c:strCache>
            </c:strRef>
          </c:tx>
          <c:spPr>
            <a:ln w="12700">
              <a:solidFill>
                <a:srgbClr val="000080"/>
              </a:solidFill>
              <a:prstDash val="solid"/>
            </a:ln>
          </c:spPr>
          <c:marker>
            <c:symbol val="diamond"/>
            <c:size val="8"/>
            <c:spPr>
              <a:solidFill>
                <a:srgbClr val="000080"/>
              </a:solidFill>
              <a:ln>
                <a:solidFill>
                  <a:srgbClr val="000080"/>
                </a:solidFill>
                <a:prstDash val="solid"/>
              </a:ln>
            </c:spPr>
          </c:marker>
          <c:xVal>
            <c:numRef>
              <c:f>'Fuel Price Forecasts'!$F$5:$F$55</c:f>
              <c:numCache>
                <c:formatCode>General</c:formatCode>
                <c:ptCount val="51"/>
                <c:pt idx="0">
                  <c:v>2002</c:v>
                </c:pt>
                <c:pt idx="1">
                  <c:v>2003</c:v>
                </c:pt>
                <c:pt idx="2">
                  <c:v>2004</c:v>
                </c:pt>
                <c:pt idx="3">
                  <c:v>2005</c:v>
                </c:pt>
                <c:pt idx="4">
                  <c:v>2006</c:v>
                </c:pt>
                <c:pt idx="5">
                  <c:v>2007</c:v>
                </c:pt>
                <c:pt idx="6">
                  <c:v>2008</c:v>
                </c:pt>
                <c:pt idx="7">
                  <c:v>2009</c:v>
                </c:pt>
                <c:pt idx="8">
                  <c:v>2010</c:v>
                </c:pt>
                <c:pt idx="9">
                  <c:v>2011</c:v>
                </c:pt>
                <c:pt idx="10">
                  <c:v>2012</c:v>
                </c:pt>
                <c:pt idx="11">
                  <c:v>2013</c:v>
                </c:pt>
                <c:pt idx="12">
                  <c:v>2014</c:v>
                </c:pt>
                <c:pt idx="13">
                  <c:v>2015</c:v>
                </c:pt>
                <c:pt idx="14">
                  <c:v>2016</c:v>
                </c:pt>
                <c:pt idx="15">
                  <c:v>2017</c:v>
                </c:pt>
                <c:pt idx="16">
                  <c:v>2018</c:v>
                </c:pt>
                <c:pt idx="17">
                  <c:v>2019</c:v>
                </c:pt>
                <c:pt idx="18">
                  <c:v>2020</c:v>
                </c:pt>
                <c:pt idx="19">
                  <c:v>2021</c:v>
                </c:pt>
                <c:pt idx="20">
                  <c:v>2022</c:v>
                </c:pt>
                <c:pt idx="21">
                  <c:v>2023</c:v>
                </c:pt>
                <c:pt idx="22">
                  <c:v>2024</c:v>
                </c:pt>
                <c:pt idx="23">
                  <c:v>2025</c:v>
                </c:pt>
                <c:pt idx="24">
                  <c:v>2026</c:v>
                </c:pt>
                <c:pt idx="25">
                  <c:v>2027</c:v>
                </c:pt>
                <c:pt idx="26">
                  <c:v>2028</c:v>
                </c:pt>
                <c:pt idx="27">
                  <c:v>2029</c:v>
                </c:pt>
                <c:pt idx="28">
                  <c:v>2030</c:v>
                </c:pt>
                <c:pt idx="29">
                  <c:v>2031</c:v>
                </c:pt>
                <c:pt idx="30">
                  <c:v>2032</c:v>
                </c:pt>
                <c:pt idx="31">
                  <c:v>2033</c:v>
                </c:pt>
                <c:pt idx="32">
                  <c:v>2034</c:v>
                </c:pt>
                <c:pt idx="33">
                  <c:v>2035</c:v>
                </c:pt>
                <c:pt idx="34">
                  <c:v>2036</c:v>
                </c:pt>
                <c:pt idx="35">
                  <c:v>2037</c:v>
                </c:pt>
                <c:pt idx="36">
                  <c:v>2038</c:v>
                </c:pt>
                <c:pt idx="37">
                  <c:v>2039</c:v>
                </c:pt>
                <c:pt idx="38">
                  <c:v>2040</c:v>
                </c:pt>
                <c:pt idx="39">
                  <c:v>2041</c:v>
                </c:pt>
                <c:pt idx="40">
                  <c:v>2042</c:v>
                </c:pt>
                <c:pt idx="41">
                  <c:v>2043</c:v>
                </c:pt>
                <c:pt idx="42">
                  <c:v>2044</c:v>
                </c:pt>
                <c:pt idx="43">
                  <c:v>2045</c:v>
                </c:pt>
                <c:pt idx="44">
                  <c:v>2046</c:v>
                </c:pt>
                <c:pt idx="45">
                  <c:v>2047</c:v>
                </c:pt>
                <c:pt idx="46">
                  <c:v>2048</c:v>
                </c:pt>
                <c:pt idx="47">
                  <c:v>2049</c:v>
                </c:pt>
                <c:pt idx="48">
                  <c:v>2050</c:v>
                </c:pt>
                <c:pt idx="49">
                  <c:v>2051</c:v>
                </c:pt>
                <c:pt idx="50">
                  <c:v>2052</c:v>
                </c:pt>
              </c:numCache>
            </c:numRef>
          </c:xVal>
          <c:yVal>
            <c:numRef>
              <c:f>'Fuel Price Forecasts'!$J$5:$J$55</c:f>
              <c:numCache>
                <c:formatCode>0.00</c:formatCode>
                <c:ptCount val="51"/>
                <c:pt idx="4">
                  <c:v>5.2376772232474433</c:v>
                </c:pt>
                <c:pt idx="5">
                  <c:v>5.5901706118330301</c:v>
                </c:pt>
                <c:pt idx="6">
                  <c:v>6.7988991461932597</c:v>
                </c:pt>
                <c:pt idx="7">
                  <c:v>4.0901536806361793</c:v>
                </c:pt>
                <c:pt idx="8">
                  <c:v>4.5365527066290472</c:v>
                </c:pt>
                <c:pt idx="9">
                  <c:v>4.3440162525393067</c:v>
                </c:pt>
                <c:pt idx="10">
                  <c:v>3.5054687436104648</c:v>
                </c:pt>
                <c:pt idx="11">
                  <c:v>4.800487731304127</c:v>
                </c:pt>
                <c:pt idx="12">
                  <c:v>5.0631412988029982</c:v>
                </c:pt>
                <c:pt idx="13">
                  <c:v>5.2462237699176049</c:v>
                </c:pt>
                <c:pt idx="14">
                  <c:v>5.7121068165572488</c:v>
                </c:pt>
                <c:pt idx="15">
                  <c:v>6.1275407060473057</c:v>
                </c:pt>
                <c:pt idx="16">
                  <c:v>6.0546452180792025</c:v>
                </c:pt>
                <c:pt idx="17">
                  <c:v>6.2981847183836637</c:v>
                </c:pt>
                <c:pt idx="18">
                  <c:v>6.525870034476255</c:v>
                </c:pt>
                <c:pt idx="19">
                  <c:v>6.6815334272689428</c:v>
                </c:pt>
                <c:pt idx="20">
                  <c:v>6.9114584139601423</c:v>
                </c:pt>
                <c:pt idx="21">
                  <c:v>7.3066284270871042</c:v>
                </c:pt>
                <c:pt idx="22">
                  <c:v>7.5188590333089458</c:v>
                </c:pt>
                <c:pt idx="23">
                  <c:v>7.7801967923722648</c:v>
                </c:pt>
                <c:pt idx="24">
                  <c:v>7.9745521508771606</c:v>
                </c:pt>
                <c:pt idx="25">
                  <c:v>8.3104621472416369</c:v>
                </c:pt>
                <c:pt idx="26">
                  <c:v>8.6277472648685762</c:v>
                </c:pt>
                <c:pt idx="27">
                  <c:v>8.8355230074760751</c:v>
                </c:pt>
                <c:pt idx="28">
                  <c:v>9.1377136833928265</c:v>
                </c:pt>
                <c:pt idx="29">
                  <c:v>9.3953270422248973</c:v>
                </c:pt>
                <c:pt idx="30">
                  <c:v>9.6729849390646407</c:v>
                </c:pt>
                <c:pt idx="31">
                  <c:v>9.9855984688876873</c:v>
                </c:pt>
                <c:pt idx="32">
                  <c:v>10.258437896324061</c:v>
                </c:pt>
                <c:pt idx="33">
                  <c:v>10.525968365587051</c:v>
                </c:pt>
                <c:pt idx="34">
                  <c:v>10.782961895859609</c:v>
                </c:pt>
                <c:pt idx="35">
                  <c:v>11.081401028181144</c:v>
                </c:pt>
                <c:pt idx="36">
                  <c:v>11.399682201776915</c:v>
                </c:pt>
                <c:pt idx="37">
                  <c:v>11.84261415049375</c:v>
                </c:pt>
                <c:pt idx="38">
                  <c:v>12.077891485021473</c:v>
                </c:pt>
                <c:pt idx="39">
                  <c:v>12.419073563873569</c:v>
                </c:pt>
                <c:pt idx="40">
                  <c:v>12.769953066333056</c:v>
                </c:pt>
                <c:pt idx="41">
                  <c:v>13.129329299707386</c:v>
                </c:pt>
                <c:pt idx="42">
                  <c:v>13.494131938383303</c:v>
                </c:pt>
                <c:pt idx="43">
                  <c:v>13.869606108410576</c:v>
                </c:pt>
                <c:pt idx="44">
                  <c:v>14.257606206701556</c:v>
                </c:pt>
                <c:pt idx="45">
                  <c:v>14.660808478546475</c:v>
                </c:pt>
                <c:pt idx="46">
                  <c:v>15.076167602167452</c:v>
                </c:pt>
                <c:pt idx="47">
                  <c:v>15.502791778120283</c:v>
                </c:pt>
                <c:pt idx="48">
                  <c:v>15.927523578785474</c:v>
                </c:pt>
                <c:pt idx="49">
                  <c:v>16.374239923572038</c:v>
                </c:pt>
                <c:pt idx="50">
                  <c:v>16.833202602652303</c:v>
                </c:pt>
              </c:numCache>
            </c:numRef>
          </c:yVal>
          <c:smooth val="1"/>
        </c:ser>
        <c:ser>
          <c:idx val="1"/>
          <c:order val="1"/>
          <c:tx>
            <c:v>SCE LADWP IID</c:v>
          </c:tx>
          <c:spPr>
            <a:ln w="12700">
              <a:solidFill>
                <a:schemeClr val="accent6">
                  <a:lumMod val="75000"/>
                </a:schemeClr>
              </a:solidFill>
              <a:prstDash val="solid"/>
            </a:ln>
          </c:spPr>
          <c:marker>
            <c:symbol val="square"/>
            <c:size val="5"/>
            <c:spPr>
              <a:solidFill>
                <a:srgbClr val="FF00FF"/>
              </a:solidFill>
              <a:ln>
                <a:solidFill>
                  <a:srgbClr val="FF00FF"/>
                </a:solidFill>
                <a:prstDash val="solid"/>
              </a:ln>
            </c:spPr>
          </c:marker>
          <c:dPt>
            <c:idx val="35"/>
            <c:bubble3D val="0"/>
            <c:spPr>
              <a:ln w="19050">
                <a:solidFill>
                  <a:schemeClr val="accent6">
                    <a:lumMod val="75000"/>
                  </a:schemeClr>
                </a:solidFill>
                <a:prstDash val="solid"/>
              </a:ln>
            </c:spPr>
          </c:dPt>
          <c:xVal>
            <c:numRef>
              <c:f>'Fuel Price Forecasts'!$F$5:$F$55</c:f>
              <c:numCache>
                <c:formatCode>General</c:formatCode>
                <c:ptCount val="51"/>
                <c:pt idx="0">
                  <c:v>2002</c:v>
                </c:pt>
                <c:pt idx="1">
                  <c:v>2003</c:v>
                </c:pt>
                <c:pt idx="2">
                  <c:v>2004</c:v>
                </c:pt>
                <c:pt idx="3">
                  <c:v>2005</c:v>
                </c:pt>
                <c:pt idx="4">
                  <c:v>2006</c:v>
                </c:pt>
                <c:pt idx="5">
                  <c:v>2007</c:v>
                </c:pt>
                <c:pt idx="6">
                  <c:v>2008</c:v>
                </c:pt>
                <c:pt idx="7">
                  <c:v>2009</c:v>
                </c:pt>
                <c:pt idx="8">
                  <c:v>2010</c:v>
                </c:pt>
                <c:pt idx="9">
                  <c:v>2011</c:v>
                </c:pt>
                <c:pt idx="10">
                  <c:v>2012</c:v>
                </c:pt>
                <c:pt idx="11">
                  <c:v>2013</c:v>
                </c:pt>
                <c:pt idx="12">
                  <c:v>2014</c:v>
                </c:pt>
                <c:pt idx="13">
                  <c:v>2015</c:v>
                </c:pt>
                <c:pt idx="14">
                  <c:v>2016</c:v>
                </c:pt>
                <c:pt idx="15">
                  <c:v>2017</c:v>
                </c:pt>
                <c:pt idx="16">
                  <c:v>2018</c:v>
                </c:pt>
                <c:pt idx="17">
                  <c:v>2019</c:v>
                </c:pt>
                <c:pt idx="18">
                  <c:v>2020</c:v>
                </c:pt>
                <c:pt idx="19">
                  <c:v>2021</c:v>
                </c:pt>
                <c:pt idx="20">
                  <c:v>2022</c:v>
                </c:pt>
                <c:pt idx="21">
                  <c:v>2023</c:v>
                </c:pt>
                <c:pt idx="22">
                  <c:v>2024</c:v>
                </c:pt>
                <c:pt idx="23">
                  <c:v>2025</c:v>
                </c:pt>
                <c:pt idx="24">
                  <c:v>2026</c:v>
                </c:pt>
                <c:pt idx="25">
                  <c:v>2027</c:v>
                </c:pt>
                <c:pt idx="26">
                  <c:v>2028</c:v>
                </c:pt>
                <c:pt idx="27">
                  <c:v>2029</c:v>
                </c:pt>
                <c:pt idx="28">
                  <c:v>2030</c:v>
                </c:pt>
                <c:pt idx="29">
                  <c:v>2031</c:v>
                </c:pt>
                <c:pt idx="30">
                  <c:v>2032</c:v>
                </c:pt>
                <c:pt idx="31">
                  <c:v>2033</c:v>
                </c:pt>
                <c:pt idx="32">
                  <c:v>2034</c:v>
                </c:pt>
                <c:pt idx="33">
                  <c:v>2035</c:v>
                </c:pt>
                <c:pt idx="34">
                  <c:v>2036</c:v>
                </c:pt>
                <c:pt idx="35">
                  <c:v>2037</c:v>
                </c:pt>
                <c:pt idx="36">
                  <c:v>2038</c:v>
                </c:pt>
                <c:pt idx="37">
                  <c:v>2039</c:v>
                </c:pt>
                <c:pt idx="38">
                  <c:v>2040</c:v>
                </c:pt>
                <c:pt idx="39">
                  <c:v>2041</c:v>
                </c:pt>
                <c:pt idx="40">
                  <c:v>2042</c:v>
                </c:pt>
                <c:pt idx="41">
                  <c:v>2043</c:v>
                </c:pt>
                <c:pt idx="42">
                  <c:v>2044</c:v>
                </c:pt>
                <c:pt idx="43">
                  <c:v>2045</c:v>
                </c:pt>
                <c:pt idx="44">
                  <c:v>2046</c:v>
                </c:pt>
                <c:pt idx="45">
                  <c:v>2047</c:v>
                </c:pt>
                <c:pt idx="46">
                  <c:v>2048</c:v>
                </c:pt>
                <c:pt idx="47">
                  <c:v>2049</c:v>
                </c:pt>
                <c:pt idx="48">
                  <c:v>2050</c:v>
                </c:pt>
                <c:pt idx="49">
                  <c:v>2051</c:v>
                </c:pt>
                <c:pt idx="50">
                  <c:v>2052</c:v>
                </c:pt>
              </c:numCache>
            </c:numRef>
          </c:xVal>
          <c:yVal>
            <c:numRef>
              <c:f>'Fuel Price Forecasts'!$I$5:$I$55</c:f>
              <c:numCache>
                <c:formatCode>0.00</c:formatCode>
                <c:ptCount val="51"/>
                <c:pt idx="4">
                  <c:v>5.0992368217625765</c:v>
                </c:pt>
                <c:pt idx="5">
                  <c:v>5.4328348784767755</c:v>
                </c:pt>
                <c:pt idx="6">
                  <c:v>6.5685016007166483</c:v>
                </c:pt>
                <c:pt idx="7">
                  <c:v>4.0142989643084528</c:v>
                </c:pt>
                <c:pt idx="8">
                  <c:v>4.4395113624077833</c:v>
                </c:pt>
                <c:pt idx="9">
                  <c:v>4.3946333776880442</c:v>
                </c:pt>
                <c:pt idx="10">
                  <c:v>3.5837220023335283</c:v>
                </c:pt>
                <c:pt idx="11">
                  <c:v>4.8462130733245878</c:v>
                </c:pt>
                <c:pt idx="12">
                  <c:v>5.1053466057086299</c:v>
                </c:pt>
                <c:pt idx="13">
                  <c:v>5.2867662929546961</c:v>
                </c:pt>
                <c:pt idx="14">
                  <c:v>5.7428041457511707</c:v>
                </c:pt>
                <c:pt idx="15">
                  <c:v>6.1495534437744723</c:v>
                </c:pt>
                <c:pt idx="16">
                  <c:v>6.0818204033926779</c:v>
                </c:pt>
                <c:pt idx="17">
                  <c:v>6.3212760153926499</c:v>
                </c:pt>
                <c:pt idx="18">
                  <c:v>6.5453161213744275</c:v>
                </c:pt>
                <c:pt idx="19">
                  <c:v>6.6994772964984186</c:v>
                </c:pt>
                <c:pt idx="20">
                  <c:v>6.9257962927566634</c:v>
                </c:pt>
                <c:pt idx="21">
                  <c:v>7.3127113155035666</c:v>
                </c:pt>
                <c:pt idx="22">
                  <c:v>7.5220324302879291</c:v>
                </c:pt>
                <c:pt idx="23">
                  <c:v>7.7790882270071009</c:v>
                </c:pt>
                <c:pt idx="24">
                  <c:v>7.9711347130922068</c:v>
                </c:pt>
                <c:pt idx="25">
                  <c:v>8.3006908518575884</c:v>
                </c:pt>
                <c:pt idx="26">
                  <c:v>8.6122167324676031</c:v>
                </c:pt>
                <c:pt idx="27">
                  <c:v>8.8174583165446965</c:v>
                </c:pt>
                <c:pt idx="28">
                  <c:v>9.1144205466843147</c:v>
                </c:pt>
                <c:pt idx="29">
                  <c:v>9.3681539829628608</c:v>
                </c:pt>
                <c:pt idx="30">
                  <c:v>9.641410934129695</c:v>
                </c:pt>
                <c:pt idx="31">
                  <c:v>9.9486700310379881</c:v>
                </c:pt>
                <c:pt idx="32">
                  <c:v>10.217365581982586</c:v>
                </c:pt>
                <c:pt idx="33">
                  <c:v>10.480957661287841</c:v>
                </c:pt>
                <c:pt idx="34">
                  <c:v>10.734367909257122</c:v>
                </c:pt>
                <c:pt idx="35">
                  <c:v>11.028073272417073</c:v>
                </c:pt>
                <c:pt idx="36">
                  <c:v>11.34110034852775</c:v>
                </c:pt>
                <c:pt idx="37">
                  <c:v>11.775224578394486</c:v>
                </c:pt>
                <c:pt idx="38">
                  <c:v>12.007781785993773</c:v>
                </c:pt>
                <c:pt idx="39">
                  <c:v>12.342976536748557</c:v>
                </c:pt>
                <c:pt idx="40">
                  <c:v>12.687608548440915</c:v>
                </c:pt>
                <c:pt idx="41">
                  <c:v>13.040509332555438</c:v>
                </c:pt>
                <c:pt idx="42">
                  <c:v>13.398697688010607</c:v>
                </c:pt>
                <c:pt idx="43">
                  <c:v>13.767253749334893</c:v>
                </c:pt>
                <c:pt idx="44">
                  <c:v>14.147969846299771</c:v>
                </c:pt>
                <c:pt idx="45">
                  <c:v>14.543434275323554</c:v>
                </c:pt>
                <c:pt idx="46">
                  <c:v>14.950687451723869</c:v>
                </c:pt>
                <c:pt idx="47">
                  <c:v>15.368856684429936</c:v>
                </c:pt>
                <c:pt idx="48">
                  <c:v>15.785177537049925</c:v>
                </c:pt>
                <c:pt idx="49">
                  <c:v>16.222787334981561</c:v>
                </c:pt>
                <c:pt idx="50">
                  <c:v>16.672261875464383</c:v>
                </c:pt>
              </c:numCache>
            </c:numRef>
          </c:yVal>
          <c:smooth val="1"/>
        </c:ser>
        <c:ser>
          <c:idx val="5"/>
          <c:order val="2"/>
          <c:tx>
            <c:strRef>
              <c:f>'Fuel Price Forecasts'!$N$4</c:f>
              <c:strCache>
                <c:ptCount val="1"/>
                <c:pt idx="0">
                  <c:v>CA Average</c:v>
                </c:pt>
              </c:strCache>
            </c:strRef>
          </c:tx>
          <c:spPr>
            <a:ln w="28575">
              <a:solidFill>
                <a:srgbClr val="FF00FF"/>
              </a:solidFill>
              <a:prstDash val="solid"/>
            </a:ln>
          </c:spPr>
          <c:xVal>
            <c:numRef>
              <c:f>'Fuel Price Forecasts'!$F$5:$F$55</c:f>
              <c:numCache>
                <c:formatCode>General</c:formatCode>
                <c:ptCount val="51"/>
                <c:pt idx="0">
                  <c:v>2002</c:v>
                </c:pt>
                <c:pt idx="1">
                  <c:v>2003</c:v>
                </c:pt>
                <c:pt idx="2">
                  <c:v>2004</c:v>
                </c:pt>
                <c:pt idx="3">
                  <c:v>2005</c:v>
                </c:pt>
                <c:pt idx="4">
                  <c:v>2006</c:v>
                </c:pt>
                <c:pt idx="5">
                  <c:v>2007</c:v>
                </c:pt>
                <c:pt idx="6">
                  <c:v>2008</c:v>
                </c:pt>
                <c:pt idx="7">
                  <c:v>2009</c:v>
                </c:pt>
                <c:pt idx="8">
                  <c:v>2010</c:v>
                </c:pt>
                <c:pt idx="9">
                  <c:v>2011</c:v>
                </c:pt>
                <c:pt idx="10">
                  <c:v>2012</c:v>
                </c:pt>
                <c:pt idx="11">
                  <c:v>2013</c:v>
                </c:pt>
                <c:pt idx="12">
                  <c:v>2014</c:v>
                </c:pt>
                <c:pt idx="13">
                  <c:v>2015</c:v>
                </c:pt>
                <c:pt idx="14">
                  <c:v>2016</c:v>
                </c:pt>
                <c:pt idx="15">
                  <c:v>2017</c:v>
                </c:pt>
                <c:pt idx="16">
                  <c:v>2018</c:v>
                </c:pt>
                <c:pt idx="17">
                  <c:v>2019</c:v>
                </c:pt>
                <c:pt idx="18">
                  <c:v>2020</c:v>
                </c:pt>
                <c:pt idx="19">
                  <c:v>2021</c:v>
                </c:pt>
                <c:pt idx="20">
                  <c:v>2022</c:v>
                </c:pt>
                <c:pt idx="21">
                  <c:v>2023</c:v>
                </c:pt>
                <c:pt idx="22">
                  <c:v>2024</c:v>
                </c:pt>
                <c:pt idx="23">
                  <c:v>2025</c:v>
                </c:pt>
                <c:pt idx="24">
                  <c:v>2026</c:v>
                </c:pt>
                <c:pt idx="25">
                  <c:v>2027</c:v>
                </c:pt>
                <c:pt idx="26">
                  <c:v>2028</c:v>
                </c:pt>
                <c:pt idx="27">
                  <c:v>2029</c:v>
                </c:pt>
                <c:pt idx="28">
                  <c:v>2030</c:v>
                </c:pt>
                <c:pt idx="29">
                  <c:v>2031</c:v>
                </c:pt>
                <c:pt idx="30">
                  <c:v>2032</c:v>
                </c:pt>
                <c:pt idx="31">
                  <c:v>2033</c:v>
                </c:pt>
                <c:pt idx="32">
                  <c:v>2034</c:v>
                </c:pt>
                <c:pt idx="33">
                  <c:v>2035</c:v>
                </c:pt>
                <c:pt idx="34">
                  <c:v>2036</c:v>
                </c:pt>
                <c:pt idx="35">
                  <c:v>2037</c:v>
                </c:pt>
                <c:pt idx="36">
                  <c:v>2038</c:v>
                </c:pt>
                <c:pt idx="37">
                  <c:v>2039</c:v>
                </c:pt>
                <c:pt idx="38">
                  <c:v>2040</c:v>
                </c:pt>
                <c:pt idx="39">
                  <c:v>2041</c:v>
                </c:pt>
                <c:pt idx="40">
                  <c:v>2042</c:v>
                </c:pt>
                <c:pt idx="41">
                  <c:v>2043</c:v>
                </c:pt>
                <c:pt idx="42">
                  <c:v>2044</c:v>
                </c:pt>
                <c:pt idx="43">
                  <c:v>2045</c:v>
                </c:pt>
                <c:pt idx="44">
                  <c:v>2046</c:v>
                </c:pt>
                <c:pt idx="45">
                  <c:v>2047</c:v>
                </c:pt>
                <c:pt idx="46">
                  <c:v>2048</c:v>
                </c:pt>
                <c:pt idx="47">
                  <c:v>2049</c:v>
                </c:pt>
                <c:pt idx="48">
                  <c:v>2050</c:v>
                </c:pt>
                <c:pt idx="49">
                  <c:v>2051</c:v>
                </c:pt>
                <c:pt idx="50">
                  <c:v>2052</c:v>
                </c:pt>
              </c:numCache>
            </c:numRef>
          </c:xVal>
          <c:yVal>
            <c:numRef>
              <c:f>'Fuel Price Forecasts'!$O$5:$O$55</c:f>
              <c:numCache>
                <c:formatCode>General</c:formatCode>
                <c:ptCount val="51"/>
                <c:pt idx="4" formatCode="0.00">
                  <c:v>4.899505871665788</c:v>
                </c:pt>
                <c:pt idx="5" formatCode="0.00">
                  <c:v>5.2332073206922969</c:v>
                </c:pt>
                <c:pt idx="6" formatCode="0.00">
                  <c:v>6.8896443359756132</c:v>
                </c:pt>
                <c:pt idx="7" formatCode="0.00">
                  <c:v>3.8008165346172214</c:v>
                </c:pt>
                <c:pt idx="8" formatCode="0.00">
                  <c:v>4.2089239785629875</c:v>
                </c:pt>
                <c:pt idx="9" formatCode="0.00">
                  <c:v>4.1462161746245494</c:v>
                </c:pt>
                <c:pt idx="10" formatCode="0.00">
                  <c:v>3.3197655776194255</c:v>
                </c:pt>
                <c:pt idx="11" formatCode="0.00">
                  <c:v>4.5630380383354501</c:v>
                </c:pt>
                <c:pt idx="12" formatCode="0.00">
                  <c:v>4.812236822972574</c:v>
                </c:pt>
                <c:pt idx="13" formatCode="0.00">
                  <c:v>4.99931710024656</c:v>
                </c:pt>
                <c:pt idx="14" formatCode="0.00">
                  <c:v>5.4514266162406706</c:v>
                </c:pt>
                <c:pt idx="15" formatCode="0.00">
                  <c:v>5.873842290087893</c:v>
                </c:pt>
                <c:pt idx="16" formatCode="0.00">
                  <c:v>5.7938511165555289</c:v>
                </c:pt>
                <c:pt idx="17" formatCode="0.00">
                  <c:v>6.0214554203769772</c:v>
                </c:pt>
                <c:pt idx="18" formatCode="0.00">
                  <c:v>6.2364795922505163</c:v>
                </c:pt>
                <c:pt idx="19" formatCode="0.00">
                  <c:v>6.382580680788597</c:v>
                </c:pt>
                <c:pt idx="20" formatCode="0.00">
                  <c:v>6.6019298225578211</c:v>
                </c:pt>
                <c:pt idx="21" formatCode="0.00">
                  <c:v>6.9838711233313333</c:v>
                </c:pt>
                <c:pt idx="22" formatCode="0.00">
                  <c:v>7.1899229380394152</c:v>
                </c:pt>
                <c:pt idx="23" formatCode="0.00">
                  <c:v>7.4432130187163263</c:v>
                </c:pt>
                <c:pt idx="24" formatCode="0.00">
                  <c:v>7.6295896446804594</c:v>
                </c:pt>
                <c:pt idx="25" formatCode="0.00">
                  <c:v>7.9531673877287918</c:v>
                </c:pt>
                <c:pt idx="26" formatCode="0.00">
                  <c:v>8.2578824915831994</c:v>
                </c:pt>
                <c:pt idx="27" formatCode="0.00">
                  <c:v>8.4565981280292881</c:v>
                </c:pt>
                <c:pt idx="28" formatCode="0.00">
                  <c:v>8.7467902561554318</c:v>
                </c:pt>
                <c:pt idx="29" formatCode="0.00">
                  <c:v>8.9927761636510439</c:v>
                </c:pt>
                <c:pt idx="30" formatCode="0.00">
                  <c:v>9.2586327600257903</c:v>
                </c:pt>
                <c:pt idx="31" formatCode="0.00">
                  <c:v>9.5594865066080388</c:v>
                </c:pt>
                <c:pt idx="32" formatCode="0.00">
                  <c:v>9.8216637529842021</c:v>
                </c:pt>
                <c:pt idx="33" formatCode="0.00">
                  <c:v>10.080166098513404</c:v>
                </c:pt>
                <c:pt idx="34" formatCode="0.00">
                  <c:v>10.326834815873069</c:v>
                </c:pt>
                <c:pt idx="35" formatCode="0.00">
                  <c:v>10.612991534267678</c:v>
                </c:pt>
                <c:pt idx="36" formatCode="0.00">
                  <c:v>10.917353195987152</c:v>
                </c:pt>
                <c:pt idx="37" formatCode="0.00">
                  <c:v>11.32984566586963</c:v>
                </c:pt>
                <c:pt idx="38" formatCode="0.00">
                  <c:v>11.53353003387701</c:v>
                </c:pt>
                <c:pt idx="39" formatCode="0.00">
                  <c:v>11.776576904240095</c:v>
                </c:pt>
                <c:pt idx="40" formatCode="0.00">
                  <c:v>12.019623774603179</c:v>
                </c:pt>
                <c:pt idx="41" formatCode="0.00">
                  <c:v>12.262670644966263</c:v>
                </c:pt>
                <c:pt idx="42" formatCode="0.00">
                  <c:v>12.505717515329348</c:v>
                </c:pt>
                <c:pt idx="43" formatCode="0.00">
                  <c:v>12.748764385692429</c:v>
                </c:pt>
                <c:pt idx="44" formatCode="0.00">
                  <c:v>13.015669107072139</c:v>
                </c:pt>
                <c:pt idx="45" formatCode="0.00">
                  <c:v>13.282573828451849</c:v>
                </c:pt>
                <c:pt idx="46" formatCode="0.00">
                  <c:v>13.549478549831559</c:v>
                </c:pt>
                <c:pt idx="47" formatCode="0.00">
                  <c:v>13.816383271211269</c:v>
                </c:pt>
                <c:pt idx="48" formatCode="0.00">
                  <c:v>14.083287992590979</c:v>
                </c:pt>
                <c:pt idx="49" formatCode="0.00">
                  <c:v>14.57511502972871</c:v>
                </c:pt>
                <c:pt idx="50" formatCode="0.00">
                  <c:v>15.066942066866442</c:v>
                </c:pt>
              </c:numCache>
            </c:numRef>
          </c:yVal>
          <c:smooth val="1"/>
        </c:ser>
        <c:ser>
          <c:idx val="2"/>
          <c:order val="3"/>
          <c:tx>
            <c:v>PG&amp;E SMUD</c:v>
          </c:tx>
          <c:spPr>
            <a:ln w="22225">
              <a:solidFill>
                <a:schemeClr val="tx1"/>
              </a:solidFill>
              <a:prstDash val="solid"/>
            </a:ln>
          </c:spPr>
          <c:marker>
            <c:symbol val="triangle"/>
            <c:size val="5"/>
            <c:spPr>
              <a:solidFill>
                <a:srgbClr val="FFFF00"/>
              </a:solidFill>
              <a:ln>
                <a:solidFill>
                  <a:srgbClr val="FFFF00"/>
                </a:solidFill>
                <a:prstDash val="solid"/>
              </a:ln>
            </c:spPr>
          </c:marker>
          <c:xVal>
            <c:numRef>
              <c:f>'Fuel Price Forecasts'!$F$5:$F$55</c:f>
              <c:numCache>
                <c:formatCode>General</c:formatCode>
                <c:ptCount val="51"/>
                <c:pt idx="0">
                  <c:v>2002</c:v>
                </c:pt>
                <c:pt idx="1">
                  <c:v>2003</c:v>
                </c:pt>
                <c:pt idx="2">
                  <c:v>2004</c:v>
                </c:pt>
                <c:pt idx="3">
                  <c:v>2005</c:v>
                </c:pt>
                <c:pt idx="4">
                  <c:v>2006</c:v>
                </c:pt>
                <c:pt idx="5">
                  <c:v>2007</c:v>
                </c:pt>
                <c:pt idx="6">
                  <c:v>2008</c:v>
                </c:pt>
                <c:pt idx="7">
                  <c:v>2009</c:v>
                </c:pt>
                <c:pt idx="8">
                  <c:v>2010</c:v>
                </c:pt>
                <c:pt idx="9">
                  <c:v>2011</c:v>
                </c:pt>
                <c:pt idx="10">
                  <c:v>2012</c:v>
                </c:pt>
                <c:pt idx="11">
                  <c:v>2013</c:v>
                </c:pt>
                <c:pt idx="12">
                  <c:v>2014</c:v>
                </c:pt>
                <c:pt idx="13">
                  <c:v>2015</c:v>
                </c:pt>
                <c:pt idx="14">
                  <c:v>2016</c:v>
                </c:pt>
                <c:pt idx="15">
                  <c:v>2017</c:v>
                </c:pt>
                <c:pt idx="16">
                  <c:v>2018</c:v>
                </c:pt>
                <c:pt idx="17">
                  <c:v>2019</c:v>
                </c:pt>
                <c:pt idx="18">
                  <c:v>2020</c:v>
                </c:pt>
                <c:pt idx="19">
                  <c:v>2021</c:v>
                </c:pt>
                <c:pt idx="20">
                  <c:v>2022</c:v>
                </c:pt>
                <c:pt idx="21">
                  <c:v>2023</c:v>
                </c:pt>
                <c:pt idx="22">
                  <c:v>2024</c:v>
                </c:pt>
                <c:pt idx="23">
                  <c:v>2025</c:v>
                </c:pt>
                <c:pt idx="24">
                  <c:v>2026</c:v>
                </c:pt>
                <c:pt idx="25">
                  <c:v>2027</c:v>
                </c:pt>
                <c:pt idx="26">
                  <c:v>2028</c:v>
                </c:pt>
                <c:pt idx="27">
                  <c:v>2029</c:v>
                </c:pt>
                <c:pt idx="28">
                  <c:v>2030</c:v>
                </c:pt>
                <c:pt idx="29">
                  <c:v>2031</c:v>
                </c:pt>
                <c:pt idx="30">
                  <c:v>2032</c:v>
                </c:pt>
                <c:pt idx="31">
                  <c:v>2033</c:v>
                </c:pt>
                <c:pt idx="32">
                  <c:v>2034</c:v>
                </c:pt>
                <c:pt idx="33">
                  <c:v>2035</c:v>
                </c:pt>
                <c:pt idx="34">
                  <c:v>2036</c:v>
                </c:pt>
                <c:pt idx="35">
                  <c:v>2037</c:v>
                </c:pt>
                <c:pt idx="36">
                  <c:v>2038</c:v>
                </c:pt>
                <c:pt idx="37">
                  <c:v>2039</c:v>
                </c:pt>
                <c:pt idx="38">
                  <c:v>2040</c:v>
                </c:pt>
                <c:pt idx="39">
                  <c:v>2041</c:v>
                </c:pt>
                <c:pt idx="40">
                  <c:v>2042</c:v>
                </c:pt>
                <c:pt idx="41">
                  <c:v>2043</c:v>
                </c:pt>
                <c:pt idx="42">
                  <c:v>2044</c:v>
                </c:pt>
                <c:pt idx="43">
                  <c:v>2045</c:v>
                </c:pt>
                <c:pt idx="44">
                  <c:v>2046</c:v>
                </c:pt>
                <c:pt idx="45">
                  <c:v>2047</c:v>
                </c:pt>
                <c:pt idx="46">
                  <c:v>2048</c:v>
                </c:pt>
                <c:pt idx="47">
                  <c:v>2049</c:v>
                </c:pt>
                <c:pt idx="48">
                  <c:v>2050</c:v>
                </c:pt>
                <c:pt idx="49">
                  <c:v>2051</c:v>
                </c:pt>
                <c:pt idx="50">
                  <c:v>2052</c:v>
                </c:pt>
              </c:numCache>
            </c:numRef>
          </c:xVal>
          <c:yVal>
            <c:numRef>
              <c:f>'Fuel Price Forecasts'!$H$5:$H$55</c:f>
              <c:numCache>
                <c:formatCode>0.00</c:formatCode>
                <c:ptCount val="51"/>
                <c:pt idx="4">
                  <c:v>4.5916531055075254</c:v>
                </c:pt>
                <c:pt idx="5">
                  <c:v>4.9250520883064448</c:v>
                </c:pt>
                <c:pt idx="6">
                  <c:v>7.3239547744154088</c:v>
                </c:pt>
                <c:pt idx="7">
                  <c:v>3.4692044756863472</c:v>
                </c:pt>
                <c:pt idx="8">
                  <c:v>3.8894817004083069</c:v>
                </c:pt>
                <c:pt idx="9">
                  <c:v>3.8123730683490438</c:v>
                </c:pt>
                <c:pt idx="10">
                  <c:v>2.9702181712051612</c:v>
                </c:pt>
                <c:pt idx="11">
                  <c:v>4.1689816447280892</c:v>
                </c:pt>
                <c:pt idx="12">
                  <c:v>4.4106049227593491</c:v>
                </c:pt>
                <c:pt idx="13">
                  <c:v>4.6027106923619927</c:v>
                </c:pt>
                <c:pt idx="14">
                  <c:v>5.0532384898545679</c:v>
                </c:pt>
                <c:pt idx="15">
                  <c:v>5.4342902866484906</c:v>
                </c:pt>
                <c:pt idx="16">
                  <c:v>5.3353976861696317</c:v>
                </c:pt>
                <c:pt idx="17">
                  <c:v>5.543338052130534</c:v>
                </c:pt>
                <c:pt idx="18">
                  <c:v>5.743320450225692</c:v>
                </c:pt>
                <c:pt idx="19">
                  <c:v>5.8762435308289946</c:v>
                </c:pt>
                <c:pt idx="20">
                  <c:v>6.0838439154405908</c:v>
                </c:pt>
                <c:pt idx="21">
                  <c:v>6.4565312063437963</c:v>
                </c:pt>
                <c:pt idx="22">
                  <c:v>6.6568857894681743</c:v>
                </c:pt>
                <c:pt idx="23">
                  <c:v>6.9034709787720816</c:v>
                </c:pt>
                <c:pt idx="24">
                  <c:v>7.080384904359879</c:v>
                </c:pt>
                <c:pt idx="25">
                  <c:v>7.3933847836327793</c:v>
                </c:pt>
                <c:pt idx="26">
                  <c:v>7.6862758696404487</c:v>
                </c:pt>
                <c:pt idx="27">
                  <c:v>7.8741189525035074</c:v>
                </c:pt>
                <c:pt idx="28">
                  <c:v>8.1526336444504128</c:v>
                </c:pt>
                <c:pt idx="29">
                  <c:v>8.3855791231262771</c:v>
                </c:pt>
                <c:pt idx="30">
                  <c:v>8.6388732228599103</c:v>
                </c:pt>
                <c:pt idx="31">
                  <c:v>8.9286168973987614</c:v>
                </c:pt>
                <c:pt idx="32">
                  <c:v>9.1796880098056661</c:v>
                </c:pt>
                <c:pt idx="33">
                  <c:v>9.4294106564006839</c:v>
                </c:pt>
                <c:pt idx="34">
                  <c:v>9.6647004873287159</c:v>
                </c:pt>
                <c:pt idx="35">
                  <c:v>9.9380055129639757</c:v>
                </c:pt>
                <c:pt idx="36">
                  <c:v>10.227641730081677</c:v>
                </c:pt>
                <c:pt idx="37">
                  <c:v>10.604034395010382</c:v>
                </c:pt>
                <c:pt idx="38">
                  <c:v>10.760918649686925</c:v>
                </c:pt>
                <c:pt idx="39">
                  <c:v>11.062236832497232</c:v>
                </c:pt>
                <c:pt idx="40">
                  <c:v>11.37145366860741</c:v>
                </c:pt>
                <c:pt idx="41">
                  <c:v>11.687130894310343</c:v>
                </c:pt>
                <c:pt idx="42">
                  <c:v>12.005804054312971</c:v>
                </c:pt>
                <c:pt idx="43">
                  <c:v>12.332286838683686</c:v>
                </c:pt>
                <c:pt idx="44">
                  <c:v>12.66763722194808</c:v>
                </c:pt>
                <c:pt idx="45">
                  <c:v>13.014546949279728</c:v>
                </c:pt>
                <c:pt idx="46">
                  <c:v>13.369959748521435</c:v>
                </c:pt>
                <c:pt idx="47">
                  <c:v>13.73297128799179</c:v>
                </c:pt>
                <c:pt idx="48">
                  <c:v>14.094436993169126</c:v>
                </c:pt>
                <c:pt idx="49">
                  <c:v>14.479536661190949</c:v>
                </c:pt>
                <c:pt idx="50">
                  <c:v>14.874315058656221</c:v>
                </c:pt>
              </c:numCache>
            </c:numRef>
          </c:yVal>
          <c:smooth val="1"/>
        </c:ser>
        <c:dLbls>
          <c:showLegendKey val="0"/>
          <c:showVal val="0"/>
          <c:showCatName val="0"/>
          <c:showSerName val="0"/>
          <c:showPercent val="0"/>
          <c:showBubbleSize val="0"/>
        </c:dLbls>
        <c:axId val="302720128"/>
        <c:axId val="302722048"/>
      </c:scatterChart>
      <c:valAx>
        <c:axId val="302720128"/>
        <c:scaling>
          <c:orientation val="minMax"/>
          <c:max val="2052"/>
          <c:min val="2010"/>
        </c:scaling>
        <c:delete val="0"/>
        <c:axPos val="b"/>
        <c:numFmt formatCode="General" sourceLinked="1"/>
        <c:majorTickMark val="out"/>
        <c:minorTickMark val="out"/>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302722048"/>
        <c:crosses val="autoZero"/>
        <c:crossBetween val="midCat"/>
        <c:majorUnit val="2"/>
        <c:minorUnit val="1"/>
      </c:valAx>
      <c:valAx>
        <c:axId val="302722048"/>
        <c:scaling>
          <c:orientation val="minMax"/>
          <c:max val="15"/>
        </c:scaling>
        <c:delete val="0"/>
        <c:axPos val="l"/>
        <c:majorGridlines>
          <c:spPr>
            <a:ln w="3175">
              <a:solidFill>
                <a:srgbClr val="000000"/>
              </a:solidFill>
              <a:prstDash val="solid"/>
            </a:ln>
          </c:spPr>
        </c:majorGridlines>
        <c:title>
          <c:tx>
            <c:rich>
              <a:bodyPr/>
              <a:lstStyle/>
              <a:p>
                <a:pPr>
                  <a:defRPr sz="2000" b="1" i="0" u="none" strike="noStrike" baseline="0">
                    <a:solidFill>
                      <a:srgbClr val="000000"/>
                    </a:solidFill>
                    <a:latin typeface="Arial"/>
                    <a:ea typeface="Arial"/>
                    <a:cs typeface="Arial"/>
                  </a:defRPr>
                </a:pPr>
                <a:r>
                  <a:rPr lang="en-US" sz="2000"/>
                  <a:t>Gas Prices (Nominal $/mmBtu)</a:t>
                </a:r>
              </a:p>
            </c:rich>
          </c:tx>
          <c:layout>
            <c:manualLayout>
              <c:xMode val="edge"/>
              <c:yMode val="edge"/>
              <c:x val="4.5752250293866814E-2"/>
              <c:y val="0.24476739544633047"/>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000000"/>
                </a:solidFill>
                <a:latin typeface="Arial"/>
                <a:ea typeface="Arial"/>
                <a:cs typeface="Arial"/>
              </a:defRPr>
            </a:pPr>
            <a:endParaRPr lang="en-US"/>
          </a:p>
        </c:txPr>
        <c:crossAx val="302720128"/>
        <c:crosses val="autoZero"/>
        <c:crossBetween val="midCat"/>
        <c:majorUnit val="5"/>
      </c:valAx>
      <c:spPr>
        <a:solidFill>
          <a:srgbClr val="C0C0C0"/>
        </a:solidFill>
        <a:ln w="12700">
          <a:solidFill>
            <a:srgbClr val="808080"/>
          </a:solidFill>
          <a:prstDash val="solid"/>
        </a:ln>
      </c:spPr>
    </c:plotArea>
    <c:legend>
      <c:legendPos val="r"/>
      <c:layout>
        <c:manualLayout>
          <c:xMode val="edge"/>
          <c:yMode val="edge"/>
          <c:x val="0.67312551030064571"/>
          <c:y val="0.54113699689189454"/>
          <c:w val="0.23820044783808147"/>
          <c:h val="0.27958368613500001"/>
        </c:manualLayout>
      </c:layout>
      <c:overlay val="0"/>
      <c:spPr>
        <a:solidFill>
          <a:srgbClr val="FFFFFF"/>
        </a:solidFill>
        <a:ln w="3175">
          <a:solidFill>
            <a:srgbClr val="000000"/>
          </a:solidFill>
          <a:prstDash val="solid"/>
        </a:ln>
      </c:spPr>
      <c:txPr>
        <a:bodyPr/>
        <a:lstStyle/>
        <a:p>
          <a:pPr>
            <a:defRPr sz="1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3200">
                <a:latin typeface="Arial" pitchFamily="34" charset="0"/>
                <a:cs typeface="Arial" pitchFamily="34" charset="0"/>
              </a:defRPr>
            </a:pPr>
            <a:r>
              <a:rPr lang="en-US" sz="3200">
                <a:latin typeface="Arial" pitchFamily="34" charset="0"/>
                <a:cs typeface="Arial" pitchFamily="34" charset="0"/>
              </a:rPr>
              <a:t>2013 Gas Price Forecast</a:t>
            </a:r>
          </a:p>
        </c:rich>
      </c:tx>
      <c:overlay val="0"/>
    </c:title>
    <c:autoTitleDeleted val="0"/>
    <c:plotArea>
      <c:layout>
        <c:manualLayout>
          <c:layoutTarget val="inner"/>
          <c:xMode val="edge"/>
          <c:yMode val="edge"/>
          <c:x val="0.12935656625195377"/>
          <c:y val="8.9207673442359164E-2"/>
          <c:w val="0.8211866244007987"/>
          <c:h val="0.80866980065550886"/>
        </c:manualLayout>
      </c:layout>
      <c:scatterChart>
        <c:scatterStyle val="smoothMarker"/>
        <c:varyColors val="0"/>
        <c:ser>
          <c:idx val="3"/>
          <c:order val="0"/>
          <c:tx>
            <c:strRef>
              <c:f>'Fuel Price Forecasts'!$C$101:$D$101</c:f>
              <c:strCache>
                <c:ptCount val="1"/>
                <c:pt idx="0">
                  <c:v>High Gas Price Case</c:v>
                </c:pt>
              </c:strCache>
            </c:strRef>
          </c:tx>
          <c:spPr>
            <a:ln w="38100">
              <a:solidFill>
                <a:schemeClr val="accent2"/>
              </a:solidFill>
            </a:ln>
          </c:spPr>
          <c:marker>
            <c:symbol val="triangle"/>
            <c:size val="8"/>
            <c:spPr>
              <a:solidFill>
                <a:schemeClr val="accent2"/>
              </a:solidFill>
            </c:spPr>
          </c:marker>
          <c:xVal>
            <c:numRef>
              <c:f>'Fuel Price Forecasts'!$F$99:$BV$99</c:f>
              <c:numCache>
                <c:formatCode>General</c:formatCode>
                <c:ptCount val="69"/>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pt idx="13">
                  <c:v>2019</c:v>
                </c:pt>
                <c:pt idx="14">
                  <c:v>2020</c:v>
                </c:pt>
                <c:pt idx="15">
                  <c:v>2021</c:v>
                </c:pt>
                <c:pt idx="16">
                  <c:v>2022</c:v>
                </c:pt>
                <c:pt idx="17">
                  <c:v>2023</c:v>
                </c:pt>
                <c:pt idx="18">
                  <c:v>2024</c:v>
                </c:pt>
                <c:pt idx="19">
                  <c:v>2025</c:v>
                </c:pt>
                <c:pt idx="20">
                  <c:v>2026</c:v>
                </c:pt>
                <c:pt idx="21">
                  <c:v>2027</c:v>
                </c:pt>
                <c:pt idx="22">
                  <c:v>2028</c:v>
                </c:pt>
                <c:pt idx="23">
                  <c:v>2029</c:v>
                </c:pt>
                <c:pt idx="24">
                  <c:v>2030</c:v>
                </c:pt>
                <c:pt idx="25">
                  <c:v>2031</c:v>
                </c:pt>
                <c:pt idx="26">
                  <c:v>2032</c:v>
                </c:pt>
                <c:pt idx="27">
                  <c:v>2033</c:v>
                </c:pt>
                <c:pt idx="28">
                  <c:v>2034</c:v>
                </c:pt>
                <c:pt idx="29">
                  <c:v>2035</c:v>
                </c:pt>
                <c:pt idx="30">
                  <c:v>2036</c:v>
                </c:pt>
                <c:pt idx="31">
                  <c:v>2037</c:v>
                </c:pt>
                <c:pt idx="32">
                  <c:v>2038</c:v>
                </c:pt>
                <c:pt idx="33">
                  <c:v>2039</c:v>
                </c:pt>
                <c:pt idx="34">
                  <c:v>2040</c:v>
                </c:pt>
                <c:pt idx="35">
                  <c:v>2041</c:v>
                </c:pt>
                <c:pt idx="36">
                  <c:v>2042</c:v>
                </c:pt>
                <c:pt idx="37">
                  <c:v>2043</c:v>
                </c:pt>
                <c:pt idx="38">
                  <c:v>2044</c:v>
                </c:pt>
                <c:pt idx="39">
                  <c:v>2045</c:v>
                </c:pt>
                <c:pt idx="40">
                  <c:v>2046</c:v>
                </c:pt>
                <c:pt idx="41">
                  <c:v>2047</c:v>
                </c:pt>
                <c:pt idx="42">
                  <c:v>2048</c:v>
                </c:pt>
                <c:pt idx="43">
                  <c:v>2049</c:v>
                </c:pt>
                <c:pt idx="44">
                  <c:v>2050</c:v>
                </c:pt>
                <c:pt idx="45">
                  <c:v>2051</c:v>
                </c:pt>
                <c:pt idx="46">
                  <c:v>2052</c:v>
                </c:pt>
                <c:pt idx="47">
                  <c:v>2053</c:v>
                </c:pt>
                <c:pt idx="48">
                  <c:v>2054</c:v>
                </c:pt>
                <c:pt idx="49">
                  <c:v>2055</c:v>
                </c:pt>
                <c:pt idx="50">
                  <c:v>2056</c:v>
                </c:pt>
                <c:pt idx="51">
                  <c:v>2057</c:v>
                </c:pt>
                <c:pt idx="52">
                  <c:v>2058</c:v>
                </c:pt>
                <c:pt idx="53">
                  <c:v>2059</c:v>
                </c:pt>
                <c:pt idx="54">
                  <c:v>2060</c:v>
                </c:pt>
                <c:pt idx="55">
                  <c:v>2061</c:v>
                </c:pt>
                <c:pt idx="56">
                  <c:v>2062</c:v>
                </c:pt>
                <c:pt idx="57">
                  <c:v>2063</c:v>
                </c:pt>
                <c:pt idx="58">
                  <c:v>2064</c:v>
                </c:pt>
                <c:pt idx="59">
                  <c:v>2065</c:v>
                </c:pt>
                <c:pt idx="60">
                  <c:v>2066</c:v>
                </c:pt>
                <c:pt idx="61">
                  <c:v>2067</c:v>
                </c:pt>
                <c:pt idx="62">
                  <c:v>2068</c:v>
                </c:pt>
                <c:pt idx="63">
                  <c:v>2069</c:v>
                </c:pt>
                <c:pt idx="64">
                  <c:v>2070</c:v>
                </c:pt>
                <c:pt idx="65">
                  <c:v>2071</c:v>
                </c:pt>
                <c:pt idx="66">
                  <c:v>2072</c:v>
                </c:pt>
                <c:pt idx="67">
                  <c:v>2073</c:v>
                </c:pt>
                <c:pt idx="68">
                  <c:v>2074</c:v>
                </c:pt>
              </c:numCache>
            </c:numRef>
          </c:xVal>
          <c:yVal>
            <c:numRef>
              <c:f>'Fuel Price Forecasts'!$F$101:$BV$101</c:f>
              <c:numCache>
                <c:formatCode>_(* #,##0.00_);_(* \(#,##0.00\);_(* "-"??_);_(@_)</c:formatCode>
                <c:ptCount val="69"/>
                <c:pt idx="0">
                  <c:v>6.6689376511407188</c:v>
                </c:pt>
                <c:pt idx="1">
                  <c:v>7.0748370537672551</c:v>
                </c:pt>
                <c:pt idx="2">
                  <c:v>9.253855043988084</c:v>
                </c:pt>
                <c:pt idx="3">
                  <c:v>5.2900662411467305</c:v>
                </c:pt>
                <c:pt idx="4">
                  <c:v>5.9540120847799125</c:v>
                </c:pt>
                <c:pt idx="5">
                  <c:v>5.9407657504371745</c:v>
                </c:pt>
                <c:pt idx="6">
                  <c:v>4.8071467954733285</c:v>
                </c:pt>
                <c:pt idx="7">
                  <c:v>6.6673400692022877</c:v>
                </c:pt>
                <c:pt idx="8">
                  <c:v>7.0871027398730275</c:v>
                </c:pt>
                <c:pt idx="9">
                  <c:v>7.4143737568759827</c:v>
                </c:pt>
                <c:pt idx="10">
                  <c:v>8.1360450554176715</c:v>
                </c:pt>
                <c:pt idx="11">
                  <c:v>8.8169525713980121</c:v>
                </c:pt>
                <c:pt idx="12">
                  <c:v>8.7428311890667025</c:v>
                </c:pt>
                <c:pt idx="13">
                  <c:v>9.1306604371725779</c:v>
                </c:pt>
                <c:pt idx="14">
                  <c:v>9.4996701086768649</c:v>
                </c:pt>
                <c:pt idx="15">
                  <c:v>9.7635067351363727</c:v>
                </c:pt>
                <c:pt idx="16">
                  <c:v>10.139328205099744</c:v>
                </c:pt>
                <c:pt idx="17">
                  <c:v>10.766256131528156</c:v>
                </c:pt>
                <c:pt idx="18">
                  <c:v>11.123343722396418</c:v>
                </c:pt>
                <c:pt idx="19">
                  <c:v>11.554092344467906</c:v>
                </c:pt>
                <c:pt idx="20">
                  <c:v>11.881472965986489</c:v>
                </c:pt>
                <c:pt idx="21">
                  <c:v>12.423360699477938</c:v>
                </c:pt>
                <c:pt idx="22">
                  <c:v>12.937175348751921</c:v>
                </c:pt>
                <c:pt idx="23">
                  <c:v>13.285723175683701</c:v>
                </c:pt>
                <c:pt idx="24">
                  <c:v>13.778701628403663</c:v>
                </c:pt>
                <c:pt idx="25" formatCode="0.00">
                  <c:v>14.212537596691062</c:v>
                </c:pt>
                <c:pt idx="26">
                  <c:v>14.679432677613544</c:v>
                </c:pt>
                <c:pt idx="27">
                  <c:v>15.204803197544878</c:v>
                </c:pt>
                <c:pt idx="28">
                  <c:v>15.671050772398567</c:v>
                </c:pt>
                <c:pt idx="29">
                  <c:v>16.133935335450509</c:v>
                </c:pt>
                <c:pt idx="30">
                  <c:v>16.579409532376651</c:v>
                </c:pt>
                <c:pt idx="31">
                  <c:v>17.091040812448199</c:v>
                </c:pt>
                <c:pt idx="32">
                  <c:v>17.634884131680288</c:v>
                </c:pt>
                <c:pt idx="33">
                  <c:v>18.3570617825605</c:v>
                </c:pt>
                <c:pt idx="34">
                  <c:v>18.744637938304788</c:v>
                </c:pt>
                <c:pt idx="35">
                  <c:v>19.199335875360632</c:v>
                </c:pt>
                <c:pt idx="36">
                  <c:v>19.656504388746356</c:v>
                </c:pt>
                <c:pt idx="37">
                  <c:v>20.116260183872313</c:v>
                </c:pt>
                <c:pt idx="38">
                  <c:v>20.578513490337027</c:v>
                </c:pt>
                <c:pt idx="39">
                  <c:v>21.043303202569899</c:v>
                </c:pt>
                <c:pt idx="40">
                  <c:v>21.550118898274199</c:v>
                </c:pt>
                <c:pt idx="41">
                  <c:v>22.0599026649015</c:v>
                </c:pt>
                <c:pt idx="42">
                  <c:v>22.572654756664857</c:v>
                </c:pt>
                <c:pt idx="43">
                  <c:v>23.088429248507026</c:v>
                </c:pt>
                <c:pt idx="44">
                  <c:v>23.60727546153613</c:v>
                </c:pt>
                <c:pt idx="45">
                  <c:v>24.507352321955405</c:v>
                </c:pt>
                <c:pt idx="46">
                  <c:v>25.412733553900882</c:v>
                </c:pt>
                <c:pt idx="47">
                  <c:v>26.323449110488255</c:v>
                </c:pt>
                <c:pt idx="48">
                  <c:v>27.239517059367337</c:v>
                </c:pt>
                <c:pt idx="49">
                  <c:v>28.160975657752889</c:v>
                </c:pt>
                <c:pt idx="50">
                  <c:v>29.186882436654816</c:v>
                </c:pt>
                <c:pt idx="51">
                  <c:v>30.218881157002425</c:v>
                </c:pt>
                <c:pt idx="52">
                  <c:v>31.256997555258444</c:v>
                </c:pt>
                <c:pt idx="53">
                  <c:v>32.301260915077698</c:v>
                </c:pt>
                <c:pt idx="54">
                  <c:v>33.351694008251791</c:v>
                </c:pt>
                <c:pt idx="55">
                  <c:v>34.452671667940479</c:v>
                </c:pt>
                <c:pt idx="56">
                  <c:v>35.56012852420379</c:v>
                </c:pt>
                <c:pt idx="57">
                  <c:v>36.674096651028691</c:v>
                </c:pt>
                <c:pt idx="58">
                  <c:v>37.794608485878783</c:v>
                </c:pt>
                <c:pt idx="59">
                  <c:v>38.921698554740949</c:v>
                </c:pt>
                <c:pt idx="60">
                  <c:v>40.437971201109264</c:v>
                </c:pt>
                <c:pt idx="61">
                  <c:v>41.963253480516997</c:v>
                </c:pt>
                <c:pt idx="62">
                  <c:v>43.49758505402513</c:v>
                </c:pt>
                <c:pt idx="63">
                  <c:v>45.041005821423397</c:v>
                </c:pt>
                <c:pt idx="64">
                  <c:v>46.593555261651225</c:v>
                </c:pt>
                <c:pt idx="65">
                  <c:v>48.184975966329873</c:v>
                </c:pt>
                <c:pt idx="66">
                  <c:v>49.835338627983205</c:v>
                </c:pt>
                <c:pt idx="67">
                  <c:v>51.550948275906407</c:v>
                </c:pt>
                <c:pt idx="68">
                  <c:v>53.338863829710043</c:v>
                </c:pt>
              </c:numCache>
            </c:numRef>
          </c:yVal>
          <c:smooth val="1"/>
        </c:ser>
        <c:ser>
          <c:idx val="0"/>
          <c:order val="1"/>
          <c:tx>
            <c:strRef>
              <c:f>'Fuel Price Forecasts'!$C$100:$D$100</c:f>
              <c:strCache>
                <c:ptCount val="1"/>
                <c:pt idx="0">
                  <c:v>Reference Case</c:v>
                </c:pt>
              </c:strCache>
            </c:strRef>
          </c:tx>
          <c:spPr>
            <a:ln w="38100">
              <a:solidFill>
                <a:schemeClr val="accent2"/>
              </a:solidFill>
            </a:ln>
          </c:spPr>
          <c:marker>
            <c:symbol val="circle"/>
            <c:size val="8"/>
            <c:spPr>
              <a:solidFill>
                <a:schemeClr val="accent2"/>
              </a:solidFill>
              <a:ln>
                <a:solidFill>
                  <a:schemeClr val="tx1"/>
                </a:solidFill>
              </a:ln>
            </c:spPr>
          </c:marker>
          <c:xVal>
            <c:numRef>
              <c:f>'Fuel Price Forecasts'!$F$99:$BV$99</c:f>
              <c:numCache>
                <c:formatCode>General</c:formatCode>
                <c:ptCount val="69"/>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pt idx="13">
                  <c:v>2019</c:v>
                </c:pt>
                <c:pt idx="14">
                  <c:v>2020</c:v>
                </c:pt>
                <c:pt idx="15">
                  <c:v>2021</c:v>
                </c:pt>
                <c:pt idx="16">
                  <c:v>2022</c:v>
                </c:pt>
                <c:pt idx="17">
                  <c:v>2023</c:v>
                </c:pt>
                <c:pt idx="18">
                  <c:v>2024</c:v>
                </c:pt>
                <c:pt idx="19">
                  <c:v>2025</c:v>
                </c:pt>
                <c:pt idx="20">
                  <c:v>2026</c:v>
                </c:pt>
                <c:pt idx="21">
                  <c:v>2027</c:v>
                </c:pt>
                <c:pt idx="22">
                  <c:v>2028</c:v>
                </c:pt>
                <c:pt idx="23">
                  <c:v>2029</c:v>
                </c:pt>
                <c:pt idx="24">
                  <c:v>2030</c:v>
                </c:pt>
                <c:pt idx="25">
                  <c:v>2031</c:v>
                </c:pt>
                <c:pt idx="26">
                  <c:v>2032</c:v>
                </c:pt>
                <c:pt idx="27">
                  <c:v>2033</c:v>
                </c:pt>
                <c:pt idx="28">
                  <c:v>2034</c:v>
                </c:pt>
                <c:pt idx="29">
                  <c:v>2035</c:v>
                </c:pt>
                <c:pt idx="30">
                  <c:v>2036</c:v>
                </c:pt>
                <c:pt idx="31">
                  <c:v>2037</c:v>
                </c:pt>
                <c:pt idx="32">
                  <c:v>2038</c:v>
                </c:pt>
                <c:pt idx="33">
                  <c:v>2039</c:v>
                </c:pt>
                <c:pt idx="34">
                  <c:v>2040</c:v>
                </c:pt>
                <c:pt idx="35">
                  <c:v>2041</c:v>
                </c:pt>
                <c:pt idx="36">
                  <c:v>2042</c:v>
                </c:pt>
                <c:pt idx="37">
                  <c:v>2043</c:v>
                </c:pt>
                <c:pt idx="38">
                  <c:v>2044</c:v>
                </c:pt>
                <c:pt idx="39">
                  <c:v>2045</c:v>
                </c:pt>
                <c:pt idx="40">
                  <c:v>2046</c:v>
                </c:pt>
                <c:pt idx="41">
                  <c:v>2047</c:v>
                </c:pt>
                <c:pt idx="42">
                  <c:v>2048</c:v>
                </c:pt>
                <c:pt idx="43">
                  <c:v>2049</c:v>
                </c:pt>
                <c:pt idx="44">
                  <c:v>2050</c:v>
                </c:pt>
                <c:pt idx="45">
                  <c:v>2051</c:v>
                </c:pt>
                <c:pt idx="46">
                  <c:v>2052</c:v>
                </c:pt>
                <c:pt idx="47">
                  <c:v>2053</c:v>
                </c:pt>
                <c:pt idx="48">
                  <c:v>2054</c:v>
                </c:pt>
                <c:pt idx="49">
                  <c:v>2055</c:v>
                </c:pt>
                <c:pt idx="50">
                  <c:v>2056</c:v>
                </c:pt>
                <c:pt idx="51">
                  <c:v>2057</c:v>
                </c:pt>
                <c:pt idx="52">
                  <c:v>2058</c:v>
                </c:pt>
                <c:pt idx="53">
                  <c:v>2059</c:v>
                </c:pt>
                <c:pt idx="54">
                  <c:v>2060</c:v>
                </c:pt>
                <c:pt idx="55">
                  <c:v>2061</c:v>
                </c:pt>
                <c:pt idx="56">
                  <c:v>2062</c:v>
                </c:pt>
                <c:pt idx="57">
                  <c:v>2063</c:v>
                </c:pt>
                <c:pt idx="58">
                  <c:v>2064</c:v>
                </c:pt>
                <c:pt idx="59">
                  <c:v>2065</c:v>
                </c:pt>
                <c:pt idx="60">
                  <c:v>2066</c:v>
                </c:pt>
                <c:pt idx="61">
                  <c:v>2067</c:v>
                </c:pt>
                <c:pt idx="62">
                  <c:v>2068</c:v>
                </c:pt>
                <c:pt idx="63">
                  <c:v>2069</c:v>
                </c:pt>
                <c:pt idx="64">
                  <c:v>2070</c:v>
                </c:pt>
                <c:pt idx="65">
                  <c:v>2071</c:v>
                </c:pt>
                <c:pt idx="66">
                  <c:v>2072</c:v>
                </c:pt>
                <c:pt idx="67">
                  <c:v>2073</c:v>
                </c:pt>
                <c:pt idx="68">
                  <c:v>2074</c:v>
                </c:pt>
              </c:numCache>
            </c:numRef>
          </c:xVal>
          <c:yVal>
            <c:numRef>
              <c:f>'Fuel Price Forecasts'!$F$100:$BV$100</c:f>
              <c:numCache>
                <c:formatCode>_(* #,##0.00_);_(* \(#,##0.00\);_(* "-"??_);_(@_)</c:formatCode>
                <c:ptCount val="69"/>
                <c:pt idx="0">
                  <c:v>4.899505871665788</c:v>
                </c:pt>
                <c:pt idx="1">
                  <c:v>5.2332073206922969</c:v>
                </c:pt>
                <c:pt idx="2">
                  <c:v>6.8896443359756132</c:v>
                </c:pt>
                <c:pt idx="3">
                  <c:v>3.8008165346172214</c:v>
                </c:pt>
                <c:pt idx="4">
                  <c:v>4.2089239785629875</c:v>
                </c:pt>
                <c:pt idx="5">
                  <c:v>4.1462161746245494</c:v>
                </c:pt>
                <c:pt idx="6">
                  <c:v>3.3197655776194255</c:v>
                </c:pt>
                <c:pt idx="7">
                  <c:v>4.5630380383354501</c:v>
                </c:pt>
                <c:pt idx="8">
                  <c:v>4.812236822972574</c:v>
                </c:pt>
                <c:pt idx="9">
                  <c:v>4.99931710024656</c:v>
                </c:pt>
                <c:pt idx="10">
                  <c:v>5.4514266162406706</c:v>
                </c:pt>
                <c:pt idx="11">
                  <c:v>5.873842290087893</c:v>
                </c:pt>
                <c:pt idx="12">
                  <c:v>5.7938511165555289</c:v>
                </c:pt>
                <c:pt idx="13">
                  <c:v>6.0214554203769772</c:v>
                </c:pt>
                <c:pt idx="14">
                  <c:v>6.2364795922505163</c:v>
                </c:pt>
                <c:pt idx="15">
                  <c:v>6.382580680788597</c:v>
                </c:pt>
                <c:pt idx="16">
                  <c:v>6.6019298225578211</c:v>
                </c:pt>
                <c:pt idx="17">
                  <c:v>6.9838711233313333</c:v>
                </c:pt>
                <c:pt idx="18">
                  <c:v>7.1899229380394152</c:v>
                </c:pt>
                <c:pt idx="19">
                  <c:v>7.4432130187163263</c:v>
                </c:pt>
                <c:pt idx="20">
                  <c:v>7.6295896446804594</c:v>
                </c:pt>
                <c:pt idx="21">
                  <c:v>7.9531673877287918</c:v>
                </c:pt>
                <c:pt idx="22">
                  <c:v>8.2578824915831994</c:v>
                </c:pt>
                <c:pt idx="23">
                  <c:v>8.4565981280292881</c:v>
                </c:pt>
                <c:pt idx="24">
                  <c:v>8.7467902561554318</c:v>
                </c:pt>
                <c:pt idx="25" formatCode="0.00">
                  <c:v>8.9927761636510439</c:v>
                </c:pt>
                <c:pt idx="26">
                  <c:v>9.2586327600257903</c:v>
                </c:pt>
                <c:pt idx="27">
                  <c:v>9.5594865066080388</c:v>
                </c:pt>
                <c:pt idx="28">
                  <c:v>9.8216637529842021</c:v>
                </c:pt>
                <c:pt idx="29">
                  <c:v>10.080166098513404</c:v>
                </c:pt>
                <c:pt idx="30">
                  <c:v>10.326834815873069</c:v>
                </c:pt>
                <c:pt idx="31">
                  <c:v>10.612991534267678</c:v>
                </c:pt>
                <c:pt idx="32">
                  <c:v>10.917353195987152</c:v>
                </c:pt>
                <c:pt idx="33">
                  <c:v>11.32984566586963</c:v>
                </c:pt>
                <c:pt idx="34">
                  <c:v>11.53353003387701</c:v>
                </c:pt>
                <c:pt idx="35">
                  <c:v>11.776576904240095</c:v>
                </c:pt>
                <c:pt idx="36">
                  <c:v>12.019623774603179</c:v>
                </c:pt>
                <c:pt idx="37">
                  <c:v>12.262670644966263</c:v>
                </c:pt>
                <c:pt idx="38">
                  <c:v>12.505717515329348</c:v>
                </c:pt>
                <c:pt idx="39">
                  <c:v>12.748764385692429</c:v>
                </c:pt>
                <c:pt idx="40">
                  <c:v>13.015669107072139</c:v>
                </c:pt>
                <c:pt idx="41">
                  <c:v>13.282573828451849</c:v>
                </c:pt>
                <c:pt idx="42">
                  <c:v>13.549478549831559</c:v>
                </c:pt>
                <c:pt idx="43">
                  <c:v>13.816383271211269</c:v>
                </c:pt>
                <c:pt idx="44">
                  <c:v>14.083287992590979</c:v>
                </c:pt>
                <c:pt idx="45">
                  <c:v>14.57511502972871</c:v>
                </c:pt>
                <c:pt idx="46">
                  <c:v>15.066942066866442</c:v>
                </c:pt>
                <c:pt idx="47">
                  <c:v>15.558769104004174</c:v>
                </c:pt>
                <c:pt idx="48">
                  <c:v>16.050596141141906</c:v>
                </c:pt>
                <c:pt idx="49">
                  <c:v>16.542423178279634</c:v>
                </c:pt>
                <c:pt idx="50">
                  <c:v>17.092236408206144</c:v>
                </c:pt>
                <c:pt idx="51">
                  <c:v>17.642049638132654</c:v>
                </c:pt>
                <c:pt idx="52">
                  <c:v>18.191862868059165</c:v>
                </c:pt>
                <c:pt idx="53">
                  <c:v>18.741676097985675</c:v>
                </c:pt>
                <c:pt idx="54">
                  <c:v>19.291489327912185</c:v>
                </c:pt>
                <c:pt idx="55">
                  <c:v>19.866882384507523</c:v>
                </c:pt>
                <c:pt idx="56">
                  <c:v>20.442275441102861</c:v>
                </c:pt>
                <c:pt idx="57">
                  <c:v>21.0176684976982</c:v>
                </c:pt>
                <c:pt idx="58">
                  <c:v>21.593061554293538</c:v>
                </c:pt>
                <c:pt idx="59">
                  <c:v>22.168454610888872</c:v>
                </c:pt>
                <c:pt idx="60">
                  <c:v>22.961075126893508</c:v>
                </c:pt>
                <c:pt idx="61">
                  <c:v>23.753695642898144</c:v>
                </c:pt>
                <c:pt idx="62">
                  <c:v>24.54631615890278</c:v>
                </c:pt>
                <c:pt idx="63">
                  <c:v>25.338936674907416</c:v>
                </c:pt>
                <c:pt idx="64">
                  <c:v>26.131557190912055</c:v>
                </c:pt>
                <c:pt idx="65">
                  <c:v>26.940416551472207</c:v>
                </c:pt>
                <c:pt idx="66">
                  <c:v>27.77688403071183</c:v>
                </c:pt>
                <c:pt idx="67">
                  <c:v>28.644224374780912</c:v>
                </c:pt>
                <c:pt idx="68">
                  <c:v>29.546088396245153</c:v>
                </c:pt>
              </c:numCache>
            </c:numRef>
          </c:yVal>
          <c:smooth val="1"/>
        </c:ser>
        <c:ser>
          <c:idx val="1"/>
          <c:order val="2"/>
          <c:tx>
            <c:strRef>
              <c:f>'Fuel Price Forecasts'!$C$102:$D$102</c:f>
              <c:strCache>
                <c:ptCount val="1"/>
                <c:pt idx="0">
                  <c:v>Low Gas Price Case</c:v>
                </c:pt>
              </c:strCache>
            </c:strRef>
          </c:tx>
          <c:spPr>
            <a:ln w="50800"/>
          </c:spPr>
          <c:marker>
            <c:symbol val="square"/>
            <c:size val="7"/>
            <c:spPr>
              <a:ln>
                <a:solidFill>
                  <a:schemeClr val="tx1"/>
                </a:solidFill>
              </a:ln>
            </c:spPr>
          </c:marker>
          <c:xVal>
            <c:numRef>
              <c:f>'Fuel Price Forecasts'!$F$99:$BV$99</c:f>
              <c:numCache>
                <c:formatCode>General</c:formatCode>
                <c:ptCount val="69"/>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pt idx="13">
                  <c:v>2019</c:v>
                </c:pt>
                <c:pt idx="14">
                  <c:v>2020</c:v>
                </c:pt>
                <c:pt idx="15">
                  <c:v>2021</c:v>
                </c:pt>
                <c:pt idx="16">
                  <c:v>2022</c:v>
                </c:pt>
                <c:pt idx="17">
                  <c:v>2023</c:v>
                </c:pt>
                <c:pt idx="18">
                  <c:v>2024</c:v>
                </c:pt>
                <c:pt idx="19">
                  <c:v>2025</c:v>
                </c:pt>
                <c:pt idx="20">
                  <c:v>2026</c:v>
                </c:pt>
                <c:pt idx="21">
                  <c:v>2027</c:v>
                </c:pt>
                <c:pt idx="22">
                  <c:v>2028</c:v>
                </c:pt>
                <c:pt idx="23">
                  <c:v>2029</c:v>
                </c:pt>
                <c:pt idx="24">
                  <c:v>2030</c:v>
                </c:pt>
                <c:pt idx="25">
                  <c:v>2031</c:v>
                </c:pt>
                <c:pt idx="26">
                  <c:v>2032</c:v>
                </c:pt>
                <c:pt idx="27">
                  <c:v>2033</c:v>
                </c:pt>
                <c:pt idx="28">
                  <c:v>2034</c:v>
                </c:pt>
                <c:pt idx="29">
                  <c:v>2035</c:v>
                </c:pt>
                <c:pt idx="30">
                  <c:v>2036</c:v>
                </c:pt>
                <c:pt idx="31">
                  <c:v>2037</c:v>
                </c:pt>
                <c:pt idx="32">
                  <c:v>2038</c:v>
                </c:pt>
                <c:pt idx="33">
                  <c:v>2039</c:v>
                </c:pt>
                <c:pt idx="34">
                  <c:v>2040</c:v>
                </c:pt>
                <c:pt idx="35">
                  <c:v>2041</c:v>
                </c:pt>
                <c:pt idx="36">
                  <c:v>2042</c:v>
                </c:pt>
                <c:pt idx="37">
                  <c:v>2043</c:v>
                </c:pt>
                <c:pt idx="38">
                  <c:v>2044</c:v>
                </c:pt>
                <c:pt idx="39">
                  <c:v>2045</c:v>
                </c:pt>
                <c:pt idx="40">
                  <c:v>2046</c:v>
                </c:pt>
                <c:pt idx="41">
                  <c:v>2047</c:v>
                </c:pt>
                <c:pt idx="42">
                  <c:v>2048</c:v>
                </c:pt>
                <c:pt idx="43">
                  <c:v>2049</c:v>
                </c:pt>
                <c:pt idx="44">
                  <c:v>2050</c:v>
                </c:pt>
                <c:pt idx="45">
                  <c:v>2051</c:v>
                </c:pt>
                <c:pt idx="46">
                  <c:v>2052</c:v>
                </c:pt>
                <c:pt idx="47">
                  <c:v>2053</c:v>
                </c:pt>
                <c:pt idx="48">
                  <c:v>2054</c:v>
                </c:pt>
                <c:pt idx="49">
                  <c:v>2055</c:v>
                </c:pt>
                <c:pt idx="50">
                  <c:v>2056</c:v>
                </c:pt>
                <c:pt idx="51">
                  <c:v>2057</c:v>
                </c:pt>
                <c:pt idx="52">
                  <c:v>2058</c:v>
                </c:pt>
                <c:pt idx="53">
                  <c:v>2059</c:v>
                </c:pt>
                <c:pt idx="54">
                  <c:v>2060</c:v>
                </c:pt>
                <c:pt idx="55">
                  <c:v>2061</c:v>
                </c:pt>
                <c:pt idx="56">
                  <c:v>2062</c:v>
                </c:pt>
                <c:pt idx="57">
                  <c:v>2063</c:v>
                </c:pt>
                <c:pt idx="58">
                  <c:v>2064</c:v>
                </c:pt>
                <c:pt idx="59">
                  <c:v>2065</c:v>
                </c:pt>
                <c:pt idx="60">
                  <c:v>2066</c:v>
                </c:pt>
                <c:pt idx="61">
                  <c:v>2067</c:v>
                </c:pt>
                <c:pt idx="62">
                  <c:v>2068</c:v>
                </c:pt>
                <c:pt idx="63">
                  <c:v>2069</c:v>
                </c:pt>
                <c:pt idx="64">
                  <c:v>2070</c:v>
                </c:pt>
                <c:pt idx="65">
                  <c:v>2071</c:v>
                </c:pt>
                <c:pt idx="66">
                  <c:v>2072</c:v>
                </c:pt>
                <c:pt idx="67">
                  <c:v>2073</c:v>
                </c:pt>
                <c:pt idx="68">
                  <c:v>2074</c:v>
                </c:pt>
              </c:numCache>
            </c:numRef>
          </c:xVal>
          <c:yVal>
            <c:numRef>
              <c:f>'Fuel Price Forecasts'!$F$102:$BV$102</c:f>
              <c:numCache>
                <c:formatCode>_(* #,##0.00_);_(* \(#,##0.00\);_(* "-"??_);_(@_)</c:formatCode>
                <c:ptCount val="69"/>
                <c:pt idx="0">
                  <c:v>4.0237415760909281</c:v>
                </c:pt>
                <c:pt idx="1">
                  <c:v>4.2464537316142392</c:v>
                </c:pt>
                <c:pt idx="2">
                  <c:v>5.5264420337967497</c:v>
                </c:pt>
                <c:pt idx="3">
                  <c:v>2.7464663584987865</c:v>
                </c:pt>
                <c:pt idx="4">
                  <c:v>2.8635004179511343</c:v>
                </c:pt>
                <c:pt idx="5">
                  <c:v>2.6984318180110329</c:v>
                </c:pt>
                <c:pt idx="6">
                  <c:v>2.0865830438336808</c:v>
                </c:pt>
                <c:pt idx="7">
                  <c:v>2.7873269438301946</c:v>
                </c:pt>
                <c:pt idx="8">
                  <c:v>2.8696105418463973</c:v>
                </c:pt>
                <c:pt idx="9">
                  <c:v>2.9198911814771735</c:v>
                </c:pt>
                <c:pt idx="10">
                  <c:v>3.1264626213178848</c:v>
                </c:pt>
                <c:pt idx="11">
                  <c:v>3.3145866241090745</c:v>
                </c:pt>
                <c:pt idx="12">
                  <c:v>3.2221749473185168</c:v>
                </c:pt>
                <c:pt idx="13">
                  <c:v>3.3047970300124674</c:v>
                </c:pt>
                <c:pt idx="14">
                  <c:v>3.381711784862699</c:v>
                </c:pt>
                <c:pt idx="15">
                  <c:v>3.4226744262837978</c:v>
                </c:pt>
                <c:pt idx="16">
                  <c:v>3.5040648735511017</c:v>
                </c:pt>
                <c:pt idx="17">
                  <c:v>3.6714856244132945</c:v>
                </c:pt>
                <c:pt idx="18">
                  <c:v>3.746173747025658</c:v>
                </c:pt>
                <c:pt idx="19">
                  <c:v>3.8457743191491467</c:v>
                </c:pt>
                <c:pt idx="20">
                  <c:v>3.9111001822606486</c:v>
                </c:pt>
                <c:pt idx="21">
                  <c:v>4.0467311388957796</c:v>
                </c:pt>
                <c:pt idx="22">
                  <c:v>4.1722671420207353</c:v>
                </c:pt>
                <c:pt idx="23">
                  <c:v>4.2441857479105067</c:v>
                </c:pt>
                <c:pt idx="24">
                  <c:v>4.3619874741240414</c:v>
                </c:pt>
                <c:pt idx="25" formatCode="0.00">
                  <c:v>4.4482417886486489</c:v>
                </c:pt>
                <c:pt idx="26">
                  <c:v>4.5437074018101811</c:v>
                </c:pt>
                <c:pt idx="27">
                  <c:v>4.6546540486568224</c:v>
                </c:pt>
                <c:pt idx="28">
                  <c:v>4.7455271464306668</c:v>
                </c:pt>
                <c:pt idx="29">
                  <c:v>4.8332802846085983</c:v>
                </c:pt>
                <c:pt idx="30">
                  <c:v>4.9147141827906857</c:v>
                </c:pt>
                <c:pt idx="31">
                  <c:v>5.0133629346438857</c:v>
                </c:pt>
                <c:pt idx="32">
                  <c:v>5.1189271558467935</c:v>
                </c:pt>
                <c:pt idx="33">
                  <c:v>5.2729484937135549</c:v>
                </c:pt>
                <c:pt idx="34">
                  <c:v>5.3275020147644607</c:v>
                </c:pt>
                <c:pt idx="35">
                  <c:v>5.3983426988066761</c:v>
                </c:pt>
                <c:pt idx="36">
                  <c:v>5.4679950040566219</c:v>
                </c:pt>
                <c:pt idx="37">
                  <c:v>5.5363756469596384</c:v>
                </c:pt>
                <c:pt idx="38">
                  <c:v>5.6035543217462935</c:v>
                </c:pt>
                <c:pt idx="39">
                  <c:v>5.6695105003187649</c:v>
                </c:pt>
                <c:pt idx="40">
                  <c:v>5.7447930459179704</c:v>
                </c:pt>
                <c:pt idx="41">
                  <c:v>5.8185913432628755</c:v>
                </c:pt>
                <c:pt idx="42">
                  <c:v>5.890927821078729</c:v>
                </c:pt>
                <c:pt idx="43">
                  <c:v>5.9617925921998403</c:v>
                </c:pt>
                <c:pt idx="44">
                  <c:v>6.0311838550385799</c:v>
                </c:pt>
                <c:pt idx="45">
                  <c:v>6.1947585808186032</c:v>
                </c:pt>
                <c:pt idx="46">
                  <c:v>6.3555653937435395</c:v>
                </c:pt>
                <c:pt idx="47">
                  <c:v>6.5136272995907039</c:v>
                </c:pt>
                <c:pt idx="48">
                  <c:v>6.6689764550524346</c:v>
                </c:pt>
                <c:pt idx="49">
                  <c:v>6.821632895424333</c:v>
                </c:pt>
                <c:pt idx="50">
                  <c:v>6.995349158733962</c:v>
                </c:pt>
                <c:pt idx="51">
                  <c:v>7.1660517472670735</c:v>
                </c:pt>
                <c:pt idx="52">
                  <c:v>7.3337779790536821</c:v>
                </c:pt>
                <c:pt idx="53">
                  <c:v>7.4985632938659723</c:v>
                </c:pt>
                <c:pt idx="54">
                  <c:v>7.6604471057008539</c:v>
                </c:pt>
                <c:pt idx="55">
                  <c:v>7.8295539928010074</c:v>
                </c:pt>
                <c:pt idx="56">
                  <c:v>7.9956901892155869</c:v>
                </c:pt>
                <c:pt idx="57">
                  <c:v>8.1588880302567421</c:v>
                </c:pt>
                <c:pt idx="58">
                  <c:v>8.3191799516010292</c:v>
                </c:pt>
                <c:pt idx="59">
                  <c:v>8.4765973360173348</c:v>
                </c:pt>
                <c:pt idx="60">
                  <c:v>8.713608985624564</c:v>
                </c:pt>
                <c:pt idx="61">
                  <c:v>8.9465705025555451</c:v>
                </c:pt>
                <c:pt idx="62">
                  <c:v>9.1755305915440797</c:v>
                </c:pt>
                <c:pt idx="63">
                  <c:v>9.4005373805560435</c:v>
                </c:pt>
                <c:pt idx="64">
                  <c:v>9.6216387188962322</c:v>
                </c:pt>
                <c:pt idx="65">
                  <c:v>9.8444851281123569</c:v>
                </c:pt>
                <c:pt idx="66">
                  <c:v>10.073437855271081</c:v>
                </c:pt>
                <c:pt idx="67">
                  <c:v>10.309528303303972</c:v>
                </c:pt>
                <c:pt idx="68">
                  <c:v>10.553901397263566</c:v>
                </c:pt>
              </c:numCache>
            </c:numRef>
          </c:yVal>
          <c:smooth val="1"/>
        </c:ser>
        <c:dLbls>
          <c:showLegendKey val="0"/>
          <c:showVal val="0"/>
          <c:showCatName val="0"/>
          <c:showSerName val="0"/>
          <c:showPercent val="0"/>
          <c:showBubbleSize val="0"/>
        </c:dLbls>
        <c:axId val="302772992"/>
        <c:axId val="302775296"/>
      </c:scatterChart>
      <c:valAx>
        <c:axId val="302772992"/>
        <c:scaling>
          <c:orientation val="minMax"/>
          <c:max val="2052"/>
          <c:min val="2010"/>
        </c:scaling>
        <c:delete val="0"/>
        <c:axPos val="b"/>
        <c:title>
          <c:tx>
            <c:rich>
              <a:bodyPr/>
              <a:lstStyle/>
              <a:p>
                <a:pPr>
                  <a:defRPr sz="1200">
                    <a:latin typeface="Arial" pitchFamily="34" charset="0"/>
                    <a:cs typeface="Arial" pitchFamily="34" charset="0"/>
                  </a:defRPr>
                </a:pPr>
                <a:r>
                  <a:rPr lang="en-US" sz="1200">
                    <a:latin typeface="Arial" pitchFamily="34" charset="0"/>
                    <a:cs typeface="Arial" pitchFamily="34" charset="0"/>
                  </a:rPr>
                  <a:t>Year</a:t>
                </a:r>
              </a:p>
            </c:rich>
          </c:tx>
          <c:overlay val="0"/>
        </c:title>
        <c:numFmt formatCode="General" sourceLinked="1"/>
        <c:majorTickMark val="out"/>
        <c:minorTickMark val="out"/>
        <c:tickLblPos val="nextTo"/>
        <c:txPr>
          <a:bodyPr rot="0" vert="horz"/>
          <a:lstStyle/>
          <a:p>
            <a:pPr>
              <a:defRPr sz="1200" b="0" i="0" u="none" strike="noStrike" baseline="0">
                <a:solidFill>
                  <a:srgbClr val="000000"/>
                </a:solidFill>
                <a:latin typeface="Arial" pitchFamily="34" charset="0"/>
                <a:ea typeface="Calibri"/>
                <a:cs typeface="Arial" pitchFamily="34" charset="0"/>
              </a:defRPr>
            </a:pPr>
            <a:endParaRPr lang="en-US"/>
          </a:p>
        </c:txPr>
        <c:crossAx val="302775296"/>
        <c:crosses val="autoZero"/>
        <c:crossBetween val="midCat"/>
        <c:majorUnit val="2"/>
        <c:minorUnit val="1"/>
      </c:valAx>
      <c:valAx>
        <c:axId val="302775296"/>
        <c:scaling>
          <c:orientation val="minMax"/>
          <c:max val="25"/>
        </c:scaling>
        <c:delete val="0"/>
        <c:axPos val="l"/>
        <c:majorGridlines/>
        <c:title>
          <c:tx>
            <c:rich>
              <a:bodyPr/>
              <a:lstStyle/>
              <a:p>
                <a:pPr>
                  <a:defRPr sz="2000">
                    <a:latin typeface="Arial" pitchFamily="34" charset="0"/>
                    <a:cs typeface="Arial" pitchFamily="34" charset="0"/>
                  </a:defRPr>
                </a:pPr>
                <a:r>
                  <a:rPr lang="en-US" sz="2000">
                    <a:latin typeface="Arial" pitchFamily="34" charset="0"/>
                    <a:cs typeface="Arial" pitchFamily="34" charset="0"/>
                  </a:rPr>
                  <a:t>Gas Price (Nominal $/MMBtu)</a:t>
                </a:r>
              </a:p>
            </c:rich>
          </c:tx>
          <c:layout>
            <c:manualLayout>
              <c:xMode val="edge"/>
              <c:yMode val="edge"/>
              <c:x val="3.3004399490375681E-2"/>
              <c:y val="0.2891077360600709"/>
            </c:manualLayout>
          </c:layout>
          <c:overlay val="0"/>
        </c:title>
        <c:numFmt formatCode="\$#,##0_);\(\$#,##0\)" sourceLinked="0"/>
        <c:majorTickMark val="out"/>
        <c:minorTickMark val="out"/>
        <c:tickLblPos val="nextTo"/>
        <c:txPr>
          <a:bodyPr/>
          <a:lstStyle/>
          <a:p>
            <a:pPr>
              <a:defRPr sz="1800">
                <a:latin typeface="Arial" pitchFamily="34" charset="0"/>
                <a:cs typeface="Arial" pitchFamily="34" charset="0"/>
              </a:defRPr>
            </a:pPr>
            <a:endParaRPr lang="en-US"/>
          </a:p>
        </c:txPr>
        <c:crossAx val="302772992"/>
        <c:crosses val="autoZero"/>
        <c:crossBetween val="midCat"/>
        <c:minorUnit val="1"/>
      </c:valAx>
      <c:spPr>
        <a:solidFill>
          <a:srgbClr val="F0F0F0"/>
        </a:solidFill>
      </c:spPr>
    </c:plotArea>
    <c:legend>
      <c:legendPos val="r"/>
      <c:layout>
        <c:manualLayout>
          <c:xMode val="edge"/>
          <c:yMode val="edge"/>
          <c:x val="0.17474965495678801"/>
          <c:y val="0.15901486272278109"/>
          <c:w val="0.28263652933521288"/>
          <c:h val="0.30980878006373552"/>
        </c:manualLayout>
      </c:layout>
      <c:overlay val="0"/>
      <c:spPr>
        <a:ln>
          <a:solidFill>
            <a:srgbClr val="000000"/>
          </a:solidFill>
        </a:ln>
      </c:spPr>
      <c:txPr>
        <a:bodyPr/>
        <a:lstStyle/>
        <a:p>
          <a:pPr>
            <a:defRPr sz="1800">
              <a:latin typeface="Arial" pitchFamily="34" charset="0"/>
              <a:cs typeface="Arial" pitchFamily="34" charset="0"/>
            </a:defRPr>
          </a:pPr>
          <a:endParaRPr lang="en-US"/>
        </a:p>
      </c:txPr>
    </c:legend>
    <c:plotVisOnly val="1"/>
    <c:dispBlanksAs val="gap"/>
    <c:showDLblsOverMax val="0"/>
  </c:chart>
  <c:printSettings>
    <c:headerFooter/>
    <c:pageMargins b="0.75000000000001465" l="0.70000000000000095" r="0.70000000000000095" t="0.75000000000001465" header="0.30000000000000032" footer="0.30000000000000032"/>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3200">
                <a:latin typeface="Arial" pitchFamily="34" charset="0"/>
                <a:cs typeface="Arial" pitchFamily="34" charset="0"/>
              </a:defRPr>
            </a:pPr>
            <a:r>
              <a:rPr lang="en-US" sz="3200">
                <a:latin typeface="Arial" pitchFamily="34" charset="0"/>
                <a:cs typeface="Arial" pitchFamily="34" charset="0"/>
              </a:rPr>
              <a:t>2013 Gas Price Forecast - Real 2011$</a:t>
            </a:r>
          </a:p>
        </c:rich>
      </c:tx>
      <c:overlay val="0"/>
    </c:title>
    <c:autoTitleDeleted val="0"/>
    <c:plotArea>
      <c:layout>
        <c:manualLayout>
          <c:layoutTarget val="inner"/>
          <c:xMode val="edge"/>
          <c:yMode val="edge"/>
          <c:x val="0.12000087810677236"/>
          <c:y val="0.11440110263750242"/>
          <c:w val="0.8314778293878321"/>
          <c:h val="0.78660089225826668"/>
        </c:manualLayout>
      </c:layout>
      <c:scatterChart>
        <c:scatterStyle val="smoothMarker"/>
        <c:varyColors val="0"/>
        <c:ser>
          <c:idx val="5"/>
          <c:order val="0"/>
          <c:tx>
            <c:strRef>
              <c:f>'Fuel Price Forecasts'!$D$166</c:f>
              <c:strCache>
                <c:ptCount val="1"/>
                <c:pt idx="0">
                  <c:v>Old High Gas Price Case</c:v>
                </c:pt>
              </c:strCache>
            </c:strRef>
          </c:tx>
          <c:spPr>
            <a:ln w="34925">
              <a:solidFill>
                <a:schemeClr val="bg1">
                  <a:lumMod val="50000"/>
                </a:schemeClr>
              </a:solidFill>
            </a:ln>
          </c:spPr>
          <c:marker>
            <c:symbol val="triangle"/>
            <c:size val="6"/>
            <c:spPr>
              <a:solidFill>
                <a:schemeClr val="bg1">
                  <a:lumMod val="65000"/>
                </a:schemeClr>
              </a:solidFill>
              <a:ln>
                <a:solidFill>
                  <a:schemeClr val="tx1">
                    <a:lumMod val="65000"/>
                    <a:lumOff val="35000"/>
                  </a:schemeClr>
                </a:solidFill>
              </a:ln>
            </c:spPr>
          </c:marker>
          <c:xVal>
            <c:numRef>
              <c:f>'Fuel Price Forecasts'!$E$178:$BS$178</c:f>
              <c:numCache>
                <c:formatCode>General</c:formatCode>
                <c:ptCount val="67"/>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c:v>
                </c:pt>
                <c:pt idx="15">
                  <c:v>2019</c:v>
                </c:pt>
                <c:pt idx="16">
                  <c:v>2020</c:v>
                </c:pt>
                <c:pt idx="17">
                  <c:v>2021</c:v>
                </c:pt>
                <c:pt idx="18">
                  <c:v>2022</c:v>
                </c:pt>
                <c:pt idx="19">
                  <c:v>2023</c:v>
                </c:pt>
                <c:pt idx="20">
                  <c:v>2024</c:v>
                </c:pt>
                <c:pt idx="21">
                  <c:v>2025</c:v>
                </c:pt>
                <c:pt idx="22">
                  <c:v>2026</c:v>
                </c:pt>
                <c:pt idx="23">
                  <c:v>2027</c:v>
                </c:pt>
                <c:pt idx="24">
                  <c:v>2028</c:v>
                </c:pt>
                <c:pt idx="25">
                  <c:v>2029</c:v>
                </c:pt>
                <c:pt idx="26">
                  <c:v>2030</c:v>
                </c:pt>
                <c:pt idx="27">
                  <c:v>2031</c:v>
                </c:pt>
                <c:pt idx="28">
                  <c:v>2032</c:v>
                </c:pt>
                <c:pt idx="29">
                  <c:v>2033</c:v>
                </c:pt>
                <c:pt idx="30">
                  <c:v>2034</c:v>
                </c:pt>
                <c:pt idx="31">
                  <c:v>2035</c:v>
                </c:pt>
                <c:pt idx="32">
                  <c:v>2036</c:v>
                </c:pt>
                <c:pt idx="33">
                  <c:v>2037</c:v>
                </c:pt>
                <c:pt idx="34">
                  <c:v>2038</c:v>
                </c:pt>
                <c:pt idx="35">
                  <c:v>2039</c:v>
                </c:pt>
                <c:pt idx="36">
                  <c:v>2040</c:v>
                </c:pt>
                <c:pt idx="37">
                  <c:v>2041</c:v>
                </c:pt>
                <c:pt idx="38">
                  <c:v>2042</c:v>
                </c:pt>
                <c:pt idx="39">
                  <c:v>2043</c:v>
                </c:pt>
                <c:pt idx="40">
                  <c:v>2044</c:v>
                </c:pt>
                <c:pt idx="41">
                  <c:v>2045</c:v>
                </c:pt>
                <c:pt idx="42">
                  <c:v>2046</c:v>
                </c:pt>
                <c:pt idx="43">
                  <c:v>2047</c:v>
                </c:pt>
                <c:pt idx="44">
                  <c:v>2048</c:v>
                </c:pt>
                <c:pt idx="45">
                  <c:v>2049</c:v>
                </c:pt>
                <c:pt idx="46">
                  <c:v>2050</c:v>
                </c:pt>
                <c:pt idx="47">
                  <c:v>2051</c:v>
                </c:pt>
                <c:pt idx="48">
                  <c:v>2052</c:v>
                </c:pt>
                <c:pt idx="49">
                  <c:v>2053</c:v>
                </c:pt>
                <c:pt idx="50">
                  <c:v>2054</c:v>
                </c:pt>
                <c:pt idx="51">
                  <c:v>2055</c:v>
                </c:pt>
                <c:pt idx="52">
                  <c:v>2056</c:v>
                </c:pt>
                <c:pt idx="53">
                  <c:v>2057</c:v>
                </c:pt>
                <c:pt idx="54">
                  <c:v>2058</c:v>
                </c:pt>
                <c:pt idx="55">
                  <c:v>2059</c:v>
                </c:pt>
                <c:pt idx="56">
                  <c:v>2060</c:v>
                </c:pt>
                <c:pt idx="57">
                  <c:v>2061</c:v>
                </c:pt>
                <c:pt idx="58">
                  <c:v>2062</c:v>
                </c:pt>
                <c:pt idx="59">
                  <c:v>2063</c:v>
                </c:pt>
                <c:pt idx="60">
                  <c:v>2064</c:v>
                </c:pt>
                <c:pt idx="61">
                  <c:v>2065</c:v>
                </c:pt>
                <c:pt idx="62">
                  <c:v>2066</c:v>
                </c:pt>
                <c:pt idx="63">
                  <c:v>2067</c:v>
                </c:pt>
                <c:pt idx="64">
                  <c:v>2068</c:v>
                </c:pt>
                <c:pt idx="65">
                  <c:v>2069</c:v>
                </c:pt>
                <c:pt idx="66">
                  <c:v>2070</c:v>
                </c:pt>
              </c:numCache>
            </c:numRef>
          </c:xVal>
          <c:yVal>
            <c:numRef>
              <c:f>'Fuel Price Forecasts'!$E$166:$BS$166</c:f>
              <c:numCache>
                <c:formatCode>General</c:formatCode>
                <c:ptCount val="67"/>
                <c:pt idx="0">
                  <c:v>0</c:v>
                </c:pt>
                <c:pt idx="1">
                  <c:v>0</c:v>
                </c:pt>
                <c:pt idx="2" formatCode="0.00">
                  <c:v>7.3794127956984914</c:v>
                </c:pt>
                <c:pt idx="3" formatCode="0.00">
                  <c:v>7.581599472367917</c:v>
                </c:pt>
                <c:pt idx="4" formatCode="0.00">
                  <c:v>9.6331653624715283</c:v>
                </c:pt>
                <c:pt idx="5" formatCode="0.00">
                  <c:v>5.389140900490716</c:v>
                </c:pt>
                <c:pt idx="6" formatCode="0.00">
                  <c:v>6.0104290797192039</c:v>
                </c:pt>
                <c:pt idx="7" formatCode="0.00">
                  <c:v>6.1361174757013837</c:v>
                </c:pt>
                <c:pt idx="8" formatCode="0.00">
                  <c:v>8.8974598769819444</c:v>
                </c:pt>
                <c:pt idx="9" formatCode="0.00">
                  <c:v>9.9667716694213748</c:v>
                </c:pt>
                <c:pt idx="10" formatCode="0.00">
                  <c:v>8.4505176685437124</c:v>
                </c:pt>
                <c:pt idx="11" formatCode="0.00">
                  <c:v>8.5033619434808347</c:v>
                </c:pt>
                <c:pt idx="12" formatCode="0.00">
                  <c:v>9.0720364809039165</c:v>
                </c:pt>
                <c:pt idx="13" formatCode="0.00">
                  <c:v>9.0940470953315167</c:v>
                </c:pt>
                <c:pt idx="14" formatCode="0.00">
                  <c:v>9.5894744664704312</c:v>
                </c:pt>
                <c:pt idx="15" formatCode="0.00">
                  <c:v>9.1665866283308013</c:v>
                </c:pt>
                <c:pt idx="16" formatCode="0.00">
                  <c:v>9.688672954324387</c:v>
                </c:pt>
                <c:pt idx="17" formatCode="0.00">
                  <c:v>9.7147971563720699</c:v>
                </c:pt>
                <c:pt idx="18" formatCode="0.00">
                  <c:v>10.030526997379955</c:v>
                </c:pt>
                <c:pt idx="19" formatCode="0.00">
                  <c:v>10.479543796595111</c:v>
                </c:pt>
                <c:pt idx="20" formatCode="0.00">
                  <c:v>10.065247630261982</c:v>
                </c:pt>
                <c:pt idx="21" formatCode="0.00">
                  <c:v>10.451007033888732</c:v>
                </c:pt>
                <c:pt idx="22" formatCode="0.00">
                  <c:v>10.408710717669756</c:v>
                </c:pt>
                <c:pt idx="23" formatCode="0.00">
                  <c:v>10.54812040532434</c:v>
                </c:pt>
                <c:pt idx="24" formatCode="0.00">
                  <c:v>10.581699950573277</c:v>
                </c:pt>
                <c:pt idx="25" formatCode="0.00">
                  <c:v>10.736185327735665</c:v>
                </c:pt>
                <c:pt idx="26" formatCode="0.00">
                  <c:v>10.897528353487099</c:v>
                </c:pt>
                <c:pt idx="27" formatCode="0.00">
                  <c:v>10.955395090299223</c:v>
                </c:pt>
                <c:pt idx="28" formatCode="0.00">
                  <c:v>11.174541445049467</c:v>
                </c:pt>
                <c:pt idx="29" formatCode="0.00">
                  <c:v>11.326730276808895</c:v>
                </c:pt>
                <c:pt idx="30" formatCode="0.00">
                  <c:v>11.086924350014643</c:v>
                </c:pt>
                <c:pt idx="31" formatCode="0.00">
                  <c:v>11.126726531667064</c:v>
                </c:pt>
                <c:pt idx="32" formatCode="0.00">
                  <c:v>11.674938509932375</c:v>
                </c:pt>
                <c:pt idx="33" formatCode="0.00">
                  <c:v>11.926178581877794</c:v>
                </c:pt>
                <c:pt idx="34" formatCode="0.00">
                  <c:v>11.949249242070787</c:v>
                </c:pt>
                <c:pt idx="35" formatCode="0.00">
                  <c:v>12.409554195648603</c:v>
                </c:pt>
                <c:pt idx="36" formatCode="0.00">
                  <c:v>11.153700356115008</c:v>
                </c:pt>
                <c:pt idx="37" formatCode="0.00">
                  <c:v>11.519322857351156</c:v>
                </c:pt>
                <c:pt idx="38" formatCode="0.00">
                  <c:v>11.887006596643982</c:v>
                </c:pt>
                <c:pt idx="39" formatCode="0.00">
                  <c:v>12.256822774992168</c:v>
                </c:pt>
                <c:pt idx="40" formatCode="0.00">
                  <c:v>12.628717922357211</c:v>
                </c:pt>
                <c:pt idx="41" formatCode="0.00">
                  <c:v>13.00271643280726</c:v>
                </c:pt>
                <c:pt idx="42" formatCode="0.00">
                  <c:v>13.218026181191421</c:v>
                </c:pt>
                <c:pt idx="43" formatCode="0.00">
                  <c:v>13.43456595384465</c:v>
                </c:pt>
                <c:pt idx="44" formatCode="0.00">
                  <c:v>13.652332756920925</c:v>
                </c:pt>
                <c:pt idx="45" formatCode="0.00">
                  <c:v>13.871356170795838</c:v>
                </c:pt>
                <c:pt idx="46" formatCode="0.00">
                  <c:v>14.091662321028462</c:v>
                </c:pt>
                <c:pt idx="47" formatCode="0.00">
                  <c:v>14.479078225915858</c:v>
                </c:pt>
                <c:pt idx="48" formatCode="0.00">
                  <c:v>14.868732936771327</c:v>
                </c:pt>
                <c:pt idx="49" formatCode="0.00">
                  <c:v>15.260640619980823</c:v>
                </c:pt>
                <c:pt idx="50" formatCode="0.00">
                  <c:v>15.654808401084862</c:v>
                </c:pt>
                <c:pt idx="51" formatCode="0.00">
                  <c:v>16.051254959145012</c:v>
                </c:pt>
                <c:pt idx="52" formatCode="0.00">
                  <c:v>16.306356169712686</c:v>
                </c:pt>
                <c:pt idx="53" formatCode="0.00">
                  <c:v>16.562891509795257</c:v>
                </c:pt>
                <c:pt idx="54" formatCode="0.00">
                  <c:v>16.820865691321053</c:v>
                </c:pt>
                <c:pt idx="55" formatCode="0.00">
                  <c:v>17.08028540998264</c:v>
                </c:pt>
                <c:pt idx="56" formatCode="0.00">
                  <c:v>17.341153942994083</c:v>
                </c:pt>
                <c:pt idx="57" formatCode="0.00">
                  <c:v>17.573573074942541</c:v>
                </c:pt>
                <c:pt idx="58" formatCode="0.00">
                  <c:v>17.807258082505626</c:v>
                </c:pt>
                <c:pt idx="59" formatCode="0.00">
                  <c:v>18.042216125333024</c:v>
                </c:pt>
                <c:pt idx="60" formatCode="0.00">
                  <c:v>18.278454388282121</c:v>
                </c:pt>
                <c:pt idx="61" formatCode="0.00">
                  <c:v>18.51598090724449</c:v>
                </c:pt>
                <c:pt idx="62" formatCode="0.00">
                  <c:v>18.736339175672413</c:v>
                </c:pt>
                <c:pt idx="63" formatCode="0.00">
                  <c:v>18.957885413846842</c:v>
                </c:pt>
                <c:pt idx="64" formatCode="0.00">
                  <c:v>19.180624009434943</c:v>
                </c:pt>
                <c:pt idx="65" formatCode="0.00">
                  <c:v>19.404559483797982</c:v>
                </c:pt>
                <c:pt idx="66" formatCode="0.00">
                  <c:v>19.629696198067489</c:v>
                </c:pt>
              </c:numCache>
            </c:numRef>
          </c:yVal>
          <c:smooth val="1"/>
        </c:ser>
        <c:ser>
          <c:idx val="3"/>
          <c:order val="1"/>
          <c:tx>
            <c:strRef>
              <c:f>'Fuel Price Forecasts'!$D$180</c:f>
              <c:strCache>
                <c:ptCount val="1"/>
                <c:pt idx="0">
                  <c:v>High Gas Price Case</c:v>
                </c:pt>
              </c:strCache>
            </c:strRef>
          </c:tx>
          <c:spPr>
            <a:ln w="38100">
              <a:solidFill>
                <a:schemeClr val="accent2"/>
              </a:solidFill>
            </a:ln>
          </c:spPr>
          <c:marker>
            <c:symbol val="triangle"/>
            <c:size val="8"/>
            <c:spPr>
              <a:solidFill>
                <a:schemeClr val="accent2"/>
              </a:solidFill>
            </c:spPr>
          </c:marker>
          <c:xVal>
            <c:numRef>
              <c:f>'Fuel Price Forecasts'!$E$178:$BS$178</c:f>
              <c:numCache>
                <c:formatCode>General</c:formatCode>
                <c:ptCount val="67"/>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c:v>
                </c:pt>
                <c:pt idx="15">
                  <c:v>2019</c:v>
                </c:pt>
                <c:pt idx="16">
                  <c:v>2020</c:v>
                </c:pt>
                <c:pt idx="17">
                  <c:v>2021</c:v>
                </c:pt>
                <c:pt idx="18">
                  <c:v>2022</c:v>
                </c:pt>
                <c:pt idx="19">
                  <c:v>2023</c:v>
                </c:pt>
                <c:pt idx="20">
                  <c:v>2024</c:v>
                </c:pt>
                <c:pt idx="21">
                  <c:v>2025</c:v>
                </c:pt>
                <c:pt idx="22">
                  <c:v>2026</c:v>
                </c:pt>
                <c:pt idx="23">
                  <c:v>2027</c:v>
                </c:pt>
                <c:pt idx="24">
                  <c:v>2028</c:v>
                </c:pt>
                <c:pt idx="25">
                  <c:v>2029</c:v>
                </c:pt>
                <c:pt idx="26">
                  <c:v>2030</c:v>
                </c:pt>
                <c:pt idx="27">
                  <c:v>2031</c:v>
                </c:pt>
                <c:pt idx="28">
                  <c:v>2032</c:v>
                </c:pt>
                <c:pt idx="29">
                  <c:v>2033</c:v>
                </c:pt>
                <c:pt idx="30">
                  <c:v>2034</c:v>
                </c:pt>
                <c:pt idx="31">
                  <c:v>2035</c:v>
                </c:pt>
                <c:pt idx="32">
                  <c:v>2036</c:v>
                </c:pt>
                <c:pt idx="33">
                  <c:v>2037</c:v>
                </c:pt>
                <c:pt idx="34">
                  <c:v>2038</c:v>
                </c:pt>
                <c:pt idx="35">
                  <c:v>2039</c:v>
                </c:pt>
                <c:pt idx="36">
                  <c:v>2040</c:v>
                </c:pt>
                <c:pt idx="37">
                  <c:v>2041</c:v>
                </c:pt>
                <c:pt idx="38">
                  <c:v>2042</c:v>
                </c:pt>
                <c:pt idx="39">
                  <c:v>2043</c:v>
                </c:pt>
                <c:pt idx="40">
                  <c:v>2044</c:v>
                </c:pt>
                <c:pt idx="41">
                  <c:v>2045</c:v>
                </c:pt>
                <c:pt idx="42">
                  <c:v>2046</c:v>
                </c:pt>
                <c:pt idx="43">
                  <c:v>2047</c:v>
                </c:pt>
                <c:pt idx="44">
                  <c:v>2048</c:v>
                </c:pt>
                <c:pt idx="45">
                  <c:v>2049</c:v>
                </c:pt>
                <c:pt idx="46">
                  <c:v>2050</c:v>
                </c:pt>
                <c:pt idx="47">
                  <c:v>2051</c:v>
                </c:pt>
                <c:pt idx="48">
                  <c:v>2052</c:v>
                </c:pt>
                <c:pt idx="49">
                  <c:v>2053</c:v>
                </c:pt>
                <c:pt idx="50">
                  <c:v>2054</c:v>
                </c:pt>
                <c:pt idx="51">
                  <c:v>2055</c:v>
                </c:pt>
                <c:pt idx="52">
                  <c:v>2056</c:v>
                </c:pt>
                <c:pt idx="53">
                  <c:v>2057</c:v>
                </c:pt>
                <c:pt idx="54">
                  <c:v>2058</c:v>
                </c:pt>
                <c:pt idx="55">
                  <c:v>2059</c:v>
                </c:pt>
                <c:pt idx="56">
                  <c:v>2060</c:v>
                </c:pt>
                <c:pt idx="57">
                  <c:v>2061</c:v>
                </c:pt>
                <c:pt idx="58">
                  <c:v>2062</c:v>
                </c:pt>
                <c:pt idx="59">
                  <c:v>2063</c:v>
                </c:pt>
                <c:pt idx="60">
                  <c:v>2064</c:v>
                </c:pt>
                <c:pt idx="61">
                  <c:v>2065</c:v>
                </c:pt>
                <c:pt idx="62">
                  <c:v>2066</c:v>
                </c:pt>
                <c:pt idx="63">
                  <c:v>2067</c:v>
                </c:pt>
                <c:pt idx="64">
                  <c:v>2068</c:v>
                </c:pt>
                <c:pt idx="65">
                  <c:v>2069</c:v>
                </c:pt>
                <c:pt idx="66">
                  <c:v>2070</c:v>
                </c:pt>
              </c:numCache>
            </c:numRef>
          </c:xVal>
          <c:yVal>
            <c:numRef>
              <c:f>'Fuel Price Forecasts'!$E$180:$BS$180</c:f>
              <c:numCache>
                <c:formatCode>General</c:formatCode>
                <c:ptCount val="67"/>
                <c:pt idx="2" formatCode="0.00">
                  <c:v>7.3794127956984914</c:v>
                </c:pt>
                <c:pt idx="3" formatCode="0.00">
                  <c:v>7.581599472367917</c:v>
                </c:pt>
                <c:pt idx="4" formatCode="0.00">
                  <c:v>9.6331653624715283</c:v>
                </c:pt>
                <c:pt idx="5" formatCode="0.00">
                  <c:v>5.389140900490716</c:v>
                </c:pt>
                <c:pt idx="6" formatCode="0.00">
                  <c:v>6.0104290797192039</c:v>
                </c:pt>
                <c:pt idx="7" formatCode="0.00">
                  <c:v>5.9407657504371745</c:v>
                </c:pt>
                <c:pt idx="8" formatCode="0.00">
                  <c:v>4.7171221430133174</c:v>
                </c:pt>
                <c:pt idx="9" formatCode="0.00">
                  <c:v>6.3694104788567456</c:v>
                </c:pt>
                <c:pt idx="10" formatCode="0.00">
                  <c:v>6.622385650514544</c:v>
                </c:pt>
                <c:pt idx="11" formatCode="0.00">
                  <c:v>6.7954132855160552</c:v>
                </c:pt>
                <c:pt idx="12" formatCode="0.00">
                  <c:v>7.3176312945939159</c:v>
                </c:pt>
                <c:pt idx="13" formatCode="0.00">
                  <c:v>7.7978703348372687</c:v>
                </c:pt>
                <c:pt idx="14" formatCode="0.00">
                  <c:v>7.6156978563047462</c:v>
                </c:pt>
                <c:pt idx="15" formatCode="0.00">
                  <c:v>7.8382906734231623</c:v>
                </c:pt>
                <c:pt idx="16" formatCode="0.00">
                  <c:v>8.0393365038721818</c:v>
                </c:pt>
                <c:pt idx="17" formatCode="0.00">
                  <c:v>8.1442236245954529</c:v>
                </c:pt>
                <c:pt idx="18" formatCode="0.00">
                  <c:v>8.3354488749744675</c:v>
                </c:pt>
                <c:pt idx="19" formatCode="0.00">
                  <c:v>8.7191809503712658</c:v>
                </c:pt>
                <c:pt idx="20" formatCode="0.00">
                  <c:v>8.8743696140820205</c:v>
                </c:pt>
                <c:pt idx="21" formatCode="0.00">
                  <c:v>9.0809056179507781</c:v>
                </c:pt>
                <c:pt idx="22" formatCode="0.00">
                  <c:v>9.1993000443495241</c:v>
                </c:pt>
                <c:pt idx="23" formatCode="0.00">
                  <c:v>9.4757755849939258</c:v>
                </c:pt>
                <c:pt idx="24" formatCode="0.00">
                  <c:v>9.7208962695031573</c:v>
                </c:pt>
                <c:pt idx="25" formatCode="0.00">
                  <c:v>9.834294636568119</c:v>
                </c:pt>
                <c:pt idx="26" formatCode="0.00">
                  <c:v>10.047487730614465</c:v>
                </c:pt>
                <c:pt idx="27" formatCode="0.00">
                  <c:v>10.209676643404453</c:v>
                </c:pt>
                <c:pt idx="28" formatCode="0.00">
                  <c:v>10.388212016989822</c:v>
                </c:pt>
                <c:pt idx="29" formatCode="0.00">
                  <c:v>10.599942481774153</c:v>
                </c:pt>
                <c:pt idx="30" formatCode="0.00">
                  <c:v>10.762471026864773</c:v>
                </c:pt>
                <c:pt idx="31" formatCode="0.00">
                  <c:v>10.915543427750556</c:v>
                </c:pt>
                <c:pt idx="32" formatCode="0.00">
                  <c:v>11.050076416765709</c:v>
                </c:pt>
                <c:pt idx="33" formatCode="0.00">
                  <c:v>11.221628980259242</c:v>
                </c:pt>
                <c:pt idx="34" formatCode="0.00">
                  <c:v>11.406467753818765</c:v>
                </c:pt>
                <c:pt idx="35" formatCode="0.00">
                  <c:v>11.696957403349371</c:v>
                </c:pt>
                <c:pt idx="36" formatCode="0.00">
                  <c:v>11.766247169497522</c:v>
                </c:pt>
                <c:pt idx="37" formatCode="0.00">
                  <c:v>11.872393691566714</c:v>
                </c:pt>
                <c:pt idx="38" formatCode="0.00">
                  <c:v>11.974283691340865</c:v>
                </c:pt>
                <c:pt idx="39" formatCode="0.00">
                  <c:v>12.072067964775604</c:v>
                </c:pt>
                <c:pt idx="40" formatCode="0.00">
                  <c:v>12.16576994676444</c:v>
                </c:pt>
                <c:pt idx="41" formatCode="0.00">
                  <c:v>12.255490139579997</c:v>
                </c:pt>
                <c:pt idx="42" formatCode="0.00">
                  <c:v>12.363960672169767</c:v>
                </c:pt>
                <c:pt idx="43" formatCode="0.00">
                  <c:v>12.468169807688598</c:v>
                </c:pt>
                <c:pt idx="44" formatCode="0.00">
                  <c:v>12.568195511386682</c:v>
                </c:pt>
                <c:pt idx="45" formatCode="0.00">
                  <c:v>12.664144259926482</c:v>
                </c:pt>
                <c:pt idx="46" formatCode="0.00">
                  <c:v>12.75611720247637</c:v>
                </c:pt>
                <c:pt idx="47" formatCode="0.00">
                  <c:v>13.045484099149556</c:v>
                </c:pt>
                <c:pt idx="48" formatCode="0.00">
                  <c:v>13.326201037686355</c:v>
                </c:pt>
                <c:pt idx="49" formatCode="0.00">
                  <c:v>13.598435427384759</c:v>
                </c:pt>
                <c:pt idx="50" formatCode="0.00">
                  <c:v>13.862345717591408</c:v>
                </c:pt>
                <c:pt idx="51" formatCode="0.00">
                  <c:v>14.118097978617023</c:v>
                </c:pt>
                <c:pt idx="52" formatCode="0.00">
                  <c:v>14.414758653409518</c:v>
                </c:pt>
                <c:pt idx="53" formatCode="0.00">
                  <c:v>14.702433357084324</c:v>
                </c:pt>
                <c:pt idx="54" formatCode="0.00">
                  <c:v>14.981292030846948</c:v>
                </c:pt>
                <c:pt idx="55" formatCode="0.00">
                  <c:v>15.251503512130297</c:v>
                </c:pt>
                <c:pt idx="56" formatCode="0.00">
                  <c:v>15.513230774642654</c:v>
                </c:pt>
                <c:pt idx="57" formatCode="0.00">
                  <c:v>15.786957255163108</c:v>
                </c:pt>
                <c:pt idx="58" formatCode="0.00">
                  <c:v>16.052032187005864</c:v>
                </c:pt>
                <c:pt idx="59" formatCode="0.00">
                  <c:v>16.30862314729459</c:v>
                </c:pt>
                <c:pt idx="60" formatCode="0.00">
                  <c:v>16.556895024067838</c:v>
                </c:pt>
                <c:pt idx="61" formatCode="0.00">
                  <c:v>16.797010796395263</c:v>
                </c:pt>
                <c:pt idx="62" formatCode="0.00">
                  <c:v>17.191776141688358</c:v>
                </c:pt>
                <c:pt idx="63" formatCode="0.00">
                  <c:v>17.574853497072699</c:v>
                </c:pt>
                <c:pt idx="64" formatCode="0.00">
                  <c:v>17.946463469903239</c:v>
                </c:pt>
                <c:pt idx="65" formatCode="0.00">
                  <c:v>18.306823135743382</c:v>
                </c:pt>
                <c:pt idx="66" formatCode="0.00">
                  <c:v>18.656145824638624</c:v>
                </c:pt>
              </c:numCache>
            </c:numRef>
          </c:yVal>
          <c:smooth val="1"/>
        </c:ser>
        <c:ser>
          <c:idx val="2"/>
          <c:order val="2"/>
          <c:tx>
            <c:strRef>
              <c:f>'Fuel Price Forecasts'!$D$165</c:f>
              <c:strCache>
                <c:ptCount val="1"/>
                <c:pt idx="0">
                  <c:v>Old Reference Case</c:v>
                </c:pt>
              </c:strCache>
            </c:strRef>
          </c:tx>
          <c:spPr>
            <a:ln w="34925">
              <a:solidFill>
                <a:schemeClr val="bg1">
                  <a:lumMod val="50000"/>
                </a:schemeClr>
              </a:solidFill>
            </a:ln>
          </c:spPr>
          <c:marker>
            <c:symbol val="circle"/>
            <c:size val="7"/>
            <c:spPr>
              <a:solidFill>
                <a:sysClr val="window" lastClr="FFFFFF">
                  <a:lumMod val="50000"/>
                </a:sysClr>
              </a:solidFill>
              <a:ln>
                <a:solidFill>
                  <a:schemeClr val="tx1">
                    <a:lumMod val="65000"/>
                    <a:lumOff val="35000"/>
                  </a:schemeClr>
                </a:solidFill>
              </a:ln>
            </c:spPr>
          </c:marker>
          <c:xVal>
            <c:numRef>
              <c:f>'Fuel Price Forecasts'!$E$178:$BS$178</c:f>
              <c:numCache>
                <c:formatCode>General</c:formatCode>
                <c:ptCount val="67"/>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c:v>
                </c:pt>
                <c:pt idx="15">
                  <c:v>2019</c:v>
                </c:pt>
                <c:pt idx="16">
                  <c:v>2020</c:v>
                </c:pt>
                <c:pt idx="17">
                  <c:v>2021</c:v>
                </c:pt>
                <c:pt idx="18">
                  <c:v>2022</c:v>
                </c:pt>
                <c:pt idx="19">
                  <c:v>2023</c:v>
                </c:pt>
                <c:pt idx="20">
                  <c:v>2024</c:v>
                </c:pt>
                <c:pt idx="21">
                  <c:v>2025</c:v>
                </c:pt>
                <c:pt idx="22">
                  <c:v>2026</c:v>
                </c:pt>
                <c:pt idx="23">
                  <c:v>2027</c:v>
                </c:pt>
                <c:pt idx="24">
                  <c:v>2028</c:v>
                </c:pt>
                <c:pt idx="25">
                  <c:v>2029</c:v>
                </c:pt>
                <c:pt idx="26">
                  <c:v>2030</c:v>
                </c:pt>
                <c:pt idx="27">
                  <c:v>2031</c:v>
                </c:pt>
                <c:pt idx="28">
                  <c:v>2032</c:v>
                </c:pt>
                <c:pt idx="29">
                  <c:v>2033</c:v>
                </c:pt>
                <c:pt idx="30">
                  <c:v>2034</c:v>
                </c:pt>
                <c:pt idx="31">
                  <c:v>2035</c:v>
                </c:pt>
                <c:pt idx="32">
                  <c:v>2036</c:v>
                </c:pt>
                <c:pt idx="33">
                  <c:v>2037</c:v>
                </c:pt>
                <c:pt idx="34">
                  <c:v>2038</c:v>
                </c:pt>
                <c:pt idx="35">
                  <c:v>2039</c:v>
                </c:pt>
                <c:pt idx="36">
                  <c:v>2040</c:v>
                </c:pt>
                <c:pt idx="37">
                  <c:v>2041</c:v>
                </c:pt>
                <c:pt idx="38">
                  <c:v>2042</c:v>
                </c:pt>
                <c:pt idx="39">
                  <c:v>2043</c:v>
                </c:pt>
                <c:pt idx="40">
                  <c:v>2044</c:v>
                </c:pt>
                <c:pt idx="41">
                  <c:v>2045</c:v>
                </c:pt>
                <c:pt idx="42">
                  <c:v>2046</c:v>
                </c:pt>
                <c:pt idx="43">
                  <c:v>2047</c:v>
                </c:pt>
                <c:pt idx="44">
                  <c:v>2048</c:v>
                </c:pt>
                <c:pt idx="45">
                  <c:v>2049</c:v>
                </c:pt>
                <c:pt idx="46">
                  <c:v>2050</c:v>
                </c:pt>
                <c:pt idx="47">
                  <c:v>2051</c:v>
                </c:pt>
                <c:pt idx="48">
                  <c:v>2052</c:v>
                </c:pt>
                <c:pt idx="49">
                  <c:v>2053</c:v>
                </c:pt>
                <c:pt idx="50">
                  <c:v>2054</c:v>
                </c:pt>
                <c:pt idx="51">
                  <c:v>2055</c:v>
                </c:pt>
                <c:pt idx="52">
                  <c:v>2056</c:v>
                </c:pt>
                <c:pt idx="53">
                  <c:v>2057</c:v>
                </c:pt>
                <c:pt idx="54">
                  <c:v>2058</c:v>
                </c:pt>
                <c:pt idx="55">
                  <c:v>2059</c:v>
                </c:pt>
                <c:pt idx="56">
                  <c:v>2060</c:v>
                </c:pt>
                <c:pt idx="57">
                  <c:v>2061</c:v>
                </c:pt>
                <c:pt idx="58">
                  <c:v>2062</c:v>
                </c:pt>
                <c:pt idx="59">
                  <c:v>2063</c:v>
                </c:pt>
                <c:pt idx="60">
                  <c:v>2064</c:v>
                </c:pt>
                <c:pt idx="61">
                  <c:v>2065</c:v>
                </c:pt>
                <c:pt idx="62">
                  <c:v>2066</c:v>
                </c:pt>
                <c:pt idx="63">
                  <c:v>2067</c:v>
                </c:pt>
                <c:pt idx="64">
                  <c:v>2068</c:v>
                </c:pt>
                <c:pt idx="65">
                  <c:v>2069</c:v>
                </c:pt>
                <c:pt idx="66">
                  <c:v>2070</c:v>
                </c:pt>
              </c:numCache>
            </c:numRef>
          </c:xVal>
          <c:yVal>
            <c:numRef>
              <c:f>'Fuel Price Forecasts'!$E$165:$BS$165</c:f>
              <c:numCache>
                <c:formatCode>General</c:formatCode>
                <c:ptCount val="67"/>
                <c:pt idx="2" formatCode="0.00">
                  <c:v>5.4214746355869776</c:v>
                </c:pt>
                <c:pt idx="3" formatCode="0.00">
                  <c:v>5.6080559255037059</c:v>
                </c:pt>
                <c:pt idx="4" formatCode="0.00">
                  <c:v>7.172046985994899</c:v>
                </c:pt>
                <c:pt idx="5" formatCode="0.00">
                  <c:v>3.8719998783090692</c:v>
                </c:pt>
                <c:pt idx="6" formatCode="0.00">
                  <c:v>4.2488054634201395</c:v>
                </c:pt>
                <c:pt idx="7" formatCode="0.00">
                  <c:v>4.2825572654968278</c:v>
                </c:pt>
                <c:pt idx="8" formatCode="0.00">
                  <c:v>6.1444932481921981</c:v>
                </c:pt>
                <c:pt idx="9" formatCode="0.00">
                  <c:v>6.8211247326424651</c:v>
                </c:pt>
                <c:pt idx="10" formatCode="0.00">
                  <c:v>5.7380136552775545</c:v>
                </c:pt>
                <c:pt idx="11" formatCode="0.00">
                  <c:v>5.7335931755808058</c:v>
                </c:pt>
                <c:pt idx="12" formatCode="0.00">
                  <c:v>6.078572672428141</c:v>
                </c:pt>
                <c:pt idx="13" formatCode="0.00">
                  <c:v>6.0584423001086254</c:v>
                </c:pt>
                <c:pt idx="14" formatCode="0.00">
                  <c:v>6.3549193783154196</c:v>
                </c:pt>
                <c:pt idx="15" formatCode="0.00">
                  <c:v>6.0451478969477268</c:v>
                </c:pt>
                <c:pt idx="16" formatCode="0.00">
                  <c:v>6.3605588893496252</c:v>
                </c:pt>
                <c:pt idx="17" formatCode="0.00">
                  <c:v>6.3507383494598777</c:v>
                </c:pt>
                <c:pt idx="18" formatCode="0.00">
                  <c:v>6.5310870681419715</c:v>
                </c:pt>
                <c:pt idx="19" formatCode="0.00">
                  <c:v>6.7978861372619397</c:v>
                </c:pt>
                <c:pt idx="20" formatCode="0.00">
                  <c:v>6.5059892618580717</c:v>
                </c:pt>
                <c:pt idx="21" formatCode="0.00">
                  <c:v>6.7325990907959019</c:v>
                </c:pt>
                <c:pt idx="22" formatCode="0.00">
                  <c:v>6.6838675417895992</c:v>
                </c:pt>
                <c:pt idx="23" formatCode="0.00">
                  <c:v>6.7526790245241353</c:v>
                </c:pt>
                <c:pt idx="24" formatCode="0.00">
                  <c:v>6.7543673481596471</c:v>
                </c:pt>
                <c:pt idx="25" formatCode="0.00">
                  <c:v>6.8337721284812689</c:v>
                </c:pt>
                <c:pt idx="26" formatCode="0.00">
                  <c:v>6.9178067273020449</c:v>
                </c:pt>
                <c:pt idx="27" formatCode="0.00">
                  <c:v>6.931866681876687</c:v>
                </c:pt>
                <c:pt idx="28" formatCode="0.00">
                  <c:v>7.0480227522131136</c:v>
                </c:pt>
                <c:pt idx="29" formatCode="0.00">
                  <c:v>7.1212842309347995</c:v>
                </c:pt>
                <c:pt idx="30" formatCode="0.00">
                  <c:v>6.9486114621240569</c:v>
                </c:pt>
                <c:pt idx="31" formatCode="0.00">
                  <c:v>6.9517603262916614</c:v>
                </c:pt>
                <c:pt idx="32" formatCode="0.00">
                  <c:v>7.2719816252867444</c:v>
                </c:pt>
                <c:pt idx="33" formatCode="0.00">
                  <c:v>7.4057767291413255</c:v>
                </c:pt>
                <c:pt idx="34" formatCode="0.00">
                  <c:v>7.3975067501698755</c:v>
                </c:pt>
                <c:pt idx="35" formatCode="0.00">
                  <c:v>7.6590870306115253</c:v>
                </c:pt>
                <c:pt idx="36" formatCode="0.00">
                  <c:v>6.8628446422663281</c:v>
                </c:pt>
                <c:pt idx="37" formatCode="0.00">
                  <c:v>7.0657752119677681</c:v>
                </c:pt>
                <c:pt idx="38" formatCode="0.00">
                  <c:v>7.2687057816692091</c:v>
                </c:pt>
                <c:pt idx="39" formatCode="0.00">
                  <c:v>7.4716363513706492</c:v>
                </c:pt>
                <c:pt idx="40" formatCode="0.00">
                  <c:v>7.6745669210720857</c:v>
                </c:pt>
                <c:pt idx="41" formatCode="0.00">
                  <c:v>7.8774974907735267</c:v>
                </c:pt>
                <c:pt idx="42" formatCode="0.00">
                  <c:v>7.9833181355106815</c:v>
                </c:pt>
                <c:pt idx="43" formatCode="0.00">
                  <c:v>8.089138780247831</c:v>
                </c:pt>
                <c:pt idx="44" formatCode="0.00">
                  <c:v>8.1949594249849849</c:v>
                </c:pt>
                <c:pt idx="45" formatCode="0.00">
                  <c:v>8.3007800697221388</c:v>
                </c:pt>
                <c:pt idx="46" formatCode="0.00">
                  <c:v>8.4066007144592891</c:v>
                </c:pt>
                <c:pt idx="47" formatCode="0.00">
                  <c:v>8.6110579345654035</c:v>
                </c:pt>
                <c:pt idx="48" formatCode="0.00">
                  <c:v>8.8155151546715143</c:v>
                </c:pt>
                <c:pt idx="49" formatCode="0.00">
                  <c:v>9.0199723747776268</c:v>
                </c:pt>
                <c:pt idx="50" formatCode="0.00">
                  <c:v>9.2244295948837394</c:v>
                </c:pt>
                <c:pt idx="51" formatCode="0.00">
                  <c:v>9.4288868149898537</c:v>
                </c:pt>
                <c:pt idx="52" formatCode="0.00">
                  <c:v>9.5492245605208943</c:v>
                </c:pt>
                <c:pt idx="53" formatCode="0.00">
                  <c:v>9.6695623060519384</c:v>
                </c:pt>
                <c:pt idx="54" formatCode="0.00">
                  <c:v>9.7899000515829826</c:v>
                </c:pt>
                <c:pt idx="55" formatCode="0.00">
                  <c:v>9.9102377971140267</c:v>
                </c:pt>
                <c:pt idx="56" formatCode="0.00">
                  <c:v>10.030575542645074</c:v>
                </c:pt>
                <c:pt idx="57" formatCode="0.00">
                  <c:v>10.133673020206221</c:v>
                </c:pt>
                <c:pt idx="58" formatCode="0.00">
                  <c:v>10.236770497767369</c:v>
                </c:pt>
                <c:pt idx="59" formatCode="0.00">
                  <c:v>10.339867975328517</c:v>
                </c:pt>
                <c:pt idx="60" formatCode="0.00">
                  <c:v>10.442965452889663</c:v>
                </c:pt>
                <c:pt idx="61" formatCode="0.00">
                  <c:v>10.546062930450811</c:v>
                </c:pt>
                <c:pt idx="62" formatCode="0.00">
                  <c:v>10.638676437945808</c:v>
                </c:pt>
                <c:pt idx="63" formatCode="0.00">
                  <c:v>10.731289945440809</c:v>
                </c:pt>
                <c:pt idx="64" formatCode="0.00">
                  <c:v>10.823903452935808</c:v>
                </c:pt>
                <c:pt idx="65" formatCode="0.00">
                  <c:v>10.916516960430808</c:v>
                </c:pt>
                <c:pt idx="66" formatCode="0.00">
                  <c:v>11.009130467925813</c:v>
                </c:pt>
              </c:numCache>
            </c:numRef>
          </c:yVal>
          <c:smooth val="1"/>
        </c:ser>
        <c:ser>
          <c:idx val="4"/>
          <c:order val="3"/>
          <c:tx>
            <c:strRef>
              <c:f>'Fuel Price Forecasts'!$D$179</c:f>
              <c:strCache>
                <c:ptCount val="1"/>
                <c:pt idx="0">
                  <c:v>Reference Case</c:v>
                </c:pt>
              </c:strCache>
            </c:strRef>
          </c:tx>
          <c:spPr>
            <a:ln w="38100">
              <a:solidFill>
                <a:schemeClr val="accent2"/>
              </a:solidFill>
            </a:ln>
          </c:spPr>
          <c:marker>
            <c:symbol val="circle"/>
            <c:size val="9"/>
            <c:spPr>
              <a:solidFill>
                <a:schemeClr val="accent2"/>
              </a:solidFill>
            </c:spPr>
          </c:marker>
          <c:xVal>
            <c:numRef>
              <c:f>'Fuel Price Forecasts'!$E$178:$BS$178</c:f>
              <c:numCache>
                <c:formatCode>General</c:formatCode>
                <c:ptCount val="67"/>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c:v>
                </c:pt>
                <c:pt idx="15">
                  <c:v>2019</c:v>
                </c:pt>
                <c:pt idx="16">
                  <c:v>2020</c:v>
                </c:pt>
                <c:pt idx="17">
                  <c:v>2021</c:v>
                </c:pt>
                <c:pt idx="18">
                  <c:v>2022</c:v>
                </c:pt>
                <c:pt idx="19">
                  <c:v>2023</c:v>
                </c:pt>
                <c:pt idx="20">
                  <c:v>2024</c:v>
                </c:pt>
                <c:pt idx="21">
                  <c:v>2025</c:v>
                </c:pt>
                <c:pt idx="22">
                  <c:v>2026</c:v>
                </c:pt>
                <c:pt idx="23">
                  <c:v>2027</c:v>
                </c:pt>
                <c:pt idx="24">
                  <c:v>2028</c:v>
                </c:pt>
                <c:pt idx="25">
                  <c:v>2029</c:v>
                </c:pt>
                <c:pt idx="26">
                  <c:v>2030</c:v>
                </c:pt>
                <c:pt idx="27">
                  <c:v>2031</c:v>
                </c:pt>
                <c:pt idx="28">
                  <c:v>2032</c:v>
                </c:pt>
                <c:pt idx="29">
                  <c:v>2033</c:v>
                </c:pt>
                <c:pt idx="30">
                  <c:v>2034</c:v>
                </c:pt>
                <c:pt idx="31">
                  <c:v>2035</c:v>
                </c:pt>
                <c:pt idx="32">
                  <c:v>2036</c:v>
                </c:pt>
                <c:pt idx="33">
                  <c:v>2037</c:v>
                </c:pt>
                <c:pt idx="34">
                  <c:v>2038</c:v>
                </c:pt>
                <c:pt idx="35">
                  <c:v>2039</c:v>
                </c:pt>
                <c:pt idx="36">
                  <c:v>2040</c:v>
                </c:pt>
                <c:pt idx="37">
                  <c:v>2041</c:v>
                </c:pt>
                <c:pt idx="38">
                  <c:v>2042</c:v>
                </c:pt>
                <c:pt idx="39">
                  <c:v>2043</c:v>
                </c:pt>
                <c:pt idx="40">
                  <c:v>2044</c:v>
                </c:pt>
                <c:pt idx="41">
                  <c:v>2045</c:v>
                </c:pt>
                <c:pt idx="42">
                  <c:v>2046</c:v>
                </c:pt>
                <c:pt idx="43">
                  <c:v>2047</c:v>
                </c:pt>
                <c:pt idx="44">
                  <c:v>2048</c:v>
                </c:pt>
                <c:pt idx="45">
                  <c:v>2049</c:v>
                </c:pt>
                <c:pt idx="46">
                  <c:v>2050</c:v>
                </c:pt>
                <c:pt idx="47">
                  <c:v>2051</c:v>
                </c:pt>
                <c:pt idx="48">
                  <c:v>2052</c:v>
                </c:pt>
                <c:pt idx="49">
                  <c:v>2053</c:v>
                </c:pt>
                <c:pt idx="50">
                  <c:v>2054</c:v>
                </c:pt>
                <c:pt idx="51">
                  <c:v>2055</c:v>
                </c:pt>
                <c:pt idx="52">
                  <c:v>2056</c:v>
                </c:pt>
                <c:pt idx="53">
                  <c:v>2057</c:v>
                </c:pt>
                <c:pt idx="54">
                  <c:v>2058</c:v>
                </c:pt>
                <c:pt idx="55">
                  <c:v>2059</c:v>
                </c:pt>
                <c:pt idx="56">
                  <c:v>2060</c:v>
                </c:pt>
                <c:pt idx="57">
                  <c:v>2061</c:v>
                </c:pt>
                <c:pt idx="58">
                  <c:v>2062</c:v>
                </c:pt>
                <c:pt idx="59">
                  <c:v>2063</c:v>
                </c:pt>
                <c:pt idx="60">
                  <c:v>2064</c:v>
                </c:pt>
                <c:pt idx="61">
                  <c:v>2065</c:v>
                </c:pt>
                <c:pt idx="62">
                  <c:v>2066</c:v>
                </c:pt>
                <c:pt idx="63">
                  <c:v>2067</c:v>
                </c:pt>
                <c:pt idx="64">
                  <c:v>2068</c:v>
                </c:pt>
                <c:pt idx="65">
                  <c:v>2069</c:v>
                </c:pt>
                <c:pt idx="66">
                  <c:v>2070</c:v>
                </c:pt>
              </c:numCache>
            </c:numRef>
          </c:xVal>
          <c:yVal>
            <c:numRef>
              <c:f>'Fuel Price Forecasts'!$E$179:$BS$179</c:f>
              <c:numCache>
                <c:formatCode>General</c:formatCode>
                <c:ptCount val="67"/>
                <c:pt idx="2" formatCode="0.00">
                  <c:v>5.4214746355869776</c:v>
                </c:pt>
                <c:pt idx="3" formatCode="0.00">
                  <c:v>5.6080559255037059</c:v>
                </c:pt>
                <c:pt idx="4" formatCode="0.00">
                  <c:v>7.172046985994899</c:v>
                </c:pt>
                <c:pt idx="5" formatCode="0.00">
                  <c:v>3.8719998783090692</c:v>
                </c:pt>
                <c:pt idx="6" formatCode="0.00">
                  <c:v>4.2488054634201395</c:v>
                </c:pt>
                <c:pt idx="7" formatCode="0.00">
                  <c:v>4.1462161746245494</c:v>
                </c:pt>
                <c:pt idx="8" formatCode="0.00">
                  <c:v>3.2575954889807095</c:v>
                </c:pt>
                <c:pt idx="9" formatCode="0.00">
                  <c:v>4.3591390262283536</c:v>
                </c:pt>
                <c:pt idx="10" formatCode="0.00">
                  <c:v>4.4966877514043526</c:v>
                </c:pt>
                <c:pt idx="11" formatCode="0.00">
                  <c:v>4.5819683435863396</c:v>
                </c:pt>
                <c:pt idx="12" formatCode="0.00">
                  <c:v>4.9030615901790968</c:v>
                </c:pt>
                <c:pt idx="13" formatCode="0.00">
                  <c:v>5.1949310347856859</c:v>
                </c:pt>
                <c:pt idx="14" formatCode="0.00">
                  <c:v>5.0469028366097346</c:v>
                </c:pt>
                <c:pt idx="15" formatCode="0.00">
                  <c:v>5.169168012187038</c:v>
                </c:pt>
                <c:pt idx="16" formatCode="0.00">
                  <c:v>5.2777788563245904</c:v>
                </c:pt>
                <c:pt idx="17" formatCode="0.00">
                  <c:v>5.3240260673245663</c:v>
                </c:pt>
                <c:pt idx="18" formatCode="0.00">
                  <c:v>5.4273860554609232</c:v>
                </c:pt>
                <c:pt idx="19" formatCode="0.00">
                  <c:v>5.6559713343690756</c:v>
                </c:pt>
                <c:pt idx="20" formatCode="0.00">
                  <c:v>5.7362278143448311</c:v>
                </c:pt>
                <c:pt idx="21" formatCode="0.00">
                  <c:v>5.8499718456576169</c:v>
                </c:pt>
                <c:pt idx="22" formatCode="0.00">
                  <c:v>5.907254475737485</c:v>
                </c:pt>
                <c:pt idx="23" formatCode="0.00">
                  <c:v>6.066187014853182</c:v>
                </c:pt>
                <c:pt idx="24" formatCode="0.00">
                  <c:v>6.2049108049053983</c:v>
                </c:pt>
                <c:pt idx="25" formatCode="0.00">
                  <c:v>6.2597027285878744</c:v>
                </c:pt>
                <c:pt idx="26" formatCode="0.00">
                  <c:v>6.3781965929079778</c:v>
                </c:pt>
                <c:pt idx="27" formatCode="0.00">
                  <c:v>6.4600241957332223</c:v>
                </c:pt>
                <c:pt idx="28" formatCode="0.00">
                  <c:v>6.5520679314312424</c:v>
                </c:pt>
                <c:pt idx="29" formatCode="0.00">
                  <c:v>6.6643419062275742</c:v>
                </c:pt>
                <c:pt idx="30" formatCode="0.00">
                  <c:v>6.7452638060033188</c:v>
                </c:pt>
                <c:pt idx="31" formatCode="0.00">
                  <c:v>6.8198172683570855</c:v>
                </c:pt>
                <c:pt idx="32" formatCode="0.00">
                  <c:v>6.8827730948965886</c:v>
                </c:pt>
                <c:pt idx="33" formatCode="0.00">
                  <c:v>6.9682738854290083</c:v>
                </c:pt>
                <c:pt idx="34" formatCode="0.00">
                  <c:v>7.0614831522123742</c:v>
                </c:pt>
                <c:pt idx="35" formatCode="0.00">
                  <c:v>7.219277448099028</c:v>
                </c:pt>
                <c:pt idx="36" formatCode="0.00">
                  <c:v>7.239743203473842</c:v>
                </c:pt>
                <c:pt idx="37" formatCode="0.00">
                  <c:v>7.2823434234296984</c:v>
                </c:pt>
                <c:pt idx="38" formatCode="0.00">
                  <c:v>7.3220742657928435</c:v>
                </c:pt>
                <c:pt idx="39" formatCode="0.00">
                  <c:v>7.359011670289255</c:v>
                </c:pt>
                <c:pt idx="40" formatCode="0.00">
                  <c:v>7.3932299523072951</c:v>
                </c:pt>
                <c:pt idx="41" formatCode="0.00">
                  <c:v>7.4248018344192852</c:v>
                </c:pt>
                <c:pt idx="42" formatCode="0.00">
                  <c:v>7.4674864543184638</c:v>
                </c:pt>
                <c:pt idx="43" formatCode="0.00">
                  <c:v>7.5072582364468721</c:v>
                </c:pt>
                <c:pt idx="44" formatCode="0.00">
                  <c:v>7.5441943948282004</c:v>
                </c:pt>
                <c:pt idx="45" formatCode="0.00">
                  <c:v>7.5783704908539313</c:v>
                </c:pt>
                <c:pt idx="46" formatCode="0.00">
                  <c:v>7.6098604653647284</c:v>
                </c:pt>
                <c:pt idx="47" formatCode="0.00">
                  <c:v>7.7584648421307172</c:v>
                </c:pt>
                <c:pt idx="48" formatCode="0.00">
                  <c:v>7.9009642382771155</c:v>
                </c:pt>
                <c:pt idx="49" formatCode="0.00">
                  <c:v>8.037507398910364</c:v>
                </c:pt>
                <c:pt idx="50" formatCode="0.00">
                  <c:v>8.1682399947481095</c:v>
                </c:pt>
                <c:pt idx="51" formatCode="0.00">
                  <c:v>8.2933046806707491</c:v>
                </c:pt>
                <c:pt idx="52" formatCode="0.00">
                  <c:v>8.4414792571984272</c:v>
                </c:pt>
                <c:pt idx="53" formatCode="0.00">
                  <c:v>8.5834104095185619</c:v>
                </c:pt>
                <c:pt idx="54" formatCode="0.00">
                  <c:v>8.7192510966449355</c:v>
                </c:pt>
                <c:pt idx="55" formatCode="0.00">
                  <c:v>8.8491511084699521</c:v>
                </c:pt>
                <c:pt idx="56" formatCode="0.00">
                  <c:v>8.9732571262021104</c:v>
                </c:pt>
                <c:pt idx="57" formatCode="0.00">
                  <c:v>9.1034340100081383</c:v>
                </c:pt>
                <c:pt idx="58" formatCode="0.00">
                  <c:v>9.2277524568809142</c:v>
                </c:pt>
                <c:pt idx="59" formatCode="0.00">
                  <c:v>9.3463579546440059</c:v>
                </c:pt>
                <c:pt idx="60" formatCode="0.00">
                  <c:v>9.4593929590843988</c:v>
                </c:pt>
                <c:pt idx="61" formatCode="0.00">
                  <c:v>9.5669969519647839</c:v>
                </c:pt>
                <c:pt idx="62" formatCode="0.00">
                  <c:v>9.7616584568716824</c:v>
                </c:pt>
                <c:pt idx="63" formatCode="0.00">
                  <c:v>9.9484116771787932</c:v>
                </c:pt>
                <c:pt idx="64" formatCode="0.00">
                  <c:v>10.127448816280435</c:v>
                </c:pt>
                <c:pt idx="65" formatCode="0.00">
                  <c:v>10.298958109294551</c:v>
                </c:pt>
                <c:pt idx="66" formatCode="0.00">
                  <c:v>10.463123898591773</c:v>
                </c:pt>
              </c:numCache>
            </c:numRef>
          </c:yVal>
          <c:smooth val="1"/>
        </c:ser>
        <c:ser>
          <c:idx val="1"/>
          <c:order val="4"/>
          <c:tx>
            <c:strRef>
              <c:f>'Fuel Price Forecasts'!$D$167</c:f>
              <c:strCache>
                <c:ptCount val="1"/>
                <c:pt idx="0">
                  <c:v>Old Low Gas Price Case</c:v>
                </c:pt>
              </c:strCache>
            </c:strRef>
          </c:tx>
          <c:spPr>
            <a:ln w="31750">
              <a:solidFill>
                <a:schemeClr val="bg1">
                  <a:lumMod val="50000"/>
                </a:schemeClr>
              </a:solidFill>
            </a:ln>
          </c:spPr>
          <c:marker>
            <c:symbol val="square"/>
            <c:size val="6"/>
            <c:spPr>
              <a:solidFill>
                <a:schemeClr val="bg1">
                  <a:lumMod val="50000"/>
                </a:schemeClr>
              </a:solidFill>
              <a:ln>
                <a:solidFill>
                  <a:schemeClr val="tx1">
                    <a:lumMod val="50000"/>
                    <a:lumOff val="50000"/>
                  </a:schemeClr>
                </a:solidFill>
              </a:ln>
            </c:spPr>
          </c:marker>
          <c:xVal>
            <c:numRef>
              <c:f>'Fuel Price Forecasts'!$E$178:$BS$178</c:f>
              <c:numCache>
                <c:formatCode>General</c:formatCode>
                <c:ptCount val="67"/>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c:v>
                </c:pt>
                <c:pt idx="15">
                  <c:v>2019</c:v>
                </c:pt>
                <c:pt idx="16">
                  <c:v>2020</c:v>
                </c:pt>
                <c:pt idx="17">
                  <c:v>2021</c:v>
                </c:pt>
                <c:pt idx="18">
                  <c:v>2022</c:v>
                </c:pt>
                <c:pt idx="19">
                  <c:v>2023</c:v>
                </c:pt>
                <c:pt idx="20">
                  <c:v>2024</c:v>
                </c:pt>
                <c:pt idx="21">
                  <c:v>2025</c:v>
                </c:pt>
                <c:pt idx="22">
                  <c:v>2026</c:v>
                </c:pt>
                <c:pt idx="23">
                  <c:v>2027</c:v>
                </c:pt>
                <c:pt idx="24">
                  <c:v>2028</c:v>
                </c:pt>
                <c:pt idx="25">
                  <c:v>2029</c:v>
                </c:pt>
                <c:pt idx="26">
                  <c:v>2030</c:v>
                </c:pt>
                <c:pt idx="27">
                  <c:v>2031</c:v>
                </c:pt>
                <c:pt idx="28">
                  <c:v>2032</c:v>
                </c:pt>
                <c:pt idx="29">
                  <c:v>2033</c:v>
                </c:pt>
                <c:pt idx="30">
                  <c:v>2034</c:v>
                </c:pt>
                <c:pt idx="31">
                  <c:v>2035</c:v>
                </c:pt>
                <c:pt idx="32">
                  <c:v>2036</c:v>
                </c:pt>
                <c:pt idx="33">
                  <c:v>2037</c:v>
                </c:pt>
                <c:pt idx="34">
                  <c:v>2038</c:v>
                </c:pt>
                <c:pt idx="35">
                  <c:v>2039</c:v>
                </c:pt>
                <c:pt idx="36">
                  <c:v>2040</c:v>
                </c:pt>
                <c:pt idx="37">
                  <c:v>2041</c:v>
                </c:pt>
                <c:pt idx="38">
                  <c:v>2042</c:v>
                </c:pt>
                <c:pt idx="39">
                  <c:v>2043</c:v>
                </c:pt>
                <c:pt idx="40">
                  <c:v>2044</c:v>
                </c:pt>
                <c:pt idx="41">
                  <c:v>2045</c:v>
                </c:pt>
                <c:pt idx="42">
                  <c:v>2046</c:v>
                </c:pt>
                <c:pt idx="43">
                  <c:v>2047</c:v>
                </c:pt>
                <c:pt idx="44">
                  <c:v>2048</c:v>
                </c:pt>
                <c:pt idx="45">
                  <c:v>2049</c:v>
                </c:pt>
                <c:pt idx="46">
                  <c:v>2050</c:v>
                </c:pt>
                <c:pt idx="47">
                  <c:v>2051</c:v>
                </c:pt>
                <c:pt idx="48">
                  <c:v>2052</c:v>
                </c:pt>
                <c:pt idx="49">
                  <c:v>2053</c:v>
                </c:pt>
                <c:pt idx="50">
                  <c:v>2054</c:v>
                </c:pt>
                <c:pt idx="51">
                  <c:v>2055</c:v>
                </c:pt>
                <c:pt idx="52">
                  <c:v>2056</c:v>
                </c:pt>
                <c:pt idx="53">
                  <c:v>2057</c:v>
                </c:pt>
                <c:pt idx="54">
                  <c:v>2058</c:v>
                </c:pt>
                <c:pt idx="55">
                  <c:v>2059</c:v>
                </c:pt>
                <c:pt idx="56">
                  <c:v>2060</c:v>
                </c:pt>
                <c:pt idx="57">
                  <c:v>2061</c:v>
                </c:pt>
                <c:pt idx="58">
                  <c:v>2062</c:v>
                </c:pt>
                <c:pt idx="59">
                  <c:v>2063</c:v>
                </c:pt>
                <c:pt idx="60">
                  <c:v>2064</c:v>
                </c:pt>
                <c:pt idx="61">
                  <c:v>2065</c:v>
                </c:pt>
                <c:pt idx="62">
                  <c:v>2066</c:v>
                </c:pt>
                <c:pt idx="63">
                  <c:v>2067</c:v>
                </c:pt>
                <c:pt idx="64">
                  <c:v>2068</c:v>
                </c:pt>
                <c:pt idx="65">
                  <c:v>2069</c:v>
                </c:pt>
                <c:pt idx="66">
                  <c:v>2070</c:v>
                </c:pt>
              </c:numCache>
            </c:numRef>
          </c:xVal>
          <c:yVal>
            <c:numRef>
              <c:f>'Fuel Price Forecasts'!$E$167:$BS$167</c:f>
              <c:numCache>
                <c:formatCode>General</c:formatCode>
                <c:ptCount val="67"/>
                <c:pt idx="0">
                  <c:v>0</c:v>
                </c:pt>
                <c:pt idx="1">
                  <c:v>0</c:v>
                </c:pt>
                <c:pt idx="2" formatCode="0.00">
                  <c:v>4.4524108076059852</c:v>
                </c:pt>
                <c:pt idx="3" formatCode="0.00">
                  <c:v>4.5506223148839773</c:v>
                </c:pt>
                <c:pt idx="4" formatCode="0.00">
                  <c:v>5.7529677874372922</c:v>
                </c:pt>
                <c:pt idx="5" formatCode="0.00">
                  <c:v>2.7979033739281056</c:v>
                </c:pt>
                <c:pt idx="6" formatCode="0.00">
                  <c:v>2.890633397576952</c:v>
                </c:pt>
                <c:pt idx="7" formatCode="0.00">
                  <c:v>2.787165044214658</c:v>
                </c:pt>
                <c:pt idx="8" formatCode="0.00">
                  <c:v>3.8620183036605251</c:v>
                </c:pt>
                <c:pt idx="9" formatCode="0.00">
                  <c:v>4.16667680496841</c:v>
                </c:pt>
                <c:pt idx="10" formatCode="0.00">
                  <c:v>3.4216654500124735</c:v>
                </c:pt>
                <c:pt idx="11" formatCode="0.00">
                  <c:v>3.3487510025580156</c:v>
                </c:pt>
                <c:pt idx="12" formatCode="0.00">
                  <c:v>3.486138875041207</c:v>
                </c:pt>
                <c:pt idx="13" formatCode="0.00">
                  <c:v>3.4187557001255779</c:v>
                </c:pt>
                <c:pt idx="14" formatCode="0.00">
                  <c:v>3.5342057641982314</c:v>
                </c:pt>
                <c:pt idx="15" formatCode="0.00">
                  <c:v>3.3178003358145305</c:v>
                </c:pt>
                <c:pt idx="16" formatCode="0.00">
                  <c:v>3.4489934002437441</c:v>
                </c:pt>
                <c:pt idx="17" formatCode="0.00">
                  <c:v>3.4055988985995014</c:v>
                </c:pt>
                <c:pt idx="18" formatCode="0.00">
                  <c:v>3.4664641092342809</c:v>
                </c:pt>
                <c:pt idx="19" formatCode="0.00">
                  <c:v>3.5737115975660223</c:v>
                </c:pt>
                <c:pt idx="20" formatCode="0.00">
                  <c:v>3.3898230038400921</c:v>
                </c:pt>
                <c:pt idx="21" formatCode="0.00">
                  <c:v>3.4786128812117725</c:v>
                </c:pt>
                <c:pt idx="22" formatCode="0.00">
                  <c:v>3.4263016463966296</c:v>
                </c:pt>
                <c:pt idx="23" formatCode="0.00">
                  <c:v>3.4358985731487088</c:v>
                </c:pt>
                <c:pt idx="24" formatCode="0.00">
                  <c:v>3.4126212113804693</c:v>
                </c:pt>
                <c:pt idx="25" formatCode="0.00">
                  <c:v>3.4297240844442549</c:v>
                </c:pt>
                <c:pt idx="26" formatCode="0.00">
                  <c:v>3.4498810888562286</c:v>
                </c:pt>
                <c:pt idx="27" formatCode="0.00">
                  <c:v>3.428820920985356</c:v>
                </c:pt>
                <c:pt idx="28" formatCode="0.00">
                  <c:v>3.4588425718343414</c:v>
                </c:pt>
                <c:pt idx="29" formatCode="0.00">
                  <c:v>3.4674576353283788</c:v>
                </c:pt>
                <c:pt idx="30" formatCode="0.00">
                  <c:v>3.3573562639517132</c:v>
                </c:pt>
                <c:pt idx="31" formatCode="0.00">
                  <c:v>3.333259174503576</c:v>
                </c:pt>
                <c:pt idx="32" formatCode="0.00">
                  <c:v>3.4608582269424488</c:v>
                </c:pt>
                <c:pt idx="33" formatCode="0.00">
                  <c:v>3.4983394113003277</c:v>
                </c:pt>
                <c:pt idx="34" formatCode="0.00">
                  <c:v>3.4685420091495498</c:v>
                </c:pt>
                <c:pt idx="35" formatCode="0.00">
                  <c:v>3.5645650092961096</c:v>
                </c:pt>
                <c:pt idx="36" formatCode="0.00">
                  <c:v>3.1700458186953755</c:v>
                </c:pt>
                <c:pt idx="37" formatCode="0.00">
                  <c:v>3.2389272652906498</c:v>
                </c:pt>
                <c:pt idx="38" formatCode="0.00">
                  <c:v>3.3066964195754855</c:v>
                </c:pt>
                <c:pt idx="39" formatCode="0.00">
                  <c:v>3.3733096758696024</c:v>
                </c:pt>
                <c:pt idx="40" formatCode="0.00">
                  <c:v>3.4388152927162987</c:v>
                </c:pt>
                <c:pt idx="41" formatCode="0.00">
                  <c:v>3.5032065374349228</c:v>
                </c:pt>
                <c:pt idx="42" formatCode="0.00">
                  <c:v>3.5236383263087814</c:v>
                </c:pt>
                <c:pt idx="43" formatCode="0.00">
                  <c:v>3.5435446088303801</c:v>
                </c:pt>
                <c:pt idx="44" formatCode="0.00">
                  <c:v>3.5629352296997099</c:v>
                </c:pt>
                <c:pt idx="45" formatCode="0.00">
                  <c:v>3.5818005448839139</c:v>
                </c:pt>
                <c:pt idx="46" formatCode="0.00">
                  <c:v>3.6001361707206545</c:v>
                </c:pt>
                <c:pt idx="47" formatCode="0.00">
                  <c:v>3.6598973607598375</c:v>
                </c:pt>
                <c:pt idx="48" formatCode="0.00">
                  <c:v>3.7185769213423665</c:v>
                </c:pt>
                <c:pt idx="49" formatCode="0.00">
                  <c:v>3.7761816445225773</c:v>
                </c:pt>
                <c:pt idx="50" formatCode="0.00">
                  <c:v>3.832723921193367</c:v>
                </c:pt>
                <c:pt idx="51" formatCode="0.00">
                  <c:v>3.8882093494513472</c:v>
                </c:pt>
                <c:pt idx="52" formatCode="0.00">
                  <c:v>3.9082164791454752</c:v>
                </c:pt>
                <c:pt idx="53" formatCode="0.00">
                  <c:v>3.9276946431903186</c:v>
                </c:pt>
                <c:pt idx="54" formatCode="0.00">
                  <c:v>3.9466520793478024</c:v>
                </c:pt>
                <c:pt idx="55" formatCode="0.00">
                  <c:v>3.9650960239841844</c:v>
                </c:pt>
                <c:pt idx="56" formatCode="0.00">
                  <c:v>3.9830358391767082</c:v>
                </c:pt>
                <c:pt idx="57" formatCode="0.00">
                  <c:v>3.9936885174780916</c:v>
                </c:pt>
                <c:pt idx="58" formatCode="0.00">
                  <c:v>4.0039596215241247</c:v>
                </c:pt>
                <c:pt idx="59" formatCode="0.00">
                  <c:v>4.0138526814989932</c:v>
                </c:pt>
                <c:pt idx="60" formatCode="0.00">
                  <c:v>4.0233715173968623</c:v>
                </c:pt>
                <c:pt idx="61" formatCode="0.00">
                  <c:v>4.0325196551058147</c:v>
                </c:pt>
                <c:pt idx="62" formatCode="0.00">
                  <c:v>4.0373225597027531</c:v>
                </c:pt>
                <c:pt idx="63" formatCode="0.00">
                  <c:v>4.0418233660813989</c:v>
                </c:pt>
                <c:pt idx="64" formatCode="0.00">
                  <c:v>4.0460269724144009</c:v>
                </c:pt>
                <c:pt idx="65" formatCode="0.00">
                  <c:v>4.0499381275784652</c:v>
                </c:pt>
                <c:pt idx="66" formatCode="0.00">
                  <c:v>4.0535615691671731</c:v>
                </c:pt>
              </c:numCache>
            </c:numRef>
          </c:yVal>
          <c:smooth val="1"/>
        </c:ser>
        <c:ser>
          <c:idx val="0"/>
          <c:order val="5"/>
          <c:tx>
            <c:strRef>
              <c:f>'Fuel Price Forecasts'!$D$181</c:f>
              <c:strCache>
                <c:ptCount val="1"/>
                <c:pt idx="0">
                  <c:v>Low Gas Price Case</c:v>
                </c:pt>
              </c:strCache>
            </c:strRef>
          </c:tx>
          <c:spPr>
            <a:ln w="38100">
              <a:solidFill>
                <a:schemeClr val="accent2"/>
              </a:solidFill>
            </a:ln>
          </c:spPr>
          <c:marker>
            <c:symbol val="square"/>
            <c:size val="7"/>
            <c:spPr>
              <a:solidFill>
                <a:schemeClr val="accent2"/>
              </a:solidFill>
              <a:ln>
                <a:solidFill>
                  <a:schemeClr val="tx1"/>
                </a:solidFill>
              </a:ln>
            </c:spPr>
          </c:marker>
          <c:xVal>
            <c:numRef>
              <c:f>'Fuel Price Forecasts'!$E$178:$BS$178</c:f>
              <c:numCache>
                <c:formatCode>General</c:formatCode>
                <c:ptCount val="67"/>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c:v>
                </c:pt>
                <c:pt idx="15">
                  <c:v>2019</c:v>
                </c:pt>
                <c:pt idx="16">
                  <c:v>2020</c:v>
                </c:pt>
                <c:pt idx="17">
                  <c:v>2021</c:v>
                </c:pt>
                <c:pt idx="18">
                  <c:v>2022</c:v>
                </c:pt>
                <c:pt idx="19">
                  <c:v>2023</c:v>
                </c:pt>
                <c:pt idx="20">
                  <c:v>2024</c:v>
                </c:pt>
                <c:pt idx="21">
                  <c:v>2025</c:v>
                </c:pt>
                <c:pt idx="22">
                  <c:v>2026</c:v>
                </c:pt>
                <c:pt idx="23">
                  <c:v>2027</c:v>
                </c:pt>
                <c:pt idx="24">
                  <c:v>2028</c:v>
                </c:pt>
                <c:pt idx="25">
                  <c:v>2029</c:v>
                </c:pt>
                <c:pt idx="26">
                  <c:v>2030</c:v>
                </c:pt>
                <c:pt idx="27">
                  <c:v>2031</c:v>
                </c:pt>
                <c:pt idx="28">
                  <c:v>2032</c:v>
                </c:pt>
                <c:pt idx="29">
                  <c:v>2033</c:v>
                </c:pt>
                <c:pt idx="30">
                  <c:v>2034</c:v>
                </c:pt>
                <c:pt idx="31">
                  <c:v>2035</c:v>
                </c:pt>
                <c:pt idx="32">
                  <c:v>2036</c:v>
                </c:pt>
                <c:pt idx="33">
                  <c:v>2037</c:v>
                </c:pt>
                <c:pt idx="34">
                  <c:v>2038</c:v>
                </c:pt>
                <c:pt idx="35">
                  <c:v>2039</c:v>
                </c:pt>
                <c:pt idx="36">
                  <c:v>2040</c:v>
                </c:pt>
                <c:pt idx="37">
                  <c:v>2041</c:v>
                </c:pt>
                <c:pt idx="38">
                  <c:v>2042</c:v>
                </c:pt>
                <c:pt idx="39">
                  <c:v>2043</c:v>
                </c:pt>
                <c:pt idx="40">
                  <c:v>2044</c:v>
                </c:pt>
                <c:pt idx="41">
                  <c:v>2045</c:v>
                </c:pt>
                <c:pt idx="42">
                  <c:v>2046</c:v>
                </c:pt>
                <c:pt idx="43">
                  <c:v>2047</c:v>
                </c:pt>
                <c:pt idx="44">
                  <c:v>2048</c:v>
                </c:pt>
                <c:pt idx="45">
                  <c:v>2049</c:v>
                </c:pt>
                <c:pt idx="46">
                  <c:v>2050</c:v>
                </c:pt>
                <c:pt idx="47">
                  <c:v>2051</c:v>
                </c:pt>
                <c:pt idx="48">
                  <c:v>2052</c:v>
                </c:pt>
                <c:pt idx="49">
                  <c:v>2053</c:v>
                </c:pt>
                <c:pt idx="50">
                  <c:v>2054</c:v>
                </c:pt>
                <c:pt idx="51">
                  <c:v>2055</c:v>
                </c:pt>
                <c:pt idx="52">
                  <c:v>2056</c:v>
                </c:pt>
                <c:pt idx="53">
                  <c:v>2057</c:v>
                </c:pt>
                <c:pt idx="54">
                  <c:v>2058</c:v>
                </c:pt>
                <c:pt idx="55">
                  <c:v>2059</c:v>
                </c:pt>
                <c:pt idx="56">
                  <c:v>2060</c:v>
                </c:pt>
                <c:pt idx="57">
                  <c:v>2061</c:v>
                </c:pt>
                <c:pt idx="58">
                  <c:v>2062</c:v>
                </c:pt>
                <c:pt idx="59">
                  <c:v>2063</c:v>
                </c:pt>
                <c:pt idx="60">
                  <c:v>2064</c:v>
                </c:pt>
                <c:pt idx="61">
                  <c:v>2065</c:v>
                </c:pt>
                <c:pt idx="62">
                  <c:v>2066</c:v>
                </c:pt>
                <c:pt idx="63">
                  <c:v>2067</c:v>
                </c:pt>
                <c:pt idx="64">
                  <c:v>2068</c:v>
                </c:pt>
                <c:pt idx="65">
                  <c:v>2069</c:v>
                </c:pt>
                <c:pt idx="66">
                  <c:v>2070</c:v>
                </c:pt>
              </c:numCache>
            </c:numRef>
          </c:xVal>
          <c:yVal>
            <c:numRef>
              <c:f>'Fuel Price Forecasts'!$E$181:$BS$181</c:f>
              <c:numCache>
                <c:formatCode>General</c:formatCode>
                <c:ptCount val="67"/>
                <c:pt idx="2" formatCode="0.00">
                  <c:v>4.4524108076059852</c:v>
                </c:pt>
                <c:pt idx="3" formatCode="0.00">
                  <c:v>4.5506223148839773</c:v>
                </c:pt>
                <c:pt idx="4" formatCode="0.00">
                  <c:v>5.7529677874372922</c:v>
                </c:pt>
                <c:pt idx="5" formatCode="0.00">
                  <c:v>2.7979033739281056</c:v>
                </c:pt>
                <c:pt idx="6" formatCode="0.00">
                  <c:v>2.890633397576952</c:v>
                </c:pt>
                <c:pt idx="7" formatCode="0.00">
                  <c:v>2.6984318180110329</c:v>
                </c:pt>
                <c:pt idx="8" formatCode="0.00">
                  <c:v>2.0475070760419416</c:v>
                </c:pt>
                <c:pt idx="9" formatCode="0.00">
                  <c:v>2.6627754486439326</c:v>
                </c:pt>
                <c:pt idx="10" formatCode="0.00">
                  <c:v>2.6814437962034279</c:v>
                </c:pt>
                <c:pt idx="11" formatCode="0.00">
                  <c:v>2.6761352984761655</c:v>
                </c:pt>
                <c:pt idx="12" formatCode="0.00">
                  <c:v>2.811968292124877</c:v>
                </c:pt>
                <c:pt idx="13" formatCode="0.00">
                  <c:v>2.9314796126084093</c:v>
                </c:pt>
                <c:pt idx="14" formatCode="0.00">
                  <c:v>2.8067693757623653</c:v>
                </c:pt>
                <c:pt idx="15" formatCode="0.00">
                  <c:v>2.837030236328093</c:v>
                </c:pt>
                <c:pt idx="16" formatCode="0.00">
                  <c:v>2.8618592737014605</c:v>
                </c:pt>
                <c:pt idx="17" formatCode="0.00">
                  <c:v>2.8550219381243505</c:v>
                </c:pt>
                <c:pt idx="18" formatCode="0.00">
                  <c:v>2.8806596469959871</c:v>
                </c:pt>
                <c:pt idx="19" formatCode="0.00">
                  <c:v>2.9733964272130446</c:v>
                </c:pt>
                <c:pt idx="20" formatCode="0.00">
                  <c:v>2.9887533190886582</c:v>
                </c:pt>
                <c:pt idx="21" formatCode="0.00">
                  <c:v>3.0225752554984111</c:v>
                </c:pt>
                <c:pt idx="22" formatCode="0.00">
                  <c:v>3.0281922269339216</c:v>
                </c:pt>
                <c:pt idx="23" formatCode="0.00">
                  <c:v>3.0865976648810243</c:v>
                </c:pt>
                <c:pt idx="24" formatCode="0.00">
                  <c:v>3.1350101550685641</c:v>
                </c:pt>
                <c:pt idx="25" formatCode="0.00">
                  <c:v>3.1416109296682846</c:v>
                </c:pt>
                <c:pt idx="26" formatCode="0.00">
                  <c:v>3.1807797867550516</c:v>
                </c:pt>
                <c:pt idx="27" formatCode="0.00">
                  <c:v>3.1954258685201458</c:v>
                </c:pt>
                <c:pt idx="28" formatCode="0.00">
                  <c:v>3.2154509557547599</c:v>
                </c:pt>
                <c:pt idx="29" formatCode="0.00">
                  <c:v>3.2449657221664201</c:v>
                </c:pt>
                <c:pt idx="30" formatCode="0.00">
                  <c:v>3.2591049038406714</c:v>
                </c:pt>
                <c:pt idx="31" formatCode="0.00">
                  <c:v>3.2699945641416295</c:v>
                </c:pt>
                <c:pt idx="32" formatCode="0.00">
                  <c:v>3.2756273485099374</c:v>
                </c:pt>
                <c:pt idx="33" formatCode="0.00">
                  <c:v>3.2916719006944244</c:v>
                </c:pt>
                <c:pt idx="34" formatCode="0.00">
                  <c:v>3.3109873079585834</c:v>
                </c:pt>
                <c:pt idx="35" formatCode="0.00">
                  <c:v>3.3598761420314682</c:v>
                </c:pt>
                <c:pt idx="36" formatCode="0.00">
                  <c:v>3.3441406394741868</c:v>
                </c:pt>
                <c:pt idx="37" formatCode="0.00">
                  <c:v>3.3382013950013127</c:v>
                </c:pt>
                <c:pt idx="38" formatCode="0.00">
                  <c:v>3.3309749336150603</c:v>
                </c:pt>
                <c:pt idx="39" formatCode="0.00">
                  <c:v>3.3224616542894427</c:v>
                </c:pt>
                <c:pt idx="40" formatCode="0.00">
                  <c:v>3.3127539943336579</c:v>
                </c:pt>
                <c:pt idx="41" formatCode="0.00">
                  <c:v>3.3018879861226522</c:v>
                </c:pt>
                <c:pt idx="42" formatCode="0.00">
                  <c:v>3.2959630350425737</c:v>
                </c:pt>
                <c:pt idx="43" formatCode="0.00">
                  <c:v>3.2886448327251658</c:v>
                </c:pt>
                <c:pt idx="44" formatCode="0.00">
                  <c:v>3.280001107398494</c:v>
                </c:pt>
                <c:pt idx="45" formatCode="0.00">
                  <c:v>3.2700795979987234</c:v>
                </c:pt>
                <c:pt idx="46" formatCode="0.00">
                  <c:v>3.2589312667574233</c:v>
                </c:pt>
                <c:pt idx="47" formatCode="0.00">
                  <c:v>3.2975257180981092</c:v>
                </c:pt>
                <c:pt idx="48" formatCode="0.00">
                  <c:v>3.3327993608223143</c:v>
                </c:pt>
                <c:pt idx="49" formatCode="0.00">
                  <c:v>3.3648759271535988</c:v>
                </c:pt>
                <c:pt idx="50" formatCode="0.00">
                  <c:v>3.393880185207705</c:v>
                </c:pt>
                <c:pt idx="51" formatCode="0.00">
                  <c:v>3.4199270210740496</c:v>
                </c:pt>
                <c:pt idx="52" formatCode="0.00">
                  <c:v>3.4548489390166766</c:v>
                </c:pt>
                <c:pt idx="53" formatCode="0.00">
                  <c:v>3.486508904820846</c:v>
                </c:pt>
                <c:pt idx="54" formatCode="0.00">
                  <c:v>3.5150359339332691</c:v>
                </c:pt>
                <c:pt idx="55" formatCode="0.00">
                  <c:v>3.5405541818630617</c:v>
                </c:pt>
                <c:pt idx="56" formatCode="0.00">
                  <c:v>3.5631858387246558</c:v>
                </c:pt>
                <c:pt idx="57" formatCode="0.00">
                  <c:v>3.587670512251163</c:v>
                </c:pt>
                <c:pt idx="58" formatCode="0.00">
                  <c:v>3.6092973113766145</c:v>
                </c:pt>
                <c:pt idx="59" formatCode="0.00">
                  <c:v>3.6281801690321274</c:v>
                </c:pt>
                <c:pt idx="60" formatCode="0.00">
                  <c:v>3.6444295803845086</c:v>
                </c:pt>
                <c:pt idx="61" formatCode="0.00">
                  <c:v>3.6581521941938835</c:v>
                </c:pt>
                <c:pt idx="62" formatCode="0.00">
                  <c:v>3.7044987821484083</c:v>
                </c:pt>
                <c:pt idx="63" formatCode="0.00">
                  <c:v>3.7469608012316731</c:v>
                </c:pt>
                <c:pt idx="64" formatCode="0.00">
                  <c:v>3.7856888922362737</c:v>
                </c:pt>
                <c:pt idx="65" formatCode="0.00">
                  <c:v>3.8208288662356811</c:v>
                </c:pt>
                <c:pt idx="66" formatCode="0.00">
                  <c:v>3.8525219636857542</c:v>
                </c:pt>
              </c:numCache>
            </c:numRef>
          </c:yVal>
          <c:smooth val="1"/>
        </c:ser>
        <c:dLbls>
          <c:showLegendKey val="0"/>
          <c:showVal val="0"/>
          <c:showCatName val="0"/>
          <c:showSerName val="0"/>
          <c:showPercent val="0"/>
          <c:showBubbleSize val="0"/>
        </c:dLbls>
        <c:axId val="303827968"/>
        <c:axId val="303842816"/>
      </c:scatterChart>
      <c:valAx>
        <c:axId val="303827968"/>
        <c:scaling>
          <c:orientation val="minMax"/>
          <c:max val="2052"/>
          <c:min val="2010"/>
        </c:scaling>
        <c:delete val="0"/>
        <c:axPos val="b"/>
        <c:title>
          <c:tx>
            <c:rich>
              <a:bodyPr/>
              <a:lstStyle/>
              <a:p>
                <a:pPr>
                  <a:defRPr sz="1200">
                    <a:latin typeface="Arial" pitchFamily="34" charset="0"/>
                    <a:cs typeface="Arial" pitchFamily="34" charset="0"/>
                  </a:defRPr>
                </a:pPr>
                <a:r>
                  <a:rPr lang="en-US" sz="1200">
                    <a:latin typeface="Arial" pitchFamily="34" charset="0"/>
                    <a:cs typeface="Arial" pitchFamily="34" charset="0"/>
                  </a:rPr>
                  <a:t>Year</a:t>
                </a:r>
              </a:p>
            </c:rich>
          </c:tx>
          <c:overlay val="0"/>
        </c:title>
        <c:numFmt formatCode="General" sourceLinked="1"/>
        <c:majorTickMark val="out"/>
        <c:minorTickMark val="out"/>
        <c:tickLblPos val="nextTo"/>
        <c:txPr>
          <a:bodyPr rot="0" vert="horz"/>
          <a:lstStyle/>
          <a:p>
            <a:pPr>
              <a:defRPr sz="1200" b="0" i="0" u="none" strike="noStrike" baseline="0">
                <a:solidFill>
                  <a:srgbClr val="000000"/>
                </a:solidFill>
                <a:latin typeface="Arial" pitchFamily="34" charset="0"/>
                <a:ea typeface="Calibri"/>
                <a:cs typeface="Arial" pitchFamily="34" charset="0"/>
              </a:defRPr>
            </a:pPr>
            <a:endParaRPr lang="en-US"/>
          </a:p>
        </c:txPr>
        <c:crossAx val="303842816"/>
        <c:crosses val="autoZero"/>
        <c:crossBetween val="midCat"/>
        <c:majorUnit val="2"/>
        <c:minorUnit val="1"/>
      </c:valAx>
      <c:valAx>
        <c:axId val="303842816"/>
        <c:scaling>
          <c:orientation val="minMax"/>
          <c:max val="25"/>
        </c:scaling>
        <c:delete val="0"/>
        <c:axPos val="l"/>
        <c:majorGridlines/>
        <c:title>
          <c:tx>
            <c:rich>
              <a:bodyPr/>
              <a:lstStyle/>
              <a:p>
                <a:pPr>
                  <a:defRPr sz="2000">
                    <a:latin typeface="Arial" pitchFamily="34" charset="0"/>
                    <a:cs typeface="Arial" pitchFamily="34" charset="0"/>
                  </a:defRPr>
                </a:pPr>
                <a:r>
                  <a:rPr lang="en-US" sz="2000">
                    <a:latin typeface="Arial" pitchFamily="34" charset="0"/>
                    <a:cs typeface="Arial" pitchFamily="34" charset="0"/>
                  </a:rPr>
                  <a:t>Gas Price (Real 2011 $/MMBtu)</a:t>
                </a:r>
              </a:p>
            </c:rich>
          </c:tx>
          <c:layout>
            <c:manualLayout>
              <c:xMode val="edge"/>
              <c:yMode val="edge"/>
              <c:x val="3.3004399490375681E-2"/>
              <c:y val="0.2891077360600709"/>
            </c:manualLayout>
          </c:layout>
          <c:overlay val="0"/>
        </c:title>
        <c:numFmt formatCode="\$#,##0_);\(\$#,##0\)" sourceLinked="0"/>
        <c:majorTickMark val="out"/>
        <c:minorTickMark val="out"/>
        <c:tickLblPos val="nextTo"/>
        <c:txPr>
          <a:bodyPr/>
          <a:lstStyle/>
          <a:p>
            <a:pPr>
              <a:defRPr sz="1800">
                <a:latin typeface="Arial" pitchFamily="34" charset="0"/>
                <a:cs typeface="Arial" pitchFamily="34" charset="0"/>
              </a:defRPr>
            </a:pPr>
            <a:endParaRPr lang="en-US"/>
          </a:p>
        </c:txPr>
        <c:crossAx val="303827968"/>
        <c:crosses val="autoZero"/>
        <c:crossBetween val="midCat"/>
        <c:minorUnit val="1"/>
      </c:valAx>
      <c:spPr>
        <a:solidFill>
          <a:srgbClr val="F0F0F0"/>
        </a:solidFill>
      </c:spPr>
    </c:plotArea>
    <c:legend>
      <c:legendPos val="r"/>
      <c:layout>
        <c:manualLayout>
          <c:xMode val="edge"/>
          <c:yMode val="edge"/>
          <c:x val="0.17474965495678801"/>
          <c:y val="0.15901486272278118"/>
          <c:w val="0.21579231325407591"/>
          <c:h val="0.28589132567889597"/>
        </c:manualLayout>
      </c:layout>
      <c:overlay val="0"/>
      <c:spPr>
        <a:ln>
          <a:solidFill>
            <a:srgbClr val="000000"/>
          </a:solidFill>
        </a:ln>
      </c:spPr>
      <c:txPr>
        <a:bodyPr/>
        <a:lstStyle/>
        <a:p>
          <a:pPr>
            <a:defRPr sz="1800">
              <a:latin typeface="Arial" pitchFamily="34" charset="0"/>
              <a:cs typeface="Arial" pitchFamily="34" charset="0"/>
            </a:defRPr>
          </a:pPr>
          <a:endParaRPr lang="en-US"/>
        </a:p>
      </c:txPr>
    </c:legend>
    <c:plotVisOnly val="1"/>
    <c:dispBlanksAs val="gap"/>
    <c:showDLblsOverMax val="0"/>
  </c:chart>
  <c:printSettings>
    <c:headerFooter/>
    <c:pageMargins b="0.75000000000001465" l="0.70000000000000095" r="0.70000000000000095" t="0.75000000000001465" header="0.30000000000000032" footer="0.30000000000000032"/>
    <c:pageSetup orientation="landscape"/>
  </c:printSettings>
</c:chartSpace>
</file>

<file path=xl/drawings/_rels/drawing2.xml.rels><?xml version="1.0" encoding="UTF-8" standalone="yes"?>
<Relationships xmlns="http://schemas.openxmlformats.org/package/2006/relationships"><Relationship Id="rId13" Type="http://schemas.openxmlformats.org/officeDocument/2006/relationships/hyperlink" Target="#AnnualNetGWh"/><Relationship Id="rId18" Type="http://schemas.openxmlformats.org/officeDocument/2006/relationships/hyperlink" Target="#DebtRatio"/><Relationship Id="rId26" Type="http://schemas.openxmlformats.org/officeDocument/2006/relationships/hyperlink" Target="#'Fuel Price Forecasts'!A1"/><Relationship Id="rId39" Type="http://schemas.openxmlformats.org/officeDocument/2006/relationships/hyperlink" Target="#'INPUT-OUTPUT'!I20"/><Relationship Id="rId21" Type="http://schemas.openxmlformats.org/officeDocument/2006/relationships/hyperlink" Target="#DebtTerm"/><Relationship Id="rId34" Type="http://schemas.openxmlformats.org/officeDocument/2006/relationships/hyperlink" Target="#'Income_Cash Flow'!B17"/><Relationship Id="rId42" Type="http://schemas.openxmlformats.org/officeDocument/2006/relationships/hyperlink" Target="#'Screening Curve'!A1"/><Relationship Id="rId47" Type="http://schemas.openxmlformats.org/officeDocument/2006/relationships/hyperlink" Target="#'Construction Costs'!A1"/><Relationship Id="rId50" Type="http://schemas.openxmlformats.org/officeDocument/2006/relationships/hyperlink" Target="#'General Assumptions'!A1"/><Relationship Id="rId55" Type="http://schemas.openxmlformats.org/officeDocument/2006/relationships/hyperlink" Target="#'Plant Site Air &amp; Water Data'!A1"/><Relationship Id="rId7" Type="http://schemas.openxmlformats.org/officeDocument/2006/relationships/hyperlink" Target="#'Construction Costs'!B21"/><Relationship Id="rId2" Type="http://schemas.openxmlformats.org/officeDocument/2006/relationships/hyperlink" Target="#InstantCost"/><Relationship Id="rId16" Type="http://schemas.openxmlformats.org/officeDocument/2006/relationships/hyperlink" Target="#HeatRateDegredation"/><Relationship Id="rId20" Type="http://schemas.openxmlformats.org/officeDocument/2006/relationships/hyperlink" Target="#DebtRate"/><Relationship Id="rId29" Type="http://schemas.openxmlformats.org/officeDocument/2006/relationships/hyperlink" Target="#'Income_Cash Flow'!D104"/><Relationship Id="rId41" Type="http://schemas.openxmlformats.org/officeDocument/2006/relationships/hyperlink" Target="#'Annual Cost Chart'!A1"/><Relationship Id="rId54" Type="http://schemas.openxmlformats.org/officeDocument/2006/relationships/hyperlink" Target="#'Overhaul Calcs'!A1"/><Relationship Id="rId1" Type="http://schemas.openxmlformats.org/officeDocument/2006/relationships/hyperlink" Target="#'Plant Type Assumptions'!A1"/><Relationship Id="rId6" Type="http://schemas.openxmlformats.org/officeDocument/2006/relationships/hyperlink" Target="#'Construction Costs'!E41"/><Relationship Id="rId11" Type="http://schemas.openxmlformats.org/officeDocument/2006/relationships/hyperlink" Target="#SiteLoadPct"/><Relationship Id="rId24" Type="http://schemas.openxmlformats.org/officeDocument/2006/relationships/hyperlink" Target="#InsurancePct"/><Relationship Id="rId32" Type="http://schemas.openxmlformats.org/officeDocument/2006/relationships/hyperlink" Target="#'Income_Cash Flow'!D107"/><Relationship Id="rId37" Type="http://schemas.openxmlformats.org/officeDocument/2006/relationships/hyperlink" Target="#'INPUT-OUTPUT'!H20"/><Relationship Id="rId40" Type="http://schemas.openxmlformats.org/officeDocument/2006/relationships/hyperlink" Target="#'INPUT-OUTPUT'!A1"/><Relationship Id="rId45" Type="http://schemas.openxmlformats.org/officeDocument/2006/relationships/hyperlink" Target="#'Physical Data'!A1"/><Relationship Id="rId53" Type="http://schemas.openxmlformats.org/officeDocument/2006/relationships/hyperlink" Target="#Income_Rev_Req!A1"/><Relationship Id="rId58" Type="http://schemas.openxmlformats.org/officeDocument/2006/relationships/hyperlink" Target="#'Yearly Costs'!A1"/><Relationship Id="rId5" Type="http://schemas.openxmlformats.org/officeDocument/2006/relationships/hyperlink" Target="#SalesTaxRate"/><Relationship Id="rId15" Type="http://schemas.openxmlformats.org/officeDocument/2006/relationships/hyperlink" Target="#HeatRate"/><Relationship Id="rId23" Type="http://schemas.openxmlformats.org/officeDocument/2006/relationships/hyperlink" Target="#FixedOMPerkWYr"/><Relationship Id="rId28" Type="http://schemas.openxmlformats.org/officeDocument/2006/relationships/hyperlink" Target="#'Income_Cash Flow'!D103"/><Relationship Id="rId36" Type="http://schemas.openxmlformats.org/officeDocument/2006/relationships/hyperlink" Target="#'INPUT-OUTPUT'!H17"/><Relationship Id="rId49" Type="http://schemas.openxmlformats.org/officeDocument/2006/relationships/hyperlink" Target="#'Financial Assumptions'!A1"/><Relationship Id="rId57" Type="http://schemas.openxmlformats.org/officeDocument/2006/relationships/hyperlink" Target="#'Tax Incentives'!A1"/><Relationship Id="rId61" Type="http://schemas.openxmlformats.org/officeDocument/2006/relationships/hyperlink" Target="#'SCAQMD Fees'!A1"/><Relationship Id="rId10" Type="http://schemas.openxmlformats.org/officeDocument/2006/relationships/hyperlink" Target="#Capacity"/><Relationship Id="rId19" Type="http://schemas.openxmlformats.org/officeDocument/2006/relationships/hyperlink" Target="#EquityRate"/><Relationship Id="rId31" Type="http://schemas.openxmlformats.org/officeDocument/2006/relationships/hyperlink" Target="#'Income_Cash Flow'!D109"/><Relationship Id="rId44" Type="http://schemas.openxmlformats.org/officeDocument/2006/relationships/hyperlink" Target="#'Print Tables'!A1"/><Relationship Id="rId52" Type="http://schemas.openxmlformats.org/officeDocument/2006/relationships/hyperlink" Target="#'Income_Cash Flow'!A1"/><Relationship Id="rId60" Type="http://schemas.openxmlformats.org/officeDocument/2006/relationships/hyperlink" Target="#'ERC Forecasts'!A1"/><Relationship Id="rId4" Type="http://schemas.openxmlformats.org/officeDocument/2006/relationships/hyperlink" Target="#'Plant Type Assumptions'!C19"/><Relationship Id="rId9" Type="http://schemas.openxmlformats.org/officeDocument/2006/relationships/hyperlink" Target="#InstalledCostPerkW"/><Relationship Id="rId14" Type="http://schemas.openxmlformats.org/officeDocument/2006/relationships/hyperlink" Target="#'Physical Data'!B44"/><Relationship Id="rId22" Type="http://schemas.openxmlformats.org/officeDocument/2006/relationships/hyperlink" Target="#Inflation!A1"/><Relationship Id="rId27" Type="http://schemas.openxmlformats.org/officeDocument/2006/relationships/hyperlink" Target="#'Income_Cash Flow'!D102"/><Relationship Id="rId30" Type="http://schemas.openxmlformats.org/officeDocument/2006/relationships/hyperlink" Target="#'Income_Cash Flow'!D105"/><Relationship Id="rId35" Type="http://schemas.openxmlformats.org/officeDocument/2006/relationships/hyperlink" Target="#'INPUT-OUTPUT'!H14"/><Relationship Id="rId43" Type="http://schemas.openxmlformats.org/officeDocument/2006/relationships/hyperlink" Target="#'Sensitivity Curve'!A1"/><Relationship Id="rId48" Type="http://schemas.openxmlformats.org/officeDocument/2006/relationships/hyperlink" Target="#'O&amp;M Costs'!A1"/><Relationship Id="rId56" Type="http://schemas.openxmlformats.org/officeDocument/2006/relationships/hyperlink" Target="#'Labor Table'!A1"/><Relationship Id="rId8" Type="http://schemas.openxmlformats.org/officeDocument/2006/relationships/hyperlink" Target="#EnvControlCostsPerMWh"/><Relationship Id="rId51" Type="http://schemas.openxmlformats.org/officeDocument/2006/relationships/hyperlink" Target="#Transmission!A1"/><Relationship Id="rId3" Type="http://schemas.openxmlformats.org/officeDocument/2006/relationships/hyperlink" Target="#AFUDCRate"/><Relationship Id="rId12" Type="http://schemas.openxmlformats.org/officeDocument/2006/relationships/hyperlink" Target="#NetCapacityFactor"/><Relationship Id="rId17" Type="http://schemas.openxmlformats.org/officeDocument/2006/relationships/hyperlink" Target="#TotalVariableOMPerMWh"/><Relationship Id="rId25" Type="http://schemas.openxmlformats.org/officeDocument/2006/relationships/hyperlink" Target="#AdValoremTaxRate"/><Relationship Id="rId33" Type="http://schemas.openxmlformats.org/officeDocument/2006/relationships/hyperlink" Target="#'Income_Cash Flow'!D106"/><Relationship Id="rId38" Type="http://schemas.openxmlformats.org/officeDocument/2006/relationships/hyperlink" Target="#DiscountRate"/><Relationship Id="rId46" Type="http://schemas.openxmlformats.org/officeDocument/2006/relationships/hyperlink" Target="#'Financial Data'!A1"/><Relationship Id="rId59" Type="http://schemas.openxmlformats.org/officeDocument/2006/relationships/hyperlink" Target="#Renewables!A1"/></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2" Type="http://schemas.openxmlformats.org/officeDocument/2006/relationships/hyperlink" Target="#Inflation!A1"/><Relationship Id="rId1" Type="http://schemas.openxmlformats.org/officeDocument/2006/relationships/hyperlink" Target="#'Fuel Price Forecasts'!A1"/></Relationships>
</file>

<file path=xl/drawings/_rels/drawing10.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219076</xdr:colOff>
      <xdr:row>1</xdr:row>
      <xdr:rowOff>85724</xdr:rowOff>
    </xdr:from>
    <xdr:to>
      <xdr:col>12</xdr:col>
      <xdr:colOff>38102</xdr:colOff>
      <xdr:row>42</xdr:row>
      <xdr:rowOff>142875</xdr:rowOff>
    </xdr:to>
    <xdr:sp macro="" textlink="">
      <xdr:nvSpPr>
        <xdr:cNvPr id="2" name="TextBox 1"/>
        <xdr:cNvSpPr txBox="1"/>
      </xdr:nvSpPr>
      <xdr:spPr>
        <a:xfrm>
          <a:off x="219076" y="276224"/>
          <a:ext cx="7134226" cy="80295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800" b="1" i="0" u="none" strike="noStrike">
              <a:solidFill>
                <a:schemeClr val="dk1"/>
              </a:solidFill>
              <a:latin typeface="+mn-lt"/>
              <a:ea typeface="+mn-ea"/>
              <a:cs typeface="+mn-cs"/>
            </a:rPr>
            <a:t>Cover Sheet</a:t>
          </a:r>
          <a:r>
            <a:rPr lang="en-US" sz="1800"/>
            <a:t> </a:t>
          </a:r>
        </a:p>
        <a:p>
          <a:pPr algn="ctr"/>
          <a:r>
            <a:rPr lang="en-US" sz="1400" b="1" i="0" u="none" strike="noStrike">
              <a:solidFill>
                <a:schemeClr val="dk1"/>
              </a:solidFill>
              <a:latin typeface="+mn-lt"/>
              <a:ea typeface="+mn-ea"/>
              <a:cs typeface="+mn-cs"/>
            </a:rPr>
            <a:t>Energy</a:t>
          </a:r>
          <a:r>
            <a:rPr lang="en-US" sz="1400" b="1" i="0" u="none" strike="noStrike" baseline="0">
              <a:solidFill>
                <a:schemeClr val="dk1"/>
              </a:solidFill>
              <a:latin typeface="+mn-lt"/>
              <a:ea typeface="+mn-ea"/>
              <a:cs typeface="+mn-cs"/>
            </a:rPr>
            <a:t> Commission Cost of Generation Model</a:t>
          </a:r>
          <a:endParaRPr lang="en-US" sz="1400"/>
        </a:p>
        <a:p>
          <a:pPr algn="ctr"/>
          <a:r>
            <a:rPr lang="en-US" sz="1400" b="1" i="0" u="none" strike="noStrike">
              <a:solidFill>
                <a:schemeClr val="dk1"/>
              </a:solidFill>
              <a:latin typeface="+mn-lt"/>
              <a:ea typeface="+mn-ea"/>
              <a:cs typeface="+mn-cs"/>
            </a:rPr>
            <a:t>Energy Assessment Division</a:t>
          </a:r>
        </a:p>
        <a:p>
          <a:pPr marL="0" marR="0" indent="0" algn="ctr" defTabSz="914400" eaLnBrk="1" fontAlgn="auto" latinLnBrk="0" hangingPunct="1">
            <a:lnSpc>
              <a:spcPct val="100000"/>
            </a:lnSpc>
            <a:spcBef>
              <a:spcPts val="0"/>
            </a:spcBef>
            <a:spcAft>
              <a:spcPts val="0"/>
            </a:spcAft>
            <a:buClrTx/>
            <a:buSzTx/>
            <a:buFontTx/>
            <a:buNone/>
            <a:tabLst/>
            <a:defRPr/>
          </a:pPr>
          <a:r>
            <a:rPr lang="en-US" sz="1400" b="1" i="0" u="none" strike="noStrike">
              <a:solidFill>
                <a:schemeClr val="dk1"/>
              </a:solidFill>
              <a:latin typeface="+mn-lt"/>
              <a:ea typeface="+mn-ea"/>
              <a:cs typeface="+mn-cs"/>
            </a:rPr>
            <a:t> 11-12-15</a:t>
          </a:r>
        </a:p>
        <a:p>
          <a:pPr algn="ctr"/>
          <a:endParaRPr lang="en-US" sz="1100" b="0" i="0" u="none" strike="noStrike">
            <a:solidFill>
              <a:schemeClr val="dk1"/>
            </a:solidFill>
            <a:latin typeface="+mn-lt"/>
            <a:ea typeface="+mn-ea"/>
            <a:cs typeface="+mn-cs"/>
          </a:endParaRPr>
        </a:p>
        <a:p>
          <a:endParaRPr lang="en-US" sz="1100" b="0" i="0" u="none" strike="noStrike">
            <a:solidFill>
              <a:schemeClr val="dk1"/>
            </a:solidFill>
            <a:latin typeface="+mn-lt"/>
            <a:ea typeface="+mn-ea"/>
            <a:cs typeface="+mn-cs"/>
          </a:endParaRPr>
        </a:p>
        <a:p>
          <a:endParaRPr lang="en-US" sz="1100" b="0" i="0" u="none" strike="noStrike">
            <a:solidFill>
              <a:schemeClr val="dk1"/>
            </a:solidFill>
            <a:latin typeface="+mn-lt"/>
            <a:ea typeface="+mn-ea"/>
            <a:cs typeface="+mn-cs"/>
          </a:endParaRPr>
        </a:p>
        <a:p>
          <a:r>
            <a:rPr lang="en-US" sz="1200" b="1" i="0" u="none" strike="noStrike">
              <a:solidFill>
                <a:schemeClr val="dk1"/>
              </a:solidFill>
              <a:latin typeface="+mn-lt"/>
              <a:ea typeface="+mn-ea"/>
              <a:cs typeface="+mn-cs"/>
            </a:rPr>
            <a:t>Summary:</a:t>
          </a:r>
          <a:r>
            <a:rPr lang="en-US" sz="1200" b="0" i="0" u="none" strike="noStrike">
              <a:solidFill>
                <a:schemeClr val="dk1"/>
              </a:solidFill>
              <a:latin typeface="+mn-lt"/>
              <a:ea typeface="+mn-ea"/>
              <a:cs typeface="+mn-cs"/>
            </a:rPr>
            <a:t>  </a:t>
          </a:r>
          <a:r>
            <a:rPr lang="en-US" sz="1200"/>
            <a:t> </a:t>
          </a:r>
          <a:r>
            <a:rPr lang="en-US" sz="1200" b="0" i="0" u="none" strike="noStrike">
              <a:solidFill>
                <a:schemeClr val="dk1"/>
              </a:solidFill>
              <a:latin typeface="+mn-lt"/>
              <a:ea typeface="+mn-ea"/>
              <a:cs typeface="+mn-cs"/>
            </a:rPr>
            <a:t>The following data sheets contain</a:t>
          </a:r>
          <a:r>
            <a:rPr lang="en-US" sz="1200" b="0" i="0" u="none" strike="noStrike" baseline="0">
              <a:solidFill>
                <a:schemeClr val="dk1"/>
              </a:solidFill>
              <a:latin typeface="+mn-lt"/>
              <a:ea typeface="+mn-ea"/>
              <a:cs typeface="+mn-cs"/>
            </a:rPr>
            <a:t> the Energy Commission's Cost of Genertion Model. The Model calculates the levelized cost of energy for utility-scale electric generating technologies.  This version only provides deterministic results. The intended au</a:t>
          </a:r>
          <a:r>
            <a:rPr lang="en-US" sz="1200" b="0" i="0" u="none" strike="noStrike">
              <a:solidFill>
                <a:schemeClr val="dk1"/>
              </a:solidFill>
              <a:latin typeface="+mn-lt"/>
              <a:ea typeface="+mn-ea"/>
              <a:cs typeface="+mn-cs"/>
            </a:rPr>
            <a:t>dience is for use within the Energy Commission as well as other entities such as the California</a:t>
          </a:r>
          <a:r>
            <a:rPr lang="en-US" sz="1200" b="0" i="0" u="none" strike="noStrike" baseline="0">
              <a:solidFill>
                <a:schemeClr val="dk1"/>
              </a:solidFill>
              <a:latin typeface="+mn-lt"/>
              <a:ea typeface="+mn-ea"/>
              <a:cs typeface="+mn-cs"/>
            </a:rPr>
            <a:t> Indepdendent System Operator, the California Public Utilities Commmission, the Board of Equalization, the Western Electricity Coordinating Council, and various consultants and educational institutions.</a:t>
          </a:r>
          <a:endParaRPr lang="en-US" sz="1200" b="0" i="0" u="none" strike="noStrike">
            <a:solidFill>
              <a:schemeClr val="dk1"/>
            </a:solidFill>
            <a:latin typeface="+mn-lt"/>
            <a:ea typeface="+mn-ea"/>
            <a:cs typeface="+mn-cs"/>
          </a:endParaRPr>
        </a:p>
        <a:p>
          <a:endParaRPr lang="en-US" sz="1200" b="0" i="0" u="none" strike="noStrike">
            <a:solidFill>
              <a:schemeClr val="dk1"/>
            </a:solidFill>
            <a:latin typeface="+mn-lt"/>
            <a:ea typeface="+mn-ea"/>
            <a:cs typeface="+mn-cs"/>
          </a:endParaRPr>
        </a:p>
        <a:p>
          <a:r>
            <a:rPr lang="en-US" sz="1200" b="1" i="0" u="none" strike="noStrike">
              <a:solidFill>
                <a:schemeClr val="dk1"/>
              </a:solidFill>
              <a:latin typeface="+mn-lt"/>
              <a:ea typeface="+mn-ea"/>
              <a:cs typeface="+mn-cs"/>
            </a:rPr>
            <a:t>Source of Data: </a:t>
          </a:r>
          <a:r>
            <a:rPr lang="en-US" sz="1200" b="0" i="0" u="none" strike="noStrike">
              <a:solidFill>
                <a:schemeClr val="dk1"/>
              </a:solidFill>
              <a:latin typeface="+mn-lt"/>
              <a:ea typeface="+mn-ea"/>
              <a:cs typeface="+mn-cs"/>
            </a:rPr>
            <a:t> A wide variety</a:t>
          </a:r>
          <a:r>
            <a:rPr lang="en-US" sz="1200" b="0" i="0" u="none" strike="noStrike" baseline="0">
              <a:solidFill>
                <a:schemeClr val="dk1"/>
              </a:solidFill>
              <a:latin typeface="+mn-lt"/>
              <a:ea typeface="+mn-ea"/>
              <a:cs typeface="+mn-cs"/>
            </a:rPr>
            <a:t> of sources have been used and are notated throughout the Model.</a:t>
          </a:r>
          <a:endParaRPr lang="en-US" sz="1200" b="1" i="0" u="none" strike="noStrike">
            <a:solidFill>
              <a:schemeClr val="dk1"/>
            </a:solidFill>
            <a:latin typeface="+mn-lt"/>
            <a:ea typeface="+mn-ea"/>
            <a:cs typeface="+mn-cs"/>
          </a:endParaRPr>
        </a:p>
        <a:p>
          <a:endParaRPr lang="en-US" sz="1200" b="1" i="0" u="none" strike="noStrike">
            <a:solidFill>
              <a:schemeClr val="dk1"/>
            </a:solidFill>
            <a:latin typeface="+mn-lt"/>
            <a:ea typeface="+mn-ea"/>
            <a:cs typeface="+mn-cs"/>
          </a:endParaRPr>
        </a:p>
        <a:p>
          <a:r>
            <a:rPr lang="en-US" sz="1200" b="1" i="0" u="none" strike="noStrike">
              <a:solidFill>
                <a:schemeClr val="dk1"/>
              </a:solidFill>
              <a:latin typeface="+mn-lt"/>
              <a:ea typeface="+mn-ea"/>
              <a:cs typeface="+mn-cs"/>
            </a:rPr>
            <a:t>Key Caveats:</a:t>
          </a:r>
        </a:p>
        <a:p>
          <a:endParaRPr lang="en-US" sz="1200" b="0" i="0" u="none" strike="noStrike">
            <a:solidFill>
              <a:schemeClr val="dk1"/>
            </a:solidFill>
            <a:latin typeface="+mn-lt"/>
            <a:ea typeface="+mn-ea"/>
            <a:cs typeface="+mn-cs"/>
          </a:endParaRPr>
        </a:p>
        <a:p>
          <a:r>
            <a:rPr lang="en-US" sz="1200" b="0" i="0" u="none" strike="noStrike">
              <a:solidFill>
                <a:schemeClr val="dk1"/>
              </a:solidFill>
              <a:latin typeface="+mn-lt"/>
              <a:ea typeface="+mn-ea"/>
              <a:cs typeface="+mn-cs"/>
            </a:rPr>
            <a:t>1. These</a:t>
          </a:r>
          <a:r>
            <a:rPr lang="en-US" sz="1200" b="0" i="0" u="none" strike="noStrike" baseline="0">
              <a:solidFill>
                <a:schemeClr val="dk1"/>
              </a:solidFill>
              <a:latin typeface="+mn-lt"/>
              <a:ea typeface="+mn-ea"/>
              <a:cs typeface="+mn-cs"/>
            </a:rPr>
            <a:t> values contained herein were compiled in 2014.  Fast changing technology prices, specifically wind and solar technologies, may not be fully captured with the price trends embedded in the Model.</a:t>
          </a:r>
        </a:p>
        <a:p>
          <a:endParaRPr lang="en-US" sz="1200" b="0" i="0" u="none" strike="noStrike" baseline="0">
            <a:solidFill>
              <a:schemeClr val="dk1"/>
            </a:solidFill>
            <a:latin typeface="+mn-lt"/>
            <a:ea typeface="+mn-ea"/>
            <a:cs typeface="+mn-cs"/>
          </a:endParaRPr>
        </a:p>
        <a:p>
          <a:r>
            <a:rPr lang="en-US" sz="1200" b="0" i="0" u="none" strike="noStrike" baseline="0">
              <a:solidFill>
                <a:schemeClr val="dk1"/>
              </a:solidFill>
              <a:latin typeface="+mn-lt"/>
              <a:ea typeface="+mn-ea"/>
              <a:cs typeface="+mn-cs"/>
            </a:rPr>
            <a:t>2. The Model produces mid case levelized costs for various technologies but recognizes that the actual costs vary widely. While the Model produces high and low case estimates to capture the uncertainty of levelized costs, the Model only calculates deterministic costs. Additional software was used to calculate probabilistic high and low cases as presented in the Cost of Generation Report. Relying solely on mid case levelized costs is simplistic and can lead to poor planning decisions.</a:t>
          </a:r>
        </a:p>
        <a:p>
          <a:endParaRPr lang="en-US" sz="1200" b="0" i="0" u="none" strike="noStrike" baseline="0">
            <a:solidFill>
              <a:schemeClr val="dk1"/>
            </a:solidFill>
            <a:latin typeface="+mn-lt"/>
            <a:ea typeface="+mn-ea"/>
            <a:cs typeface="+mn-cs"/>
          </a:endParaRPr>
        </a:p>
        <a:p>
          <a:r>
            <a:rPr lang="en-US" sz="1200" b="0" i="0" u="none" strike="noStrike" baseline="0">
              <a:solidFill>
                <a:schemeClr val="dk1"/>
              </a:solidFill>
              <a:latin typeface="+mn-lt"/>
              <a:ea typeface="+mn-ea"/>
              <a:cs typeface="+mn-cs"/>
            </a:rPr>
            <a:t>3. The levelized cost estimates produced by the Model do not include an evaluation of how each unit may function in the system or how the system may affect the operation of the power plant, which are critical factors for a system cost study. Such estimates require a time emulation model, such as a production cost or market model. </a:t>
          </a:r>
        </a:p>
        <a:p>
          <a:endParaRPr lang="en-US" sz="1200" b="0" i="0" u="none" strike="noStrike">
            <a:solidFill>
              <a:schemeClr val="dk1"/>
            </a:solidFill>
            <a:latin typeface="+mn-lt"/>
            <a:ea typeface="+mn-ea"/>
            <a:cs typeface="+mn-cs"/>
          </a:endParaRPr>
        </a:p>
        <a:p>
          <a:r>
            <a:rPr lang="en-US" sz="1200" b="0" i="0" u="none" strike="noStrike">
              <a:solidFill>
                <a:schemeClr val="dk1"/>
              </a:solidFill>
              <a:latin typeface="+mn-lt"/>
              <a:ea typeface="+mn-ea"/>
              <a:cs typeface="+mn-cs"/>
            </a:rPr>
            <a:t>4. The</a:t>
          </a:r>
          <a:r>
            <a:rPr lang="en-US" sz="1200" b="0" i="0" u="none" strike="noStrike" baseline="0">
              <a:solidFill>
                <a:schemeClr val="dk1"/>
              </a:solidFill>
              <a:latin typeface="+mn-lt"/>
              <a:ea typeface="+mn-ea"/>
              <a:cs typeface="+mn-cs"/>
            </a:rPr>
            <a:t> Model does not address environmental, system diversity, or risk factors, which are vital planning aspects of all resource development.</a:t>
          </a:r>
        </a:p>
        <a:p>
          <a:endParaRPr lang="en-US" sz="1200" b="0" i="0" u="none" strike="noStrike">
            <a:solidFill>
              <a:schemeClr val="dk1"/>
            </a:solidFill>
            <a:latin typeface="+mn-lt"/>
            <a:ea typeface="+mn-ea"/>
            <a:cs typeface="+mn-cs"/>
          </a:endParaRPr>
        </a:p>
        <a:p>
          <a:r>
            <a:rPr lang="en-US" sz="1200" b="1" i="0" u="none" strike="noStrike">
              <a:solidFill>
                <a:schemeClr val="dk1"/>
              </a:solidFill>
              <a:latin typeface="+mn-lt"/>
              <a:ea typeface="+mn-ea"/>
              <a:cs typeface="+mn-cs"/>
            </a:rPr>
            <a:t>Author</a:t>
          </a:r>
          <a:r>
            <a:rPr lang="en-US" sz="1200" b="0" i="0" u="none" strike="noStrike">
              <a:solidFill>
                <a:schemeClr val="dk1"/>
              </a:solidFill>
              <a:latin typeface="+mn-lt"/>
              <a:ea typeface="+mn-ea"/>
              <a:cs typeface="+mn-cs"/>
            </a:rPr>
            <a:t>:</a:t>
          </a:r>
        </a:p>
        <a:p>
          <a:endParaRPr lang="en-US" sz="1200" b="0" i="0" u="none" strike="noStrike" baseline="0">
            <a:solidFill>
              <a:schemeClr val="dk1"/>
            </a:solidFill>
            <a:latin typeface="+mn-lt"/>
            <a:ea typeface="+mn-ea"/>
            <a:cs typeface="+mn-cs"/>
          </a:endParaRPr>
        </a:p>
        <a:p>
          <a:r>
            <a:rPr lang="en-US" sz="1200" b="0" i="0" u="none" strike="noStrike" baseline="0">
              <a:solidFill>
                <a:schemeClr val="dk1"/>
              </a:solidFill>
              <a:latin typeface="+mn-lt"/>
              <a:ea typeface="+mn-ea"/>
              <a:cs typeface="+mn-cs"/>
            </a:rPr>
            <a:t>Bryan Neff</a:t>
          </a:r>
          <a:r>
            <a:rPr lang="en-US" sz="1200" b="0" i="0" u="none" strike="noStrike">
              <a:solidFill>
                <a:schemeClr val="dk1"/>
              </a:solidFill>
              <a:latin typeface="+mn-lt"/>
              <a:ea typeface="+mn-ea"/>
              <a:cs typeface="+mn-cs"/>
            </a:rPr>
            <a:t>, Supply Analysis Office, 916-654-4414.</a:t>
          </a:r>
          <a:r>
            <a:rPr lang="en-US" sz="1200"/>
            <a:t>  bryan.neff@energy.ca.gov </a:t>
          </a:r>
        </a:p>
        <a:p>
          <a:endParaRPr lang="en-US" sz="1200" b="0" i="0" u="none" strike="noStrike">
            <a:solidFill>
              <a:schemeClr val="dk1"/>
            </a:solidFill>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5171</xdr:colOff>
      <xdr:row>21</xdr:row>
      <xdr:rowOff>0</xdr:rowOff>
    </xdr:from>
    <xdr:to>
      <xdr:col>5</xdr:col>
      <xdr:colOff>5171</xdr:colOff>
      <xdr:row>21</xdr:row>
      <xdr:rowOff>0</xdr:rowOff>
    </xdr:to>
    <xdr:sp macro="" textlink="">
      <xdr:nvSpPr>
        <xdr:cNvPr id="2" name="Line 9"/>
        <xdr:cNvSpPr>
          <a:spLocks noChangeShapeType="1"/>
        </xdr:cNvSpPr>
      </xdr:nvSpPr>
      <xdr:spPr bwMode="auto">
        <a:xfrm flipV="1">
          <a:off x="4886325" y="4391025"/>
          <a:ext cx="0" cy="0"/>
        </a:xfrm>
        <a:prstGeom prst="line">
          <a:avLst/>
        </a:prstGeom>
        <a:noFill/>
        <a:ln w="9525">
          <a:solidFill>
            <a:srgbClr val="000000"/>
          </a:solidFill>
          <a:round/>
          <a:headEnd/>
          <a:tailEnd type="triangle" w="med" len="med"/>
        </a:ln>
        <a:effectLst>
          <a:outerShdw dist="35921" dir="2700000" algn="ctr" rotWithShape="0">
            <a:srgbClr val="000000"/>
          </a:outerShdw>
        </a:effectLst>
      </xdr:spPr>
      <xdr:txBody>
        <a:bodyPr/>
        <a:lstStyle/>
        <a:p>
          <a:endParaRPr lang="en-US"/>
        </a:p>
      </xdr:txBody>
    </xdr:sp>
    <xdr:clientData/>
  </xdr:twoCellAnchor>
  <xdr:twoCellAnchor>
    <xdr:from>
      <xdr:col>8</xdr:col>
      <xdr:colOff>624840</xdr:colOff>
      <xdr:row>21</xdr:row>
      <xdr:rowOff>0</xdr:rowOff>
    </xdr:from>
    <xdr:to>
      <xdr:col>8</xdr:col>
      <xdr:colOff>653415</xdr:colOff>
      <xdr:row>21</xdr:row>
      <xdr:rowOff>0</xdr:rowOff>
    </xdr:to>
    <xdr:sp macro="" textlink="">
      <xdr:nvSpPr>
        <xdr:cNvPr id="3" name="Line 41"/>
        <xdr:cNvSpPr>
          <a:spLocks noChangeShapeType="1"/>
        </xdr:cNvSpPr>
      </xdr:nvSpPr>
      <xdr:spPr bwMode="auto">
        <a:xfrm flipH="1">
          <a:off x="9048750" y="4391025"/>
          <a:ext cx="28575" cy="0"/>
        </a:xfrm>
        <a:prstGeom prst="line">
          <a:avLst/>
        </a:prstGeom>
        <a:noFill/>
        <a:ln w="9525">
          <a:solidFill>
            <a:srgbClr val="000000"/>
          </a:solidFill>
          <a:round/>
          <a:headEnd/>
          <a:tailEnd/>
        </a:ln>
        <a:effectLst>
          <a:outerShdw dist="35921" dir="2700000" algn="ctr" rotWithShape="0">
            <a:srgbClr val="000000"/>
          </a:outerShdw>
        </a:effectLst>
      </xdr:spPr>
      <xdr:txBody>
        <a:bodyPr/>
        <a:lstStyle/>
        <a:p>
          <a:endParaRPr lang="en-US"/>
        </a:p>
      </xdr:txBody>
    </xdr:sp>
    <xdr:clientData/>
  </xdr:twoCellAnchor>
  <xdr:twoCellAnchor>
    <xdr:from>
      <xdr:col>1</xdr:col>
      <xdr:colOff>0</xdr:colOff>
      <xdr:row>21</xdr:row>
      <xdr:rowOff>0</xdr:rowOff>
    </xdr:from>
    <xdr:to>
      <xdr:col>1</xdr:col>
      <xdr:colOff>0</xdr:colOff>
      <xdr:row>21</xdr:row>
      <xdr:rowOff>0</xdr:rowOff>
    </xdr:to>
    <xdr:sp macro="" textlink="">
      <xdr:nvSpPr>
        <xdr:cNvPr id="4" name="Line 46"/>
        <xdr:cNvSpPr>
          <a:spLocks noChangeShapeType="1"/>
        </xdr:cNvSpPr>
      </xdr:nvSpPr>
      <xdr:spPr bwMode="auto">
        <a:xfrm flipV="1">
          <a:off x="114300" y="4391025"/>
          <a:ext cx="0" cy="0"/>
        </a:xfrm>
        <a:prstGeom prst="line">
          <a:avLst/>
        </a:prstGeom>
        <a:noFill/>
        <a:ln w="9525">
          <a:solidFill>
            <a:srgbClr val="000000"/>
          </a:solidFill>
          <a:round/>
          <a:headEnd/>
          <a:tailEnd type="triangle" w="med" len="med"/>
        </a:ln>
        <a:effectLst>
          <a:outerShdw dist="35921" dir="2700000" algn="ctr" rotWithShape="0">
            <a:srgbClr val="000000"/>
          </a:outerShdw>
        </a:effectLst>
      </xdr:spPr>
      <xdr:txBody>
        <a:bodyPr/>
        <a:lstStyle/>
        <a:p>
          <a:endParaRPr lang="en-US"/>
        </a:p>
      </xdr:txBody>
    </xdr:sp>
    <xdr:clientData/>
  </xdr:twoCellAnchor>
  <xdr:twoCellAnchor>
    <xdr:from>
      <xdr:col>1</xdr:col>
      <xdr:colOff>0</xdr:colOff>
      <xdr:row>21</xdr:row>
      <xdr:rowOff>0</xdr:rowOff>
    </xdr:from>
    <xdr:to>
      <xdr:col>1</xdr:col>
      <xdr:colOff>0</xdr:colOff>
      <xdr:row>21</xdr:row>
      <xdr:rowOff>0</xdr:rowOff>
    </xdr:to>
    <xdr:sp macro="" textlink="">
      <xdr:nvSpPr>
        <xdr:cNvPr id="5" name="Line 48"/>
        <xdr:cNvSpPr>
          <a:spLocks noChangeShapeType="1"/>
        </xdr:cNvSpPr>
      </xdr:nvSpPr>
      <xdr:spPr bwMode="auto">
        <a:xfrm flipH="1" flipV="1">
          <a:off x="114300" y="4391025"/>
          <a:ext cx="0" cy="0"/>
        </a:xfrm>
        <a:prstGeom prst="line">
          <a:avLst/>
        </a:prstGeom>
        <a:noFill/>
        <a:ln w="25400">
          <a:solidFill>
            <a:srgbClr val="000000"/>
          </a:solidFill>
          <a:round/>
          <a:headEnd/>
          <a:tailEnd type="arrow" w="lg" len="lg"/>
        </a:ln>
        <a:effectLst>
          <a:outerShdw dist="35921" dir="2700000" algn="ctr" rotWithShape="0">
            <a:srgbClr val="000000"/>
          </a:outerShdw>
        </a:effectLst>
      </xdr:spPr>
      <xdr:txBody>
        <a:bodyPr/>
        <a:lstStyle/>
        <a:p>
          <a:endParaRPr lang="en-US"/>
        </a:p>
      </xdr:txBody>
    </xdr:sp>
    <xdr:clientData/>
  </xdr:twoCellAnchor>
  <xdr:twoCellAnchor>
    <xdr:from>
      <xdr:col>1</xdr:col>
      <xdr:colOff>312420</xdr:colOff>
      <xdr:row>13</xdr:row>
      <xdr:rowOff>76200</xdr:rowOff>
    </xdr:from>
    <xdr:to>
      <xdr:col>6</xdr:col>
      <xdr:colOff>702325</xdr:colOff>
      <xdr:row>18</xdr:row>
      <xdr:rowOff>150452</xdr:rowOff>
    </xdr:to>
    <xdr:sp macro="" textlink="">
      <xdr:nvSpPr>
        <xdr:cNvPr id="27" name="Text Box 98"/>
        <xdr:cNvSpPr txBox="1">
          <a:spLocks noChangeArrowheads="1"/>
        </xdr:cNvSpPr>
      </xdr:nvSpPr>
      <xdr:spPr bwMode="auto">
        <a:xfrm>
          <a:off x="428625" y="3060700"/>
          <a:ext cx="7077075" cy="90170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32004" rIns="0" bIns="0" anchor="t" upright="1"/>
        <a:lstStyle/>
        <a:p>
          <a:pPr algn="l" rtl="0">
            <a:defRPr sz="1000"/>
          </a:pPr>
          <a:r>
            <a:rPr lang="en-US" sz="1600" b="1" i="0" strike="noStrike">
              <a:solidFill>
                <a:srgbClr val="000000"/>
              </a:solidFill>
              <a:latin typeface="Arial"/>
              <a:cs typeface="Arial"/>
            </a:rPr>
            <a:t>Protected Cells - Certain cells are "protected" to prevent inadvertent overwriting by a user that might render the model unusable or inconsistent.  The protection password is "CEC".</a:t>
          </a:r>
        </a:p>
      </xdr:txBody>
    </xdr:sp>
    <xdr:clientData/>
  </xdr:twoCellAnchor>
  <xdr:twoCellAnchor>
    <xdr:from>
      <xdr:col>8</xdr:col>
      <xdr:colOff>548640</xdr:colOff>
      <xdr:row>170</xdr:row>
      <xdr:rowOff>140970</xdr:rowOff>
    </xdr:from>
    <xdr:to>
      <xdr:col>8</xdr:col>
      <xdr:colOff>1144680</xdr:colOff>
      <xdr:row>170</xdr:row>
      <xdr:rowOff>140970</xdr:rowOff>
    </xdr:to>
    <xdr:sp macro="" textlink="">
      <xdr:nvSpPr>
        <xdr:cNvPr id="31" name="Line 106"/>
        <xdr:cNvSpPr>
          <a:spLocks noChangeShapeType="1"/>
        </xdr:cNvSpPr>
      </xdr:nvSpPr>
      <xdr:spPr bwMode="auto">
        <a:xfrm flipV="1">
          <a:off x="8982075" y="25498425"/>
          <a:ext cx="600075" cy="0"/>
        </a:xfrm>
        <a:prstGeom prst="line">
          <a:avLst/>
        </a:prstGeom>
        <a:noFill/>
        <a:ln w="9525">
          <a:solidFill>
            <a:srgbClr val="000000"/>
          </a:solidFill>
          <a:round/>
          <a:headEnd/>
          <a:tailEnd type="triangle" w="med" len="med"/>
        </a:ln>
        <a:effectLst>
          <a:outerShdw dist="35921" dir="2700000" algn="ctr" rotWithShape="0">
            <a:srgbClr val="000000"/>
          </a:outerShdw>
        </a:effectLst>
      </xdr:spPr>
      <xdr:txBody>
        <a:bodyPr/>
        <a:lstStyle/>
        <a:p>
          <a:endParaRPr lang="en-US"/>
        </a:p>
      </xdr:txBody>
    </xdr:sp>
    <xdr:clientData/>
  </xdr:twoCellAnchor>
  <xdr:twoCellAnchor>
    <xdr:from>
      <xdr:col>1</xdr:col>
      <xdr:colOff>323850</xdr:colOff>
      <xdr:row>85</xdr:row>
      <xdr:rowOff>57150</xdr:rowOff>
    </xdr:from>
    <xdr:to>
      <xdr:col>4</xdr:col>
      <xdr:colOff>323850</xdr:colOff>
      <xdr:row>85</xdr:row>
      <xdr:rowOff>66675</xdr:rowOff>
    </xdr:to>
    <xdr:cxnSp macro="">
      <xdr:nvCxnSpPr>
        <xdr:cNvPr id="175" name="Straight Arrow Connector 174"/>
        <xdr:cNvCxnSpPr>
          <a:stCxn id="177" idx="1"/>
        </xdr:cNvCxnSpPr>
      </xdr:nvCxnSpPr>
      <xdr:spPr bwMode="auto">
        <a:xfrm flipH="1" flipV="1">
          <a:off x="323850" y="605790"/>
          <a:ext cx="1828800" cy="9525"/>
        </a:xfrm>
        <a:prstGeom prst="straightConnector1">
          <a:avLst/>
        </a:prstGeom>
        <a:ln>
          <a:headEnd type="none" w="med" len="med"/>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323850</xdr:colOff>
      <xdr:row>85</xdr:row>
      <xdr:rowOff>66675</xdr:rowOff>
    </xdr:from>
    <xdr:to>
      <xdr:col>10</xdr:col>
      <xdr:colOff>180975</xdr:colOff>
      <xdr:row>85</xdr:row>
      <xdr:rowOff>66675</xdr:rowOff>
    </xdr:to>
    <xdr:cxnSp macro="">
      <xdr:nvCxnSpPr>
        <xdr:cNvPr id="176" name="Straight Arrow Connector 175"/>
        <xdr:cNvCxnSpPr>
          <a:stCxn id="177" idx="3"/>
        </xdr:cNvCxnSpPr>
      </xdr:nvCxnSpPr>
      <xdr:spPr bwMode="auto">
        <a:xfrm>
          <a:off x="3981450" y="615315"/>
          <a:ext cx="1685925" cy="0"/>
        </a:xfrm>
        <a:prstGeom prst="straightConnector1">
          <a:avLst/>
        </a:prstGeom>
        <a:ln>
          <a:headEnd type="none" w="med" len="med"/>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323850</xdr:colOff>
      <xdr:row>84</xdr:row>
      <xdr:rowOff>142875</xdr:rowOff>
    </xdr:from>
    <xdr:to>
      <xdr:col>7</xdr:col>
      <xdr:colOff>323850</xdr:colOff>
      <xdr:row>85</xdr:row>
      <xdr:rowOff>180975</xdr:rowOff>
    </xdr:to>
    <xdr:sp macro="" textlink="">
      <xdr:nvSpPr>
        <xdr:cNvPr id="177" name="TextBox 176"/>
        <xdr:cNvSpPr txBox="1"/>
      </xdr:nvSpPr>
      <xdr:spPr>
        <a:xfrm>
          <a:off x="2152650" y="508635"/>
          <a:ext cx="1828800" cy="2209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First</a:t>
          </a:r>
          <a:r>
            <a:rPr lang="en-US" sz="1100" b="1" baseline="0"/>
            <a:t> Year Costs</a:t>
          </a:r>
        </a:p>
      </xdr:txBody>
    </xdr:sp>
    <xdr:clientData/>
  </xdr:twoCellAnchor>
  <xdr:twoCellAnchor>
    <xdr:from>
      <xdr:col>11</xdr:col>
      <xdr:colOff>123825</xdr:colOff>
      <xdr:row>85</xdr:row>
      <xdr:rowOff>75142</xdr:rowOff>
    </xdr:from>
    <xdr:to>
      <xdr:col>13</xdr:col>
      <xdr:colOff>314325</xdr:colOff>
      <xdr:row>85</xdr:row>
      <xdr:rowOff>85725</xdr:rowOff>
    </xdr:to>
    <xdr:cxnSp macro="">
      <xdr:nvCxnSpPr>
        <xdr:cNvPr id="178" name="Straight Arrow Connector 177"/>
        <xdr:cNvCxnSpPr>
          <a:stCxn id="249" idx="1"/>
        </xdr:cNvCxnSpPr>
      </xdr:nvCxnSpPr>
      <xdr:spPr bwMode="auto">
        <a:xfrm flipH="1">
          <a:off x="6219825" y="623782"/>
          <a:ext cx="1409700" cy="10583"/>
        </a:xfrm>
        <a:prstGeom prst="straightConnector1">
          <a:avLst/>
        </a:prstGeom>
        <a:ln>
          <a:headEnd type="none" w="med" len="med"/>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16</xdr:col>
      <xdr:colOff>7408</xdr:colOff>
      <xdr:row>85</xdr:row>
      <xdr:rowOff>75142</xdr:rowOff>
    </xdr:from>
    <xdr:to>
      <xdr:col>17</xdr:col>
      <xdr:colOff>571500</xdr:colOff>
      <xdr:row>85</xdr:row>
      <xdr:rowOff>76200</xdr:rowOff>
    </xdr:to>
    <xdr:cxnSp macro="">
      <xdr:nvCxnSpPr>
        <xdr:cNvPr id="179" name="Straight Arrow Connector 178"/>
        <xdr:cNvCxnSpPr>
          <a:stCxn id="249" idx="3"/>
        </xdr:cNvCxnSpPr>
      </xdr:nvCxnSpPr>
      <xdr:spPr bwMode="auto">
        <a:xfrm>
          <a:off x="9151408" y="623782"/>
          <a:ext cx="1173692" cy="1058"/>
        </a:xfrm>
        <a:prstGeom prst="straightConnector1">
          <a:avLst/>
        </a:prstGeom>
        <a:ln>
          <a:headEnd type="none" w="med" len="med"/>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xdr:col>
      <xdr:colOff>85724</xdr:colOff>
      <xdr:row>87</xdr:row>
      <xdr:rowOff>85725</xdr:rowOff>
    </xdr:from>
    <xdr:to>
      <xdr:col>3</xdr:col>
      <xdr:colOff>533400</xdr:colOff>
      <xdr:row>90</xdr:row>
      <xdr:rowOff>0</xdr:rowOff>
    </xdr:to>
    <xdr:sp macro="" textlink="">
      <xdr:nvSpPr>
        <xdr:cNvPr id="180" name="TextBox 179">
          <a:hlinkClick xmlns:r="http://schemas.openxmlformats.org/officeDocument/2006/relationships" r:id="rId1"/>
        </xdr:cNvPr>
        <xdr:cNvSpPr txBox="1"/>
      </xdr:nvSpPr>
      <xdr:spPr>
        <a:xfrm>
          <a:off x="85724" y="1000125"/>
          <a:ext cx="1666876" cy="46291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marL="0" indent="0" algn="ctr"/>
          <a:r>
            <a:rPr lang="en-US" sz="1400" b="1">
              <a:solidFill>
                <a:schemeClr val="dk1"/>
              </a:solidFill>
              <a:latin typeface="+mn-lt"/>
              <a:ea typeface="+mn-ea"/>
              <a:cs typeface="+mn-cs"/>
            </a:rPr>
            <a:t>Technology Components</a:t>
          </a:r>
        </a:p>
      </xdr:txBody>
    </xdr:sp>
    <xdr:clientData/>
  </xdr:twoCellAnchor>
  <xdr:twoCellAnchor>
    <xdr:from>
      <xdr:col>1</xdr:col>
      <xdr:colOff>76200</xdr:colOff>
      <xdr:row>92</xdr:row>
      <xdr:rowOff>0</xdr:rowOff>
    </xdr:from>
    <xdr:to>
      <xdr:col>3</xdr:col>
      <xdr:colOff>514350</xdr:colOff>
      <xdr:row>93</xdr:row>
      <xdr:rowOff>57150</xdr:rowOff>
    </xdr:to>
    <xdr:sp macro="" textlink="">
      <xdr:nvSpPr>
        <xdr:cNvPr id="181" name="TextBox 180">
          <a:hlinkClick xmlns:r="http://schemas.openxmlformats.org/officeDocument/2006/relationships" r:id="rId2"/>
        </xdr:cNvPr>
        <xdr:cNvSpPr txBox="1"/>
      </xdr:nvSpPr>
      <xdr:spPr>
        <a:xfrm>
          <a:off x="76200" y="1828800"/>
          <a:ext cx="1657350" cy="240030"/>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Instant Cost ($/kw)</a:t>
          </a:r>
        </a:p>
      </xdr:txBody>
    </xdr:sp>
    <xdr:clientData/>
  </xdr:twoCellAnchor>
  <xdr:twoCellAnchor>
    <xdr:from>
      <xdr:col>4</xdr:col>
      <xdr:colOff>266700</xdr:colOff>
      <xdr:row>89</xdr:row>
      <xdr:rowOff>114299</xdr:rowOff>
    </xdr:from>
    <xdr:to>
      <xdr:col>6</xdr:col>
      <xdr:colOff>323850</xdr:colOff>
      <xdr:row>91</xdr:row>
      <xdr:rowOff>190500</xdr:rowOff>
    </xdr:to>
    <xdr:sp macro="" textlink="">
      <xdr:nvSpPr>
        <xdr:cNvPr id="182" name="TextBox 181">
          <a:hlinkClick xmlns:r="http://schemas.openxmlformats.org/officeDocument/2006/relationships" r:id="rId3"/>
        </xdr:cNvPr>
        <xdr:cNvSpPr txBox="1"/>
      </xdr:nvSpPr>
      <xdr:spPr>
        <a:xfrm>
          <a:off x="4531783" y="19989799"/>
          <a:ext cx="2681817" cy="563034"/>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AFUDC (WACC) </a:t>
          </a:r>
        </a:p>
        <a:p>
          <a:pPr marL="0" indent="0" algn="ctr"/>
          <a:r>
            <a:rPr lang="en-US" sz="1400" b="1">
              <a:solidFill>
                <a:schemeClr val="dk1"/>
              </a:solidFill>
              <a:latin typeface="+mn-lt"/>
              <a:ea typeface="+mn-ea"/>
              <a:cs typeface="+mn-cs"/>
            </a:rPr>
            <a:t>Merchant, IOU, or POU</a:t>
          </a:r>
        </a:p>
      </xdr:txBody>
    </xdr:sp>
    <xdr:clientData/>
  </xdr:twoCellAnchor>
  <xdr:twoCellAnchor>
    <xdr:from>
      <xdr:col>1</xdr:col>
      <xdr:colOff>85725</xdr:colOff>
      <xdr:row>99</xdr:row>
      <xdr:rowOff>28575</xdr:rowOff>
    </xdr:from>
    <xdr:to>
      <xdr:col>3</xdr:col>
      <xdr:colOff>523875</xdr:colOff>
      <xdr:row>100</xdr:row>
      <xdr:rowOff>85725</xdr:rowOff>
    </xdr:to>
    <xdr:sp macro="" textlink="">
      <xdr:nvSpPr>
        <xdr:cNvPr id="183" name="TextBox 182">
          <a:hlinkClick xmlns:r="http://schemas.openxmlformats.org/officeDocument/2006/relationships" r:id="rId4"/>
        </xdr:cNvPr>
        <xdr:cNvSpPr txBox="1"/>
      </xdr:nvSpPr>
      <xdr:spPr>
        <a:xfrm>
          <a:off x="85725" y="3137535"/>
          <a:ext cx="1657350" cy="24003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Construction Period</a:t>
          </a:r>
        </a:p>
      </xdr:txBody>
    </xdr:sp>
    <xdr:clientData/>
  </xdr:twoCellAnchor>
  <xdr:twoCellAnchor>
    <xdr:from>
      <xdr:col>5</xdr:col>
      <xdr:colOff>114300</xdr:colOff>
      <xdr:row>96</xdr:row>
      <xdr:rowOff>57150</xdr:rowOff>
    </xdr:from>
    <xdr:to>
      <xdr:col>7</xdr:col>
      <xdr:colOff>257175</xdr:colOff>
      <xdr:row>97</xdr:row>
      <xdr:rowOff>114300</xdr:rowOff>
    </xdr:to>
    <xdr:sp macro="" textlink="">
      <xdr:nvSpPr>
        <xdr:cNvPr id="184" name="TextBox 183">
          <a:hlinkClick xmlns:r="http://schemas.openxmlformats.org/officeDocument/2006/relationships" r:id="rId5"/>
        </xdr:cNvPr>
        <xdr:cNvSpPr txBox="1"/>
      </xdr:nvSpPr>
      <xdr:spPr>
        <a:xfrm>
          <a:off x="2552700" y="2617470"/>
          <a:ext cx="1362075" cy="240030"/>
        </a:xfrm>
        <a:prstGeom prst="rect">
          <a:avLst/>
        </a:prstGeom>
        <a:gradFill flip="none" rotWithShape="1">
          <a:gsLst>
            <a:gs pos="0">
              <a:srgbClr val="FFFF00">
                <a:tint val="66000"/>
                <a:satMod val="160000"/>
              </a:srgbClr>
            </a:gs>
            <a:gs pos="50000">
              <a:srgbClr val="FFFF00">
                <a:tint val="44500"/>
                <a:satMod val="160000"/>
              </a:srgbClr>
            </a:gs>
            <a:gs pos="100000">
              <a:srgbClr val="FFFF00">
                <a:tint val="23500"/>
                <a:satMod val="160000"/>
              </a:srgbClr>
            </a:gs>
          </a:gsLst>
          <a:lin ang="18900000" scaled="1"/>
          <a:tileRect/>
        </a:gradFill>
        <a:ln>
          <a:solidFill>
            <a:schemeClr val="accent6">
              <a:lumMod val="60000"/>
              <a:lumOff val="40000"/>
            </a:schemeClr>
          </a:solidFill>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Sales &amp; Use Tax</a:t>
          </a:r>
        </a:p>
      </xdr:txBody>
    </xdr:sp>
    <xdr:clientData/>
  </xdr:twoCellAnchor>
  <xdr:twoCellAnchor>
    <xdr:from>
      <xdr:col>1</xdr:col>
      <xdr:colOff>85725</xdr:colOff>
      <xdr:row>93</xdr:row>
      <xdr:rowOff>152400</xdr:rowOff>
    </xdr:from>
    <xdr:to>
      <xdr:col>3</xdr:col>
      <xdr:colOff>523875</xdr:colOff>
      <xdr:row>95</xdr:row>
      <xdr:rowOff>19050</xdr:rowOff>
    </xdr:to>
    <xdr:sp macro="" textlink="">
      <xdr:nvSpPr>
        <xdr:cNvPr id="185" name="TextBox 184">
          <a:hlinkClick xmlns:r="http://schemas.openxmlformats.org/officeDocument/2006/relationships" r:id="rId6"/>
        </xdr:cNvPr>
        <xdr:cNvSpPr txBox="1"/>
      </xdr:nvSpPr>
      <xdr:spPr>
        <a:xfrm>
          <a:off x="85725" y="2164080"/>
          <a:ext cx="1657350" cy="232410"/>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Development Cost</a:t>
          </a:r>
        </a:p>
      </xdr:txBody>
    </xdr:sp>
    <xdr:clientData/>
  </xdr:twoCellAnchor>
  <xdr:twoCellAnchor>
    <xdr:from>
      <xdr:col>1</xdr:col>
      <xdr:colOff>95250</xdr:colOff>
      <xdr:row>95</xdr:row>
      <xdr:rowOff>133350</xdr:rowOff>
    </xdr:from>
    <xdr:to>
      <xdr:col>3</xdr:col>
      <xdr:colOff>533400</xdr:colOff>
      <xdr:row>97</xdr:row>
      <xdr:rowOff>0</xdr:rowOff>
    </xdr:to>
    <xdr:sp macro="" textlink="">
      <xdr:nvSpPr>
        <xdr:cNvPr id="186" name="TextBox 185">
          <a:hlinkClick xmlns:r="http://schemas.openxmlformats.org/officeDocument/2006/relationships" r:id="rId7"/>
        </xdr:cNvPr>
        <xdr:cNvSpPr txBox="1"/>
      </xdr:nvSpPr>
      <xdr:spPr>
        <a:xfrm>
          <a:off x="95250" y="2510790"/>
          <a:ext cx="1657350" cy="232410"/>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400" b="1">
              <a:solidFill>
                <a:schemeClr val="dk1"/>
              </a:solidFill>
              <a:latin typeface="+mn-lt"/>
              <a:ea typeface="+mn-ea"/>
              <a:cs typeface="+mn-cs"/>
            </a:rPr>
            <a:t>Land Costs</a:t>
          </a:r>
        </a:p>
      </xdr:txBody>
    </xdr:sp>
    <xdr:clientData/>
  </xdr:twoCellAnchor>
  <xdr:twoCellAnchor>
    <xdr:from>
      <xdr:col>1</xdr:col>
      <xdr:colOff>95250</xdr:colOff>
      <xdr:row>97</xdr:row>
      <xdr:rowOff>66675</xdr:rowOff>
    </xdr:from>
    <xdr:to>
      <xdr:col>3</xdr:col>
      <xdr:colOff>533400</xdr:colOff>
      <xdr:row>98</xdr:row>
      <xdr:rowOff>123825</xdr:rowOff>
    </xdr:to>
    <xdr:sp macro="" textlink="">
      <xdr:nvSpPr>
        <xdr:cNvPr id="187" name="TextBox 186">
          <a:hlinkClick xmlns:r="http://schemas.openxmlformats.org/officeDocument/2006/relationships" r:id="rId8"/>
        </xdr:cNvPr>
        <xdr:cNvSpPr txBox="1"/>
      </xdr:nvSpPr>
      <xdr:spPr>
        <a:xfrm>
          <a:off x="95250" y="2809875"/>
          <a:ext cx="1657350" cy="240030"/>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Environmental Costs</a:t>
          </a:r>
        </a:p>
      </xdr:txBody>
    </xdr:sp>
    <xdr:clientData/>
  </xdr:twoCellAnchor>
  <xdr:twoCellAnchor>
    <xdr:from>
      <xdr:col>2</xdr:col>
      <xdr:colOff>295275</xdr:colOff>
      <xdr:row>90</xdr:row>
      <xdr:rowOff>0</xdr:rowOff>
    </xdr:from>
    <xdr:to>
      <xdr:col>2</xdr:col>
      <xdr:colOff>309562</xdr:colOff>
      <xdr:row>92</xdr:row>
      <xdr:rowOff>0</xdr:rowOff>
    </xdr:to>
    <xdr:cxnSp macro="">
      <xdr:nvCxnSpPr>
        <xdr:cNvPr id="188" name="Straight Arrow Connector 187"/>
        <xdr:cNvCxnSpPr>
          <a:stCxn id="180" idx="2"/>
          <a:endCxn id="181" idx="0"/>
        </xdr:cNvCxnSpPr>
      </xdr:nvCxnSpPr>
      <xdr:spPr>
        <a:xfrm flipH="1">
          <a:off x="904875" y="1463040"/>
          <a:ext cx="14287" cy="36576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6</xdr:col>
      <xdr:colOff>390525</xdr:colOff>
      <xdr:row>93</xdr:row>
      <xdr:rowOff>142875</xdr:rowOff>
    </xdr:from>
    <xdr:to>
      <xdr:col>9</xdr:col>
      <xdr:colOff>219075</xdr:colOff>
      <xdr:row>95</xdr:row>
      <xdr:rowOff>9525</xdr:rowOff>
    </xdr:to>
    <xdr:sp macro="" textlink="">
      <xdr:nvSpPr>
        <xdr:cNvPr id="189" name="TextBox 188">
          <a:hlinkClick xmlns:r="http://schemas.openxmlformats.org/officeDocument/2006/relationships" r:id="rId9"/>
        </xdr:cNvPr>
        <xdr:cNvSpPr txBox="1"/>
      </xdr:nvSpPr>
      <xdr:spPr>
        <a:xfrm>
          <a:off x="3438525" y="2154555"/>
          <a:ext cx="1657350" cy="232410"/>
        </a:xfrm>
        <a:prstGeom prst="rect">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8900000" scaled="1"/>
          <a:tileRect/>
        </a:gradFill>
        <a:ln>
          <a:solidFill>
            <a:srgbClr val="FF0000"/>
          </a:solidFill>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marL="0" indent="0" algn="ctr"/>
          <a:r>
            <a:rPr lang="en-US" sz="1400" b="1">
              <a:solidFill>
                <a:schemeClr val="bg1"/>
              </a:solidFill>
              <a:latin typeface="+mn-lt"/>
              <a:ea typeface="+mn-ea"/>
              <a:cs typeface="+mn-cs"/>
            </a:rPr>
            <a:t>Installed Cost ($/kW)</a:t>
          </a:r>
        </a:p>
      </xdr:txBody>
    </xdr:sp>
    <xdr:clientData/>
  </xdr:twoCellAnchor>
  <xdr:twoCellAnchor>
    <xdr:from>
      <xdr:col>3</xdr:col>
      <xdr:colOff>514350</xdr:colOff>
      <xdr:row>92</xdr:row>
      <xdr:rowOff>123825</xdr:rowOff>
    </xdr:from>
    <xdr:to>
      <xdr:col>6</xdr:col>
      <xdr:colOff>390525</xdr:colOff>
      <xdr:row>94</xdr:row>
      <xdr:rowOff>76200</xdr:rowOff>
    </xdr:to>
    <xdr:cxnSp macro="">
      <xdr:nvCxnSpPr>
        <xdr:cNvPr id="190" name="Straight Arrow Connector 189"/>
        <xdr:cNvCxnSpPr>
          <a:stCxn id="181" idx="3"/>
          <a:endCxn id="189" idx="1"/>
        </xdr:cNvCxnSpPr>
      </xdr:nvCxnSpPr>
      <xdr:spPr>
        <a:xfrm>
          <a:off x="1733550" y="1952625"/>
          <a:ext cx="1704975" cy="31813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1089026</xdr:colOff>
      <xdr:row>91</xdr:row>
      <xdr:rowOff>190499</xdr:rowOff>
    </xdr:from>
    <xdr:to>
      <xdr:col>6</xdr:col>
      <xdr:colOff>323851</xdr:colOff>
      <xdr:row>94</xdr:row>
      <xdr:rowOff>76200</xdr:rowOff>
    </xdr:to>
    <xdr:cxnSp macro="">
      <xdr:nvCxnSpPr>
        <xdr:cNvPr id="191" name="Straight Arrow Connector 190"/>
        <xdr:cNvCxnSpPr>
          <a:stCxn id="182" idx="2"/>
          <a:endCxn id="189" idx="1"/>
        </xdr:cNvCxnSpPr>
      </xdr:nvCxnSpPr>
      <xdr:spPr>
        <a:xfrm rot="16200000" flipH="1">
          <a:off x="6235171" y="20190354"/>
          <a:ext cx="615951" cy="1340908"/>
        </a:xfrm>
        <a:prstGeom prst="straightConnector1">
          <a:avLst/>
        </a:prstGeom>
        <a:ln>
          <a:tailEnd type="arrow"/>
        </a:ln>
      </xdr:spPr>
      <xdr:style>
        <a:lnRef idx="2">
          <a:schemeClr val="accent4"/>
        </a:lnRef>
        <a:fillRef idx="0">
          <a:schemeClr val="accent4"/>
        </a:fillRef>
        <a:effectRef idx="1">
          <a:schemeClr val="accent4"/>
        </a:effectRef>
        <a:fontRef idx="minor">
          <a:schemeClr val="tx1"/>
        </a:fontRef>
      </xdr:style>
    </xdr:cxnSp>
    <xdr:clientData/>
  </xdr:twoCellAnchor>
  <xdr:twoCellAnchor>
    <xdr:from>
      <xdr:col>3</xdr:col>
      <xdr:colOff>523875</xdr:colOff>
      <xdr:row>90</xdr:row>
      <xdr:rowOff>152399</xdr:rowOff>
    </xdr:from>
    <xdr:to>
      <xdr:col>4</xdr:col>
      <xdr:colOff>266700</xdr:colOff>
      <xdr:row>99</xdr:row>
      <xdr:rowOff>178858</xdr:rowOff>
    </xdr:to>
    <xdr:cxnSp macro="">
      <xdr:nvCxnSpPr>
        <xdr:cNvPr id="192" name="Straight Arrow Connector 33"/>
        <xdr:cNvCxnSpPr>
          <a:stCxn id="183" idx="3"/>
          <a:endCxn id="182" idx="1"/>
        </xdr:cNvCxnSpPr>
      </xdr:nvCxnSpPr>
      <xdr:spPr>
        <a:xfrm flipV="1">
          <a:off x="2873375" y="20271316"/>
          <a:ext cx="1658408" cy="2217209"/>
        </a:xfrm>
        <a:prstGeom prst="bentConnector3">
          <a:avLst>
            <a:gd name="adj1" fmla="val 50000"/>
          </a:avLst>
        </a:prstGeom>
        <a:ln>
          <a:tailEnd type="arrow"/>
        </a:ln>
      </xdr:spPr>
      <xdr:style>
        <a:lnRef idx="2">
          <a:schemeClr val="accent4"/>
        </a:lnRef>
        <a:fillRef idx="0">
          <a:schemeClr val="accent4"/>
        </a:fillRef>
        <a:effectRef idx="1">
          <a:schemeClr val="accent4"/>
        </a:effectRef>
        <a:fontRef idx="minor">
          <a:schemeClr val="tx1"/>
        </a:fontRef>
      </xdr:style>
    </xdr:cxnSp>
    <xdr:clientData/>
  </xdr:twoCellAnchor>
  <xdr:twoCellAnchor>
    <xdr:from>
      <xdr:col>6</xdr:col>
      <xdr:colOff>185738</xdr:colOff>
      <xdr:row>94</xdr:row>
      <xdr:rowOff>76200</xdr:rowOff>
    </xdr:from>
    <xdr:to>
      <xdr:col>6</xdr:col>
      <xdr:colOff>390525</xdr:colOff>
      <xdr:row>96</xdr:row>
      <xdr:rowOff>57150</xdr:rowOff>
    </xdr:to>
    <xdr:cxnSp macro="">
      <xdr:nvCxnSpPr>
        <xdr:cNvPr id="194" name="Straight Arrow Connector 193"/>
        <xdr:cNvCxnSpPr>
          <a:stCxn id="184" idx="0"/>
          <a:endCxn id="189" idx="1"/>
        </xdr:cNvCxnSpPr>
      </xdr:nvCxnSpPr>
      <xdr:spPr>
        <a:xfrm flipV="1">
          <a:off x="3233738" y="2270760"/>
          <a:ext cx="204787" cy="346710"/>
        </a:xfrm>
        <a:prstGeom prst="straightConnector1">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523875</xdr:colOff>
      <xdr:row>94</xdr:row>
      <xdr:rowOff>76200</xdr:rowOff>
    </xdr:from>
    <xdr:to>
      <xdr:col>6</xdr:col>
      <xdr:colOff>390525</xdr:colOff>
      <xdr:row>94</xdr:row>
      <xdr:rowOff>85725</xdr:rowOff>
    </xdr:to>
    <xdr:cxnSp macro="">
      <xdr:nvCxnSpPr>
        <xdr:cNvPr id="196" name="Straight Arrow Connector 195"/>
        <xdr:cNvCxnSpPr>
          <a:stCxn id="185" idx="3"/>
          <a:endCxn id="189" idx="1"/>
        </xdr:cNvCxnSpPr>
      </xdr:nvCxnSpPr>
      <xdr:spPr>
        <a:xfrm flipV="1">
          <a:off x="1743075" y="2270760"/>
          <a:ext cx="1695450" cy="9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533400</xdr:colOff>
      <xdr:row>94</xdr:row>
      <xdr:rowOff>76200</xdr:rowOff>
    </xdr:from>
    <xdr:to>
      <xdr:col>6</xdr:col>
      <xdr:colOff>390525</xdr:colOff>
      <xdr:row>96</xdr:row>
      <xdr:rowOff>66675</xdr:rowOff>
    </xdr:to>
    <xdr:cxnSp macro="">
      <xdr:nvCxnSpPr>
        <xdr:cNvPr id="197" name="Straight Arrow Connector 196"/>
        <xdr:cNvCxnSpPr>
          <a:stCxn id="186" idx="3"/>
          <a:endCxn id="189" idx="1"/>
        </xdr:cNvCxnSpPr>
      </xdr:nvCxnSpPr>
      <xdr:spPr>
        <a:xfrm flipV="1">
          <a:off x="1752600" y="2270760"/>
          <a:ext cx="1685925" cy="35623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533400</xdr:colOff>
      <xdr:row>94</xdr:row>
      <xdr:rowOff>76200</xdr:rowOff>
    </xdr:from>
    <xdr:to>
      <xdr:col>6</xdr:col>
      <xdr:colOff>390525</xdr:colOff>
      <xdr:row>98</xdr:row>
      <xdr:rowOff>0</xdr:rowOff>
    </xdr:to>
    <xdr:cxnSp macro="">
      <xdr:nvCxnSpPr>
        <xdr:cNvPr id="199" name="Straight Arrow Connector 198"/>
        <xdr:cNvCxnSpPr>
          <a:stCxn id="187" idx="3"/>
          <a:endCxn id="189" idx="1"/>
        </xdr:cNvCxnSpPr>
      </xdr:nvCxnSpPr>
      <xdr:spPr>
        <a:xfrm flipV="1">
          <a:off x="1752600" y="2270760"/>
          <a:ext cx="1685925" cy="65532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76200</xdr:colOff>
      <xdr:row>103</xdr:row>
      <xdr:rowOff>161925</xdr:rowOff>
    </xdr:from>
    <xdr:to>
      <xdr:col>3</xdr:col>
      <xdr:colOff>95250</xdr:colOff>
      <xdr:row>105</xdr:row>
      <xdr:rowOff>28575</xdr:rowOff>
    </xdr:to>
    <xdr:sp macro="" textlink="">
      <xdr:nvSpPr>
        <xdr:cNvPr id="200" name="TextBox 199">
          <a:hlinkClick xmlns:r="http://schemas.openxmlformats.org/officeDocument/2006/relationships" r:id="rId10"/>
        </xdr:cNvPr>
        <xdr:cNvSpPr txBox="1"/>
      </xdr:nvSpPr>
      <xdr:spPr>
        <a:xfrm>
          <a:off x="76200" y="4002405"/>
          <a:ext cx="1238250" cy="23241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Capacity (MW)</a:t>
          </a:r>
        </a:p>
      </xdr:txBody>
    </xdr:sp>
    <xdr:clientData/>
  </xdr:twoCellAnchor>
  <xdr:twoCellAnchor>
    <xdr:from>
      <xdr:col>1</xdr:col>
      <xdr:colOff>85725</xdr:colOff>
      <xdr:row>105</xdr:row>
      <xdr:rowOff>95250</xdr:rowOff>
    </xdr:from>
    <xdr:to>
      <xdr:col>3</xdr:col>
      <xdr:colOff>85725</xdr:colOff>
      <xdr:row>106</xdr:row>
      <xdr:rowOff>152400</xdr:rowOff>
    </xdr:to>
    <xdr:sp macro="" textlink="">
      <xdr:nvSpPr>
        <xdr:cNvPr id="201" name="TextBox 200">
          <a:hlinkClick xmlns:r="http://schemas.openxmlformats.org/officeDocument/2006/relationships" r:id="rId11"/>
        </xdr:cNvPr>
        <xdr:cNvSpPr txBox="1"/>
      </xdr:nvSpPr>
      <xdr:spPr>
        <a:xfrm>
          <a:off x="85725" y="4301490"/>
          <a:ext cx="1219200" cy="24003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Capacity Losses</a:t>
          </a:r>
        </a:p>
      </xdr:txBody>
    </xdr:sp>
    <xdr:clientData/>
  </xdr:twoCellAnchor>
  <xdr:twoCellAnchor>
    <xdr:from>
      <xdr:col>1</xdr:col>
      <xdr:colOff>76200</xdr:colOff>
      <xdr:row>107</xdr:row>
      <xdr:rowOff>47625</xdr:rowOff>
    </xdr:from>
    <xdr:to>
      <xdr:col>3</xdr:col>
      <xdr:colOff>66675</xdr:colOff>
      <xdr:row>108</xdr:row>
      <xdr:rowOff>104775</xdr:rowOff>
    </xdr:to>
    <xdr:sp macro="" textlink="">
      <xdr:nvSpPr>
        <xdr:cNvPr id="202" name="TextBox 201">
          <a:hlinkClick xmlns:r="http://schemas.openxmlformats.org/officeDocument/2006/relationships" r:id="rId12"/>
        </xdr:cNvPr>
        <xdr:cNvSpPr txBox="1"/>
      </xdr:nvSpPr>
      <xdr:spPr>
        <a:xfrm>
          <a:off x="76200" y="4619625"/>
          <a:ext cx="1209675" cy="24003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Capacity Factor</a:t>
          </a:r>
        </a:p>
      </xdr:txBody>
    </xdr:sp>
    <xdr:clientData/>
  </xdr:twoCellAnchor>
  <xdr:twoCellAnchor>
    <xdr:from>
      <xdr:col>3</xdr:col>
      <xdr:colOff>476250</xdr:colOff>
      <xdr:row>107</xdr:row>
      <xdr:rowOff>95250</xdr:rowOff>
    </xdr:from>
    <xdr:to>
      <xdr:col>6</xdr:col>
      <xdr:colOff>304800</xdr:colOff>
      <xdr:row>108</xdr:row>
      <xdr:rowOff>152400</xdr:rowOff>
    </xdr:to>
    <xdr:sp macro="" textlink="">
      <xdr:nvSpPr>
        <xdr:cNvPr id="203" name="TextBox 202">
          <a:hlinkClick xmlns:r="http://schemas.openxmlformats.org/officeDocument/2006/relationships" r:id="rId13"/>
        </xdr:cNvPr>
        <xdr:cNvSpPr txBox="1"/>
      </xdr:nvSpPr>
      <xdr:spPr>
        <a:xfrm>
          <a:off x="1695450" y="4667250"/>
          <a:ext cx="1657350" cy="240030"/>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Annual Energy (GWh)</a:t>
          </a:r>
        </a:p>
      </xdr:txBody>
    </xdr:sp>
    <xdr:clientData/>
  </xdr:twoCellAnchor>
  <xdr:twoCellAnchor>
    <xdr:from>
      <xdr:col>7</xdr:col>
      <xdr:colOff>302414</xdr:colOff>
      <xdr:row>109</xdr:row>
      <xdr:rowOff>28575</xdr:rowOff>
    </xdr:from>
    <xdr:to>
      <xdr:col>9</xdr:col>
      <xdr:colOff>485505</xdr:colOff>
      <xdr:row>110</xdr:row>
      <xdr:rowOff>84667</xdr:rowOff>
    </xdr:to>
    <xdr:sp macro="" textlink="">
      <xdr:nvSpPr>
        <xdr:cNvPr id="204" name="TextBox 203">
          <a:hlinkClick xmlns:r="http://schemas.openxmlformats.org/officeDocument/2006/relationships" r:id="rId14"/>
        </xdr:cNvPr>
        <xdr:cNvSpPr txBox="1"/>
      </xdr:nvSpPr>
      <xdr:spPr>
        <a:xfrm>
          <a:off x="7505695" y="24650700"/>
          <a:ext cx="2052373" cy="246592"/>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Fuel Use (mmBtu)</a:t>
          </a:r>
        </a:p>
      </xdr:txBody>
    </xdr:sp>
    <xdr:clientData/>
  </xdr:twoCellAnchor>
  <xdr:twoCellAnchor>
    <xdr:from>
      <xdr:col>3</xdr:col>
      <xdr:colOff>66675</xdr:colOff>
      <xdr:row>107</xdr:row>
      <xdr:rowOff>171450</xdr:rowOff>
    </xdr:from>
    <xdr:to>
      <xdr:col>3</xdr:col>
      <xdr:colOff>476250</xdr:colOff>
      <xdr:row>108</xdr:row>
      <xdr:rowOff>28575</xdr:rowOff>
    </xdr:to>
    <xdr:cxnSp macro="">
      <xdr:nvCxnSpPr>
        <xdr:cNvPr id="205" name="Straight Arrow Connector 204"/>
        <xdr:cNvCxnSpPr>
          <a:stCxn id="202" idx="3"/>
          <a:endCxn id="203" idx="1"/>
        </xdr:cNvCxnSpPr>
      </xdr:nvCxnSpPr>
      <xdr:spPr>
        <a:xfrm>
          <a:off x="1285875" y="4743450"/>
          <a:ext cx="409575" cy="4000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85725</xdr:colOff>
      <xdr:row>106</xdr:row>
      <xdr:rowOff>28575</xdr:rowOff>
    </xdr:from>
    <xdr:to>
      <xdr:col>5</xdr:col>
      <xdr:colOff>83609</xdr:colOff>
      <xdr:row>107</xdr:row>
      <xdr:rowOff>95250</xdr:rowOff>
    </xdr:to>
    <xdr:cxnSp macro="">
      <xdr:nvCxnSpPr>
        <xdr:cNvPr id="206" name="Straight Arrow Connector 205"/>
        <xdr:cNvCxnSpPr>
          <a:stCxn id="201" idx="3"/>
          <a:endCxn id="203" idx="0"/>
        </xdr:cNvCxnSpPr>
      </xdr:nvCxnSpPr>
      <xdr:spPr>
        <a:xfrm>
          <a:off x="1304925" y="4417695"/>
          <a:ext cx="1217084" cy="24955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476250</xdr:colOff>
      <xdr:row>110</xdr:row>
      <xdr:rowOff>28575</xdr:rowOff>
    </xdr:from>
    <xdr:to>
      <xdr:col>6</xdr:col>
      <xdr:colOff>304800</xdr:colOff>
      <xdr:row>111</xdr:row>
      <xdr:rowOff>85725</xdr:rowOff>
    </xdr:to>
    <xdr:sp macro="" textlink="">
      <xdr:nvSpPr>
        <xdr:cNvPr id="207" name="TextBox 206">
          <a:hlinkClick xmlns:r="http://schemas.openxmlformats.org/officeDocument/2006/relationships" r:id="rId15"/>
        </xdr:cNvPr>
        <xdr:cNvSpPr txBox="1"/>
      </xdr:nvSpPr>
      <xdr:spPr>
        <a:xfrm>
          <a:off x="1695450" y="5149215"/>
          <a:ext cx="1657350" cy="24003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Heat Rate (Btu/kWh)</a:t>
          </a:r>
        </a:p>
      </xdr:txBody>
    </xdr:sp>
    <xdr:clientData/>
  </xdr:twoCellAnchor>
  <xdr:twoCellAnchor>
    <xdr:from>
      <xdr:col>3</xdr:col>
      <xdr:colOff>476250</xdr:colOff>
      <xdr:row>112</xdr:row>
      <xdr:rowOff>28575</xdr:rowOff>
    </xdr:from>
    <xdr:to>
      <xdr:col>6</xdr:col>
      <xdr:colOff>304800</xdr:colOff>
      <xdr:row>113</xdr:row>
      <xdr:rowOff>85725</xdr:rowOff>
    </xdr:to>
    <xdr:sp macro="" textlink="">
      <xdr:nvSpPr>
        <xdr:cNvPr id="208" name="TextBox 207">
          <a:hlinkClick xmlns:r="http://schemas.openxmlformats.org/officeDocument/2006/relationships" r:id="rId16"/>
        </xdr:cNvPr>
        <xdr:cNvSpPr txBox="1"/>
      </xdr:nvSpPr>
      <xdr:spPr>
        <a:xfrm>
          <a:off x="1695450" y="5514975"/>
          <a:ext cx="1657350" cy="24003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Heat Rate Degradation (%)</a:t>
          </a:r>
        </a:p>
      </xdr:txBody>
    </xdr:sp>
    <xdr:clientData/>
  </xdr:twoCellAnchor>
  <xdr:twoCellAnchor>
    <xdr:from>
      <xdr:col>4</xdr:col>
      <xdr:colOff>123824</xdr:colOff>
      <xdr:row>103</xdr:row>
      <xdr:rowOff>180975</xdr:rowOff>
    </xdr:from>
    <xdr:to>
      <xdr:col>7</xdr:col>
      <xdr:colOff>447675</xdr:colOff>
      <xdr:row>104</xdr:row>
      <xdr:rowOff>180975</xdr:rowOff>
    </xdr:to>
    <xdr:sp macro="" textlink="">
      <xdr:nvSpPr>
        <xdr:cNvPr id="209" name="TextBox 208">
          <a:hlinkClick xmlns:r="http://schemas.openxmlformats.org/officeDocument/2006/relationships" r:id="rId17"/>
        </xdr:cNvPr>
        <xdr:cNvSpPr txBox="1"/>
      </xdr:nvSpPr>
      <xdr:spPr>
        <a:xfrm>
          <a:off x="1952624" y="4021455"/>
          <a:ext cx="2152651" cy="182880"/>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400" b="1">
              <a:solidFill>
                <a:schemeClr val="dk1"/>
              </a:solidFill>
              <a:latin typeface="+mn-lt"/>
              <a:ea typeface="+mn-ea"/>
              <a:cs typeface="+mn-cs"/>
            </a:rPr>
            <a:t>Base Year Variable O&amp;M ($/MWh)</a:t>
          </a:r>
        </a:p>
      </xdr:txBody>
    </xdr:sp>
    <xdr:clientData/>
  </xdr:twoCellAnchor>
  <xdr:twoCellAnchor>
    <xdr:from>
      <xdr:col>7</xdr:col>
      <xdr:colOff>228600</xdr:colOff>
      <xdr:row>86</xdr:row>
      <xdr:rowOff>201083</xdr:rowOff>
    </xdr:from>
    <xdr:to>
      <xdr:col>9</xdr:col>
      <xdr:colOff>219075</xdr:colOff>
      <xdr:row>88</xdr:row>
      <xdr:rowOff>0</xdr:rowOff>
    </xdr:to>
    <xdr:sp macro="" textlink="">
      <xdr:nvSpPr>
        <xdr:cNvPr id="210" name="TextBox 209">
          <a:hlinkClick xmlns:r="http://schemas.openxmlformats.org/officeDocument/2006/relationships" r:id="rId18"/>
        </xdr:cNvPr>
        <xdr:cNvSpPr txBox="1"/>
      </xdr:nvSpPr>
      <xdr:spPr>
        <a:xfrm>
          <a:off x="7446433" y="19346333"/>
          <a:ext cx="1683809" cy="2857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marL="0" indent="0" algn="ctr"/>
          <a:r>
            <a:rPr lang="en-US" sz="1400" b="1">
              <a:solidFill>
                <a:schemeClr val="dk1"/>
              </a:solidFill>
              <a:latin typeface="+mn-lt"/>
              <a:ea typeface="+mn-ea"/>
              <a:cs typeface="+mn-cs"/>
            </a:rPr>
            <a:t>Debt/Equity Ratio</a:t>
          </a:r>
        </a:p>
      </xdr:txBody>
    </xdr:sp>
    <xdr:clientData/>
  </xdr:twoCellAnchor>
  <xdr:twoCellAnchor>
    <xdr:from>
      <xdr:col>7</xdr:col>
      <xdr:colOff>228600</xdr:colOff>
      <xdr:row>88</xdr:row>
      <xdr:rowOff>38100</xdr:rowOff>
    </xdr:from>
    <xdr:to>
      <xdr:col>9</xdr:col>
      <xdr:colOff>219075</xdr:colOff>
      <xdr:row>89</xdr:row>
      <xdr:rowOff>28575</xdr:rowOff>
    </xdr:to>
    <xdr:sp macro="" textlink="">
      <xdr:nvSpPr>
        <xdr:cNvPr id="211" name="TextBox 210">
          <a:hlinkClick xmlns:r="http://schemas.openxmlformats.org/officeDocument/2006/relationships" r:id="rId19"/>
        </xdr:cNvPr>
        <xdr:cNvSpPr txBox="1"/>
      </xdr:nvSpPr>
      <xdr:spPr>
        <a:xfrm>
          <a:off x="3886200" y="1135380"/>
          <a:ext cx="1209675" cy="173355"/>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marL="0" indent="0" algn="ctr"/>
          <a:r>
            <a:rPr lang="en-US" sz="1400" b="1">
              <a:solidFill>
                <a:schemeClr val="dk1"/>
              </a:solidFill>
              <a:latin typeface="+mn-lt"/>
              <a:ea typeface="+mn-ea"/>
              <a:cs typeface="+mn-cs"/>
            </a:rPr>
            <a:t>Cost of Equity</a:t>
          </a:r>
        </a:p>
      </xdr:txBody>
    </xdr:sp>
    <xdr:clientData/>
  </xdr:twoCellAnchor>
  <xdr:twoCellAnchor>
    <xdr:from>
      <xdr:col>7</xdr:col>
      <xdr:colOff>228600</xdr:colOff>
      <xdr:row>89</xdr:row>
      <xdr:rowOff>76200</xdr:rowOff>
    </xdr:from>
    <xdr:to>
      <xdr:col>9</xdr:col>
      <xdr:colOff>219075</xdr:colOff>
      <xdr:row>90</xdr:row>
      <xdr:rowOff>66675</xdr:rowOff>
    </xdr:to>
    <xdr:sp macro="" textlink="">
      <xdr:nvSpPr>
        <xdr:cNvPr id="212" name="TextBox 211">
          <a:hlinkClick xmlns:r="http://schemas.openxmlformats.org/officeDocument/2006/relationships" r:id="rId20"/>
        </xdr:cNvPr>
        <xdr:cNvSpPr txBox="1"/>
      </xdr:nvSpPr>
      <xdr:spPr>
        <a:xfrm>
          <a:off x="3886200" y="1356360"/>
          <a:ext cx="1209675" cy="173355"/>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marL="0" indent="0" algn="ctr"/>
          <a:r>
            <a:rPr lang="en-US" sz="1400" b="1">
              <a:solidFill>
                <a:schemeClr val="dk1"/>
              </a:solidFill>
              <a:latin typeface="+mn-lt"/>
              <a:ea typeface="+mn-ea"/>
              <a:cs typeface="+mn-cs"/>
            </a:rPr>
            <a:t>Cost of Debt</a:t>
          </a:r>
        </a:p>
      </xdr:txBody>
    </xdr:sp>
    <xdr:clientData/>
  </xdr:twoCellAnchor>
  <xdr:twoCellAnchor>
    <xdr:from>
      <xdr:col>7</xdr:col>
      <xdr:colOff>228600</xdr:colOff>
      <xdr:row>90</xdr:row>
      <xdr:rowOff>114300</xdr:rowOff>
    </xdr:from>
    <xdr:to>
      <xdr:col>9</xdr:col>
      <xdr:colOff>219075</xdr:colOff>
      <xdr:row>91</xdr:row>
      <xdr:rowOff>104775</xdr:rowOff>
    </xdr:to>
    <xdr:sp macro="" textlink="">
      <xdr:nvSpPr>
        <xdr:cNvPr id="213" name="TextBox 212">
          <a:hlinkClick xmlns:r="http://schemas.openxmlformats.org/officeDocument/2006/relationships" r:id="rId21"/>
        </xdr:cNvPr>
        <xdr:cNvSpPr txBox="1"/>
      </xdr:nvSpPr>
      <xdr:spPr>
        <a:xfrm>
          <a:off x="3886200" y="1577340"/>
          <a:ext cx="1209675" cy="173355"/>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marL="0" indent="0" algn="ctr"/>
          <a:r>
            <a:rPr lang="en-US" sz="1400" b="1">
              <a:solidFill>
                <a:schemeClr val="dk1"/>
              </a:solidFill>
              <a:latin typeface="+mn-lt"/>
              <a:ea typeface="+mn-ea"/>
              <a:cs typeface="+mn-cs"/>
            </a:rPr>
            <a:t>Debt Term</a:t>
          </a:r>
        </a:p>
      </xdr:txBody>
    </xdr:sp>
    <xdr:clientData/>
  </xdr:twoCellAnchor>
  <xdr:twoCellAnchor>
    <xdr:from>
      <xdr:col>10</xdr:col>
      <xdr:colOff>66675</xdr:colOff>
      <xdr:row>87</xdr:row>
      <xdr:rowOff>0</xdr:rowOff>
    </xdr:from>
    <xdr:to>
      <xdr:col>11</xdr:col>
      <xdr:colOff>76200</xdr:colOff>
      <xdr:row>95</xdr:row>
      <xdr:rowOff>9525</xdr:rowOff>
    </xdr:to>
    <xdr:sp macro="" textlink="">
      <xdr:nvSpPr>
        <xdr:cNvPr id="214" name="TextBox 213"/>
        <xdr:cNvSpPr txBox="1"/>
      </xdr:nvSpPr>
      <xdr:spPr>
        <a:xfrm>
          <a:off x="5553075" y="914400"/>
          <a:ext cx="619125" cy="1472565"/>
        </a:xfrm>
        <a:prstGeom prst="rect">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18900000" scaled="1"/>
          <a:tileRect/>
        </a:gradFill>
        <a:ln>
          <a:solidFill>
            <a:srgbClr val="00B050"/>
          </a:solidFill>
        </a:ln>
      </xdr:spPr>
      <xdr:style>
        <a:lnRef idx="1">
          <a:schemeClr val="accent1"/>
        </a:lnRef>
        <a:fillRef idx="2">
          <a:schemeClr val="accent1"/>
        </a:fillRef>
        <a:effectRef idx="1">
          <a:schemeClr val="accent1"/>
        </a:effectRef>
        <a:fontRef idx="minor">
          <a:schemeClr val="dk1"/>
        </a:fontRef>
      </xdr:style>
      <xdr:txBody>
        <a:bodyPr vertOverflow="clip" horzOverflow="clip" vert="vert" wrap="square" rtlCol="0" anchor="ctr"/>
        <a:lstStyle/>
        <a:p>
          <a:pPr algn="ctr"/>
          <a:r>
            <a:rPr lang="en-US" sz="1400" b="1">
              <a:solidFill>
                <a:sysClr val="windowText" lastClr="000000"/>
              </a:solidFill>
            </a:rPr>
            <a:t>Amatorization</a:t>
          </a:r>
        </a:p>
      </xdr:txBody>
    </xdr:sp>
    <xdr:clientData/>
  </xdr:twoCellAnchor>
  <xdr:twoCellAnchor>
    <xdr:from>
      <xdr:col>10</xdr:col>
      <xdr:colOff>76200</xdr:colOff>
      <xdr:row>95</xdr:row>
      <xdr:rowOff>180975</xdr:rowOff>
    </xdr:from>
    <xdr:to>
      <xdr:col>11</xdr:col>
      <xdr:colOff>85725</xdr:colOff>
      <xdr:row>106</xdr:row>
      <xdr:rowOff>152400</xdr:rowOff>
    </xdr:to>
    <xdr:sp macro="" textlink="">
      <xdr:nvSpPr>
        <xdr:cNvPr id="215" name="TextBox 214">
          <a:hlinkClick xmlns:r="http://schemas.openxmlformats.org/officeDocument/2006/relationships" r:id="rId22"/>
        </xdr:cNvPr>
        <xdr:cNvSpPr txBox="1"/>
      </xdr:nvSpPr>
      <xdr:spPr>
        <a:xfrm>
          <a:off x="5562600" y="2558415"/>
          <a:ext cx="619125" cy="1983105"/>
        </a:xfrm>
        <a:prstGeom prst="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vert="vert" wrap="square" rtlCol="0" anchor="ctr"/>
        <a:lstStyle/>
        <a:p>
          <a:pPr marL="0" indent="0" algn="ctr"/>
          <a:r>
            <a:rPr lang="en-US" sz="1400" b="1">
              <a:solidFill>
                <a:sysClr val="windowText" lastClr="000000"/>
              </a:solidFill>
              <a:latin typeface="+mn-lt"/>
              <a:ea typeface="+mn-ea"/>
              <a:cs typeface="+mn-cs"/>
            </a:rPr>
            <a:t>Inflation &amp; Real Escalation</a:t>
          </a:r>
        </a:p>
      </xdr:txBody>
    </xdr:sp>
    <xdr:clientData/>
  </xdr:twoCellAnchor>
  <xdr:twoCellAnchor>
    <xdr:from>
      <xdr:col>4</xdr:col>
      <xdr:colOff>123825</xdr:colOff>
      <xdr:row>98</xdr:row>
      <xdr:rowOff>180975</xdr:rowOff>
    </xdr:from>
    <xdr:to>
      <xdr:col>7</xdr:col>
      <xdr:colOff>447676</xdr:colOff>
      <xdr:row>99</xdr:row>
      <xdr:rowOff>180975</xdr:rowOff>
    </xdr:to>
    <xdr:sp macro="" textlink="">
      <xdr:nvSpPr>
        <xdr:cNvPr id="216" name="TextBox 215">
          <a:hlinkClick xmlns:r="http://schemas.openxmlformats.org/officeDocument/2006/relationships" r:id="rId23"/>
        </xdr:cNvPr>
        <xdr:cNvSpPr txBox="1"/>
      </xdr:nvSpPr>
      <xdr:spPr>
        <a:xfrm>
          <a:off x="1952625" y="3107055"/>
          <a:ext cx="2152651" cy="182880"/>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400" b="1">
              <a:solidFill>
                <a:schemeClr val="dk1"/>
              </a:solidFill>
              <a:latin typeface="+mn-lt"/>
              <a:ea typeface="+mn-ea"/>
              <a:cs typeface="+mn-cs"/>
            </a:rPr>
            <a:t>Base Year Fixed O&amp;M ($/kW-Yr)</a:t>
          </a:r>
        </a:p>
      </xdr:txBody>
    </xdr:sp>
    <xdr:clientData/>
  </xdr:twoCellAnchor>
  <xdr:twoCellAnchor>
    <xdr:from>
      <xdr:col>9</xdr:col>
      <xdr:colOff>219075</xdr:colOff>
      <xdr:row>87</xdr:row>
      <xdr:rowOff>85727</xdr:rowOff>
    </xdr:from>
    <xdr:to>
      <xdr:col>10</xdr:col>
      <xdr:colOff>57150</xdr:colOff>
      <xdr:row>87</xdr:row>
      <xdr:rowOff>100541</xdr:rowOff>
    </xdr:to>
    <xdr:cxnSp macro="">
      <xdr:nvCxnSpPr>
        <xdr:cNvPr id="217" name="Straight Arrow Connector 216"/>
        <xdr:cNvCxnSpPr>
          <a:stCxn id="210" idx="3"/>
        </xdr:cNvCxnSpPr>
      </xdr:nvCxnSpPr>
      <xdr:spPr>
        <a:xfrm flipV="1">
          <a:off x="9130242" y="19474394"/>
          <a:ext cx="547158" cy="14814"/>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219075</xdr:colOff>
      <xdr:row>88</xdr:row>
      <xdr:rowOff>123825</xdr:rowOff>
    </xdr:from>
    <xdr:to>
      <xdr:col>10</xdr:col>
      <xdr:colOff>57150</xdr:colOff>
      <xdr:row>88</xdr:row>
      <xdr:rowOff>128588</xdr:rowOff>
    </xdr:to>
    <xdr:cxnSp macro="">
      <xdr:nvCxnSpPr>
        <xdr:cNvPr id="218" name="Straight Arrow Connector 217"/>
        <xdr:cNvCxnSpPr>
          <a:stCxn id="211" idx="3"/>
        </xdr:cNvCxnSpPr>
      </xdr:nvCxnSpPr>
      <xdr:spPr>
        <a:xfrm flipV="1">
          <a:off x="5095875" y="1221105"/>
          <a:ext cx="447675" cy="4763"/>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219075</xdr:colOff>
      <xdr:row>89</xdr:row>
      <xdr:rowOff>161925</xdr:rowOff>
    </xdr:from>
    <xdr:to>
      <xdr:col>10</xdr:col>
      <xdr:colOff>57150</xdr:colOff>
      <xdr:row>89</xdr:row>
      <xdr:rowOff>166688</xdr:rowOff>
    </xdr:to>
    <xdr:cxnSp macro="">
      <xdr:nvCxnSpPr>
        <xdr:cNvPr id="219" name="Straight Arrow Connector 218"/>
        <xdr:cNvCxnSpPr>
          <a:stCxn id="212" idx="3"/>
        </xdr:cNvCxnSpPr>
      </xdr:nvCxnSpPr>
      <xdr:spPr>
        <a:xfrm flipV="1">
          <a:off x="5095875" y="1442085"/>
          <a:ext cx="447675" cy="4763"/>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219075</xdr:colOff>
      <xdr:row>91</xdr:row>
      <xdr:rowOff>4763</xdr:rowOff>
    </xdr:from>
    <xdr:to>
      <xdr:col>10</xdr:col>
      <xdr:colOff>66675</xdr:colOff>
      <xdr:row>91</xdr:row>
      <xdr:rowOff>14288</xdr:rowOff>
    </xdr:to>
    <xdr:cxnSp macro="">
      <xdr:nvCxnSpPr>
        <xdr:cNvPr id="220" name="Straight Arrow Connector 219"/>
        <xdr:cNvCxnSpPr>
          <a:stCxn id="213" idx="3"/>
          <a:endCxn id="214" idx="1"/>
        </xdr:cNvCxnSpPr>
      </xdr:nvCxnSpPr>
      <xdr:spPr>
        <a:xfrm flipV="1">
          <a:off x="5095875" y="1650683"/>
          <a:ext cx="457200" cy="9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188383</xdr:colOff>
      <xdr:row>100</xdr:row>
      <xdr:rowOff>125942</xdr:rowOff>
    </xdr:from>
    <xdr:to>
      <xdr:col>9</xdr:col>
      <xdr:colOff>178858</xdr:colOff>
      <xdr:row>101</xdr:row>
      <xdr:rowOff>116417</xdr:rowOff>
    </xdr:to>
    <xdr:sp macro="" textlink="">
      <xdr:nvSpPr>
        <xdr:cNvPr id="221" name="TextBox 220">
          <a:hlinkClick xmlns:r="http://schemas.openxmlformats.org/officeDocument/2006/relationships" r:id="rId24"/>
        </xdr:cNvPr>
        <xdr:cNvSpPr txBox="1"/>
      </xdr:nvSpPr>
      <xdr:spPr>
        <a:xfrm>
          <a:off x="3845983" y="3417782"/>
          <a:ext cx="1209675" cy="173355"/>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400" b="1">
              <a:solidFill>
                <a:schemeClr val="dk1"/>
              </a:solidFill>
              <a:latin typeface="+mn-lt"/>
              <a:ea typeface="+mn-ea"/>
              <a:cs typeface="+mn-cs"/>
            </a:rPr>
            <a:t>Insurance Rate</a:t>
          </a:r>
        </a:p>
      </xdr:txBody>
    </xdr:sp>
    <xdr:clientData/>
  </xdr:twoCellAnchor>
  <xdr:twoCellAnchor>
    <xdr:from>
      <xdr:col>7</xdr:col>
      <xdr:colOff>198967</xdr:colOff>
      <xdr:row>102</xdr:row>
      <xdr:rowOff>2117</xdr:rowOff>
    </xdr:from>
    <xdr:to>
      <xdr:col>9</xdr:col>
      <xdr:colOff>189442</xdr:colOff>
      <xdr:row>102</xdr:row>
      <xdr:rowOff>232833</xdr:rowOff>
    </xdr:to>
    <xdr:sp macro="" textlink="">
      <xdr:nvSpPr>
        <xdr:cNvPr id="222" name="TextBox 221">
          <a:hlinkClick xmlns:r="http://schemas.openxmlformats.org/officeDocument/2006/relationships" r:id="rId25"/>
        </xdr:cNvPr>
        <xdr:cNvSpPr txBox="1"/>
      </xdr:nvSpPr>
      <xdr:spPr>
        <a:xfrm>
          <a:off x="7416800" y="23042034"/>
          <a:ext cx="1683809" cy="230716"/>
        </a:xfrm>
        <a:prstGeom prst="rect">
          <a:avLst/>
        </a:prstGeom>
        <a:gradFill>
          <a:gsLst>
            <a:gs pos="0">
              <a:srgbClr val="FFFF80"/>
            </a:gs>
            <a:gs pos="100000">
              <a:srgbClr val="FFEBFA"/>
            </a:gs>
          </a:gsLst>
          <a:lin ang="16200000" scaled="0"/>
        </a:gradFill>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400" b="1">
              <a:solidFill>
                <a:schemeClr val="dk1"/>
              </a:solidFill>
              <a:latin typeface="+mn-lt"/>
              <a:ea typeface="+mn-ea"/>
              <a:cs typeface="+mn-cs"/>
            </a:rPr>
            <a:t>Ad Valorem Rate</a:t>
          </a:r>
        </a:p>
      </xdr:txBody>
    </xdr:sp>
    <xdr:clientData/>
  </xdr:twoCellAnchor>
  <xdr:twoCellAnchor>
    <xdr:from>
      <xdr:col>9</xdr:col>
      <xdr:colOff>219075</xdr:colOff>
      <xdr:row>94</xdr:row>
      <xdr:rowOff>76200</xdr:rowOff>
    </xdr:from>
    <xdr:to>
      <xdr:col>10</xdr:col>
      <xdr:colOff>76200</xdr:colOff>
      <xdr:row>94</xdr:row>
      <xdr:rowOff>76200</xdr:rowOff>
    </xdr:to>
    <xdr:cxnSp macro="">
      <xdr:nvCxnSpPr>
        <xdr:cNvPr id="223" name="Straight Arrow Connector 222"/>
        <xdr:cNvCxnSpPr>
          <a:stCxn id="189" idx="3"/>
        </xdr:cNvCxnSpPr>
      </xdr:nvCxnSpPr>
      <xdr:spPr>
        <a:xfrm>
          <a:off x="5095875" y="2270760"/>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178858</xdr:colOff>
      <xdr:row>101</xdr:row>
      <xdr:rowOff>21167</xdr:rowOff>
    </xdr:from>
    <xdr:to>
      <xdr:col>10</xdr:col>
      <xdr:colOff>55033</xdr:colOff>
      <xdr:row>101</xdr:row>
      <xdr:rowOff>25930</xdr:rowOff>
    </xdr:to>
    <xdr:cxnSp macro="">
      <xdr:nvCxnSpPr>
        <xdr:cNvPr id="224" name="Straight Arrow Connector 223"/>
        <xdr:cNvCxnSpPr>
          <a:stCxn id="221" idx="3"/>
        </xdr:cNvCxnSpPr>
      </xdr:nvCxnSpPr>
      <xdr:spPr>
        <a:xfrm flipV="1">
          <a:off x="5055658" y="3495887"/>
          <a:ext cx="485775" cy="4763"/>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189442</xdr:colOff>
      <xdr:row>102</xdr:row>
      <xdr:rowOff>97367</xdr:rowOff>
    </xdr:from>
    <xdr:to>
      <xdr:col>10</xdr:col>
      <xdr:colOff>56092</xdr:colOff>
      <xdr:row>102</xdr:row>
      <xdr:rowOff>117475</xdr:rowOff>
    </xdr:to>
    <xdr:cxnSp macro="">
      <xdr:nvCxnSpPr>
        <xdr:cNvPr id="225" name="Straight Arrow Connector 224"/>
        <xdr:cNvCxnSpPr>
          <a:stCxn id="222" idx="3"/>
        </xdr:cNvCxnSpPr>
      </xdr:nvCxnSpPr>
      <xdr:spPr>
        <a:xfrm flipV="1">
          <a:off x="9100609" y="23137284"/>
          <a:ext cx="575733" cy="20108"/>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447676</xdr:colOff>
      <xdr:row>99</xdr:row>
      <xdr:rowOff>85725</xdr:rowOff>
    </xdr:from>
    <xdr:to>
      <xdr:col>10</xdr:col>
      <xdr:colOff>85725</xdr:colOff>
      <xdr:row>99</xdr:row>
      <xdr:rowOff>95250</xdr:rowOff>
    </xdr:to>
    <xdr:cxnSp macro="">
      <xdr:nvCxnSpPr>
        <xdr:cNvPr id="226" name="Straight Arrow Connector 225"/>
        <xdr:cNvCxnSpPr>
          <a:stCxn id="216" idx="3"/>
        </xdr:cNvCxnSpPr>
      </xdr:nvCxnSpPr>
      <xdr:spPr>
        <a:xfrm>
          <a:off x="4105276" y="3194685"/>
          <a:ext cx="1466849" cy="9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447675</xdr:colOff>
      <xdr:row>104</xdr:row>
      <xdr:rowOff>85725</xdr:rowOff>
    </xdr:from>
    <xdr:to>
      <xdr:col>10</xdr:col>
      <xdr:colOff>85725</xdr:colOff>
      <xdr:row>104</xdr:row>
      <xdr:rowOff>95250</xdr:rowOff>
    </xdr:to>
    <xdr:cxnSp macro="">
      <xdr:nvCxnSpPr>
        <xdr:cNvPr id="227" name="Straight Arrow Connector 226"/>
        <xdr:cNvCxnSpPr>
          <a:stCxn id="209" idx="3"/>
        </xdr:cNvCxnSpPr>
      </xdr:nvCxnSpPr>
      <xdr:spPr>
        <a:xfrm>
          <a:off x="4105275" y="4109085"/>
          <a:ext cx="1466850" cy="9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xdr:colOff>
      <xdr:row>107</xdr:row>
      <xdr:rowOff>47626</xdr:rowOff>
    </xdr:from>
    <xdr:to>
      <xdr:col>11</xdr:col>
      <xdr:colOff>66675</xdr:colOff>
      <xdr:row>112</xdr:row>
      <xdr:rowOff>66676</xdr:rowOff>
    </xdr:to>
    <xdr:sp macro="" textlink="">
      <xdr:nvSpPr>
        <xdr:cNvPr id="228" name="TextBox 227">
          <a:hlinkClick xmlns:r="http://schemas.openxmlformats.org/officeDocument/2006/relationships" r:id="rId26"/>
        </xdr:cNvPr>
        <xdr:cNvSpPr txBox="1"/>
      </xdr:nvSpPr>
      <xdr:spPr>
        <a:xfrm>
          <a:off x="5543550" y="4619626"/>
          <a:ext cx="619125" cy="933450"/>
        </a:xfrm>
        <a:prstGeom prst="rect">
          <a:avLst/>
        </a:prstGeom>
        <a:gradFill flip="none" rotWithShape="1">
          <a:gsLst>
            <a:gs pos="0">
              <a:schemeClr val="accent2">
                <a:lumMod val="60000"/>
                <a:lumOff val="40000"/>
                <a:tint val="66000"/>
                <a:satMod val="160000"/>
              </a:schemeClr>
            </a:gs>
            <a:gs pos="50000">
              <a:schemeClr val="accent2">
                <a:lumMod val="60000"/>
                <a:lumOff val="40000"/>
                <a:tint val="44500"/>
                <a:satMod val="160000"/>
              </a:schemeClr>
            </a:gs>
            <a:gs pos="100000">
              <a:schemeClr val="accent2">
                <a:lumMod val="60000"/>
                <a:lumOff val="40000"/>
                <a:tint val="23500"/>
                <a:satMod val="160000"/>
              </a:schemeClr>
            </a:gs>
          </a:gsLst>
          <a:lin ang="18900000" scaled="1"/>
          <a:tileRect/>
        </a:gradFill>
        <a:ln/>
      </xdr:spPr>
      <xdr:style>
        <a:lnRef idx="1">
          <a:schemeClr val="accent2"/>
        </a:lnRef>
        <a:fillRef idx="2">
          <a:schemeClr val="accent2"/>
        </a:fillRef>
        <a:effectRef idx="1">
          <a:schemeClr val="accent2"/>
        </a:effectRef>
        <a:fontRef idx="minor">
          <a:schemeClr val="dk1"/>
        </a:fontRef>
      </xdr:style>
      <xdr:txBody>
        <a:bodyPr vertOverflow="clip" horzOverflow="clip" vert="vert" wrap="square" rtlCol="0" anchor="ctr"/>
        <a:lstStyle/>
        <a:p>
          <a:pPr algn="ctr"/>
          <a:r>
            <a:rPr lang="en-US" sz="1400" b="1">
              <a:solidFill>
                <a:sysClr val="windowText" lastClr="000000"/>
              </a:solidFill>
              <a:latin typeface="+mn-lt"/>
              <a:ea typeface="+mn-ea"/>
              <a:cs typeface="+mn-cs"/>
            </a:rPr>
            <a:t>Fuel Price Forecast</a:t>
          </a:r>
        </a:p>
      </xdr:txBody>
    </xdr:sp>
    <xdr:clientData/>
  </xdr:twoCellAnchor>
  <xdr:twoCellAnchor>
    <xdr:from>
      <xdr:col>9</xdr:col>
      <xdr:colOff>485505</xdr:colOff>
      <xdr:row>109</xdr:row>
      <xdr:rowOff>104776</xdr:rowOff>
    </xdr:from>
    <xdr:to>
      <xdr:col>10</xdr:col>
      <xdr:colOff>57150</xdr:colOff>
      <xdr:row>109</xdr:row>
      <xdr:rowOff>151871</xdr:rowOff>
    </xdr:to>
    <xdr:cxnSp macro="">
      <xdr:nvCxnSpPr>
        <xdr:cNvPr id="229" name="Straight Arrow Connector 228"/>
        <xdr:cNvCxnSpPr>
          <a:stCxn id="204" idx="3"/>
          <a:endCxn id="228" idx="1"/>
        </xdr:cNvCxnSpPr>
      </xdr:nvCxnSpPr>
      <xdr:spPr>
        <a:xfrm flipV="1">
          <a:off x="9558068" y="24726901"/>
          <a:ext cx="274113" cy="470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590549</xdr:colOff>
      <xdr:row>89</xdr:row>
      <xdr:rowOff>158749</xdr:rowOff>
    </xdr:from>
    <xdr:to>
      <xdr:col>15</xdr:col>
      <xdr:colOff>276224</xdr:colOff>
      <xdr:row>90</xdr:row>
      <xdr:rowOff>168274</xdr:rowOff>
    </xdr:to>
    <xdr:sp macro="" textlink="">
      <xdr:nvSpPr>
        <xdr:cNvPr id="230" name="TextBox 229">
          <a:hlinkClick xmlns:r="http://schemas.openxmlformats.org/officeDocument/2006/relationships" r:id="rId27"/>
        </xdr:cNvPr>
        <xdr:cNvSpPr txBox="1"/>
      </xdr:nvSpPr>
      <xdr:spPr>
        <a:xfrm>
          <a:off x="6686549" y="1438909"/>
          <a:ext cx="2124075" cy="192405"/>
        </a:xfrm>
        <a:prstGeom prst="rect">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18900000" scaled="1"/>
          <a:tileRect/>
        </a:gradFill>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en-US" sz="1050"/>
            <a:t>Capital Cost + Financing ($/kW-Yr)</a:t>
          </a:r>
        </a:p>
      </xdr:txBody>
    </xdr:sp>
    <xdr:clientData/>
  </xdr:twoCellAnchor>
  <xdr:twoCellAnchor>
    <xdr:from>
      <xdr:col>11</xdr:col>
      <xdr:colOff>76200</xdr:colOff>
      <xdr:row>90</xdr:row>
      <xdr:rowOff>68262</xdr:rowOff>
    </xdr:from>
    <xdr:to>
      <xdr:col>11</xdr:col>
      <xdr:colOff>590549</xdr:colOff>
      <xdr:row>91</xdr:row>
      <xdr:rowOff>4763</xdr:rowOff>
    </xdr:to>
    <xdr:cxnSp macro="">
      <xdr:nvCxnSpPr>
        <xdr:cNvPr id="231" name="Straight Arrow Connector 230"/>
        <xdr:cNvCxnSpPr>
          <a:stCxn id="214" idx="3"/>
          <a:endCxn id="230" idx="1"/>
        </xdr:cNvCxnSpPr>
      </xdr:nvCxnSpPr>
      <xdr:spPr>
        <a:xfrm flipV="1">
          <a:off x="6172200" y="1531302"/>
          <a:ext cx="514349" cy="119381"/>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590551</xdr:colOff>
      <xdr:row>100</xdr:row>
      <xdr:rowOff>83609</xdr:rowOff>
    </xdr:from>
    <xdr:to>
      <xdr:col>15</xdr:col>
      <xdr:colOff>254001</xdr:colOff>
      <xdr:row>101</xdr:row>
      <xdr:rowOff>127000</xdr:rowOff>
    </xdr:to>
    <xdr:sp macro="" textlink="">
      <xdr:nvSpPr>
        <xdr:cNvPr id="232" name="TextBox 231">
          <a:hlinkClick xmlns:r="http://schemas.openxmlformats.org/officeDocument/2006/relationships" r:id="rId28"/>
        </xdr:cNvPr>
        <xdr:cNvSpPr txBox="1"/>
      </xdr:nvSpPr>
      <xdr:spPr>
        <a:xfrm>
          <a:off x="6686551" y="3375449"/>
          <a:ext cx="2101850" cy="226271"/>
        </a:xfrm>
        <a:prstGeom prst="rect">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18900000" scaled="1"/>
          <a:tileRect/>
        </a:gradFill>
        <a:ln>
          <a:solidFill>
            <a:srgbClr val="00B050"/>
          </a:solidFill>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ctr"/>
        <a:lstStyle/>
        <a:p>
          <a:pPr algn="ctr"/>
          <a:r>
            <a:rPr lang="en-US" sz="1050"/>
            <a:t>Insurance</a:t>
          </a:r>
          <a:r>
            <a:rPr lang="en-US" sz="1050" baseline="0"/>
            <a:t> </a:t>
          </a:r>
          <a:r>
            <a:rPr lang="en-US" sz="1050"/>
            <a:t>($/kW-Yr)</a:t>
          </a:r>
        </a:p>
      </xdr:txBody>
    </xdr:sp>
    <xdr:clientData/>
  </xdr:twoCellAnchor>
  <xdr:twoCellAnchor>
    <xdr:from>
      <xdr:col>11</xdr:col>
      <xdr:colOff>590549</xdr:colOff>
      <xdr:row>102</xdr:row>
      <xdr:rowOff>48683</xdr:rowOff>
    </xdr:from>
    <xdr:to>
      <xdr:col>15</xdr:col>
      <xdr:colOff>276224</xdr:colOff>
      <xdr:row>103</xdr:row>
      <xdr:rowOff>20108</xdr:rowOff>
    </xdr:to>
    <xdr:sp macro="" textlink="">
      <xdr:nvSpPr>
        <xdr:cNvPr id="233" name="TextBox 232">
          <a:hlinkClick xmlns:r="http://schemas.openxmlformats.org/officeDocument/2006/relationships" r:id="rId29"/>
        </xdr:cNvPr>
        <xdr:cNvSpPr txBox="1"/>
      </xdr:nvSpPr>
      <xdr:spPr>
        <a:xfrm>
          <a:off x="6686549" y="3706283"/>
          <a:ext cx="2124075" cy="154305"/>
        </a:xfrm>
        <a:prstGeom prst="rect">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18900000" scaled="1"/>
          <a:tileRect/>
        </a:gradFill>
        <a:ln>
          <a:solidFill>
            <a:srgbClr val="00B050"/>
          </a:solidFill>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ctr"/>
        <a:lstStyle/>
        <a:p>
          <a:pPr algn="ctr"/>
          <a:r>
            <a:rPr lang="en-US" sz="1050"/>
            <a:t>Ad Valorem Tax($/kW-Yr)</a:t>
          </a:r>
        </a:p>
      </xdr:txBody>
    </xdr:sp>
    <xdr:clientData/>
  </xdr:twoCellAnchor>
  <xdr:twoCellAnchor>
    <xdr:from>
      <xdr:col>11</xdr:col>
      <xdr:colOff>95250</xdr:colOff>
      <xdr:row>100</xdr:row>
      <xdr:rowOff>169334</xdr:rowOff>
    </xdr:from>
    <xdr:to>
      <xdr:col>11</xdr:col>
      <xdr:colOff>590551</xdr:colOff>
      <xdr:row>101</xdr:row>
      <xdr:rowOff>10055</xdr:rowOff>
    </xdr:to>
    <xdr:cxnSp macro="">
      <xdr:nvCxnSpPr>
        <xdr:cNvPr id="234" name="Straight Arrow Connector 233"/>
        <xdr:cNvCxnSpPr>
          <a:endCxn id="232" idx="1"/>
        </xdr:cNvCxnSpPr>
      </xdr:nvCxnSpPr>
      <xdr:spPr>
        <a:xfrm>
          <a:off x="6191250" y="3461174"/>
          <a:ext cx="495301" cy="23601"/>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85724</xdr:colOff>
      <xdr:row>102</xdr:row>
      <xdr:rowOff>124883</xdr:rowOff>
    </xdr:from>
    <xdr:to>
      <xdr:col>11</xdr:col>
      <xdr:colOff>590549</xdr:colOff>
      <xdr:row>102</xdr:row>
      <xdr:rowOff>129646</xdr:rowOff>
    </xdr:to>
    <xdr:cxnSp macro="">
      <xdr:nvCxnSpPr>
        <xdr:cNvPr id="235" name="Straight Arrow Connector 234"/>
        <xdr:cNvCxnSpPr>
          <a:endCxn id="233" idx="1"/>
        </xdr:cNvCxnSpPr>
      </xdr:nvCxnSpPr>
      <xdr:spPr>
        <a:xfrm>
          <a:off x="6181724" y="3782483"/>
          <a:ext cx="504825" cy="4763"/>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581025</xdr:colOff>
      <xdr:row>99</xdr:row>
      <xdr:rowOff>1</xdr:rowOff>
    </xdr:from>
    <xdr:to>
      <xdr:col>15</xdr:col>
      <xdr:colOff>266700</xdr:colOff>
      <xdr:row>99</xdr:row>
      <xdr:rowOff>152401</xdr:rowOff>
    </xdr:to>
    <xdr:sp macro="" textlink="">
      <xdr:nvSpPr>
        <xdr:cNvPr id="236" name="TextBox 235">
          <a:hlinkClick xmlns:r="http://schemas.openxmlformats.org/officeDocument/2006/relationships" r:id="rId30"/>
        </xdr:cNvPr>
        <xdr:cNvSpPr txBox="1"/>
      </xdr:nvSpPr>
      <xdr:spPr>
        <a:xfrm>
          <a:off x="6677025" y="3108961"/>
          <a:ext cx="2124075" cy="152400"/>
        </a:xfrm>
        <a:prstGeom prst="rect">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18900000" scaled="1"/>
          <a:tileRect/>
        </a:gradFill>
        <a:ln>
          <a:solidFill>
            <a:srgbClr val="00B050"/>
          </a:solidFill>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en-US" sz="1050"/>
            <a:t>Fixed O&amp;M($/kW-Yr)</a:t>
          </a:r>
        </a:p>
      </xdr:txBody>
    </xdr:sp>
    <xdr:clientData/>
  </xdr:twoCellAnchor>
  <xdr:twoCellAnchor>
    <xdr:from>
      <xdr:col>11</xdr:col>
      <xdr:colOff>559858</xdr:colOff>
      <xdr:row>96</xdr:row>
      <xdr:rowOff>134408</xdr:rowOff>
    </xdr:from>
    <xdr:to>
      <xdr:col>15</xdr:col>
      <xdr:colOff>254000</xdr:colOff>
      <xdr:row>97</xdr:row>
      <xdr:rowOff>169334</xdr:rowOff>
    </xdr:to>
    <xdr:sp macro="" textlink="">
      <xdr:nvSpPr>
        <xdr:cNvPr id="237" name="TextBox 236">
          <a:hlinkClick xmlns:r="http://schemas.openxmlformats.org/officeDocument/2006/relationships" r:id="rId31"/>
        </xdr:cNvPr>
        <xdr:cNvSpPr txBox="1"/>
      </xdr:nvSpPr>
      <xdr:spPr>
        <a:xfrm>
          <a:off x="6655858" y="2694728"/>
          <a:ext cx="2132542" cy="217806"/>
        </a:xfrm>
        <a:prstGeom prst="rect">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18900000" scaled="1"/>
          <a:tileRect/>
        </a:gradFill>
        <a:ln>
          <a:solidFill>
            <a:srgbClr val="00B050"/>
          </a:solidFill>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ctr"/>
        <a:lstStyle/>
        <a:p>
          <a:pPr algn="ctr"/>
          <a:r>
            <a:rPr lang="en-US" sz="1050"/>
            <a:t>Corporate Taxes ($/kW-Yr)</a:t>
          </a:r>
        </a:p>
      </xdr:txBody>
    </xdr:sp>
    <xdr:clientData/>
  </xdr:twoCellAnchor>
  <xdr:twoCellAnchor>
    <xdr:from>
      <xdr:col>11</xdr:col>
      <xdr:colOff>95250</xdr:colOff>
      <xdr:row>99</xdr:row>
      <xdr:rowOff>76201</xdr:rowOff>
    </xdr:from>
    <xdr:to>
      <xdr:col>11</xdr:col>
      <xdr:colOff>581025</xdr:colOff>
      <xdr:row>99</xdr:row>
      <xdr:rowOff>85725</xdr:rowOff>
    </xdr:to>
    <xdr:cxnSp macro="">
      <xdr:nvCxnSpPr>
        <xdr:cNvPr id="238" name="Straight Arrow Connector 237"/>
        <xdr:cNvCxnSpPr>
          <a:endCxn id="236" idx="1"/>
        </xdr:cNvCxnSpPr>
      </xdr:nvCxnSpPr>
      <xdr:spPr>
        <a:xfrm flipV="1">
          <a:off x="6191250" y="3185161"/>
          <a:ext cx="485775" cy="9524"/>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74084</xdr:colOff>
      <xdr:row>97</xdr:row>
      <xdr:rowOff>56621</xdr:rowOff>
    </xdr:from>
    <xdr:to>
      <xdr:col>11</xdr:col>
      <xdr:colOff>559858</xdr:colOff>
      <xdr:row>97</xdr:row>
      <xdr:rowOff>63500</xdr:rowOff>
    </xdr:to>
    <xdr:cxnSp macro="">
      <xdr:nvCxnSpPr>
        <xdr:cNvPr id="239" name="Straight Arrow Connector 238"/>
        <xdr:cNvCxnSpPr>
          <a:endCxn id="237" idx="1"/>
        </xdr:cNvCxnSpPr>
      </xdr:nvCxnSpPr>
      <xdr:spPr>
        <a:xfrm flipV="1">
          <a:off x="6170084" y="2799821"/>
          <a:ext cx="485774" cy="6879"/>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222250</xdr:colOff>
      <xdr:row>91</xdr:row>
      <xdr:rowOff>62440</xdr:rowOff>
    </xdr:from>
    <xdr:to>
      <xdr:col>12</xdr:col>
      <xdr:colOff>539750</xdr:colOff>
      <xdr:row>95</xdr:row>
      <xdr:rowOff>31749</xdr:rowOff>
    </xdr:to>
    <xdr:sp macro="" textlink="">
      <xdr:nvSpPr>
        <xdr:cNvPr id="240" name="TextBox 239"/>
        <xdr:cNvSpPr txBox="1"/>
      </xdr:nvSpPr>
      <xdr:spPr>
        <a:xfrm>
          <a:off x="6927850" y="1708360"/>
          <a:ext cx="317500" cy="700829"/>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vert="vert" wrap="square" rtlCol="0" anchor="t"/>
        <a:lstStyle/>
        <a:p>
          <a:pPr algn="ctr"/>
          <a:r>
            <a:rPr lang="en-US" sz="900">
              <a:solidFill>
                <a:sysClr val="windowText" lastClr="000000"/>
              </a:solidFill>
            </a:rPr>
            <a:t>Gross</a:t>
          </a:r>
          <a:r>
            <a:rPr lang="en-US" sz="900" baseline="0">
              <a:solidFill>
                <a:sysClr val="windowText" lastClr="000000"/>
              </a:solidFill>
            </a:rPr>
            <a:t> Income</a:t>
          </a:r>
          <a:endParaRPr lang="en-US" sz="900">
            <a:solidFill>
              <a:sysClr val="windowText" lastClr="000000"/>
            </a:solidFill>
          </a:endParaRPr>
        </a:p>
      </xdr:txBody>
    </xdr:sp>
    <xdr:clientData/>
  </xdr:twoCellAnchor>
  <xdr:twoCellAnchor>
    <xdr:from>
      <xdr:col>12</xdr:col>
      <xdr:colOff>590549</xdr:colOff>
      <xdr:row>91</xdr:row>
      <xdr:rowOff>74083</xdr:rowOff>
    </xdr:from>
    <xdr:to>
      <xdr:col>13</xdr:col>
      <xdr:colOff>238124</xdr:colOff>
      <xdr:row>95</xdr:row>
      <xdr:rowOff>26458</xdr:rowOff>
    </xdr:to>
    <xdr:sp macro="" textlink="">
      <xdr:nvSpPr>
        <xdr:cNvPr id="241" name="TextBox 240"/>
        <xdr:cNvSpPr txBox="1"/>
      </xdr:nvSpPr>
      <xdr:spPr>
        <a:xfrm>
          <a:off x="7296149" y="1720003"/>
          <a:ext cx="257175" cy="68389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vert="vert" wrap="square" rtlCol="0" anchor="ctr"/>
        <a:lstStyle/>
        <a:p>
          <a:pPr algn="ctr"/>
          <a:r>
            <a:rPr lang="en-US" sz="900">
              <a:solidFill>
                <a:sysClr val="windowText" lastClr="000000"/>
              </a:solidFill>
            </a:rPr>
            <a:t>Debt Interest</a:t>
          </a:r>
        </a:p>
      </xdr:txBody>
    </xdr:sp>
    <xdr:clientData/>
  </xdr:twoCellAnchor>
  <xdr:twoCellAnchor>
    <xdr:from>
      <xdr:col>13</xdr:col>
      <xdr:colOff>303741</xdr:colOff>
      <xdr:row>91</xdr:row>
      <xdr:rowOff>63499</xdr:rowOff>
    </xdr:from>
    <xdr:to>
      <xdr:col>13</xdr:col>
      <xdr:colOff>541866</xdr:colOff>
      <xdr:row>95</xdr:row>
      <xdr:rowOff>15874</xdr:rowOff>
    </xdr:to>
    <xdr:sp macro="" textlink="">
      <xdr:nvSpPr>
        <xdr:cNvPr id="242" name="TextBox 241"/>
        <xdr:cNvSpPr txBox="1"/>
      </xdr:nvSpPr>
      <xdr:spPr>
        <a:xfrm>
          <a:off x="7618941" y="1709419"/>
          <a:ext cx="238125" cy="68389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vert="vert" wrap="square" rtlCol="0" anchor="ctr"/>
        <a:lstStyle/>
        <a:p>
          <a:pPr algn="ctr"/>
          <a:r>
            <a:rPr lang="en-US" sz="900">
              <a:solidFill>
                <a:sysClr val="windowText" lastClr="000000"/>
              </a:solidFill>
            </a:rPr>
            <a:t>Depreciation</a:t>
          </a:r>
        </a:p>
      </xdr:txBody>
    </xdr:sp>
    <xdr:clientData/>
  </xdr:twoCellAnchor>
  <xdr:twoCellAnchor>
    <xdr:from>
      <xdr:col>14</xdr:col>
      <xdr:colOff>17992</xdr:colOff>
      <xdr:row>91</xdr:row>
      <xdr:rowOff>74083</xdr:rowOff>
    </xdr:from>
    <xdr:to>
      <xdr:col>14</xdr:col>
      <xdr:colOff>265642</xdr:colOff>
      <xdr:row>95</xdr:row>
      <xdr:rowOff>26457</xdr:rowOff>
    </xdr:to>
    <xdr:sp macro="" textlink="">
      <xdr:nvSpPr>
        <xdr:cNvPr id="243" name="TextBox 242">
          <a:hlinkClick xmlns:r="http://schemas.openxmlformats.org/officeDocument/2006/relationships" r:id="rId1"/>
        </xdr:cNvPr>
        <xdr:cNvSpPr txBox="1"/>
      </xdr:nvSpPr>
      <xdr:spPr>
        <a:xfrm>
          <a:off x="7942792" y="1720003"/>
          <a:ext cx="247650" cy="683894"/>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vert="vert" wrap="square" rtlCol="0" anchor="ctr"/>
        <a:lstStyle/>
        <a:p>
          <a:pPr algn="ctr"/>
          <a:r>
            <a:rPr lang="en-US" sz="900">
              <a:solidFill>
                <a:sysClr val="windowText" lastClr="000000"/>
              </a:solidFill>
            </a:rPr>
            <a:t>Tax Credits</a:t>
          </a:r>
        </a:p>
      </xdr:txBody>
    </xdr:sp>
    <xdr:clientData/>
  </xdr:twoCellAnchor>
  <xdr:twoCellAnchor>
    <xdr:from>
      <xdr:col>14</xdr:col>
      <xdr:colOff>373591</xdr:colOff>
      <xdr:row>91</xdr:row>
      <xdr:rowOff>74083</xdr:rowOff>
    </xdr:from>
    <xdr:to>
      <xdr:col>15</xdr:col>
      <xdr:colOff>278342</xdr:colOff>
      <xdr:row>95</xdr:row>
      <xdr:rowOff>16933</xdr:rowOff>
    </xdr:to>
    <xdr:sp macro="" textlink="">
      <xdr:nvSpPr>
        <xdr:cNvPr id="244" name="TextBox 243">
          <a:hlinkClick xmlns:r="http://schemas.openxmlformats.org/officeDocument/2006/relationships" r:id="rId1"/>
        </xdr:cNvPr>
        <xdr:cNvSpPr txBox="1"/>
      </xdr:nvSpPr>
      <xdr:spPr>
        <a:xfrm>
          <a:off x="8298391" y="1720003"/>
          <a:ext cx="514351" cy="6743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vert="vert" wrap="square" rtlCol="0" anchor="ctr"/>
        <a:lstStyle/>
        <a:p>
          <a:pPr algn="ctr"/>
          <a:r>
            <a:rPr lang="en-US" sz="900">
              <a:solidFill>
                <a:sysClr val="windowText" lastClr="000000"/>
              </a:solidFill>
            </a:rPr>
            <a:t>Other</a:t>
          </a:r>
          <a:r>
            <a:rPr lang="en-US" sz="900" baseline="0">
              <a:solidFill>
                <a:sysClr val="windowText" lastClr="000000"/>
              </a:solidFill>
            </a:rPr>
            <a:t> Deductions</a:t>
          </a:r>
          <a:endParaRPr lang="en-US" sz="900">
            <a:solidFill>
              <a:sysClr val="windowText" lastClr="000000"/>
            </a:solidFill>
          </a:endParaRPr>
        </a:p>
      </xdr:txBody>
    </xdr:sp>
    <xdr:clientData/>
  </xdr:twoCellAnchor>
  <xdr:twoCellAnchor>
    <xdr:from>
      <xdr:col>11</xdr:col>
      <xdr:colOff>590550</xdr:colOff>
      <xdr:row>106</xdr:row>
      <xdr:rowOff>0</xdr:rowOff>
    </xdr:from>
    <xdr:to>
      <xdr:col>15</xdr:col>
      <xdr:colOff>276225</xdr:colOff>
      <xdr:row>106</xdr:row>
      <xdr:rowOff>161925</xdr:rowOff>
    </xdr:to>
    <xdr:sp macro="" textlink="">
      <xdr:nvSpPr>
        <xdr:cNvPr id="245" name="TextBox 244">
          <a:hlinkClick xmlns:r="http://schemas.openxmlformats.org/officeDocument/2006/relationships" r:id="rId32"/>
        </xdr:cNvPr>
        <xdr:cNvSpPr txBox="1"/>
      </xdr:nvSpPr>
      <xdr:spPr>
        <a:xfrm>
          <a:off x="6686550" y="4389120"/>
          <a:ext cx="2124075" cy="161925"/>
        </a:xfrm>
        <a:prstGeom prst="rect">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18900000" scaled="1"/>
          <a:tileRect/>
        </a:gradFill>
        <a:ln>
          <a:solidFill>
            <a:srgbClr val="00B050"/>
          </a:solidFill>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algn="ctr"/>
          <a:r>
            <a:rPr lang="en-US" sz="1050"/>
            <a:t>Variable O&amp;M ($/kW-Yr)</a:t>
          </a:r>
        </a:p>
      </xdr:txBody>
    </xdr:sp>
    <xdr:clientData/>
  </xdr:twoCellAnchor>
  <xdr:twoCellAnchor>
    <xdr:from>
      <xdr:col>11</xdr:col>
      <xdr:colOff>95250</xdr:colOff>
      <xdr:row>106</xdr:row>
      <xdr:rowOff>80963</xdr:rowOff>
    </xdr:from>
    <xdr:to>
      <xdr:col>11</xdr:col>
      <xdr:colOff>590550</xdr:colOff>
      <xdr:row>106</xdr:row>
      <xdr:rowOff>85725</xdr:rowOff>
    </xdr:to>
    <xdr:cxnSp macro="">
      <xdr:nvCxnSpPr>
        <xdr:cNvPr id="246" name="Straight Arrow Connector 245"/>
        <xdr:cNvCxnSpPr>
          <a:endCxn id="245" idx="1"/>
        </xdr:cNvCxnSpPr>
      </xdr:nvCxnSpPr>
      <xdr:spPr>
        <a:xfrm flipV="1">
          <a:off x="6191250" y="4470083"/>
          <a:ext cx="495300" cy="4762"/>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581025</xdr:colOff>
      <xdr:row>108</xdr:row>
      <xdr:rowOff>0</xdr:rowOff>
    </xdr:from>
    <xdr:to>
      <xdr:col>15</xdr:col>
      <xdr:colOff>266700</xdr:colOff>
      <xdr:row>108</xdr:row>
      <xdr:rowOff>161925</xdr:rowOff>
    </xdr:to>
    <xdr:sp macro="" textlink="">
      <xdr:nvSpPr>
        <xdr:cNvPr id="247" name="TextBox 246">
          <a:hlinkClick xmlns:r="http://schemas.openxmlformats.org/officeDocument/2006/relationships" r:id="rId33"/>
        </xdr:cNvPr>
        <xdr:cNvSpPr txBox="1"/>
      </xdr:nvSpPr>
      <xdr:spPr>
        <a:xfrm>
          <a:off x="6677025" y="4754880"/>
          <a:ext cx="2124075" cy="161925"/>
        </a:xfrm>
        <a:prstGeom prst="rect">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18900000" scaled="1"/>
          <a:tileRect/>
        </a:gradFill>
        <a:ln>
          <a:solidFill>
            <a:srgbClr val="00B050"/>
          </a:solidFill>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ctr"/>
        <a:lstStyle/>
        <a:p>
          <a:pPr algn="ctr"/>
          <a:r>
            <a:rPr lang="en-US" sz="1050"/>
            <a:t>Fuel Cost ($/kW-Yr)</a:t>
          </a:r>
        </a:p>
      </xdr:txBody>
    </xdr:sp>
    <xdr:clientData/>
  </xdr:twoCellAnchor>
  <xdr:twoCellAnchor>
    <xdr:from>
      <xdr:col>11</xdr:col>
      <xdr:colOff>76200</xdr:colOff>
      <xdr:row>108</xdr:row>
      <xdr:rowOff>80963</xdr:rowOff>
    </xdr:from>
    <xdr:to>
      <xdr:col>11</xdr:col>
      <xdr:colOff>581025</xdr:colOff>
      <xdr:row>108</xdr:row>
      <xdr:rowOff>85725</xdr:rowOff>
    </xdr:to>
    <xdr:cxnSp macro="">
      <xdr:nvCxnSpPr>
        <xdr:cNvPr id="248" name="Straight Arrow Connector 247"/>
        <xdr:cNvCxnSpPr>
          <a:endCxn id="247" idx="1"/>
        </xdr:cNvCxnSpPr>
      </xdr:nvCxnSpPr>
      <xdr:spPr>
        <a:xfrm flipV="1">
          <a:off x="6172200" y="4835843"/>
          <a:ext cx="504825" cy="4762"/>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314325</xdr:colOff>
      <xdr:row>84</xdr:row>
      <xdr:rowOff>171450</xdr:rowOff>
    </xdr:from>
    <xdr:to>
      <xdr:col>16</xdr:col>
      <xdr:colOff>7408</xdr:colOff>
      <xdr:row>85</xdr:row>
      <xdr:rowOff>169333</xdr:rowOff>
    </xdr:to>
    <xdr:sp macro="" textlink="">
      <xdr:nvSpPr>
        <xdr:cNvPr id="249" name="TextBox 248"/>
        <xdr:cNvSpPr txBox="1"/>
      </xdr:nvSpPr>
      <xdr:spPr>
        <a:xfrm>
          <a:off x="7629525" y="537210"/>
          <a:ext cx="1521883" cy="1807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baseline="0"/>
            <a:t>Nominal Annual Costs</a:t>
          </a:r>
        </a:p>
        <a:p>
          <a:pPr algn="ctr"/>
          <a:endParaRPr lang="en-US" sz="1100" b="1"/>
        </a:p>
      </xdr:txBody>
    </xdr:sp>
    <xdr:clientData/>
  </xdr:twoCellAnchor>
  <xdr:twoCellAnchor>
    <xdr:from>
      <xdr:col>15</xdr:col>
      <xdr:colOff>443442</xdr:colOff>
      <xdr:row>96</xdr:row>
      <xdr:rowOff>190499</xdr:rowOff>
    </xdr:from>
    <xdr:to>
      <xdr:col>16</xdr:col>
      <xdr:colOff>348193</xdr:colOff>
      <xdr:row>104</xdr:row>
      <xdr:rowOff>142874</xdr:rowOff>
    </xdr:to>
    <xdr:sp macro="" textlink="">
      <xdr:nvSpPr>
        <xdr:cNvPr id="250" name="TextBox 249">
          <a:hlinkClick xmlns:r="http://schemas.openxmlformats.org/officeDocument/2006/relationships" r:id="rId34"/>
        </xdr:cNvPr>
        <xdr:cNvSpPr txBox="1"/>
      </xdr:nvSpPr>
      <xdr:spPr>
        <a:xfrm>
          <a:off x="8977842" y="2743199"/>
          <a:ext cx="514351" cy="1423035"/>
        </a:xfrm>
        <a:prstGeom prst="rect">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18900000" scaled="1"/>
          <a:tileRect/>
        </a:gradFill>
        <a:ln>
          <a:solidFill>
            <a:srgbClr val="92D050"/>
          </a:solidFill>
        </a:ln>
      </xdr:spPr>
      <xdr:style>
        <a:lnRef idx="1">
          <a:schemeClr val="accent1"/>
        </a:lnRef>
        <a:fillRef idx="2">
          <a:schemeClr val="accent1"/>
        </a:fillRef>
        <a:effectRef idx="1">
          <a:schemeClr val="accent1"/>
        </a:effectRef>
        <a:fontRef idx="minor">
          <a:schemeClr val="dk1"/>
        </a:fontRef>
      </xdr:style>
      <xdr:txBody>
        <a:bodyPr vertOverflow="clip" horzOverflow="clip" vert="vert" wrap="square" rtlCol="0" anchor="ctr"/>
        <a:lstStyle/>
        <a:p>
          <a:pPr algn="ctr"/>
          <a:r>
            <a:rPr lang="en-US" sz="1200">
              <a:solidFill>
                <a:sysClr val="windowText" lastClr="000000"/>
              </a:solidFill>
            </a:rPr>
            <a:t>Fixed Operating Expenses</a:t>
          </a:r>
        </a:p>
      </xdr:txBody>
    </xdr:sp>
    <xdr:clientData/>
  </xdr:twoCellAnchor>
  <xdr:twoCellAnchor>
    <xdr:from>
      <xdr:col>16</xdr:col>
      <xdr:colOff>600074</xdr:colOff>
      <xdr:row>88</xdr:row>
      <xdr:rowOff>158750</xdr:rowOff>
    </xdr:from>
    <xdr:to>
      <xdr:col>17</xdr:col>
      <xdr:colOff>529166</xdr:colOff>
      <xdr:row>100</xdr:row>
      <xdr:rowOff>171450</xdr:rowOff>
    </xdr:to>
    <xdr:sp macro="" textlink="">
      <xdr:nvSpPr>
        <xdr:cNvPr id="251" name="TextBox 250">
          <a:hlinkClick xmlns:r="http://schemas.openxmlformats.org/officeDocument/2006/relationships" r:id="rId35"/>
        </xdr:cNvPr>
        <xdr:cNvSpPr txBox="1"/>
      </xdr:nvSpPr>
      <xdr:spPr>
        <a:xfrm>
          <a:off x="9744074" y="1256030"/>
          <a:ext cx="538692" cy="2207260"/>
        </a:xfrm>
        <a:prstGeom prst="rect">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8900000" scaled="1"/>
          <a:tileRect/>
        </a:gradFill>
        <a:ln/>
      </xdr:spPr>
      <xdr:style>
        <a:lnRef idx="1">
          <a:schemeClr val="accent1"/>
        </a:lnRef>
        <a:fillRef idx="2">
          <a:schemeClr val="accent1"/>
        </a:fillRef>
        <a:effectRef idx="1">
          <a:schemeClr val="accent1"/>
        </a:effectRef>
        <a:fontRef idx="minor">
          <a:schemeClr val="dk1"/>
        </a:fontRef>
      </xdr:style>
      <xdr:txBody>
        <a:bodyPr vertOverflow="clip" horzOverflow="clip" vert="vert" wrap="square" rtlCol="0" anchor="ctr"/>
        <a:lstStyle/>
        <a:p>
          <a:pPr algn="ctr"/>
          <a:r>
            <a:rPr lang="en-US" sz="1200">
              <a:solidFill>
                <a:schemeClr val="bg1"/>
              </a:solidFill>
            </a:rPr>
            <a:t>Fixed Costs ($/kw-Yr)</a:t>
          </a:r>
        </a:p>
      </xdr:txBody>
    </xdr:sp>
    <xdr:clientData/>
  </xdr:twoCellAnchor>
  <xdr:twoCellAnchor>
    <xdr:from>
      <xdr:col>16</xdr:col>
      <xdr:colOff>590550</xdr:colOff>
      <xdr:row>102</xdr:row>
      <xdr:rowOff>104775</xdr:rowOff>
    </xdr:from>
    <xdr:to>
      <xdr:col>17</xdr:col>
      <xdr:colOff>514350</xdr:colOff>
      <xdr:row>111</xdr:row>
      <xdr:rowOff>9525</xdr:rowOff>
    </xdr:to>
    <xdr:sp macro="" textlink="">
      <xdr:nvSpPr>
        <xdr:cNvPr id="252" name="TextBox 251">
          <a:hlinkClick xmlns:r="http://schemas.openxmlformats.org/officeDocument/2006/relationships" r:id="rId36"/>
        </xdr:cNvPr>
        <xdr:cNvSpPr txBox="1"/>
      </xdr:nvSpPr>
      <xdr:spPr>
        <a:xfrm>
          <a:off x="9734550" y="3762375"/>
          <a:ext cx="533400" cy="1550670"/>
        </a:xfrm>
        <a:prstGeom prst="rect">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8900000" scaled="1"/>
          <a:tileRect/>
        </a:gradFill>
        <a:ln/>
      </xdr:spPr>
      <xdr:style>
        <a:lnRef idx="1">
          <a:schemeClr val="accent1"/>
        </a:lnRef>
        <a:fillRef idx="2">
          <a:schemeClr val="accent1"/>
        </a:fillRef>
        <a:effectRef idx="1">
          <a:schemeClr val="accent1"/>
        </a:effectRef>
        <a:fontRef idx="minor">
          <a:schemeClr val="dk1"/>
        </a:fontRef>
      </xdr:style>
      <xdr:txBody>
        <a:bodyPr vertOverflow="clip" horzOverflow="clip" vert="vert" wrap="square" rtlCol="0" anchor="ctr"/>
        <a:lstStyle/>
        <a:p>
          <a:pPr algn="ctr"/>
          <a:r>
            <a:rPr lang="en-US" sz="1200">
              <a:solidFill>
                <a:schemeClr val="bg1"/>
              </a:solidFill>
            </a:rPr>
            <a:t>Variable Costs ($/kW-Yr)</a:t>
          </a:r>
        </a:p>
      </xdr:txBody>
    </xdr:sp>
    <xdr:clientData/>
  </xdr:twoCellAnchor>
  <xdr:twoCellAnchor>
    <xdr:from>
      <xdr:col>15</xdr:col>
      <xdr:colOff>276224</xdr:colOff>
      <xdr:row>90</xdr:row>
      <xdr:rowOff>68262</xdr:rowOff>
    </xdr:from>
    <xdr:to>
      <xdr:col>16</xdr:col>
      <xdr:colOff>600074</xdr:colOff>
      <xdr:row>94</xdr:row>
      <xdr:rowOff>165100</xdr:rowOff>
    </xdr:to>
    <xdr:cxnSp macro="">
      <xdr:nvCxnSpPr>
        <xdr:cNvPr id="253" name="Straight Arrow Connector 252"/>
        <xdr:cNvCxnSpPr>
          <a:stCxn id="230" idx="3"/>
          <a:endCxn id="251" idx="1"/>
        </xdr:cNvCxnSpPr>
      </xdr:nvCxnSpPr>
      <xdr:spPr>
        <a:xfrm>
          <a:off x="8810624" y="1531302"/>
          <a:ext cx="933450" cy="828358"/>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254001</xdr:colOff>
      <xdr:row>100</xdr:row>
      <xdr:rowOff>166687</xdr:rowOff>
    </xdr:from>
    <xdr:to>
      <xdr:col>15</xdr:col>
      <xdr:colOff>443442</xdr:colOff>
      <xdr:row>101</xdr:row>
      <xdr:rowOff>10055</xdr:rowOff>
    </xdr:to>
    <xdr:cxnSp macro="">
      <xdr:nvCxnSpPr>
        <xdr:cNvPr id="254" name="Straight Arrow Connector 253"/>
        <xdr:cNvCxnSpPr>
          <a:stCxn id="232" idx="3"/>
          <a:endCxn id="250" idx="1"/>
        </xdr:cNvCxnSpPr>
      </xdr:nvCxnSpPr>
      <xdr:spPr>
        <a:xfrm flipV="1">
          <a:off x="8788401" y="3458527"/>
          <a:ext cx="189441" cy="26248"/>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276224</xdr:colOff>
      <xdr:row>100</xdr:row>
      <xdr:rowOff>166687</xdr:rowOff>
    </xdr:from>
    <xdr:to>
      <xdr:col>15</xdr:col>
      <xdr:colOff>443442</xdr:colOff>
      <xdr:row>102</xdr:row>
      <xdr:rowOff>129646</xdr:rowOff>
    </xdr:to>
    <xdr:cxnSp macro="">
      <xdr:nvCxnSpPr>
        <xdr:cNvPr id="255" name="Straight Arrow Connector 254"/>
        <xdr:cNvCxnSpPr>
          <a:stCxn id="233" idx="3"/>
          <a:endCxn id="250" idx="1"/>
        </xdr:cNvCxnSpPr>
      </xdr:nvCxnSpPr>
      <xdr:spPr>
        <a:xfrm flipV="1">
          <a:off x="8810624" y="3458527"/>
          <a:ext cx="167218" cy="328719"/>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266700</xdr:colOff>
      <xdr:row>99</xdr:row>
      <xdr:rowOff>76201</xdr:rowOff>
    </xdr:from>
    <xdr:to>
      <xdr:col>15</xdr:col>
      <xdr:colOff>443442</xdr:colOff>
      <xdr:row>100</xdr:row>
      <xdr:rowOff>166687</xdr:rowOff>
    </xdr:to>
    <xdr:cxnSp macro="">
      <xdr:nvCxnSpPr>
        <xdr:cNvPr id="256" name="Straight Arrow Connector 255"/>
        <xdr:cNvCxnSpPr>
          <a:stCxn id="236" idx="3"/>
          <a:endCxn id="250" idx="1"/>
        </xdr:cNvCxnSpPr>
      </xdr:nvCxnSpPr>
      <xdr:spPr>
        <a:xfrm>
          <a:off x="8801100" y="3185161"/>
          <a:ext cx="176742" cy="273366"/>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254000</xdr:colOff>
      <xdr:row>94</xdr:row>
      <xdr:rowOff>165100</xdr:rowOff>
    </xdr:from>
    <xdr:to>
      <xdr:col>16</xdr:col>
      <xdr:colOff>600074</xdr:colOff>
      <xdr:row>97</xdr:row>
      <xdr:rowOff>56621</xdr:rowOff>
    </xdr:to>
    <xdr:cxnSp macro="">
      <xdr:nvCxnSpPr>
        <xdr:cNvPr id="257" name="Straight Arrow Connector 256"/>
        <xdr:cNvCxnSpPr>
          <a:stCxn id="237" idx="3"/>
          <a:endCxn id="251" idx="1"/>
        </xdr:cNvCxnSpPr>
      </xdr:nvCxnSpPr>
      <xdr:spPr>
        <a:xfrm flipV="1">
          <a:off x="8788400" y="2359660"/>
          <a:ext cx="955674" cy="440161"/>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276225</xdr:colOff>
      <xdr:row>106</xdr:row>
      <xdr:rowOff>80963</xdr:rowOff>
    </xdr:from>
    <xdr:to>
      <xdr:col>16</xdr:col>
      <xdr:colOff>590550</xdr:colOff>
      <xdr:row>106</xdr:row>
      <xdr:rowOff>152400</xdr:rowOff>
    </xdr:to>
    <xdr:cxnSp macro="">
      <xdr:nvCxnSpPr>
        <xdr:cNvPr id="258" name="Straight Arrow Connector 257"/>
        <xdr:cNvCxnSpPr>
          <a:stCxn id="245" idx="3"/>
          <a:endCxn id="252" idx="1"/>
        </xdr:cNvCxnSpPr>
      </xdr:nvCxnSpPr>
      <xdr:spPr>
        <a:xfrm>
          <a:off x="8810625" y="4470083"/>
          <a:ext cx="923925" cy="71437"/>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266700</xdr:colOff>
      <xdr:row>106</xdr:row>
      <xdr:rowOff>152400</xdr:rowOff>
    </xdr:from>
    <xdr:to>
      <xdr:col>16</xdr:col>
      <xdr:colOff>590550</xdr:colOff>
      <xdr:row>108</xdr:row>
      <xdr:rowOff>80963</xdr:rowOff>
    </xdr:to>
    <xdr:cxnSp macro="">
      <xdr:nvCxnSpPr>
        <xdr:cNvPr id="259" name="Straight Arrow Connector 258"/>
        <xdr:cNvCxnSpPr>
          <a:stCxn id="247" idx="3"/>
          <a:endCxn id="252" idx="1"/>
        </xdr:cNvCxnSpPr>
      </xdr:nvCxnSpPr>
      <xdr:spPr>
        <a:xfrm flipV="1">
          <a:off x="8801100" y="4541520"/>
          <a:ext cx="933450" cy="294323"/>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76201</xdr:colOff>
      <xdr:row>101</xdr:row>
      <xdr:rowOff>9524</xdr:rowOff>
    </xdr:from>
    <xdr:to>
      <xdr:col>19</xdr:col>
      <xdr:colOff>514351</xdr:colOff>
      <xdr:row>103</xdr:row>
      <xdr:rowOff>123825</xdr:rowOff>
    </xdr:to>
    <xdr:sp macro="" textlink="">
      <xdr:nvSpPr>
        <xdr:cNvPr id="260" name="TextBox 259"/>
        <xdr:cNvSpPr txBox="1"/>
      </xdr:nvSpPr>
      <xdr:spPr>
        <a:xfrm>
          <a:off x="10439401" y="3484244"/>
          <a:ext cx="1047750" cy="480061"/>
        </a:xfrm>
        <a:prstGeom prst="rect">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8900000" scaled="1"/>
          <a:tileRect/>
        </a:gradFill>
        <a:ln>
          <a:solidFill>
            <a:srgbClr val="FF0000"/>
          </a:solidFill>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pPr algn="ctr"/>
          <a:r>
            <a:rPr lang="en-US" sz="1050">
              <a:solidFill>
                <a:schemeClr val="bg1"/>
              </a:solidFill>
            </a:rPr>
            <a:t>Present Value ($/kW-Yr)</a:t>
          </a:r>
        </a:p>
      </xdr:txBody>
    </xdr:sp>
    <xdr:clientData/>
  </xdr:twoCellAnchor>
  <xdr:twoCellAnchor>
    <xdr:from>
      <xdr:col>17</xdr:col>
      <xdr:colOff>529166</xdr:colOff>
      <xdr:row>94</xdr:row>
      <xdr:rowOff>165100</xdr:rowOff>
    </xdr:from>
    <xdr:to>
      <xdr:col>18</xdr:col>
      <xdr:colOff>600076</xdr:colOff>
      <xdr:row>101</xdr:row>
      <xdr:rowOff>9524</xdr:rowOff>
    </xdr:to>
    <xdr:cxnSp macro="">
      <xdr:nvCxnSpPr>
        <xdr:cNvPr id="261" name="Elbow Connector 216"/>
        <xdr:cNvCxnSpPr>
          <a:stCxn id="251" idx="3"/>
          <a:endCxn id="260" idx="0"/>
        </xdr:cNvCxnSpPr>
      </xdr:nvCxnSpPr>
      <xdr:spPr>
        <a:xfrm>
          <a:off x="10282766" y="2359660"/>
          <a:ext cx="680510" cy="1124584"/>
        </a:xfrm>
        <a:prstGeom prst="bentConnector2">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17</xdr:col>
      <xdr:colOff>514350</xdr:colOff>
      <xdr:row>103</xdr:row>
      <xdr:rowOff>123825</xdr:rowOff>
    </xdr:from>
    <xdr:to>
      <xdr:col>18</xdr:col>
      <xdr:colOff>600076</xdr:colOff>
      <xdr:row>106</xdr:row>
      <xdr:rowOff>152400</xdr:rowOff>
    </xdr:to>
    <xdr:cxnSp macro="">
      <xdr:nvCxnSpPr>
        <xdr:cNvPr id="262" name="Elbow Connector 218"/>
        <xdr:cNvCxnSpPr>
          <a:stCxn id="252" idx="3"/>
          <a:endCxn id="260" idx="2"/>
        </xdr:cNvCxnSpPr>
      </xdr:nvCxnSpPr>
      <xdr:spPr>
        <a:xfrm flipV="1">
          <a:off x="10267950" y="3964305"/>
          <a:ext cx="695326" cy="577215"/>
        </a:xfrm>
        <a:prstGeom prst="bentConnector2">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20</xdr:col>
      <xdr:colOff>182033</xdr:colOff>
      <xdr:row>104</xdr:row>
      <xdr:rowOff>116416</xdr:rowOff>
    </xdr:from>
    <xdr:to>
      <xdr:col>21</xdr:col>
      <xdr:colOff>560916</xdr:colOff>
      <xdr:row>107</xdr:row>
      <xdr:rowOff>158749</xdr:rowOff>
    </xdr:to>
    <xdr:sp macro="" textlink="">
      <xdr:nvSpPr>
        <xdr:cNvPr id="263" name="TextBox 262">
          <a:hlinkClick xmlns:r="http://schemas.openxmlformats.org/officeDocument/2006/relationships" r:id="rId37"/>
        </xdr:cNvPr>
        <xdr:cNvSpPr txBox="1"/>
      </xdr:nvSpPr>
      <xdr:spPr>
        <a:xfrm>
          <a:off x="11764433" y="4139776"/>
          <a:ext cx="988483" cy="590973"/>
        </a:xfrm>
        <a:prstGeom prst="rect">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8900000" scaled="1"/>
          <a:tileRect/>
        </a:gradFill>
        <a:ln>
          <a:solidFill>
            <a:srgbClr val="FF0000"/>
          </a:solidFill>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pPr algn="ctr"/>
          <a:r>
            <a:rPr lang="en-US" sz="1050">
              <a:solidFill>
                <a:schemeClr val="bg1"/>
              </a:solidFill>
            </a:rPr>
            <a:t>Total LCOE ($/kW-Yr)</a:t>
          </a:r>
        </a:p>
      </xdr:txBody>
    </xdr:sp>
    <xdr:clientData/>
  </xdr:twoCellAnchor>
  <xdr:twoCellAnchor>
    <xdr:from>
      <xdr:col>19</xdr:col>
      <xdr:colOff>514351</xdr:colOff>
      <xdr:row>102</xdr:row>
      <xdr:rowOff>66675</xdr:rowOff>
    </xdr:from>
    <xdr:to>
      <xdr:col>20</xdr:col>
      <xdr:colOff>182033</xdr:colOff>
      <xdr:row>106</xdr:row>
      <xdr:rowOff>42333</xdr:rowOff>
    </xdr:to>
    <xdr:cxnSp macro="">
      <xdr:nvCxnSpPr>
        <xdr:cNvPr id="264" name="Straight Arrow Connector 263"/>
        <xdr:cNvCxnSpPr>
          <a:stCxn id="260" idx="3"/>
          <a:endCxn id="263" idx="1"/>
        </xdr:cNvCxnSpPr>
      </xdr:nvCxnSpPr>
      <xdr:spPr>
        <a:xfrm>
          <a:off x="11487151" y="3724275"/>
          <a:ext cx="277282" cy="707178"/>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19</xdr:col>
      <xdr:colOff>606425</xdr:colOff>
      <xdr:row>96</xdr:row>
      <xdr:rowOff>116416</xdr:rowOff>
    </xdr:from>
    <xdr:to>
      <xdr:col>22</xdr:col>
      <xdr:colOff>111125</xdr:colOff>
      <xdr:row>98</xdr:row>
      <xdr:rowOff>164041</xdr:rowOff>
    </xdr:to>
    <xdr:sp macro="" textlink="">
      <xdr:nvSpPr>
        <xdr:cNvPr id="265" name="TextBox 264">
          <a:hlinkClick xmlns:r="http://schemas.openxmlformats.org/officeDocument/2006/relationships" r:id="rId38"/>
        </xdr:cNvPr>
        <xdr:cNvSpPr txBox="1"/>
      </xdr:nvSpPr>
      <xdr:spPr>
        <a:xfrm>
          <a:off x="11579225" y="2676736"/>
          <a:ext cx="1333500" cy="413385"/>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t"/>
        <a:lstStyle/>
        <a:p>
          <a:pPr algn="ctr"/>
          <a:r>
            <a:rPr lang="en-US" sz="1050">
              <a:solidFill>
                <a:sysClr val="windowText" lastClr="000000"/>
              </a:solidFill>
            </a:rPr>
            <a:t>Discount Rate (%) WACC (%)</a:t>
          </a:r>
        </a:p>
      </xdr:txBody>
    </xdr:sp>
    <xdr:clientData/>
  </xdr:twoCellAnchor>
  <xdr:twoCellAnchor>
    <xdr:from>
      <xdr:col>20</xdr:col>
      <xdr:colOff>246592</xdr:colOff>
      <xdr:row>111</xdr:row>
      <xdr:rowOff>31750</xdr:rowOff>
    </xdr:from>
    <xdr:to>
      <xdr:col>21</xdr:col>
      <xdr:colOff>539750</xdr:colOff>
      <xdr:row>114</xdr:row>
      <xdr:rowOff>179917</xdr:rowOff>
    </xdr:to>
    <xdr:sp macro="" textlink="">
      <xdr:nvSpPr>
        <xdr:cNvPr id="266" name="TextBox 265">
          <a:hlinkClick xmlns:r="http://schemas.openxmlformats.org/officeDocument/2006/relationships" r:id="rId39"/>
        </xdr:cNvPr>
        <xdr:cNvSpPr txBox="1"/>
      </xdr:nvSpPr>
      <xdr:spPr>
        <a:xfrm>
          <a:off x="11828992" y="5335270"/>
          <a:ext cx="902758" cy="696807"/>
        </a:xfrm>
        <a:prstGeom prst="rect">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8900000" scaled="1"/>
          <a:tileRect/>
        </a:gradFill>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ctr"/>
        <a:lstStyle/>
        <a:p>
          <a:pPr algn="ctr"/>
          <a:r>
            <a:rPr lang="en-US" sz="1050" b="1">
              <a:solidFill>
                <a:schemeClr val="bg1"/>
              </a:solidFill>
            </a:rPr>
            <a:t>Total </a:t>
          </a:r>
          <a:r>
            <a:rPr lang="en-US" sz="1200" b="1">
              <a:solidFill>
                <a:schemeClr val="bg1"/>
              </a:solidFill>
            </a:rPr>
            <a:t>LCOE</a:t>
          </a:r>
          <a:r>
            <a:rPr lang="en-US" sz="1050" b="1" baseline="0">
              <a:solidFill>
                <a:schemeClr val="bg1"/>
              </a:solidFill>
            </a:rPr>
            <a:t> ($/MWh)</a:t>
          </a:r>
          <a:endParaRPr lang="en-US" sz="1050" b="1">
            <a:solidFill>
              <a:schemeClr val="bg1"/>
            </a:solidFill>
          </a:endParaRPr>
        </a:p>
      </xdr:txBody>
    </xdr:sp>
    <xdr:clientData/>
  </xdr:twoCellAnchor>
  <xdr:twoCellAnchor>
    <xdr:from>
      <xdr:col>18</xdr:col>
      <xdr:colOff>600076</xdr:colOff>
      <xdr:row>97</xdr:row>
      <xdr:rowOff>140229</xdr:rowOff>
    </xdr:from>
    <xdr:to>
      <xdr:col>19</xdr:col>
      <xdr:colOff>606425</xdr:colOff>
      <xdr:row>101</xdr:row>
      <xdr:rowOff>9524</xdr:rowOff>
    </xdr:to>
    <xdr:cxnSp macro="">
      <xdr:nvCxnSpPr>
        <xdr:cNvPr id="267" name="Straight Arrow Connector 266"/>
        <xdr:cNvCxnSpPr>
          <a:stCxn id="265" idx="1"/>
          <a:endCxn id="260" idx="0"/>
        </xdr:cNvCxnSpPr>
      </xdr:nvCxnSpPr>
      <xdr:spPr>
        <a:xfrm flipH="1">
          <a:off x="10963276" y="2883429"/>
          <a:ext cx="615949" cy="600815"/>
        </a:xfrm>
        <a:prstGeom prst="straightConnector1">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51858</xdr:colOff>
      <xdr:row>98</xdr:row>
      <xdr:rowOff>164041</xdr:rowOff>
    </xdr:from>
    <xdr:to>
      <xdr:col>21</xdr:col>
      <xdr:colOff>64558</xdr:colOff>
      <xdr:row>104</xdr:row>
      <xdr:rowOff>116416</xdr:rowOff>
    </xdr:to>
    <xdr:cxnSp macro="">
      <xdr:nvCxnSpPr>
        <xdr:cNvPr id="268" name="Straight Arrow Connector 267"/>
        <xdr:cNvCxnSpPr>
          <a:stCxn id="265" idx="2"/>
          <a:endCxn id="263" idx="0"/>
        </xdr:cNvCxnSpPr>
      </xdr:nvCxnSpPr>
      <xdr:spPr>
        <a:xfrm>
          <a:off x="12243858" y="3090121"/>
          <a:ext cx="12700" cy="1049655"/>
        </a:xfrm>
        <a:prstGeom prst="straightConnector1">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64558</xdr:colOff>
      <xdr:row>107</xdr:row>
      <xdr:rowOff>158749</xdr:rowOff>
    </xdr:from>
    <xdr:to>
      <xdr:col>21</xdr:col>
      <xdr:colOff>86254</xdr:colOff>
      <xdr:row>111</xdr:row>
      <xdr:rowOff>31750</xdr:rowOff>
    </xdr:to>
    <xdr:cxnSp macro="">
      <xdr:nvCxnSpPr>
        <xdr:cNvPr id="269" name="Straight Arrow Connector 268"/>
        <xdr:cNvCxnSpPr>
          <a:stCxn id="263" idx="2"/>
          <a:endCxn id="266" idx="0"/>
        </xdr:cNvCxnSpPr>
      </xdr:nvCxnSpPr>
      <xdr:spPr>
        <a:xfrm>
          <a:off x="12256558" y="4730749"/>
          <a:ext cx="21696" cy="604521"/>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228600</xdr:colOff>
      <xdr:row>87</xdr:row>
      <xdr:rowOff>100540</xdr:rowOff>
    </xdr:from>
    <xdr:to>
      <xdr:col>21</xdr:col>
      <xdr:colOff>81492</xdr:colOff>
      <xdr:row>96</xdr:row>
      <xdr:rowOff>116415</xdr:rowOff>
    </xdr:to>
    <xdr:cxnSp macro="">
      <xdr:nvCxnSpPr>
        <xdr:cNvPr id="270" name="Elbow Connector 233"/>
        <xdr:cNvCxnSpPr>
          <a:stCxn id="210" idx="1"/>
          <a:endCxn id="265" idx="0"/>
        </xdr:cNvCxnSpPr>
      </xdr:nvCxnSpPr>
      <xdr:spPr>
        <a:xfrm rot="10800000" flipH="1" flipV="1">
          <a:off x="7446433" y="19489207"/>
          <a:ext cx="7091892" cy="2206625"/>
        </a:xfrm>
        <a:prstGeom prst="bentConnector4">
          <a:avLst>
            <a:gd name="adj1" fmla="val -3223"/>
            <a:gd name="adj2" fmla="val -10182"/>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9526</xdr:colOff>
      <xdr:row>87</xdr:row>
      <xdr:rowOff>85726</xdr:rowOff>
    </xdr:from>
    <xdr:to>
      <xdr:col>7</xdr:col>
      <xdr:colOff>228601</xdr:colOff>
      <xdr:row>88</xdr:row>
      <xdr:rowOff>128589</xdr:rowOff>
    </xdr:to>
    <xdr:cxnSp macro="">
      <xdr:nvCxnSpPr>
        <xdr:cNvPr id="271" name="Elbow Connector 238"/>
        <xdr:cNvCxnSpPr>
          <a:stCxn id="211" idx="1"/>
        </xdr:cNvCxnSpPr>
      </xdr:nvCxnSpPr>
      <xdr:spPr>
        <a:xfrm rot="10800000">
          <a:off x="3667126" y="1000126"/>
          <a:ext cx="219075" cy="225743"/>
        </a:xfrm>
        <a:prstGeom prst="bentConnector2">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9526</xdr:colOff>
      <xdr:row>88</xdr:row>
      <xdr:rowOff>123826</xdr:rowOff>
    </xdr:from>
    <xdr:to>
      <xdr:col>7</xdr:col>
      <xdr:colOff>228601</xdr:colOff>
      <xdr:row>89</xdr:row>
      <xdr:rowOff>166689</xdr:rowOff>
    </xdr:to>
    <xdr:cxnSp macro="">
      <xdr:nvCxnSpPr>
        <xdr:cNvPr id="272" name="Elbow Connector 240"/>
        <xdr:cNvCxnSpPr>
          <a:stCxn id="212" idx="1"/>
        </xdr:cNvCxnSpPr>
      </xdr:nvCxnSpPr>
      <xdr:spPr>
        <a:xfrm rot="10800000">
          <a:off x="3667126" y="1221106"/>
          <a:ext cx="219075" cy="225743"/>
        </a:xfrm>
        <a:prstGeom prst="bentConnector2">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486834</xdr:colOff>
      <xdr:row>87</xdr:row>
      <xdr:rowOff>102659</xdr:rowOff>
    </xdr:from>
    <xdr:to>
      <xdr:col>14</xdr:col>
      <xdr:colOff>5292</xdr:colOff>
      <xdr:row>88</xdr:row>
      <xdr:rowOff>148167</xdr:rowOff>
    </xdr:to>
    <xdr:sp macro="" textlink="">
      <xdr:nvSpPr>
        <xdr:cNvPr id="273" name="TextBox 272"/>
        <xdr:cNvSpPr txBox="1"/>
      </xdr:nvSpPr>
      <xdr:spPr>
        <a:xfrm>
          <a:off x="6582834" y="1017059"/>
          <a:ext cx="1347258" cy="228388"/>
        </a:xfrm>
        <a:prstGeom prst="rect">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18900000" scaled="1"/>
          <a:tileRect/>
        </a:gradFill>
        <a:ln>
          <a:solidFill>
            <a:srgbClr val="92D050"/>
          </a:solidFill>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pPr algn="ctr"/>
          <a:r>
            <a:rPr lang="en-US" sz="1400" b="1">
              <a:solidFill>
                <a:sysClr val="windowText" lastClr="000000"/>
              </a:solidFill>
              <a:latin typeface="+mn-lt"/>
              <a:ea typeface="+mn-ea"/>
              <a:cs typeface="+mn-cs"/>
            </a:rPr>
            <a:t>Annual </a:t>
          </a:r>
          <a:r>
            <a:rPr lang="en-US" sz="1050"/>
            <a:t>Pricing Terms</a:t>
          </a:r>
        </a:p>
      </xdr:txBody>
    </xdr:sp>
    <xdr:clientData/>
  </xdr:twoCellAnchor>
  <xdr:twoCellAnchor>
    <xdr:from>
      <xdr:col>14</xdr:col>
      <xdr:colOff>264584</xdr:colOff>
      <xdr:row>86</xdr:row>
      <xdr:rowOff>184151</xdr:rowOff>
    </xdr:from>
    <xdr:to>
      <xdr:col>16</xdr:col>
      <xdr:colOff>391583</xdr:colOff>
      <xdr:row>89</xdr:row>
      <xdr:rowOff>74083</xdr:rowOff>
    </xdr:to>
    <xdr:sp macro="" textlink="">
      <xdr:nvSpPr>
        <xdr:cNvPr id="274" name="TextBox 273"/>
        <xdr:cNvSpPr txBox="1"/>
      </xdr:nvSpPr>
      <xdr:spPr>
        <a:xfrm>
          <a:off x="8189384" y="915671"/>
          <a:ext cx="1346199" cy="438572"/>
        </a:xfrm>
        <a:prstGeom prst="rect">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18900000" scaled="1"/>
          <a:tileRect/>
        </a:gradFill>
        <a:ln>
          <a:solidFill>
            <a:srgbClr val="92D050"/>
          </a:solidFill>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pPr algn="ctr"/>
          <a:r>
            <a:rPr lang="en-US" sz="1050"/>
            <a:t>Break Even Revenue Requirement</a:t>
          </a:r>
        </a:p>
      </xdr:txBody>
    </xdr:sp>
    <xdr:clientData/>
  </xdr:twoCellAnchor>
  <xdr:twoCellAnchor>
    <xdr:from>
      <xdr:col>11</xdr:col>
      <xdr:colOff>486834</xdr:colOff>
      <xdr:row>88</xdr:row>
      <xdr:rowOff>30163</xdr:rowOff>
    </xdr:from>
    <xdr:to>
      <xdr:col>12</xdr:col>
      <xdr:colOff>222250</xdr:colOff>
      <xdr:row>93</xdr:row>
      <xdr:rowOff>47095</xdr:rowOff>
    </xdr:to>
    <xdr:cxnSp macro="">
      <xdr:nvCxnSpPr>
        <xdr:cNvPr id="275" name="Elbow Connector 274"/>
        <xdr:cNvCxnSpPr>
          <a:stCxn id="273" idx="1"/>
          <a:endCxn id="240" idx="1"/>
        </xdr:cNvCxnSpPr>
      </xdr:nvCxnSpPr>
      <xdr:spPr>
        <a:xfrm rot="10800000" flipH="1" flipV="1">
          <a:off x="6582834" y="1127443"/>
          <a:ext cx="345016" cy="931332"/>
        </a:xfrm>
        <a:prstGeom prst="bentConnector3">
          <a:avLst>
            <a:gd name="adj1" fmla="val -65455"/>
          </a:avLst>
        </a:prstGeom>
        <a:ln>
          <a:tailEnd type="arrow"/>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261407</xdr:colOff>
      <xdr:row>82</xdr:row>
      <xdr:rowOff>64558</xdr:rowOff>
    </xdr:from>
    <xdr:to>
      <xdr:col>11</xdr:col>
      <xdr:colOff>612774</xdr:colOff>
      <xdr:row>84</xdr:row>
      <xdr:rowOff>16933</xdr:rowOff>
    </xdr:to>
    <xdr:sp macro="" textlink="">
      <xdr:nvSpPr>
        <xdr:cNvPr id="276" name="TextBox 275"/>
        <xdr:cNvSpPr txBox="1"/>
      </xdr:nvSpPr>
      <xdr:spPr>
        <a:xfrm>
          <a:off x="5045074" y="18447808"/>
          <a:ext cx="5844117" cy="333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COST</a:t>
          </a:r>
          <a:r>
            <a:rPr lang="en-US" sz="2000" b="1" baseline="0"/>
            <a:t> OF GENERATION MODEL INFLUENCE DIAGRAM</a:t>
          </a:r>
        </a:p>
      </xdr:txBody>
    </xdr:sp>
    <xdr:clientData/>
  </xdr:twoCellAnchor>
  <xdr:twoCellAnchor>
    <xdr:from>
      <xdr:col>6</xdr:col>
      <xdr:colOff>304800</xdr:colOff>
      <xdr:row>108</xdr:row>
      <xdr:rowOff>4763</xdr:rowOff>
    </xdr:from>
    <xdr:to>
      <xdr:col>7</xdr:col>
      <xdr:colOff>302414</xdr:colOff>
      <xdr:row>109</xdr:row>
      <xdr:rowOff>151871</xdr:rowOff>
    </xdr:to>
    <xdr:cxnSp macro="">
      <xdr:nvCxnSpPr>
        <xdr:cNvPr id="277" name="Straight Arrow Connector 276"/>
        <xdr:cNvCxnSpPr>
          <a:stCxn id="203" idx="3"/>
          <a:endCxn id="204" idx="1"/>
        </xdr:cNvCxnSpPr>
      </xdr:nvCxnSpPr>
      <xdr:spPr>
        <a:xfrm>
          <a:off x="7186613" y="24388763"/>
          <a:ext cx="319082" cy="385233"/>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304800</xdr:colOff>
      <xdr:row>109</xdr:row>
      <xdr:rowOff>151871</xdr:rowOff>
    </xdr:from>
    <xdr:to>
      <xdr:col>7</xdr:col>
      <xdr:colOff>302414</xdr:colOff>
      <xdr:row>110</xdr:row>
      <xdr:rowOff>152400</xdr:rowOff>
    </xdr:to>
    <xdr:cxnSp macro="">
      <xdr:nvCxnSpPr>
        <xdr:cNvPr id="278" name="Straight Arrow Connector 277"/>
        <xdr:cNvCxnSpPr>
          <a:stCxn id="207" idx="3"/>
          <a:endCxn id="204" idx="1"/>
        </xdr:cNvCxnSpPr>
      </xdr:nvCxnSpPr>
      <xdr:spPr>
        <a:xfrm flipV="1">
          <a:off x="7186613" y="24773996"/>
          <a:ext cx="319082" cy="191029"/>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1089025</xdr:colOff>
      <xdr:row>86</xdr:row>
      <xdr:rowOff>123825</xdr:rowOff>
    </xdr:from>
    <xdr:to>
      <xdr:col>7</xdr:col>
      <xdr:colOff>9527</xdr:colOff>
      <xdr:row>89</xdr:row>
      <xdr:rowOff>114299</xdr:rowOff>
    </xdr:to>
    <xdr:cxnSp macro="">
      <xdr:nvCxnSpPr>
        <xdr:cNvPr id="279" name="Elbow Connector 3"/>
        <xdr:cNvCxnSpPr>
          <a:endCxn id="182" idx="0"/>
        </xdr:cNvCxnSpPr>
      </xdr:nvCxnSpPr>
      <xdr:spPr>
        <a:xfrm rot="10800000" flipV="1">
          <a:off x="5872692" y="19269075"/>
          <a:ext cx="1354668" cy="720724"/>
        </a:xfrm>
        <a:prstGeom prst="bentConnector2">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95250</xdr:colOff>
      <xdr:row>104</xdr:row>
      <xdr:rowOff>95250</xdr:rowOff>
    </xdr:from>
    <xdr:to>
      <xdr:col>5</xdr:col>
      <xdr:colOff>85725</xdr:colOff>
      <xdr:row>107</xdr:row>
      <xdr:rowOff>95250</xdr:rowOff>
    </xdr:to>
    <xdr:cxnSp macro="">
      <xdr:nvCxnSpPr>
        <xdr:cNvPr id="280" name="Straight Arrow Connector 279"/>
        <xdr:cNvCxnSpPr>
          <a:stCxn id="200" idx="3"/>
          <a:endCxn id="203" idx="0"/>
        </xdr:cNvCxnSpPr>
      </xdr:nvCxnSpPr>
      <xdr:spPr>
        <a:xfrm>
          <a:off x="1314450" y="4118610"/>
          <a:ext cx="1209675" cy="54864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85725</xdr:colOff>
      <xdr:row>111</xdr:row>
      <xdr:rowOff>85725</xdr:rowOff>
    </xdr:from>
    <xdr:to>
      <xdr:col>5</xdr:col>
      <xdr:colOff>85725</xdr:colOff>
      <xdr:row>112</xdr:row>
      <xdr:rowOff>28575</xdr:rowOff>
    </xdr:to>
    <xdr:cxnSp macro="">
      <xdr:nvCxnSpPr>
        <xdr:cNvPr id="281" name="Straight Arrow Connector 280"/>
        <xdr:cNvCxnSpPr>
          <a:stCxn id="208" idx="0"/>
          <a:endCxn id="207" idx="2"/>
        </xdr:cNvCxnSpPr>
      </xdr:nvCxnSpPr>
      <xdr:spPr>
        <a:xfrm flipV="1">
          <a:off x="2524125" y="5389245"/>
          <a:ext cx="0" cy="12573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381000</xdr:colOff>
      <xdr:row>95</xdr:row>
      <xdr:rowOff>31749</xdr:rowOff>
    </xdr:from>
    <xdr:to>
      <xdr:col>13</xdr:col>
      <xdr:colOff>406929</xdr:colOff>
      <xdr:row>96</xdr:row>
      <xdr:rowOff>134408</xdr:rowOff>
    </xdr:to>
    <xdr:cxnSp macro="">
      <xdr:nvCxnSpPr>
        <xdr:cNvPr id="282" name="Straight Arrow Connector 281"/>
        <xdr:cNvCxnSpPr>
          <a:stCxn id="240" idx="2"/>
          <a:endCxn id="237" idx="0"/>
        </xdr:cNvCxnSpPr>
      </xdr:nvCxnSpPr>
      <xdr:spPr>
        <a:xfrm>
          <a:off x="7086600" y="2409189"/>
          <a:ext cx="635529" cy="285539"/>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107420</xdr:colOff>
      <xdr:row>95</xdr:row>
      <xdr:rowOff>26458</xdr:rowOff>
    </xdr:from>
    <xdr:to>
      <xdr:col>13</xdr:col>
      <xdr:colOff>406929</xdr:colOff>
      <xdr:row>96</xdr:row>
      <xdr:rowOff>134408</xdr:rowOff>
    </xdr:to>
    <xdr:cxnSp macro="">
      <xdr:nvCxnSpPr>
        <xdr:cNvPr id="283" name="Straight Arrow Connector 282"/>
        <xdr:cNvCxnSpPr>
          <a:stCxn id="241" idx="2"/>
          <a:endCxn id="237" idx="0"/>
        </xdr:cNvCxnSpPr>
      </xdr:nvCxnSpPr>
      <xdr:spPr>
        <a:xfrm>
          <a:off x="7422620" y="2403898"/>
          <a:ext cx="299509" cy="29083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406929</xdr:colOff>
      <xdr:row>95</xdr:row>
      <xdr:rowOff>15874</xdr:rowOff>
    </xdr:from>
    <xdr:to>
      <xdr:col>13</xdr:col>
      <xdr:colOff>422804</xdr:colOff>
      <xdr:row>96</xdr:row>
      <xdr:rowOff>134408</xdr:rowOff>
    </xdr:to>
    <xdr:cxnSp macro="">
      <xdr:nvCxnSpPr>
        <xdr:cNvPr id="284" name="Straight Arrow Connector 283"/>
        <xdr:cNvCxnSpPr>
          <a:stCxn id="242" idx="2"/>
          <a:endCxn id="237" idx="0"/>
        </xdr:cNvCxnSpPr>
      </xdr:nvCxnSpPr>
      <xdr:spPr>
        <a:xfrm flipH="1">
          <a:off x="7722129" y="2393314"/>
          <a:ext cx="15875" cy="301414"/>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406929</xdr:colOff>
      <xdr:row>95</xdr:row>
      <xdr:rowOff>26457</xdr:rowOff>
    </xdr:from>
    <xdr:to>
      <xdr:col>14</xdr:col>
      <xdr:colOff>141817</xdr:colOff>
      <xdr:row>96</xdr:row>
      <xdr:rowOff>134408</xdr:rowOff>
    </xdr:to>
    <xdr:cxnSp macro="">
      <xdr:nvCxnSpPr>
        <xdr:cNvPr id="285" name="Straight Arrow Connector 284"/>
        <xdr:cNvCxnSpPr>
          <a:stCxn id="243" idx="2"/>
          <a:endCxn id="237" idx="0"/>
        </xdr:cNvCxnSpPr>
      </xdr:nvCxnSpPr>
      <xdr:spPr>
        <a:xfrm flipH="1">
          <a:off x="7722129" y="2403897"/>
          <a:ext cx="344488" cy="290831"/>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406929</xdr:colOff>
      <xdr:row>95</xdr:row>
      <xdr:rowOff>16933</xdr:rowOff>
    </xdr:from>
    <xdr:to>
      <xdr:col>15</xdr:col>
      <xdr:colOff>19050</xdr:colOff>
      <xdr:row>96</xdr:row>
      <xdr:rowOff>134408</xdr:rowOff>
    </xdr:to>
    <xdr:cxnSp macro="">
      <xdr:nvCxnSpPr>
        <xdr:cNvPr id="286" name="Straight Arrow Connector 285"/>
        <xdr:cNvCxnSpPr>
          <a:stCxn id="244" idx="2"/>
          <a:endCxn id="237" idx="0"/>
        </xdr:cNvCxnSpPr>
      </xdr:nvCxnSpPr>
      <xdr:spPr>
        <a:xfrm flipH="1">
          <a:off x="7722129" y="2394373"/>
          <a:ext cx="831321" cy="30035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198968</xdr:colOff>
      <xdr:row>95</xdr:row>
      <xdr:rowOff>9525</xdr:rowOff>
    </xdr:from>
    <xdr:to>
      <xdr:col>8</xdr:col>
      <xdr:colOff>54505</xdr:colOff>
      <xdr:row>102</xdr:row>
      <xdr:rowOff>117475</xdr:rowOff>
    </xdr:to>
    <xdr:cxnSp macro="">
      <xdr:nvCxnSpPr>
        <xdr:cNvPr id="287" name="Elbow Connector 274"/>
        <xdr:cNvCxnSpPr>
          <a:stCxn id="189" idx="2"/>
          <a:endCxn id="222" idx="1"/>
        </xdr:cNvCxnSpPr>
      </xdr:nvCxnSpPr>
      <xdr:spPr>
        <a:xfrm rot="5400000">
          <a:off x="6888428" y="21873898"/>
          <a:ext cx="1811867" cy="755121"/>
        </a:xfrm>
        <a:prstGeom prst="bentConnector4">
          <a:avLst>
            <a:gd name="adj1" fmla="val 46817"/>
            <a:gd name="adj2" fmla="val 130273"/>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241788</xdr:colOff>
      <xdr:row>101</xdr:row>
      <xdr:rowOff>286</xdr:rowOff>
    </xdr:from>
    <xdr:to>
      <xdr:col>7</xdr:col>
      <xdr:colOff>188383</xdr:colOff>
      <xdr:row>101</xdr:row>
      <xdr:rowOff>7327</xdr:rowOff>
    </xdr:to>
    <xdr:cxnSp macro="">
      <xdr:nvCxnSpPr>
        <xdr:cNvPr id="288" name="Straight Arrow Connector 287"/>
        <xdr:cNvCxnSpPr>
          <a:endCxn id="221" idx="1"/>
        </xdr:cNvCxnSpPr>
      </xdr:nvCxnSpPr>
      <xdr:spPr>
        <a:xfrm flipV="1">
          <a:off x="7121769" y="21241036"/>
          <a:ext cx="268979" cy="7041"/>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348193</xdr:colOff>
      <xdr:row>94</xdr:row>
      <xdr:rowOff>165100</xdr:rowOff>
    </xdr:from>
    <xdr:to>
      <xdr:col>16</xdr:col>
      <xdr:colOff>600074</xdr:colOff>
      <xdr:row>100</xdr:row>
      <xdr:rowOff>166687</xdr:rowOff>
    </xdr:to>
    <xdr:cxnSp macro="">
      <xdr:nvCxnSpPr>
        <xdr:cNvPr id="289" name="Straight Arrow Connector 288"/>
        <xdr:cNvCxnSpPr>
          <a:stCxn id="250" idx="3"/>
          <a:endCxn id="251" idx="1"/>
        </xdr:cNvCxnSpPr>
      </xdr:nvCxnSpPr>
      <xdr:spPr>
        <a:xfrm flipV="1">
          <a:off x="9492193" y="2359660"/>
          <a:ext cx="251881" cy="1098867"/>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391584</xdr:colOff>
      <xdr:row>88</xdr:row>
      <xdr:rowOff>33867</xdr:rowOff>
    </xdr:from>
    <xdr:to>
      <xdr:col>18</xdr:col>
      <xdr:colOff>600077</xdr:colOff>
      <xdr:row>101</xdr:row>
      <xdr:rowOff>9524</xdr:rowOff>
    </xdr:to>
    <xdr:cxnSp macro="">
      <xdr:nvCxnSpPr>
        <xdr:cNvPr id="290" name="Elbow Connector 286"/>
        <xdr:cNvCxnSpPr>
          <a:stCxn id="260" idx="0"/>
          <a:endCxn id="274" idx="3"/>
        </xdr:cNvCxnSpPr>
      </xdr:nvCxnSpPr>
      <xdr:spPr>
        <a:xfrm rot="16200000" flipV="1">
          <a:off x="9072882" y="1593849"/>
          <a:ext cx="2353097" cy="1427693"/>
        </a:xfrm>
        <a:prstGeom prst="bentConnector2">
          <a:avLst/>
        </a:prstGeom>
        <a:ln>
          <a:tailEnd type="arrow"/>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14</xdr:col>
      <xdr:colOff>5292</xdr:colOff>
      <xdr:row>88</xdr:row>
      <xdr:rowOff>30163</xdr:rowOff>
    </xdr:from>
    <xdr:to>
      <xdr:col>14</xdr:col>
      <xdr:colOff>264584</xdr:colOff>
      <xdr:row>88</xdr:row>
      <xdr:rowOff>33867</xdr:rowOff>
    </xdr:to>
    <xdr:cxnSp macro="">
      <xdr:nvCxnSpPr>
        <xdr:cNvPr id="291" name="Straight Arrow Connector 290"/>
        <xdr:cNvCxnSpPr>
          <a:stCxn id="274" idx="1"/>
          <a:endCxn id="273" idx="3"/>
        </xdr:cNvCxnSpPr>
      </xdr:nvCxnSpPr>
      <xdr:spPr>
        <a:xfrm flipH="1" flipV="1">
          <a:off x="7930092" y="1127443"/>
          <a:ext cx="259292" cy="3704"/>
        </a:xfrm>
        <a:prstGeom prst="straightConnector1">
          <a:avLst/>
        </a:prstGeom>
        <a:ln>
          <a:tailEnd type="arrow"/>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13</xdr:col>
      <xdr:colOff>107420</xdr:colOff>
      <xdr:row>90</xdr:row>
      <xdr:rowOff>168274</xdr:rowOff>
    </xdr:from>
    <xdr:to>
      <xdr:col>13</xdr:col>
      <xdr:colOff>433387</xdr:colOff>
      <xdr:row>91</xdr:row>
      <xdr:rowOff>74083</xdr:rowOff>
    </xdr:to>
    <xdr:cxnSp macro="">
      <xdr:nvCxnSpPr>
        <xdr:cNvPr id="292" name="Straight Arrow Connector 291"/>
        <xdr:cNvCxnSpPr>
          <a:stCxn id="230" idx="2"/>
          <a:endCxn id="241" idx="0"/>
        </xdr:cNvCxnSpPr>
      </xdr:nvCxnSpPr>
      <xdr:spPr>
        <a:xfrm flipH="1">
          <a:off x="7422620" y="1631314"/>
          <a:ext cx="325967" cy="88689"/>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422804</xdr:colOff>
      <xdr:row>90</xdr:row>
      <xdr:rowOff>168274</xdr:rowOff>
    </xdr:from>
    <xdr:to>
      <xdr:col>13</xdr:col>
      <xdr:colOff>433387</xdr:colOff>
      <xdr:row>91</xdr:row>
      <xdr:rowOff>63499</xdr:rowOff>
    </xdr:to>
    <xdr:cxnSp macro="">
      <xdr:nvCxnSpPr>
        <xdr:cNvPr id="293" name="Straight Arrow Connector 292"/>
        <xdr:cNvCxnSpPr>
          <a:stCxn id="230" idx="2"/>
          <a:endCxn id="242" idx="0"/>
        </xdr:cNvCxnSpPr>
      </xdr:nvCxnSpPr>
      <xdr:spPr>
        <a:xfrm flipH="1">
          <a:off x="7738004" y="1631314"/>
          <a:ext cx="10583" cy="7810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433387</xdr:colOff>
      <xdr:row>90</xdr:row>
      <xdr:rowOff>168274</xdr:rowOff>
    </xdr:from>
    <xdr:to>
      <xdr:col>14</xdr:col>
      <xdr:colOff>141817</xdr:colOff>
      <xdr:row>91</xdr:row>
      <xdr:rowOff>74083</xdr:rowOff>
    </xdr:to>
    <xdr:cxnSp macro="">
      <xdr:nvCxnSpPr>
        <xdr:cNvPr id="294" name="Straight Arrow Connector 293"/>
        <xdr:cNvCxnSpPr>
          <a:stCxn id="230" idx="2"/>
          <a:endCxn id="243" idx="0"/>
        </xdr:cNvCxnSpPr>
      </xdr:nvCxnSpPr>
      <xdr:spPr>
        <a:xfrm>
          <a:off x="7748587" y="1631314"/>
          <a:ext cx="318030" cy="88689"/>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304800</xdr:colOff>
      <xdr:row>108</xdr:row>
      <xdr:rowOff>28575</xdr:rowOff>
    </xdr:from>
    <xdr:to>
      <xdr:col>18</xdr:col>
      <xdr:colOff>57149</xdr:colOff>
      <xdr:row>113</xdr:row>
      <xdr:rowOff>0</xdr:rowOff>
    </xdr:to>
    <xdr:cxnSp macro="">
      <xdr:nvCxnSpPr>
        <xdr:cNvPr id="295" name="Elbow Connector 294"/>
        <xdr:cNvCxnSpPr>
          <a:stCxn id="203" idx="3"/>
          <a:endCxn id="297" idx="1"/>
        </xdr:cNvCxnSpPr>
      </xdr:nvCxnSpPr>
      <xdr:spPr>
        <a:xfrm>
          <a:off x="3352800" y="4783455"/>
          <a:ext cx="7067549" cy="885825"/>
        </a:xfrm>
        <a:prstGeom prst="bentConnector3">
          <a:avLst>
            <a:gd name="adj1" fmla="val 2695"/>
          </a:avLst>
        </a:prstGeom>
        <a:ln>
          <a:tailEnd type="arrow"/>
        </a:ln>
      </xdr:spPr>
      <xdr:style>
        <a:lnRef idx="2">
          <a:schemeClr val="accent4"/>
        </a:lnRef>
        <a:fillRef idx="0">
          <a:schemeClr val="accent4"/>
        </a:fillRef>
        <a:effectRef idx="1">
          <a:schemeClr val="accent4"/>
        </a:effectRef>
        <a:fontRef idx="minor">
          <a:schemeClr val="tx1"/>
        </a:fontRef>
      </xdr:style>
    </xdr:cxnSp>
    <xdr:clientData/>
  </xdr:twoCellAnchor>
  <xdr:twoCellAnchor>
    <xdr:from>
      <xdr:col>19</xdr:col>
      <xdr:colOff>33337</xdr:colOff>
      <xdr:row>98</xdr:row>
      <xdr:rowOff>164041</xdr:rowOff>
    </xdr:from>
    <xdr:to>
      <xdr:col>21</xdr:col>
      <xdr:colOff>53975</xdr:colOff>
      <xdr:row>111</xdr:row>
      <xdr:rowOff>76200</xdr:rowOff>
    </xdr:to>
    <xdr:cxnSp macro="">
      <xdr:nvCxnSpPr>
        <xdr:cNvPr id="296" name="Straight Arrow Connector 295"/>
        <xdr:cNvCxnSpPr>
          <a:stCxn id="265" idx="2"/>
          <a:endCxn id="297" idx="0"/>
        </xdr:cNvCxnSpPr>
      </xdr:nvCxnSpPr>
      <xdr:spPr>
        <a:xfrm flipH="1">
          <a:off x="11006137" y="3090121"/>
          <a:ext cx="1239838" cy="2289599"/>
        </a:xfrm>
        <a:prstGeom prst="straightConnector1">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57149</xdr:colOff>
      <xdr:row>111</xdr:row>
      <xdr:rowOff>76200</xdr:rowOff>
    </xdr:from>
    <xdr:to>
      <xdr:col>20</xdr:col>
      <xdr:colOff>9524</xdr:colOff>
      <xdr:row>114</xdr:row>
      <xdr:rowOff>114299</xdr:rowOff>
    </xdr:to>
    <xdr:sp macro="" textlink="">
      <xdr:nvSpPr>
        <xdr:cNvPr id="297" name="TextBox 296"/>
        <xdr:cNvSpPr txBox="1"/>
      </xdr:nvSpPr>
      <xdr:spPr>
        <a:xfrm>
          <a:off x="10420349" y="5379720"/>
          <a:ext cx="1171575" cy="586739"/>
        </a:xfrm>
        <a:prstGeom prst="rect">
          <a:avLst/>
        </a:prstGeom>
        <a:gradFill flip="none" rotWithShape="1">
          <a:gsLst>
            <a:gs pos="0">
              <a:srgbClr val="B1C0FF"/>
            </a:gs>
            <a:gs pos="100000">
              <a:srgbClr val="FFEBFA"/>
            </a:gs>
          </a:gsLst>
          <a:lin ang="16200000" scaled="0"/>
          <a:tileRect/>
        </a:gradFill>
        <a:ln>
          <a:solidFill>
            <a:schemeClr val="tx1"/>
          </a:solidFill>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ctr" anchorCtr="0"/>
        <a:lstStyle/>
        <a:p>
          <a:pPr algn="ctr"/>
          <a:r>
            <a:rPr lang="en-US" sz="1050">
              <a:solidFill>
                <a:sysClr val="windowText" lastClr="000000"/>
              </a:solidFill>
            </a:rPr>
            <a:t>Present Value of Energy (MWh)</a:t>
          </a:r>
        </a:p>
      </xdr:txBody>
    </xdr:sp>
    <xdr:clientData/>
  </xdr:twoCellAnchor>
  <xdr:twoCellAnchor>
    <xdr:from>
      <xdr:col>20</xdr:col>
      <xdr:colOff>9524</xdr:colOff>
      <xdr:row>113</xdr:row>
      <xdr:rowOff>0</xdr:rowOff>
    </xdr:from>
    <xdr:to>
      <xdr:col>20</xdr:col>
      <xdr:colOff>246592</xdr:colOff>
      <xdr:row>113</xdr:row>
      <xdr:rowOff>10584</xdr:rowOff>
    </xdr:to>
    <xdr:cxnSp macro="">
      <xdr:nvCxnSpPr>
        <xdr:cNvPr id="298" name="Straight Arrow Connector 297"/>
        <xdr:cNvCxnSpPr>
          <a:stCxn id="297" idx="3"/>
          <a:endCxn id="266" idx="1"/>
        </xdr:cNvCxnSpPr>
      </xdr:nvCxnSpPr>
      <xdr:spPr>
        <a:xfrm>
          <a:off x="11591924" y="5669280"/>
          <a:ext cx="237068" cy="10584"/>
        </a:xfrm>
        <a:prstGeom prst="straightConnector1">
          <a:avLst/>
        </a:prstGeom>
        <a:ln>
          <a:tailEnd type="arrow"/>
        </a:ln>
      </xdr:spPr>
      <xdr:style>
        <a:lnRef idx="2">
          <a:schemeClr val="accent4"/>
        </a:lnRef>
        <a:fillRef idx="0">
          <a:schemeClr val="accent4"/>
        </a:fillRef>
        <a:effectRef idx="1">
          <a:schemeClr val="accent4"/>
        </a:effectRef>
        <a:fontRef idx="minor">
          <a:schemeClr val="tx1"/>
        </a:fontRef>
      </xdr:style>
    </xdr:cxnSp>
    <xdr:clientData/>
  </xdr:twoCellAnchor>
  <xdr:twoCellAnchor>
    <xdr:from>
      <xdr:col>3</xdr:col>
      <xdr:colOff>514350</xdr:colOff>
      <xdr:row>92</xdr:row>
      <xdr:rowOff>123825</xdr:rowOff>
    </xdr:from>
    <xdr:to>
      <xdr:col>5</xdr:col>
      <xdr:colOff>114300</xdr:colOff>
      <xdr:row>96</xdr:row>
      <xdr:rowOff>180975</xdr:rowOff>
    </xdr:to>
    <xdr:cxnSp macro="">
      <xdr:nvCxnSpPr>
        <xdr:cNvPr id="299" name="Elbow Connector 298"/>
        <xdr:cNvCxnSpPr>
          <a:stCxn id="181" idx="3"/>
          <a:endCxn id="184" idx="1"/>
        </xdr:cNvCxnSpPr>
      </xdr:nvCxnSpPr>
      <xdr:spPr>
        <a:xfrm>
          <a:off x="1733550" y="1952625"/>
          <a:ext cx="819150" cy="788670"/>
        </a:xfrm>
        <a:prstGeom prst="bentConnector3">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523875</xdr:colOff>
      <xdr:row>94</xdr:row>
      <xdr:rowOff>85725</xdr:rowOff>
    </xdr:from>
    <xdr:to>
      <xdr:col>4</xdr:col>
      <xdr:colOff>314325</xdr:colOff>
      <xdr:row>94</xdr:row>
      <xdr:rowOff>85725</xdr:rowOff>
    </xdr:to>
    <xdr:cxnSp macro="">
      <xdr:nvCxnSpPr>
        <xdr:cNvPr id="300" name="Straight Arrow Connector 299"/>
        <xdr:cNvCxnSpPr>
          <a:stCxn id="185" idx="3"/>
        </xdr:cNvCxnSpPr>
      </xdr:nvCxnSpPr>
      <xdr:spPr>
        <a:xfrm>
          <a:off x="1743075" y="2280285"/>
          <a:ext cx="400050" cy="0"/>
        </a:xfrm>
        <a:prstGeom prst="straightConnector1">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11906</xdr:colOff>
      <xdr:row>64</xdr:row>
      <xdr:rowOff>105834</xdr:rowOff>
    </xdr:from>
    <xdr:to>
      <xdr:col>3</xdr:col>
      <xdr:colOff>1335904</xdr:colOff>
      <xdr:row>67</xdr:row>
      <xdr:rowOff>47626</xdr:rowOff>
    </xdr:to>
    <xdr:sp macro="" textlink="">
      <xdr:nvSpPr>
        <xdr:cNvPr id="461" name="TextBox 460">
          <a:hlinkClick xmlns:r="http://schemas.openxmlformats.org/officeDocument/2006/relationships" r:id="rId40"/>
        </xdr:cNvPr>
        <xdr:cNvSpPr txBox="1"/>
      </xdr:nvSpPr>
      <xdr:spPr>
        <a:xfrm>
          <a:off x="1893094" y="14738615"/>
          <a:ext cx="1788341" cy="608542"/>
        </a:xfrm>
        <a:prstGeom prst="rect">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8900000" scaled="1"/>
          <a:tileRect/>
        </a:gradFill>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ctr"/>
        <a:lstStyle/>
        <a:p>
          <a:pPr algn="ctr"/>
          <a:r>
            <a:rPr lang="en-US" sz="1050" b="1">
              <a:solidFill>
                <a:schemeClr val="bg1"/>
              </a:solidFill>
            </a:rPr>
            <a:t>Input-Output</a:t>
          </a:r>
        </a:p>
        <a:p>
          <a:pPr algn="ctr"/>
          <a:r>
            <a:rPr lang="en-US" sz="800" b="0">
              <a:solidFill>
                <a:schemeClr val="bg1"/>
              </a:solidFill>
            </a:rPr>
            <a:t>Select Plant type &amp; Assumptions</a:t>
          </a:r>
        </a:p>
      </xdr:txBody>
    </xdr:sp>
    <xdr:clientData/>
  </xdr:twoCellAnchor>
  <xdr:twoCellAnchor>
    <xdr:from>
      <xdr:col>2</xdr:col>
      <xdr:colOff>23812</xdr:colOff>
      <xdr:row>67</xdr:row>
      <xdr:rowOff>105833</xdr:rowOff>
    </xdr:from>
    <xdr:to>
      <xdr:col>3</xdr:col>
      <xdr:colOff>1335904</xdr:colOff>
      <xdr:row>68</xdr:row>
      <xdr:rowOff>142875</xdr:rowOff>
    </xdr:to>
    <xdr:sp macro="" textlink="">
      <xdr:nvSpPr>
        <xdr:cNvPr id="462" name="TextBox 461">
          <a:hlinkClick xmlns:r="http://schemas.openxmlformats.org/officeDocument/2006/relationships" r:id="rId41"/>
        </xdr:cNvPr>
        <xdr:cNvSpPr txBox="1"/>
      </xdr:nvSpPr>
      <xdr:spPr>
        <a:xfrm>
          <a:off x="1905000" y="15405364"/>
          <a:ext cx="1776435" cy="227542"/>
        </a:xfrm>
        <a:prstGeom prst="rect">
          <a:avLst/>
        </a:prstGeom>
        <a:ln/>
      </xdr:spPr>
      <xdr:style>
        <a:lnRef idx="1">
          <a:schemeClr val="accent3"/>
        </a:lnRef>
        <a:fillRef idx="3">
          <a:schemeClr val="accent3"/>
        </a:fillRef>
        <a:effectRef idx="2">
          <a:schemeClr val="accent3"/>
        </a:effectRef>
        <a:fontRef idx="minor">
          <a:schemeClr val="lt1"/>
        </a:fontRef>
      </xdr:style>
      <xdr:txBody>
        <a:bodyPr vertOverflow="clip" horzOverflow="clip" wrap="square" rtlCol="0" anchor="ctr"/>
        <a:lstStyle/>
        <a:p>
          <a:pPr algn="ctr"/>
          <a:r>
            <a:rPr lang="en-US" sz="1050" b="0">
              <a:solidFill>
                <a:schemeClr val="bg1"/>
              </a:solidFill>
            </a:rPr>
            <a:t>Annual Cost Chart</a:t>
          </a:r>
        </a:p>
      </xdr:txBody>
    </xdr:sp>
    <xdr:clientData/>
  </xdr:twoCellAnchor>
  <xdr:twoCellAnchor>
    <xdr:from>
      <xdr:col>9</xdr:col>
      <xdr:colOff>5584</xdr:colOff>
      <xdr:row>63</xdr:row>
      <xdr:rowOff>158750</xdr:rowOff>
    </xdr:from>
    <xdr:to>
      <xdr:col>9</xdr:col>
      <xdr:colOff>1796144</xdr:colOff>
      <xdr:row>67</xdr:row>
      <xdr:rowOff>21167</xdr:rowOff>
    </xdr:to>
    <xdr:sp macro="" textlink="">
      <xdr:nvSpPr>
        <xdr:cNvPr id="463" name="TextBox 462">
          <a:hlinkClick xmlns:r="http://schemas.openxmlformats.org/officeDocument/2006/relationships" r:id="rId1"/>
        </xdr:cNvPr>
        <xdr:cNvSpPr txBox="1"/>
      </xdr:nvSpPr>
      <xdr:spPr>
        <a:xfrm>
          <a:off x="9095155" y="13520964"/>
          <a:ext cx="1790560" cy="774096"/>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en-US" sz="1000" b="0">
              <a:solidFill>
                <a:sysClr val="windowText" lastClr="000000"/>
              </a:solidFill>
            </a:rPr>
            <a:t>Plant</a:t>
          </a:r>
          <a:r>
            <a:rPr lang="en-US" sz="1000" b="0" baseline="0">
              <a:solidFill>
                <a:sysClr val="windowText" lastClr="000000"/>
              </a:solidFill>
            </a:rPr>
            <a:t> Type Assumptions </a:t>
          </a:r>
        </a:p>
        <a:p>
          <a:pPr algn="ctr"/>
          <a:r>
            <a:rPr lang="en-US" sz="1000" b="0" baseline="0">
              <a:solidFill>
                <a:sysClr val="windowText" lastClr="000000"/>
              </a:solidFill>
            </a:rPr>
            <a:t>(Mid, High &amp; Low)</a:t>
          </a:r>
          <a:endParaRPr lang="en-US" sz="1000" b="0">
            <a:solidFill>
              <a:sysClr val="windowText" lastClr="000000"/>
            </a:solidFill>
          </a:endParaRPr>
        </a:p>
      </xdr:txBody>
    </xdr:sp>
    <xdr:clientData/>
  </xdr:twoCellAnchor>
  <xdr:twoCellAnchor>
    <xdr:from>
      <xdr:col>2</xdr:col>
      <xdr:colOff>14450</xdr:colOff>
      <xdr:row>69</xdr:row>
      <xdr:rowOff>0</xdr:rowOff>
    </xdr:from>
    <xdr:to>
      <xdr:col>3</xdr:col>
      <xdr:colOff>1334847</xdr:colOff>
      <xdr:row>70</xdr:row>
      <xdr:rowOff>10583</xdr:rowOff>
    </xdr:to>
    <xdr:sp macro="" textlink="">
      <xdr:nvSpPr>
        <xdr:cNvPr id="464" name="TextBox 463">
          <a:hlinkClick xmlns:r="http://schemas.openxmlformats.org/officeDocument/2006/relationships" r:id="rId42"/>
        </xdr:cNvPr>
        <xdr:cNvSpPr txBox="1"/>
      </xdr:nvSpPr>
      <xdr:spPr>
        <a:xfrm>
          <a:off x="1895638" y="15728156"/>
          <a:ext cx="1784740" cy="224896"/>
        </a:xfrm>
        <a:prstGeom prst="rect">
          <a:avLst/>
        </a:prstGeom>
        <a:ln/>
      </xdr:spPr>
      <xdr:style>
        <a:lnRef idx="1">
          <a:schemeClr val="accent3"/>
        </a:lnRef>
        <a:fillRef idx="3">
          <a:schemeClr val="accent3"/>
        </a:fillRef>
        <a:effectRef idx="2">
          <a:schemeClr val="accent3"/>
        </a:effectRef>
        <a:fontRef idx="minor">
          <a:schemeClr val="lt1"/>
        </a:fontRef>
      </xdr:style>
      <xdr:txBody>
        <a:bodyPr vertOverflow="clip" horzOverflow="clip" wrap="square" rtlCol="0" anchor="ctr"/>
        <a:lstStyle/>
        <a:p>
          <a:pPr algn="ctr"/>
          <a:r>
            <a:rPr lang="en-US" sz="1050" b="0">
              <a:solidFill>
                <a:schemeClr val="bg1"/>
              </a:solidFill>
            </a:rPr>
            <a:t>Screening Curve</a:t>
          </a:r>
        </a:p>
      </xdr:txBody>
    </xdr:sp>
    <xdr:clientData/>
  </xdr:twoCellAnchor>
  <xdr:twoCellAnchor>
    <xdr:from>
      <xdr:col>2</xdr:col>
      <xdr:colOff>14450</xdr:colOff>
      <xdr:row>70</xdr:row>
      <xdr:rowOff>74084</xdr:rowOff>
    </xdr:from>
    <xdr:to>
      <xdr:col>3</xdr:col>
      <xdr:colOff>1334847</xdr:colOff>
      <xdr:row>71</xdr:row>
      <xdr:rowOff>95251</xdr:rowOff>
    </xdr:to>
    <xdr:sp macro="" textlink="">
      <xdr:nvSpPr>
        <xdr:cNvPr id="465" name="TextBox 464">
          <a:hlinkClick xmlns:r="http://schemas.openxmlformats.org/officeDocument/2006/relationships" r:id="rId43"/>
        </xdr:cNvPr>
        <xdr:cNvSpPr txBox="1"/>
      </xdr:nvSpPr>
      <xdr:spPr>
        <a:xfrm>
          <a:off x="1895638" y="16016553"/>
          <a:ext cx="1784740" cy="211667"/>
        </a:xfrm>
        <a:prstGeom prst="rect">
          <a:avLst/>
        </a:prstGeom>
        <a:ln/>
      </xdr:spPr>
      <xdr:style>
        <a:lnRef idx="1">
          <a:schemeClr val="accent3"/>
        </a:lnRef>
        <a:fillRef idx="3">
          <a:schemeClr val="accent3"/>
        </a:fillRef>
        <a:effectRef idx="2">
          <a:schemeClr val="accent3"/>
        </a:effectRef>
        <a:fontRef idx="minor">
          <a:schemeClr val="lt1"/>
        </a:fontRef>
      </xdr:style>
      <xdr:txBody>
        <a:bodyPr vertOverflow="clip" horzOverflow="clip" wrap="square" rtlCol="0" anchor="ctr"/>
        <a:lstStyle/>
        <a:p>
          <a:pPr algn="ctr"/>
          <a:r>
            <a:rPr lang="en-US" sz="1050" b="0">
              <a:solidFill>
                <a:schemeClr val="bg1"/>
              </a:solidFill>
            </a:rPr>
            <a:t>Sensitivity Curve</a:t>
          </a:r>
        </a:p>
      </xdr:txBody>
    </xdr:sp>
    <xdr:clientData/>
  </xdr:twoCellAnchor>
  <xdr:twoCellAnchor>
    <xdr:from>
      <xdr:col>2</xdr:col>
      <xdr:colOff>14450</xdr:colOff>
      <xdr:row>71</xdr:row>
      <xdr:rowOff>158750</xdr:rowOff>
    </xdr:from>
    <xdr:to>
      <xdr:col>3</xdr:col>
      <xdr:colOff>1334847</xdr:colOff>
      <xdr:row>72</xdr:row>
      <xdr:rowOff>148167</xdr:rowOff>
    </xdr:to>
    <xdr:sp macro="" textlink="">
      <xdr:nvSpPr>
        <xdr:cNvPr id="466" name="TextBox 465">
          <a:hlinkClick xmlns:r="http://schemas.openxmlformats.org/officeDocument/2006/relationships" r:id="rId44"/>
        </xdr:cNvPr>
        <xdr:cNvSpPr txBox="1"/>
      </xdr:nvSpPr>
      <xdr:spPr>
        <a:xfrm>
          <a:off x="1895638" y="16291719"/>
          <a:ext cx="1784740" cy="179917"/>
        </a:xfrm>
        <a:prstGeom prst="rect">
          <a:avLst/>
        </a:prstGeom>
        <a:ln/>
      </xdr:spPr>
      <xdr:style>
        <a:lnRef idx="1">
          <a:schemeClr val="accent3"/>
        </a:lnRef>
        <a:fillRef idx="3">
          <a:schemeClr val="accent3"/>
        </a:fillRef>
        <a:effectRef idx="2">
          <a:schemeClr val="accent3"/>
        </a:effectRef>
        <a:fontRef idx="minor">
          <a:schemeClr val="lt1"/>
        </a:fontRef>
      </xdr:style>
      <xdr:txBody>
        <a:bodyPr vertOverflow="clip" horzOverflow="clip" wrap="square" rtlCol="0" anchor="ctr"/>
        <a:lstStyle/>
        <a:p>
          <a:pPr algn="ctr"/>
          <a:r>
            <a:rPr lang="en-US" sz="1050" b="0">
              <a:solidFill>
                <a:schemeClr val="bg1"/>
              </a:solidFill>
            </a:rPr>
            <a:t>Print Tables</a:t>
          </a:r>
        </a:p>
      </xdr:txBody>
    </xdr:sp>
    <xdr:clientData/>
  </xdr:twoCellAnchor>
  <xdr:twoCellAnchor>
    <xdr:from>
      <xdr:col>1</xdr:col>
      <xdr:colOff>546390</xdr:colOff>
      <xdr:row>64</xdr:row>
      <xdr:rowOff>105833</xdr:rowOff>
    </xdr:from>
    <xdr:to>
      <xdr:col>1</xdr:col>
      <xdr:colOff>1349400</xdr:colOff>
      <xdr:row>67</xdr:row>
      <xdr:rowOff>47625</xdr:rowOff>
    </xdr:to>
    <xdr:sp macro="" textlink="">
      <xdr:nvSpPr>
        <xdr:cNvPr id="467" name="TextBox 466"/>
        <xdr:cNvSpPr txBox="1"/>
      </xdr:nvSpPr>
      <xdr:spPr>
        <a:xfrm>
          <a:off x="665453" y="14738614"/>
          <a:ext cx="803010" cy="608542"/>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lang="en-US" sz="1050" b="1">
              <a:solidFill>
                <a:sysClr val="windowText" lastClr="000000"/>
              </a:solidFill>
            </a:rPr>
            <a:t>Model User</a:t>
          </a:r>
        </a:p>
      </xdr:txBody>
    </xdr:sp>
    <xdr:clientData/>
  </xdr:twoCellAnchor>
  <xdr:twoCellAnchor>
    <xdr:from>
      <xdr:col>1</xdr:col>
      <xdr:colOff>1349400</xdr:colOff>
      <xdr:row>65</xdr:row>
      <xdr:rowOff>183885</xdr:rowOff>
    </xdr:from>
    <xdr:to>
      <xdr:col>2</xdr:col>
      <xdr:colOff>11906</xdr:colOff>
      <xdr:row>65</xdr:row>
      <xdr:rowOff>183886</xdr:rowOff>
    </xdr:to>
    <xdr:cxnSp macro="">
      <xdr:nvCxnSpPr>
        <xdr:cNvPr id="468" name="Straight Arrow Connector 467"/>
        <xdr:cNvCxnSpPr>
          <a:stCxn id="467" idx="3"/>
          <a:endCxn id="461" idx="1"/>
        </xdr:cNvCxnSpPr>
      </xdr:nvCxnSpPr>
      <xdr:spPr>
        <a:xfrm>
          <a:off x="1468463" y="15042885"/>
          <a:ext cx="424631" cy="1"/>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1721131</xdr:colOff>
      <xdr:row>66</xdr:row>
      <xdr:rowOff>10577</xdr:rowOff>
    </xdr:from>
    <xdr:to>
      <xdr:col>7</xdr:col>
      <xdr:colOff>549026</xdr:colOff>
      <xdr:row>67</xdr:row>
      <xdr:rowOff>42327</xdr:rowOff>
    </xdr:to>
    <xdr:sp macro="" textlink="">
      <xdr:nvSpPr>
        <xdr:cNvPr id="469" name="TextBox 468">
          <a:hlinkClick xmlns:r="http://schemas.openxmlformats.org/officeDocument/2006/relationships" r:id="rId45"/>
        </xdr:cNvPr>
        <xdr:cNvSpPr txBox="1"/>
      </xdr:nvSpPr>
      <xdr:spPr>
        <a:xfrm>
          <a:off x="6495537" y="15107702"/>
          <a:ext cx="1256770" cy="234156"/>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algn="ctr"/>
          <a:r>
            <a:rPr lang="en-US" sz="1000" b="0">
              <a:solidFill>
                <a:sysClr val="windowText" lastClr="000000"/>
              </a:solidFill>
            </a:rPr>
            <a:t>Physical Data</a:t>
          </a:r>
        </a:p>
      </xdr:txBody>
    </xdr:sp>
    <xdr:clientData/>
  </xdr:twoCellAnchor>
  <xdr:twoCellAnchor>
    <xdr:from>
      <xdr:col>5</xdr:col>
      <xdr:colOff>1721131</xdr:colOff>
      <xdr:row>67</xdr:row>
      <xdr:rowOff>149482</xdr:rowOff>
    </xdr:from>
    <xdr:to>
      <xdr:col>7</xdr:col>
      <xdr:colOff>549026</xdr:colOff>
      <xdr:row>68</xdr:row>
      <xdr:rowOff>181232</xdr:rowOff>
    </xdr:to>
    <xdr:sp macro="" textlink="">
      <xdr:nvSpPr>
        <xdr:cNvPr id="470" name="TextBox 469">
          <a:hlinkClick xmlns:r="http://schemas.openxmlformats.org/officeDocument/2006/relationships" r:id="rId46"/>
        </xdr:cNvPr>
        <xdr:cNvSpPr txBox="1"/>
      </xdr:nvSpPr>
      <xdr:spPr>
        <a:xfrm>
          <a:off x="6495537" y="15449013"/>
          <a:ext cx="1256770" cy="222250"/>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algn="ctr"/>
          <a:r>
            <a:rPr lang="en-US" sz="1000" b="0">
              <a:solidFill>
                <a:sysClr val="windowText" lastClr="000000"/>
              </a:solidFill>
            </a:rPr>
            <a:t>Financial Data</a:t>
          </a:r>
        </a:p>
      </xdr:txBody>
    </xdr:sp>
    <xdr:clientData/>
  </xdr:twoCellAnchor>
  <xdr:twoCellAnchor>
    <xdr:from>
      <xdr:col>5</xdr:col>
      <xdr:colOff>1721131</xdr:colOff>
      <xdr:row>69</xdr:row>
      <xdr:rowOff>74075</xdr:rowOff>
    </xdr:from>
    <xdr:to>
      <xdr:col>7</xdr:col>
      <xdr:colOff>549026</xdr:colOff>
      <xdr:row>70</xdr:row>
      <xdr:rowOff>105825</xdr:rowOff>
    </xdr:to>
    <xdr:sp macro="" textlink="">
      <xdr:nvSpPr>
        <xdr:cNvPr id="471" name="TextBox 470">
          <a:hlinkClick xmlns:r="http://schemas.openxmlformats.org/officeDocument/2006/relationships" r:id="rId47"/>
        </xdr:cNvPr>
        <xdr:cNvSpPr txBox="1"/>
      </xdr:nvSpPr>
      <xdr:spPr>
        <a:xfrm>
          <a:off x="6495537" y="15802231"/>
          <a:ext cx="1256770" cy="246063"/>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algn="ctr"/>
          <a:r>
            <a:rPr lang="en-US" sz="1000" b="0">
              <a:solidFill>
                <a:sysClr val="windowText" lastClr="000000"/>
              </a:solidFill>
            </a:rPr>
            <a:t>Construction Costs</a:t>
          </a:r>
        </a:p>
      </xdr:txBody>
    </xdr:sp>
    <xdr:clientData/>
  </xdr:twoCellAnchor>
  <xdr:twoCellAnchor>
    <xdr:from>
      <xdr:col>5</xdr:col>
      <xdr:colOff>1720073</xdr:colOff>
      <xdr:row>71</xdr:row>
      <xdr:rowOff>10574</xdr:rowOff>
    </xdr:from>
    <xdr:to>
      <xdr:col>7</xdr:col>
      <xdr:colOff>538443</xdr:colOff>
      <xdr:row>72</xdr:row>
      <xdr:rowOff>42324</xdr:rowOff>
    </xdr:to>
    <xdr:sp macro="" textlink="">
      <xdr:nvSpPr>
        <xdr:cNvPr id="472" name="TextBox 471">
          <a:hlinkClick xmlns:r="http://schemas.openxmlformats.org/officeDocument/2006/relationships" r:id="rId48"/>
        </xdr:cNvPr>
        <xdr:cNvSpPr txBox="1"/>
      </xdr:nvSpPr>
      <xdr:spPr>
        <a:xfrm>
          <a:off x="6494479" y="16143543"/>
          <a:ext cx="1247245" cy="222250"/>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algn="ctr"/>
          <a:r>
            <a:rPr lang="en-US" sz="1000" b="0">
              <a:solidFill>
                <a:sysClr val="windowText" lastClr="000000"/>
              </a:solidFill>
            </a:rPr>
            <a:t>O&amp;M Costs</a:t>
          </a:r>
        </a:p>
      </xdr:txBody>
    </xdr:sp>
    <xdr:clientData/>
  </xdr:twoCellAnchor>
  <xdr:twoCellAnchor>
    <xdr:from>
      <xdr:col>9</xdr:col>
      <xdr:colOff>4525</xdr:colOff>
      <xdr:row>67</xdr:row>
      <xdr:rowOff>84667</xdr:rowOff>
    </xdr:from>
    <xdr:to>
      <xdr:col>9</xdr:col>
      <xdr:colOff>1796143</xdr:colOff>
      <xdr:row>70</xdr:row>
      <xdr:rowOff>137584</xdr:rowOff>
    </xdr:to>
    <xdr:sp macro="" textlink="">
      <xdr:nvSpPr>
        <xdr:cNvPr id="473" name="TextBox 472">
          <a:hlinkClick xmlns:r="http://schemas.openxmlformats.org/officeDocument/2006/relationships" r:id="rId49"/>
        </xdr:cNvPr>
        <xdr:cNvSpPr txBox="1"/>
      </xdr:nvSpPr>
      <xdr:spPr>
        <a:xfrm>
          <a:off x="9094096" y="14358560"/>
          <a:ext cx="1791618" cy="692453"/>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en-US" sz="1000" b="0">
              <a:solidFill>
                <a:sysClr val="windowText" lastClr="000000"/>
              </a:solidFill>
            </a:rPr>
            <a:t>Financial Assumptions</a:t>
          </a:r>
        </a:p>
      </xdr:txBody>
    </xdr:sp>
    <xdr:clientData/>
  </xdr:twoCellAnchor>
  <xdr:twoCellAnchor>
    <xdr:from>
      <xdr:col>9</xdr:col>
      <xdr:colOff>3467</xdr:colOff>
      <xdr:row>71</xdr:row>
      <xdr:rowOff>21167</xdr:rowOff>
    </xdr:from>
    <xdr:to>
      <xdr:col>9</xdr:col>
      <xdr:colOff>1823358</xdr:colOff>
      <xdr:row>74</xdr:row>
      <xdr:rowOff>74084</xdr:rowOff>
    </xdr:to>
    <xdr:sp macro="" textlink="">
      <xdr:nvSpPr>
        <xdr:cNvPr id="474" name="TextBox 473">
          <a:hlinkClick xmlns:r="http://schemas.openxmlformats.org/officeDocument/2006/relationships" r:id="rId50"/>
        </xdr:cNvPr>
        <xdr:cNvSpPr txBox="1"/>
      </xdr:nvSpPr>
      <xdr:spPr>
        <a:xfrm>
          <a:off x="9093038" y="15125096"/>
          <a:ext cx="1819891" cy="651631"/>
        </a:xfrm>
        <a:prstGeom prst="rect">
          <a:avLst/>
        </a:prstGeom>
        <a:gradFill flip="none" rotWithShape="1">
          <a:gsLst>
            <a:gs pos="0">
              <a:srgbClr val="FFFF00">
                <a:tint val="66000"/>
                <a:satMod val="160000"/>
              </a:srgbClr>
            </a:gs>
            <a:gs pos="50000">
              <a:srgbClr val="FFFF00">
                <a:tint val="44500"/>
                <a:satMod val="160000"/>
              </a:srgbClr>
            </a:gs>
            <a:gs pos="100000">
              <a:srgbClr val="FFFF00">
                <a:tint val="23500"/>
                <a:satMod val="160000"/>
              </a:srgbClr>
            </a:gs>
          </a:gsLst>
          <a:lin ang="18900000" scaled="1"/>
          <a:tileRect/>
        </a:gradFill>
        <a:ln>
          <a:solidFill>
            <a:srgbClr val="FFFF00"/>
          </a:solidFill>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en-US" sz="1000" b="0">
              <a:solidFill>
                <a:sysClr val="windowText" lastClr="000000"/>
              </a:solidFill>
            </a:rPr>
            <a:t>General </a:t>
          </a:r>
          <a:r>
            <a:rPr lang="en-US" sz="1000" b="0" baseline="0">
              <a:solidFill>
                <a:sysClr val="windowText" lastClr="000000"/>
              </a:solidFill>
            </a:rPr>
            <a:t> Assumptions</a:t>
          </a:r>
          <a:endParaRPr lang="en-US" sz="1000" b="0">
            <a:solidFill>
              <a:sysClr val="windowText" lastClr="000000"/>
            </a:solidFill>
          </a:endParaRPr>
        </a:p>
      </xdr:txBody>
    </xdr:sp>
    <xdr:clientData/>
  </xdr:twoCellAnchor>
  <xdr:twoCellAnchor>
    <xdr:from>
      <xdr:col>10</xdr:col>
      <xdr:colOff>4083</xdr:colOff>
      <xdr:row>69</xdr:row>
      <xdr:rowOff>3403</xdr:rowOff>
    </xdr:from>
    <xdr:to>
      <xdr:col>10</xdr:col>
      <xdr:colOff>203429</xdr:colOff>
      <xdr:row>72</xdr:row>
      <xdr:rowOff>152401</xdr:rowOff>
    </xdr:to>
    <xdr:cxnSp macro="">
      <xdr:nvCxnSpPr>
        <xdr:cNvPr id="475" name="Elbow Connector 474"/>
        <xdr:cNvCxnSpPr>
          <a:endCxn id="474" idx="3"/>
        </xdr:cNvCxnSpPr>
      </xdr:nvCxnSpPr>
      <xdr:spPr>
        <a:xfrm rot="5400000">
          <a:off x="9773332" y="14932479"/>
          <a:ext cx="739548" cy="199346"/>
        </a:xfrm>
        <a:prstGeom prst="bentConnector2">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197130</xdr:colOff>
      <xdr:row>63</xdr:row>
      <xdr:rowOff>176892</xdr:rowOff>
    </xdr:from>
    <xdr:to>
      <xdr:col>8</xdr:col>
      <xdr:colOff>369107</xdr:colOff>
      <xdr:row>64</xdr:row>
      <xdr:rowOff>217713</xdr:rowOff>
    </xdr:to>
    <xdr:sp macro="" textlink="">
      <xdr:nvSpPr>
        <xdr:cNvPr id="476" name="TextBox 475">
          <a:hlinkClick xmlns:r="http://schemas.openxmlformats.org/officeDocument/2006/relationships" r:id="rId51"/>
        </xdr:cNvPr>
        <xdr:cNvSpPr txBox="1"/>
      </xdr:nvSpPr>
      <xdr:spPr>
        <a:xfrm>
          <a:off x="7408916" y="13539106"/>
          <a:ext cx="1260548" cy="272143"/>
        </a:xfrm>
        <a:prstGeom prst="rect">
          <a:avLst/>
        </a:prstGeom>
        <a:gradFill flip="none" rotWithShape="1">
          <a:gsLst>
            <a:gs pos="0">
              <a:schemeClr val="accent5">
                <a:lumMod val="75000"/>
                <a:tint val="66000"/>
                <a:satMod val="160000"/>
              </a:schemeClr>
            </a:gs>
            <a:gs pos="50000">
              <a:schemeClr val="accent5">
                <a:lumMod val="75000"/>
                <a:tint val="44500"/>
                <a:satMod val="160000"/>
              </a:schemeClr>
            </a:gs>
            <a:gs pos="100000">
              <a:schemeClr val="accent5">
                <a:lumMod val="75000"/>
                <a:tint val="23500"/>
                <a:satMod val="160000"/>
              </a:schemeClr>
            </a:gs>
          </a:gsLst>
          <a:lin ang="16200000" scaled="1"/>
          <a:tileRect/>
        </a:gradFill>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algn="ctr"/>
          <a:r>
            <a:rPr lang="en-US" sz="1000" b="0">
              <a:solidFill>
                <a:sysClr val="windowText" lastClr="000000"/>
              </a:solidFill>
            </a:rPr>
            <a:t>Transmission</a:t>
          </a:r>
        </a:p>
      </xdr:txBody>
    </xdr:sp>
    <xdr:clientData/>
  </xdr:twoCellAnchor>
  <xdr:twoCellAnchor>
    <xdr:from>
      <xdr:col>7</xdr:col>
      <xdr:colOff>882765</xdr:colOff>
      <xdr:row>68</xdr:row>
      <xdr:rowOff>60479</xdr:rowOff>
    </xdr:from>
    <xdr:to>
      <xdr:col>8</xdr:col>
      <xdr:colOff>501765</xdr:colOff>
      <xdr:row>69</xdr:row>
      <xdr:rowOff>134562</xdr:rowOff>
    </xdr:to>
    <xdr:sp macro="" textlink="">
      <xdr:nvSpPr>
        <xdr:cNvPr id="477" name="TextBox 476"/>
        <xdr:cNvSpPr txBox="1"/>
      </xdr:nvSpPr>
      <xdr:spPr>
        <a:xfrm>
          <a:off x="8094551" y="14524872"/>
          <a:ext cx="707571" cy="319011"/>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lang="en-US" sz="1000" b="0">
              <a:solidFill>
                <a:sysClr val="windowText" lastClr="000000"/>
              </a:solidFill>
            </a:rPr>
            <a:t>MACROS</a:t>
          </a:r>
        </a:p>
      </xdr:txBody>
    </xdr:sp>
    <xdr:clientData/>
  </xdr:twoCellAnchor>
  <xdr:twoCellAnchor>
    <xdr:from>
      <xdr:col>8</xdr:col>
      <xdr:colOff>147980</xdr:colOff>
      <xdr:row>65</xdr:row>
      <xdr:rowOff>83155</xdr:rowOff>
    </xdr:from>
    <xdr:to>
      <xdr:col>9</xdr:col>
      <xdr:colOff>5584</xdr:colOff>
      <xdr:row>68</xdr:row>
      <xdr:rowOff>60479</xdr:rowOff>
    </xdr:to>
    <xdr:cxnSp macro="">
      <xdr:nvCxnSpPr>
        <xdr:cNvPr id="478" name="Straight Arrow Connector 477"/>
        <xdr:cNvCxnSpPr>
          <a:stCxn id="463" idx="1"/>
          <a:endCxn id="477" idx="0"/>
        </xdr:cNvCxnSpPr>
      </xdr:nvCxnSpPr>
      <xdr:spPr>
        <a:xfrm flipH="1">
          <a:off x="8448337" y="13908012"/>
          <a:ext cx="646818" cy="61686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501765</xdr:colOff>
      <xdr:row>68</xdr:row>
      <xdr:rowOff>219985</xdr:rowOff>
    </xdr:from>
    <xdr:to>
      <xdr:col>9</xdr:col>
      <xdr:colOff>4525</xdr:colOff>
      <xdr:row>68</xdr:row>
      <xdr:rowOff>240394</xdr:rowOff>
    </xdr:to>
    <xdr:cxnSp macro="">
      <xdr:nvCxnSpPr>
        <xdr:cNvPr id="479" name="Straight Arrow Connector 478"/>
        <xdr:cNvCxnSpPr>
          <a:stCxn id="473" idx="1"/>
          <a:endCxn id="477" idx="3"/>
        </xdr:cNvCxnSpPr>
      </xdr:nvCxnSpPr>
      <xdr:spPr>
        <a:xfrm flipH="1" flipV="1">
          <a:off x="8802122" y="14684378"/>
          <a:ext cx="291974" cy="20409"/>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147980</xdr:colOff>
      <xdr:row>69</xdr:row>
      <xdr:rowOff>134562</xdr:rowOff>
    </xdr:from>
    <xdr:to>
      <xdr:col>9</xdr:col>
      <xdr:colOff>3467</xdr:colOff>
      <xdr:row>72</xdr:row>
      <xdr:rowOff>156483</xdr:rowOff>
    </xdr:to>
    <xdr:cxnSp macro="">
      <xdr:nvCxnSpPr>
        <xdr:cNvPr id="480" name="Straight Arrow Connector 479"/>
        <xdr:cNvCxnSpPr>
          <a:stCxn id="474" idx="1"/>
          <a:endCxn id="477" idx="2"/>
        </xdr:cNvCxnSpPr>
      </xdr:nvCxnSpPr>
      <xdr:spPr>
        <a:xfrm flipH="1" flipV="1">
          <a:off x="8448337" y="14843883"/>
          <a:ext cx="644701" cy="607029"/>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549026</xdr:colOff>
      <xdr:row>66</xdr:row>
      <xdr:rowOff>128506</xdr:rowOff>
    </xdr:from>
    <xdr:to>
      <xdr:col>7</xdr:col>
      <xdr:colOff>882765</xdr:colOff>
      <xdr:row>68</xdr:row>
      <xdr:rowOff>219985</xdr:rowOff>
    </xdr:to>
    <xdr:cxnSp macro="">
      <xdr:nvCxnSpPr>
        <xdr:cNvPr id="481" name="Straight Arrow Connector 480"/>
        <xdr:cNvCxnSpPr>
          <a:stCxn id="477" idx="1"/>
          <a:endCxn id="469" idx="3"/>
        </xdr:cNvCxnSpPr>
      </xdr:nvCxnSpPr>
      <xdr:spPr>
        <a:xfrm flipH="1" flipV="1">
          <a:off x="7760812" y="14198292"/>
          <a:ext cx="333739" cy="486086"/>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549026</xdr:colOff>
      <xdr:row>68</xdr:row>
      <xdr:rowOff>70107</xdr:rowOff>
    </xdr:from>
    <xdr:to>
      <xdr:col>7</xdr:col>
      <xdr:colOff>882765</xdr:colOff>
      <xdr:row>68</xdr:row>
      <xdr:rowOff>219985</xdr:rowOff>
    </xdr:to>
    <xdr:cxnSp macro="">
      <xdr:nvCxnSpPr>
        <xdr:cNvPr id="482" name="Straight Arrow Connector 481"/>
        <xdr:cNvCxnSpPr>
          <a:stCxn id="477" idx="1"/>
          <a:endCxn id="470" idx="3"/>
        </xdr:cNvCxnSpPr>
      </xdr:nvCxnSpPr>
      <xdr:spPr>
        <a:xfrm flipH="1" flipV="1">
          <a:off x="7760812" y="14534500"/>
          <a:ext cx="333739" cy="149878"/>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549026</xdr:colOff>
      <xdr:row>68</xdr:row>
      <xdr:rowOff>219985</xdr:rowOff>
    </xdr:from>
    <xdr:to>
      <xdr:col>7</xdr:col>
      <xdr:colOff>882765</xdr:colOff>
      <xdr:row>69</xdr:row>
      <xdr:rowOff>192004</xdr:rowOff>
    </xdr:to>
    <xdr:cxnSp macro="">
      <xdr:nvCxnSpPr>
        <xdr:cNvPr id="483" name="Straight Arrow Connector 482"/>
        <xdr:cNvCxnSpPr>
          <a:stCxn id="477" idx="1"/>
          <a:endCxn id="471" idx="3"/>
        </xdr:cNvCxnSpPr>
      </xdr:nvCxnSpPr>
      <xdr:spPr>
        <a:xfrm flipH="1">
          <a:off x="7760812" y="14684378"/>
          <a:ext cx="333739" cy="216947"/>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538443</xdr:colOff>
      <xdr:row>68</xdr:row>
      <xdr:rowOff>219985</xdr:rowOff>
    </xdr:from>
    <xdr:to>
      <xdr:col>7</xdr:col>
      <xdr:colOff>882765</xdr:colOff>
      <xdr:row>71</xdr:row>
      <xdr:rowOff>121699</xdr:rowOff>
    </xdr:to>
    <xdr:cxnSp macro="">
      <xdr:nvCxnSpPr>
        <xdr:cNvPr id="484" name="Straight Arrow Connector 483"/>
        <xdr:cNvCxnSpPr>
          <a:stCxn id="477" idx="1"/>
          <a:endCxn id="472" idx="3"/>
        </xdr:cNvCxnSpPr>
      </xdr:nvCxnSpPr>
      <xdr:spPr>
        <a:xfrm flipH="1">
          <a:off x="7750229" y="14684378"/>
          <a:ext cx="344322" cy="54125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369107</xdr:colOff>
      <xdr:row>64</xdr:row>
      <xdr:rowOff>81642</xdr:rowOff>
    </xdr:from>
    <xdr:to>
      <xdr:col>9</xdr:col>
      <xdr:colOff>5584</xdr:colOff>
      <xdr:row>65</xdr:row>
      <xdr:rowOff>83155</xdr:rowOff>
    </xdr:to>
    <xdr:cxnSp macro="">
      <xdr:nvCxnSpPr>
        <xdr:cNvPr id="485" name="Straight Arrow Connector 484"/>
        <xdr:cNvCxnSpPr>
          <a:stCxn id="476" idx="3"/>
          <a:endCxn id="463" idx="1"/>
        </xdr:cNvCxnSpPr>
      </xdr:nvCxnSpPr>
      <xdr:spPr>
        <a:xfrm>
          <a:off x="8669464" y="13675178"/>
          <a:ext cx="425691" cy="232834"/>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1905013</xdr:colOff>
      <xdr:row>64</xdr:row>
      <xdr:rowOff>63500</xdr:rowOff>
    </xdr:from>
    <xdr:to>
      <xdr:col>5</xdr:col>
      <xdr:colOff>881064</xdr:colOff>
      <xdr:row>68</xdr:row>
      <xdr:rowOff>127000</xdr:rowOff>
    </xdr:to>
    <xdr:sp macro="" textlink="">
      <xdr:nvSpPr>
        <xdr:cNvPr id="486" name="TextBox 485">
          <a:hlinkClick xmlns:r="http://schemas.openxmlformats.org/officeDocument/2006/relationships" r:id="rId52"/>
        </xdr:cNvPr>
        <xdr:cNvSpPr txBox="1"/>
      </xdr:nvSpPr>
      <xdr:spPr>
        <a:xfrm>
          <a:off x="4250544" y="14696281"/>
          <a:ext cx="1404926" cy="920750"/>
        </a:xfrm>
        <a:prstGeom prst="rect">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18900000" scaled="1"/>
          <a:tileRect/>
        </a:gradFill>
        <a:ln>
          <a:solidFill>
            <a:schemeClr val="accent3">
              <a:lumMod val="50000"/>
            </a:schemeClr>
          </a:solidFill>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en-US" sz="1000" b="0">
              <a:solidFill>
                <a:sysClr val="windowText" lastClr="000000"/>
              </a:solidFill>
            </a:rPr>
            <a:t>Income Cash Flow</a:t>
          </a:r>
        </a:p>
        <a:p>
          <a:pPr algn="l"/>
          <a:r>
            <a:rPr lang="en-US" sz="1000" b="0">
              <a:solidFill>
                <a:sysClr val="windowText" lastClr="000000"/>
              </a:solidFill>
            </a:rPr>
            <a:t>Calculates</a:t>
          </a:r>
        </a:p>
        <a:p>
          <a:pPr algn="l"/>
          <a:r>
            <a:rPr lang="en-US" sz="1000" b="0">
              <a:solidFill>
                <a:sysClr val="windowText" lastClr="000000"/>
              </a:solidFill>
            </a:rPr>
            <a:t>- Annual Values</a:t>
          </a:r>
          <a:r>
            <a:rPr lang="en-US" sz="1000" b="0" baseline="0">
              <a:solidFill>
                <a:sysClr val="windowText" lastClr="000000"/>
              </a:solidFill>
            </a:rPr>
            <a:t> </a:t>
          </a:r>
        </a:p>
        <a:p>
          <a:pPr algn="l"/>
          <a:r>
            <a:rPr lang="en-US" sz="1000" b="0" baseline="0">
              <a:solidFill>
                <a:sysClr val="windowText" lastClr="000000"/>
              </a:solidFill>
            </a:rPr>
            <a:t>- Present Values</a:t>
          </a:r>
        </a:p>
        <a:p>
          <a:pPr algn="l"/>
          <a:r>
            <a:rPr lang="en-US" sz="1000" b="0" baseline="0">
              <a:solidFill>
                <a:sysClr val="windowText" lastClr="000000"/>
              </a:solidFill>
            </a:rPr>
            <a:t>- Levelized Values</a:t>
          </a:r>
          <a:endParaRPr lang="en-US" sz="1000" b="0">
            <a:solidFill>
              <a:sysClr val="windowText" lastClr="000000"/>
            </a:solidFill>
          </a:endParaRPr>
        </a:p>
      </xdr:txBody>
    </xdr:sp>
    <xdr:clientData/>
  </xdr:twoCellAnchor>
  <xdr:twoCellAnchor>
    <xdr:from>
      <xdr:col>3</xdr:col>
      <xdr:colOff>1905013</xdr:colOff>
      <xdr:row>69</xdr:row>
      <xdr:rowOff>15875</xdr:rowOff>
    </xdr:from>
    <xdr:to>
      <xdr:col>5</xdr:col>
      <xdr:colOff>881064</xdr:colOff>
      <xdr:row>73</xdr:row>
      <xdr:rowOff>79375</xdr:rowOff>
    </xdr:to>
    <xdr:sp macro="" textlink="">
      <xdr:nvSpPr>
        <xdr:cNvPr id="487" name="TextBox 486">
          <a:hlinkClick xmlns:r="http://schemas.openxmlformats.org/officeDocument/2006/relationships" r:id="rId53"/>
        </xdr:cNvPr>
        <xdr:cNvSpPr txBox="1"/>
      </xdr:nvSpPr>
      <xdr:spPr>
        <a:xfrm>
          <a:off x="4250544" y="15744031"/>
          <a:ext cx="1404926" cy="861219"/>
        </a:xfrm>
        <a:prstGeom prst="rect">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18900000" scaled="1"/>
          <a:tileRect/>
        </a:gradFill>
        <a:ln>
          <a:solidFill>
            <a:schemeClr val="accent3">
              <a:lumMod val="50000"/>
            </a:schemeClr>
          </a:solidFill>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en-US" sz="1000" b="0">
              <a:solidFill>
                <a:sysClr val="windowText" lastClr="000000"/>
              </a:solidFill>
            </a:rPr>
            <a:t>Income Rev Req</a:t>
          </a:r>
        </a:p>
        <a:p>
          <a:pPr algn="l"/>
          <a:r>
            <a:rPr lang="en-US" sz="1000" b="0">
              <a:solidFill>
                <a:sysClr val="windowText" lastClr="000000"/>
              </a:solidFill>
            </a:rPr>
            <a:t>Calculates</a:t>
          </a:r>
        </a:p>
        <a:p>
          <a:pPr algn="l"/>
          <a:r>
            <a:rPr lang="en-US" sz="1000" b="0">
              <a:solidFill>
                <a:sysClr val="windowText" lastClr="000000"/>
              </a:solidFill>
            </a:rPr>
            <a:t>- Annual Values</a:t>
          </a:r>
          <a:r>
            <a:rPr lang="en-US" sz="1000" b="0" baseline="0">
              <a:solidFill>
                <a:sysClr val="windowText" lastClr="000000"/>
              </a:solidFill>
            </a:rPr>
            <a:t> </a:t>
          </a:r>
        </a:p>
        <a:p>
          <a:pPr algn="l"/>
          <a:r>
            <a:rPr lang="en-US" sz="1000" b="0" baseline="0">
              <a:solidFill>
                <a:sysClr val="windowText" lastClr="000000"/>
              </a:solidFill>
            </a:rPr>
            <a:t>- Present Values</a:t>
          </a:r>
        </a:p>
        <a:p>
          <a:pPr algn="l"/>
          <a:r>
            <a:rPr lang="en-US" sz="1000" b="0" baseline="0">
              <a:solidFill>
                <a:sysClr val="windowText" lastClr="000000"/>
              </a:solidFill>
            </a:rPr>
            <a:t>- Levelized Values</a:t>
          </a:r>
          <a:endParaRPr lang="en-US" sz="1000" b="0">
            <a:solidFill>
              <a:sysClr val="windowText" lastClr="000000"/>
            </a:solidFill>
          </a:endParaRPr>
        </a:p>
      </xdr:txBody>
    </xdr:sp>
    <xdr:clientData/>
  </xdr:twoCellAnchor>
  <xdr:twoCellAnchor>
    <xdr:from>
      <xdr:col>5</xdr:col>
      <xdr:colOff>1535909</xdr:colOff>
      <xdr:row>66</xdr:row>
      <xdr:rowOff>95250</xdr:rowOff>
    </xdr:from>
    <xdr:to>
      <xdr:col>5</xdr:col>
      <xdr:colOff>1702596</xdr:colOff>
      <xdr:row>71</xdr:row>
      <xdr:rowOff>142875</xdr:rowOff>
    </xdr:to>
    <xdr:sp macro="" textlink="">
      <xdr:nvSpPr>
        <xdr:cNvPr id="488" name="Left Brace 487"/>
        <xdr:cNvSpPr/>
      </xdr:nvSpPr>
      <xdr:spPr>
        <a:xfrm>
          <a:off x="6310315" y="15192375"/>
          <a:ext cx="166687" cy="1083469"/>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en-US" sz="1100"/>
        </a:p>
      </xdr:txBody>
    </xdr:sp>
    <xdr:clientData/>
  </xdr:twoCellAnchor>
  <xdr:twoCellAnchor>
    <xdr:from>
      <xdr:col>5</xdr:col>
      <xdr:colOff>881064</xdr:colOff>
      <xdr:row>66</xdr:row>
      <xdr:rowOff>59531</xdr:rowOff>
    </xdr:from>
    <xdr:to>
      <xdr:col>5</xdr:col>
      <xdr:colOff>1535909</xdr:colOff>
      <xdr:row>69</xdr:row>
      <xdr:rowOff>5954</xdr:rowOff>
    </xdr:to>
    <xdr:cxnSp macro="">
      <xdr:nvCxnSpPr>
        <xdr:cNvPr id="489" name="Straight Arrow Connector 488"/>
        <xdr:cNvCxnSpPr>
          <a:stCxn id="488" idx="1"/>
          <a:endCxn id="486" idx="3"/>
        </xdr:cNvCxnSpPr>
      </xdr:nvCxnSpPr>
      <xdr:spPr>
        <a:xfrm flipH="1" flipV="1">
          <a:off x="5655470" y="15156656"/>
          <a:ext cx="654845" cy="577454"/>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881064</xdr:colOff>
      <xdr:row>69</xdr:row>
      <xdr:rowOff>5954</xdr:rowOff>
    </xdr:from>
    <xdr:to>
      <xdr:col>5</xdr:col>
      <xdr:colOff>1535909</xdr:colOff>
      <xdr:row>71</xdr:row>
      <xdr:rowOff>41672</xdr:rowOff>
    </xdr:to>
    <xdr:cxnSp macro="">
      <xdr:nvCxnSpPr>
        <xdr:cNvPr id="490" name="Straight Arrow Connector 489"/>
        <xdr:cNvCxnSpPr>
          <a:stCxn id="488" idx="1"/>
          <a:endCxn id="487" idx="3"/>
        </xdr:cNvCxnSpPr>
      </xdr:nvCxnSpPr>
      <xdr:spPr>
        <a:xfrm flipH="1">
          <a:off x="5655470" y="15734110"/>
          <a:ext cx="654845" cy="440531"/>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1800226</xdr:colOff>
      <xdr:row>66</xdr:row>
      <xdr:rowOff>3969</xdr:rowOff>
    </xdr:from>
    <xdr:to>
      <xdr:col>3</xdr:col>
      <xdr:colOff>1829594</xdr:colOff>
      <xdr:row>71</xdr:row>
      <xdr:rowOff>3969</xdr:rowOff>
    </xdr:to>
    <xdr:sp macro="" textlink="">
      <xdr:nvSpPr>
        <xdr:cNvPr id="491" name="Left Brace 490"/>
        <xdr:cNvSpPr/>
      </xdr:nvSpPr>
      <xdr:spPr>
        <a:xfrm>
          <a:off x="4145757" y="15101094"/>
          <a:ext cx="29368" cy="103584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en-US" sz="1100"/>
        </a:p>
      </xdr:txBody>
    </xdr:sp>
    <xdr:clientData/>
  </xdr:twoCellAnchor>
  <xdr:twoCellAnchor>
    <xdr:from>
      <xdr:col>3</xdr:col>
      <xdr:colOff>1381125</xdr:colOff>
      <xdr:row>64</xdr:row>
      <xdr:rowOff>122464</xdr:rowOff>
    </xdr:from>
    <xdr:to>
      <xdr:col>3</xdr:col>
      <xdr:colOff>1483178</xdr:colOff>
      <xdr:row>73</xdr:row>
      <xdr:rowOff>163285</xdr:rowOff>
    </xdr:to>
    <xdr:sp macro="" textlink="">
      <xdr:nvSpPr>
        <xdr:cNvPr id="492" name="Right Brace 491"/>
        <xdr:cNvSpPr/>
      </xdr:nvSpPr>
      <xdr:spPr>
        <a:xfrm>
          <a:off x="3721554" y="13716000"/>
          <a:ext cx="102053" cy="1945821"/>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en-US" sz="1100"/>
        </a:p>
      </xdr:txBody>
    </xdr:sp>
    <xdr:clientData/>
  </xdr:twoCellAnchor>
  <xdr:twoCellAnchor>
    <xdr:from>
      <xdr:col>3</xdr:col>
      <xdr:colOff>1483178</xdr:colOff>
      <xdr:row>68</xdr:row>
      <xdr:rowOff>126434</xdr:rowOff>
    </xdr:from>
    <xdr:to>
      <xdr:col>3</xdr:col>
      <xdr:colOff>1800226</xdr:colOff>
      <xdr:row>68</xdr:row>
      <xdr:rowOff>224518</xdr:rowOff>
    </xdr:to>
    <xdr:cxnSp macro="">
      <xdr:nvCxnSpPr>
        <xdr:cNvPr id="493" name="Straight Arrow Connector 492"/>
        <xdr:cNvCxnSpPr>
          <a:stCxn id="491" idx="1"/>
          <a:endCxn id="492" idx="1"/>
        </xdr:cNvCxnSpPr>
      </xdr:nvCxnSpPr>
      <xdr:spPr>
        <a:xfrm flipH="1">
          <a:off x="3823607" y="14590827"/>
          <a:ext cx="317048" cy="98084"/>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1720072</xdr:colOff>
      <xdr:row>74</xdr:row>
      <xdr:rowOff>31750</xdr:rowOff>
    </xdr:from>
    <xdr:to>
      <xdr:col>7</xdr:col>
      <xdr:colOff>538442</xdr:colOff>
      <xdr:row>75</xdr:row>
      <xdr:rowOff>63500</xdr:rowOff>
    </xdr:to>
    <xdr:sp macro="" textlink="">
      <xdr:nvSpPr>
        <xdr:cNvPr id="494" name="TextBox 493">
          <a:hlinkClick xmlns:r="http://schemas.openxmlformats.org/officeDocument/2006/relationships" r:id="rId54"/>
        </xdr:cNvPr>
        <xdr:cNvSpPr txBox="1"/>
      </xdr:nvSpPr>
      <xdr:spPr>
        <a:xfrm>
          <a:off x="6494478" y="16760031"/>
          <a:ext cx="1247245" cy="198438"/>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lang="en-US" sz="1000" b="0">
              <a:solidFill>
                <a:sysClr val="windowText" lastClr="000000"/>
              </a:solidFill>
            </a:rPr>
            <a:t>Overhaul Calculations</a:t>
          </a:r>
        </a:p>
      </xdr:txBody>
    </xdr:sp>
    <xdr:clientData/>
  </xdr:twoCellAnchor>
  <xdr:twoCellAnchor>
    <xdr:from>
      <xdr:col>4</xdr:col>
      <xdr:colOff>12</xdr:colOff>
      <xdr:row>74</xdr:row>
      <xdr:rowOff>31750</xdr:rowOff>
    </xdr:from>
    <xdr:to>
      <xdr:col>5</xdr:col>
      <xdr:colOff>892970</xdr:colOff>
      <xdr:row>75</xdr:row>
      <xdr:rowOff>63500</xdr:rowOff>
    </xdr:to>
    <xdr:sp macro="" textlink="">
      <xdr:nvSpPr>
        <xdr:cNvPr id="495" name="TextBox 494">
          <a:hlinkClick xmlns:r="http://schemas.openxmlformats.org/officeDocument/2006/relationships" r:id="rId22"/>
        </xdr:cNvPr>
        <xdr:cNvSpPr txBox="1"/>
      </xdr:nvSpPr>
      <xdr:spPr>
        <a:xfrm>
          <a:off x="4262450" y="16760031"/>
          <a:ext cx="1404926" cy="198438"/>
        </a:xfrm>
        <a:prstGeom prst="rect">
          <a:avLst/>
        </a:prstGeom>
        <a:gradFill flip="none" rotWithShape="1">
          <a:gsLst>
            <a:gs pos="0">
              <a:srgbClr val="FFFF00">
                <a:tint val="66000"/>
                <a:satMod val="160000"/>
              </a:srgbClr>
            </a:gs>
            <a:gs pos="50000">
              <a:srgbClr val="FFFF00">
                <a:tint val="44500"/>
                <a:satMod val="160000"/>
              </a:srgbClr>
            </a:gs>
            <a:gs pos="100000">
              <a:srgbClr val="FFFF00">
                <a:tint val="23500"/>
                <a:satMod val="160000"/>
              </a:srgbClr>
            </a:gs>
          </a:gsLst>
          <a:lin ang="16200000" scaled="1"/>
          <a:tileRect/>
        </a:gradFill>
        <a:ln>
          <a:solidFill>
            <a:srgbClr val="FFC000"/>
          </a:solidFill>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ctr"/>
        <a:lstStyle/>
        <a:p>
          <a:pPr algn="ctr"/>
          <a:r>
            <a:rPr lang="en-US" sz="1000" b="0">
              <a:solidFill>
                <a:sysClr val="windowText" lastClr="000000"/>
              </a:solidFill>
            </a:rPr>
            <a:t>Inflation</a:t>
          </a:r>
        </a:p>
      </xdr:txBody>
    </xdr:sp>
    <xdr:clientData/>
  </xdr:twoCellAnchor>
  <xdr:twoCellAnchor>
    <xdr:from>
      <xdr:col>5</xdr:col>
      <xdr:colOff>1720072</xdr:colOff>
      <xdr:row>75</xdr:row>
      <xdr:rowOff>63499</xdr:rowOff>
    </xdr:from>
    <xdr:to>
      <xdr:col>7</xdr:col>
      <xdr:colOff>538442</xdr:colOff>
      <xdr:row>77</xdr:row>
      <xdr:rowOff>174624</xdr:rowOff>
    </xdr:to>
    <xdr:sp macro="" textlink="">
      <xdr:nvSpPr>
        <xdr:cNvPr id="496" name="TextBox 495">
          <a:hlinkClick xmlns:r="http://schemas.openxmlformats.org/officeDocument/2006/relationships" r:id="rId55"/>
        </xdr:cNvPr>
        <xdr:cNvSpPr txBox="1"/>
      </xdr:nvSpPr>
      <xdr:spPr>
        <a:xfrm>
          <a:off x="6494478" y="16958468"/>
          <a:ext cx="1247245" cy="623094"/>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ctr"/>
        <a:lstStyle/>
        <a:p>
          <a:pPr algn="ctr"/>
          <a:r>
            <a:rPr lang="en-US" sz="1000" b="0" baseline="0">
              <a:solidFill>
                <a:sysClr val="windowText" lastClr="000000"/>
              </a:solidFill>
            </a:rPr>
            <a:t>Air &amp; Water Data</a:t>
          </a:r>
          <a:endParaRPr lang="en-US" sz="1000" b="0">
            <a:solidFill>
              <a:sysClr val="windowText" lastClr="000000"/>
            </a:solidFill>
          </a:endParaRPr>
        </a:p>
      </xdr:txBody>
    </xdr:sp>
    <xdr:clientData/>
  </xdr:twoCellAnchor>
  <xdr:twoCellAnchor>
    <xdr:from>
      <xdr:col>5</xdr:col>
      <xdr:colOff>892970</xdr:colOff>
      <xdr:row>74</xdr:row>
      <xdr:rowOff>130969</xdr:rowOff>
    </xdr:from>
    <xdr:to>
      <xdr:col>5</xdr:col>
      <xdr:colOff>1720072</xdr:colOff>
      <xdr:row>74</xdr:row>
      <xdr:rowOff>130969</xdr:rowOff>
    </xdr:to>
    <xdr:cxnSp macro="">
      <xdr:nvCxnSpPr>
        <xdr:cNvPr id="497" name="Straight Arrow Connector 496"/>
        <xdr:cNvCxnSpPr>
          <a:stCxn id="495" idx="3"/>
          <a:endCxn id="494" idx="1"/>
        </xdr:cNvCxnSpPr>
      </xdr:nvCxnSpPr>
      <xdr:spPr>
        <a:xfrm>
          <a:off x="5667376" y="16859250"/>
          <a:ext cx="827102"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178601</xdr:colOff>
      <xdr:row>73</xdr:row>
      <xdr:rowOff>79375</xdr:rowOff>
    </xdr:from>
    <xdr:to>
      <xdr:col>5</xdr:col>
      <xdr:colOff>190507</xdr:colOff>
      <xdr:row>74</xdr:row>
      <xdr:rowOff>31750</xdr:rowOff>
    </xdr:to>
    <xdr:cxnSp macro="">
      <xdr:nvCxnSpPr>
        <xdr:cNvPr id="498" name="Straight Arrow Connector 497"/>
        <xdr:cNvCxnSpPr>
          <a:stCxn id="495" idx="0"/>
          <a:endCxn id="487" idx="2"/>
        </xdr:cNvCxnSpPr>
      </xdr:nvCxnSpPr>
      <xdr:spPr>
        <a:xfrm flipH="1" flipV="1">
          <a:off x="4953007" y="16605250"/>
          <a:ext cx="11906" cy="154781"/>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1362</xdr:colOff>
      <xdr:row>60</xdr:row>
      <xdr:rowOff>0</xdr:rowOff>
    </xdr:from>
    <xdr:to>
      <xdr:col>9</xdr:col>
      <xdr:colOff>1728108</xdr:colOff>
      <xdr:row>61</xdr:row>
      <xdr:rowOff>68036</xdr:rowOff>
    </xdr:to>
    <xdr:sp macro="" textlink="">
      <xdr:nvSpPr>
        <xdr:cNvPr id="499" name="TextBox 498">
          <a:hlinkClick xmlns:r="http://schemas.openxmlformats.org/officeDocument/2006/relationships" r:id="rId56"/>
        </xdr:cNvPr>
        <xdr:cNvSpPr txBox="1"/>
      </xdr:nvSpPr>
      <xdr:spPr>
        <a:xfrm>
          <a:off x="9090933" y="12777107"/>
          <a:ext cx="1726746" cy="258536"/>
        </a:xfrm>
        <a:prstGeom prst="rect">
          <a:avLst/>
        </a:prstGeom>
        <a:gradFill flip="none" rotWithShape="1">
          <a:gsLst>
            <a:gs pos="0">
              <a:srgbClr val="FFFF00">
                <a:tint val="66000"/>
                <a:satMod val="160000"/>
              </a:srgbClr>
            </a:gs>
            <a:gs pos="50000">
              <a:srgbClr val="FFFF00">
                <a:tint val="44500"/>
                <a:satMod val="160000"/>
              </a:srgbClr>
            </a:gs>
            <a:gs pos="100000">
              <a:srgbClr val="FFFF00">
                <a:tint val="23500"/>
                <a:satMod val="160000"/>
              </a:srgbClr>
            </a:gs>
          </a:gsLst>
          <a:lin ang="16200000" scaled="1"/>
          <a:tileRect/>
        </a:gradFill>
        <a:ln>
          <a:solidFill>
            <a:srgbClr val="FFFF66"/>
          </a:solidFill>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ctr"/>
        <a:lstStyle/>
        <a:p>
          <a:pPr algn="ctr"/>
          <a:r>
            <a:rPr lang="en-US" sz="1000" b="0">
              <a:solidFill>
                <a:sysClr val="windowText" lastClr="000000"/>
              </a:solidFill>
            </a:rPr>
            <a:t>Labor Table</a:t>
          </a:r>
        </a:p>
      </xdr:txBody>
    </xdr:sp>
    <xdr:clientData/>
  </xdr:twoCellAnchor>
  <xdr:twoCellAnchor>
    <xdr:from>
      <xdr:col>9</xdr:col>
      <xdr:colOff>864735</xdr:colOff>
      <xdr:row>61</xdr:row>
      <xdr:rowOff>68036</xdr:rowOff>
    </xdr:from>
    <xdr:to>
      <xdr:col>9</xdr:col>
      <xdr:colOff>900864</xdr:colOff>
      <xdr:row>63</xdr:row>
      <xdr:rowOff>158750</xdr:rowOff>
    </xdr:to>
    <xdr:cxnSp macro="">
      <xdr:nvCxnSpPr>
        <xdr:cNvPr id="501" name="Straight Arrow Connector 500"/>
        <xdr:cNvCxnSpPr>
          <a:stCxn id="499" idx="2"/>
          <a:endCxn id="463" idx="0"/>
        </xdr:cNvCxnSpPr>
      </xdr:nvCxnSpPr>
      <xdr:spPr>
        <a:xfrm>
          <a:off x="9954306" y="13035643"/>
          <a:ext cx="36129" cy="485321"/>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190495</xdr:colOff>
      <xdr:row>60</xdr:row>
      <xdr:rowOff>158749</xdr:rowOff>
    </xdr:from>
    <xdr:to>
      <xdr:col>8</xdr:col>
      <xdr:colOff>371745</xdr:colOff>
      <xdr:row>62</xdr:row>
      <xdr:rowOff>21168</xdr:rowOff>
    </xdr:to>
    <xdr:sp macro="" textlink="">
      <xdr:nvSpPr>
        <xdr:cNvPr id="502" name="TextBox 501">
          <a:hlinkClick xmlns:r="http://schemas.openxmlformats.org/officeDocument/2006/relationships" r:id="rId57"/>
        </xdr:cNvPr>
        <xdr:cNvSpPr txBox="1"/>
      </xdr:nvSpPr>
      <xdr:spPr>
        <a:xfrm>
          <a:off x="7408328" y="13991166"/>
          <a:ext cx="1271334" cy="222252"/>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en-US" sz="1000" b="0">
              <a:solidFill>
                <a:sysClr val="windowText" lastClr="000000"/>
              </a:solidFill>
            </a:rPr>
            <a:t>Tax Incentives</a:t>
          </a:r>
        </a:p>
      </xdr:txBody>
    </xdr:sp>
    <xdr:clientData/>
  </xdr:twoCellAnchor>
  <xdr:twoCellAnchor>
    <xdr:from>
      <xdr:col>7</xdr:col>
      <xdr:colOff>825406</xdr:colOff>
      <xdr:row>62</xdr:row>
      <xdr:rowOff>21168</xdr:rowOff>
    </xdr:from>
    <xdr:to>
      <xdr:col>9</xdr:col>
      <xdr:colOff>900864</xdr:colOff>
      <xdr:row>63</xdr:row>
      <xdr:rowOff>158750</xdr:rowOff>
    </xdr:to>
    <xdr:cxnSp macro="">
      <xdr:nvCxnSpPr>
        <xdr:cNvPr id="503" name="Straight Arrow Connector 502"/>
        <xdr:cNvCxnSpPr>
          <a:stCxn id="502" idx="2"/>
          <a:endCxn id="463" idx="0"/>
        </xdr:cNvCxnSpPr>
      </xdr:nvCxnSpPr>
      <xdr:spPr>
        <a:xfrm>
          <a:off x="8037192" y="13165668"/>
          <a:ext cx="1953243" cy="355296"/>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37431</xdr:colOff>
      <xdr:row>61</xdr:row>
      <xdr:rowOff>140607</xdr:rowOff>
    </xdr:from>
    <xdr:to>
      <xdr:col>5</xdr:col>
      <xdr:colOff>870858</xdr:colOff>
      <xdr:row>62</xdr:row>
      <xdr:rowOff>216013</xdr:rowOff>
    </xdr:to>
    <xdr:sp macro="" textlink="">
      <xdr:nvSpPr>
        <xdr:cNvPr id="504" name="TextBox 503">
          <a:hlinkClick xmlns:r="http://schemas.openxmlformats.org/officeDocument/2006/relationships" r:id="rId26"/>
        </xdr:cNvPr>
        <xdr:cNvSpPr txBox="1"/>
      </xdr:nvSpPr>
      <xdr:spPr>
        <a:xfrm>
          <a:off x="4296467" y="13108214"/>
          <a:ext cx="1350498" cy="252299"/>
        </a:xfrm>
        <a:prstGeom prst="rect">
          <a:avLst/>
        </a:prstGeom>
        <a:gradFill flip="none" rotWithShape="1">
          <a:gsLst>
            <a:gs pos="0">
              <a:schemeClr val="accent2">
                <a:lumMod val="60000"/>
                <a:lumOff val="40000"/>
                <a:tint val="66000"/>
                <a:satMod val="160000"/>
              </a:schemeClr>
            </a:gs>
            <a:gs pos="50000">
              <a:schemeClr val="accent2">
                <a:lumMod val="60000"/>
                <a:lumOff val="40000"/>
                <a:tint val="44500"/>
                <a:satMod val="160000"/>
              </a:schemeClr>
            </a:gs>
            <a:gs pos="100000">
              <a:schemeClr val="accent2">
                <a:lumMod val="60000"/>
                <a:lumOff val="40000"/>
                <a:tint val="23500"/>
                <a:satMod val="160000"/>
              </a:schemeClr>
            </a:gs>
          </a:gsLst>
          <a:lin ang="18900000" scaled="1"/>
          <a:tileRect/>
        </a:gradFill>
        <a:ln>
          <a:solidFill>
            <a:schemeClr val="accent2">
              <a:lumMod val="60000"/>
              <a:lumOff val="40000"/>
            </a:schemeClr>
          </a:solidFill>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ctr"/>
        <a:lstStyle/>
        <a:p>
          <a:pPr algn="ctr"/>
          <a:r>
            <a:rPr lang="en-US" sz="1000" b="0">
              <a:solidFill>
                <a:sysClr val="windowText" lastClr="000000"/>
              </a:solidFill>
            </a:rPr>
            <a:t>Fuel Price Forecasts</a:t>
          </a:r>
        </a:p>
      </xdr:txBody>
    </xdr:sp>
    <xdr:clientData/>
  </xdr:twoCellAnchor>
  <xdr:twoCellAnchor>
    <xdr:from>
      <xdr:col>5</xdr:col>
      <xdr:colOff>175200</xdr:colOff>
      <xdr:row>62</xdr:row>
      <xdr:rowOff>216013</xdr:rowOff>
    </xdr:from>
    <xdr:to>
      <xdr:col>5</xdr:col>
      <xdr:colOff>195609</xdr:colOff>
      <xdr:row>64</xdr:row>
      <xdr:rowOff>63500</xdr:rowOff>
    </xdr:to>
    <xdr:cxnSp macro="">
      <xdr:nvCxnSpPr>
        <xdr:cNvPr id="505" name="Straight Arrow Connector 504"/>
        <xdr:cNvCxnSpPr>
          <a:stCxn id="504" idx="2"/>
          <a:endCxn id="486" idx="0"/>
        </xdr:cNvCxnSpPr>
      </xdr:nvCxnSpPr>
      <xdr:spPr>
        <a:xfrm flipH="1">
          <a:off x="4951307" y="13360513"/>
          <a:ext cx="20409" cy="296523"/>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236288</xdr:colOff>
      <xdr:row>72</xdr:row>
      <xdr:rowOff>42324</xdr:rowOff>
    </xdr:from>
    <xdr:to>
      <xdr:col>6</xdr:col>
      <xdr:colOff>236289</xdr:colOff>
      <xdr:row>74</xdr:row>
      <xdr:rowOff>31750</xdr:rowOff>
    </xdr:to>
    <xdr:cxnSp macro="">
      <xdr:nvCxnSpPr>
        <xdr:cNvPr id="506" name="Straight Arrow Connector 505"/>
        <xdr:cNvCxnSpPr>
          <a:stCxn id="494" idx="0"/>
          <a:endCxn id="472" idx="2"/>
        </xdr:cNvCxnSpPr>
      </xdr:nvCxnSpPr>
      <xdr:spPr>
        <a:xfrm flipV="1">
          <a:off x="7118101" y="16365793"/>
          <a:ext cx="1" cy="394238"/>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0</xdr:colOff>
      <xdr:row>59</xdr:row>
      <xdr:rowOff>0</xdr:rowOff>
    </xdr:from>
    <xdr:to>
      <xdr:col>5</xdr:col>
      <xdr:colOff>1470556</xdr:colOff>
      <xdr:row>60</xdr:row>
      <xdr:rowOff>23812</xdr:rowOff>
    </xdr:to>
    <xdr:sp macro="" textlink="">
      <xdr:nvSpPr>
        <xdr:cNvPr id="512" name="TextBox 511"/>
        <xdr:cNvSpPr txBox="1"/>
      </xdr:nvSpPr>
      <xdr:spPr>
        <a:xfrm>
          <a:off x="119063" y="13525500"/>
          <a:ext cx="6125899" cy="333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COST</a:t>
          </a:r>
          <a:r>
            <a:rPr lang="en-US" sz="2000" b="1" baseline="0"/>
            <a:t> OF GENERATION MODEL WORKSHEET DIAGRAM</a:t>
          </a:r>
        </a:p>
      </xdr:txBody>
    </xdr:sp>
    <xdr:clientData/>
  </xdr:twoCellAnchor>
  <xdr:twoCellAnchor>
    <xdr:from>
      <xdr:col>3</xdr:col>
      <xdr:colOff>442583</xdr:colOff>
      <xdr:row>64</xdr:row>
      <xdr:rowOff>105834</xdr:rowOff>
    </xdr:from>
    <xdr:to>
      <xdr:col>9</xdr:col>
      <xdr:colOff>957942</xdr:colOff>
      <xdr:row>69</xdr:row>
      <xdr:rowOff>2269</xdr:rowOff>
    </xdr:to>
    <xdr:cxnSp macro="">
      <xdr:nvCxnSpPr>
        <xdr:cNvPr id="513" name="Elbow Connector 512"/>
        <xdr:cNvCxnSpPr>
          <a:stCxn id="461" idx="0"/>
          <a:endCxn id="473" idx="3"/>
        </xdr:cNvCxnSpPr>
      </xdr:nvCxnSpPr>
      <xdr:spPr>
        <a:xfrm rot="16200000" flipH="1">
          <a:off x="5914595" y="10540572"/>
          <a:ext cx="991810" cy="7249534"/>
        </a:xfrm>
        <a:prstGeom prst="bentConnector4">
          <a:avLst>
            <a:gd name="adj1" fmla="val -22737"/>
            <a:gd name="adj2" fmla="val 10282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17852</xdr:colOff>
      <xdr:row>73</xdr:row>
      <xdr:rowOff>31183</xdr:rowOff>
    </xdr:from>
    <xdr:to>
      <xdr:col>3</xdr:col>
      <xdr:colOff>1338249</xdr:colOff>
      <xdr:row>74</xdr:row>
      <xdr:rowOff>6993</xdr:rowOff>
    </xdr:to>
    <xdr:sp macro="" textlink="">
      <xdr:nvSpPr>
        <xdr:cNvPr id="193" name="TextBox 192">
          <a:hlinkClick xmlns:r="http://schemas.openxmlformats.org/officeDocument/2006/relationships" r:id="rId58"/>
        </xdr:cNvPr>
        <xdr:cNvSpPr txBox="1"/>
      </xdr:nvSpPr>
      <xdr:spPr>
        <a:xfrm>
          <a:off x="1895638" y="15529719"/>
          <a:ext cx="1783040" cy="179917"/>
        </a:xfrm>
        <a:prstGeom prst="rect">
          <a:avLst/>
        </a:prstGeom>
        <a:ln/>
      </xdr:spPr>
      <xdr:style>
        <a:lnRef idx="1">
          <a:schemeClr val="accent3"/>
        </a:lnRef>
        <a:fillRef idx="3">
          <a:schemeClr val="accent3"/>
        </a:fillRef>
        <a:effectRef idx="2">
          <a:schemeClr val="accent3"/>
        </a:effectRef>
        <a:fontRef idx="minor">
          <a:schemeClr val="lt1"/>
        </a:fontRef>
      </xdr:style>
      <xdr:txBody>
        <a:bodyPr vertOverflow="clip" horzOverflow="clip" wrap="square" rtlCol="0" anchor="ctr"/>
        <a:lstStyle/>
        <a:p>
          <a:pPr algn="ctr"/>
          <a:r>
            <a:rPr lang="en-US" sz="1050" b="0">
              <a:solidFill>
                <a:schemeClr val="bg1"/>
              </a:solidFill>
            </a:rPr>
            <a:t>Yearly Costs</a:t>
          </a:r>
        </a:p>
      </xdr:txBody>
    </xdr:sp>
    <xdr:clientData/>
  </xdr:twoCellAnchor>
  <xdr:twoCellAnchor>
    <xdr:from>
      <xdr:col>7</xdr:col>
      <xdr:colOff>1026577</xdr:colOff>
      <xdr:row>76</xdr:row>
      <xdr:rowOff>190501</xdr:rowOff>
    </xdr:from>
    <xdr:to>
      <xdr:col>9</xdr:col>
      <xdr:colOff>408215</xdr:colOff>
      <xdr:row>77</xdr:row>
      <xdr:rowOff>169334</xdr:rowOff>
    </xdr:to>
    <xdr:sp macro="" textlink="">
      <xdr:nvSpPr>
        <xdr:cNvPr id="195" name="TextBox 194">
          <a:hlinkClick xmlns:r="http://schemas.openxmlformats.org/officeDocument/2006/relationships" r:id="rId59"/>
        </xdr:cNvPr>
        <xdr:cNvSpPr txBox="1"/>
      </xdr:nvSpPr>
      <xdr:spPr>
        <a:xfrm>
          <a:off x="8238363" y="16314965"/>
          <a:ext cx="1259423" cy="250976"/>
        </a:xfrm>
        <a:prstGeom prst="rect">
          <a:avLst/>
        </a:prstGeom>
        <a:gradFill flip="none" rotWithShape="1">
          <a:gsLst>
            <a:gs pos="0">
              <a:schemeClr val="accent6">
                <a:tint val="66000"/>
                <a:satMod val="160000"/>
              </a:schemeClr>
            </a:gs>
            <a:gs pos="50000">
              <a:schemeClr val="accent6">
                <a:tint val="44500"/>
                <a:satMod val="160000"/>
              </a:schemeClr>
            </a:gs>
            <a:gs pos="100000">
              <a:schemeClr val="accent6">
                <a:tint val="23500"/>
                <a:satMod val="160000"/>
              </a:schemeClr>
            </a:gs>
          </a:gsLst>
          <a:lin ang="16200000" scaled="1"/>
          <a:tileRect/>
        </a:gra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n-US" sz="1050" b="0">
              <a:solidFill>
                <a:sysClr val="windowText" lastClr="000000"/>
              </a:solidFill>
            </a:rPr>
            <a:t>Tax</a:t>
          </a:r>
          <a:r>
            <a:rPr lang="en-US" sz="1050" b="0" baseline="0">
              <a:solidFill>
                <a:sysClr val="windowText" lastClr="000000"/>
              </a:solidFill>
            </a:rPr>
            <a:t> Equity</a:t>
          </a:r>
          <a:endParaRPr lang="en-US" sz="1050" b="0">
            <a:solidFill>
              <a:sysClr val="windowText" lastClr="000000"/>
            </a:solidFill>
          </a:endParaRPr>
        </a:p>
      </xdr:txBody>
    </xdr:sp>
    <xdr:clientData/>
  </xdr:twoCellAnchor>
  <xdr:twoCellAnchor>
    <xdr:from>
      <xdr:col>8</xdr:col>
      <xdr:colOff>567718</xdr:colOff>
      <xdr:row>68</xdr:row>
      <xdr:rowOff>240394</xdr:rowOff>
    </xdr:from>
    <xdr:to>
      <xdr:col>9</xdr:col>
      <xdr:colOff>4525</xdr:colOff>
      <xdr:row>76</xdr:row>
      <xdr:rowOff>190501</xdr:rowOff>
    </xdr:to>
    <xdr:cxnSp macro="">
      <xdr:nvCxnSpPr>
        <xdr:cNvPr id="9" name="Straight Arrow Connector 8"/>
        <xdr:cNvCxnSpPr>
          <a:stCxn id="195" idx="0"/>
          <a:endCxn id="473" idx="1"/>
        </xdr:cNvCxnSpPr>
      </xdr:nvCxnSpPr>
      <xdr:spPr bwMode="auto">
        <a:xfrm flipV="1">
          <a:off x="8868075" y="14704787"/>
          <a:ext cx="226021" cy="161017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859970</xdr:colOff>
      <xdr:row>76</xdr:row>
      <xdr:rowOff>234042</xdr:rowOff>
    </xdr:from>
    <xdr:to>
      <xdr:col>4</xdr:col>
      <xdr:colOff>291861</xdr:colOff>
      <xdr:row>78</xdr:row>
      <xdr:rowOff>10091</xdr:rowOff>
    </xdr:to>
    <xdr:sp macro="" textlink="">
      <xdr:nvSpPr>
        <xdr:cNvPr id="301" name="TextBox 300">
          <a:hlinkClick xmlns:r="http://schemas.openxmlformats.org/officeDocument/2006/relationships" r:id="rId60"/>
        </xdr:cNvPr>
        <xdr:cNvSpPr txBox="1"/>
      </xdr:nvSpPr>
      <xdr:spPr>
        <a:xfrm>
          <a:off x="3200399" y="16358506"/>
          <a:ext cx="1350498" cy="252299"/>
        </a:xfrm>
        <a:prstGeom prst="rect">
          <a:avLst/>
        </a:prstGeom>
        <a:gradFill flip="none" rotWithShape="1">
          <a:gsLst>
            <a:gs pos="0">
              <a:schemeClr val="accent2">
                <a:lumMod val="60000"/>
                <a:lumOff val="40000"/>
                <a:tint val="66000"/>
                <a:satMod val="160000"/>
              </a:schemeClr>
            </a:gs>
            <a:gs pos="50000">
              <a:schemeClr val="accent2">
                <a:lumMod val="60000"/>
                <a:lumOff val="40000"/>
                <a:tint val="44500"/>
                <a:satMod val="160000"/>
              </a:schemeClr>
            </a:gs>
            <a:gs pos="100000">
              <a:schemeClr val="accent2">
                <a:lumMod val="60000"/>
                <a:lumOff val="40000"/>
                <a:tint val="23500"/>
                <a:satMod val="160000"/>
              </a:schemeClr>
            </a:gs>
          </a:gsLst>
          <a:lin ang="18900000" scaled="1"/>
          <a:tileRect/>
        </a:gradFill>
        <a:ln>
          <a:solidFill>
            <a:schemeClr val="accent2">
              <a:lumMod val="60000"/>
              <a:lumOff val="40000"/>
            </a:schemeClr>
          </a:solidFill>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ctr"/>
        <a:lstStyle/>
        <a:p>
          <a:pPr algn="ctr"/>
          <a:r>
            <a:rPr lang="en-US" sz="1000" b="0">
              <a:solidFill>
                <a:sysClr val="windowText" lastClr="000000"/>
              </a:solidFill>
            </a:rPr>
            <a:t>ERC Forecasts</a:t>
          </a:r>
        </a:p>
      </xdr:txBody>
    </xdr:sp>
    <xdr:clientData/>
  </xdr:twoCellAnchor>
  <xdr:twoCellAnchor>
    <xdr:from>
      <xdr:col>5</xdr:col>
      <xdr:colOff>54429</xdr:colOff>
      <xdr:row>76</xdr:row>
      <xdr:rowOff>231322</xdr:rowOff>
    </xdr:from>
    <xdr:to>
      <xdr:col>5</xdr:col>
      <xdr:colOff>1404927</xdr:colOff>
      <xdr:row>78</xdr:row>
      <xdr:rowOff>7371</xdr:rowOff>
    </xdr:to>
    <xdr:sp macro="" textlink="">
      <xdr:nvSpPr>
        <xdr:cNvPr id="302" name="TextBox 301">
          <a:hlinkClick xmlns:r="http://schemas.openxmlformats.org/officeDocument/2006/relationships" r:id="rId61"/>
        </xdr:cNvPr>
        <xdr:cNvSpPr txBox="1"/>
      </xdr:nvSpPr>
      <xdr:spPr>
        <a:xfrm>
          <a:off x="4830536" y="16355786"/>
          <a:ext cx="1350498" cy="252299"/>
        </a:xfrm>
        <a:prstGeom prst="rect">
          <a:avLst/>
        </a:prstGeom>
        <a:gradFill flip="none" rotWithShape="1">
          <a:gsLst>
            <a:gs pos="0">
              <a:schemeClr val="accent2">
                <a:lumMod val="60000"/>
                <a:lumOff val="40000"/>
                <a:tint val="66000"/>
                <a:satMod val="160000"/>
              </a:schemeClr>
            </a:gs>
            <a:gs pos="50000">
              <a:schemeClr val="accent2">
                <a:lumMod val="60000"/>
                <a:lumOff val="40000"/>
                <a:tint val="44500"/>
                <a:satMod val="160000"/>
              </a:schemeClr>
            </a:gs>
            <a:gs pos="100000">
              <a:schemeClr val="accent2">
                <a:lumMod val="60000"/>
                <a:lumOff val="40000"/>
                <a:tint val="23500"/>
                <a:satMod val="160000"/>
              </a:schemeClr>
            </a:gs>
          </a:gsLst>
          <a:lin ang="18900000" scaled="1"/>
          <a:tileRect/>
        </a:gradFill>
        <a:ln>
          <a:solidFill>
            <a:schemeClr val="accent2">
              <a:lumMod val="60000"/>
              <a:lumOff val="40000"/>
            </a:schemeClr>
          </a:solidFill>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ctr"/>
        <a:lstStyle/>
        <a:p>
          <a:pPr algn="ctr"/>
          <a:r>
            <a:rPr lang="en-US" sz="1000" b="0">
              <a:solidFill>
                <a:sysClr val="windowText" lastClr="000000"/>
              </a:solidFill>
            </a:rPr>
            <a:t>SCAQMD</a:t>
          </a:r>
          <a:r>
            <a:rPr lang="en-US" sz="1000" b="0" baseline="0">
              <a:solidFill>
                <a:sysClr val="windowText" lastClr="000000"/>
              </a:solidFill>
            </a:rPr>
            <a:t> Fees</a:t>
          </a:r>
          <a:endParaRPr lang="en-US" sz="1000" b="0">
            <a:solidFill>
              <a:sysClr val="windowText" lastClr="000000"/>
            </a:solidFill>
          </a:endParaRPr>
        </a:p>
      </xdr:txBody>
    </xdr:sp>
    <xdr:clientData/>
  </xdr:twoCellAnchor>
  <xdr:twoCellAnchor>
    <xdr:from>
      <xdr:col>4</xdr:col>
      <xdr:colOff>299357</xdr:colOff>
      <xdr:row>77</xdr:row>
      <xdr:rowOff>81643</xdr:rowOff>
    </xdr:from>
    <xdr:to>
      <xdr:col>5</xdr:col>
      <xdr:colOff>54429</xdr:colOff>
      <xdr:row>77</xdr:row>
      <xdr:rowOff>85329</xdr:rowOff>
    </xdr:to>
    <xdr:cxnSp macro="">
      <xdr:nvCxnSpPr>
        <xdr:cNvPr id="303" name="Straight Arrow Connector 302"/>
        <xdr:cNvCxnSpPr>
          <a:endCxn id="302" idx="1"/>
        </xdr:cNvCxnSpPr>
      </xdr:nvCxnSpPr>
      <xdr:spPr>
        <a:xfrm>
          <a:off x="4558393" y="16478250"/>
          <a:ext cx="272143" cy="3686"/>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1415143</xdr:colOff>
      <xdr:row>77</xdr:row>
      <xdr:rowOff>108857</xdr:rowOff>
    </xdr:from>
    <xdr:to>
      <xdr:col>5</xdr:col>
      <xdr:colOff>1687286</xdr:colOff>
      <xdr:row>77</xdr:row>
      <xdr:rowOff>112543</xdr:rowOff>
    </xdr:to>
    <xdr:cxnSp macro="">
      <xdr:nvCxnSpPr>
        <xdr:cNvPr id="304" name="Straight Arrow Connector 303"/>
        <xdr:cNvCxnSpPr/>
      </xdr:nvCxnSpPr>
      <xdr:spPr>
        <a:xfrm>
          <a:off x="6191250" y="16505464"/>
          <a:ext cx="272143" cy="3686"/>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952501</xdr:colOff>
      <xdr:row>65</xdr:row>
      <xdr:rowOff>85725</xdr:rowOff>
    </xdr:from>
    <xdr:to>
      <xdr:col>10</xdr:col>
      <xdr:colOff>200025</xdr:colOff>
      <xdr:row>65</xdr:row>
      <xdr:rowOff>85726</xdr:rowOff>
    </xdr:to>
    <xdr:cxnSp macro="">
      <xdr:nvCxnSpPr>
        <xdr:cNvPr id="198" name="Straight Arrow Connector 197"/>
        <xdr:cNvCxnSpPr/>
      </xdr:nvCxnSpPr>
      <xdr:spPr>
        <a:xfrm flipH="1">
          <a:off x="10029826" y="13877925"/>
          <a:ext cx="209549" cy="1"/>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276679</xdr:colOff>
      <xdr:row>19</xdr:row>
      <xdr:rowOff>13607</xdr:rowOff>
    </xdr:from>
    <xdr:to>
      <xdr:col>2</xdr:col>
      <xdr:colOff>1975304</xdr:colOff>
      <xdr:row>23</xdr:row>
      <xdr:rowOff>249463</xdr:rowOff>
    </xdr:to>
    <xdr:sp macro="[0]!Execute_Click" textlink="">
      <xdr:nvSpPr>
        <xdr:cNvPr id="3" name="TextBox 2"/>
        <xdr:cNvSpPr txBox="1"/>
      </xdr:nvSpPr>
      <xdr:spPr>
        <a:xfrm>
          <a:off x="3297465" y="4816928"/>
          <a:ext cx="1698625" cy="1011464"/>
        </a:xfrm>
        <a:prstGeom prst="rect">
          <a:avLst/>
        </a:prstGeom>
        <a:solidFill>
          <a:srgbClr val="FF0000"/>
        </a:solidFill>
        <a:ln w="9525" cmpd="sng">
          <a:solidFill>
            <a:sysClr val="windowText" lastClr="000000"/>
          </a:solidFill>
        </a:ln>
        <a:effectLst>
          <a:outerShdw blurRad="50800" dist="38100" dir="2700000" algn="tl" rotWithShape="0">
            <a:prstClr val="black">
              <a:alpha val="40000"/>
            </a:prstClr>
          </a:outerShdw>
        </a:effectLst>
        <a:scene3d>
          <a:camera prst="orthographicFront"/>
          <a:lightRig rig="threePt" dir="t"/>
        </a:scene3d>
        <a:sp3d>
          <a:bevelT prst="angle"/>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chemeClr val="tx1"/>
              </a:solidFill>
            </a:rPr>
            <a:t>Execute</a:t>
          </a:r>
        </a:p>
      </xdr:txBody>
    </xdr:sp>
    <xdr:clientData/>
  </xdr:twoCellAnchor>
  <xdr:twoCellAnchor>
    <xdr:from>
      <xdr:col>1</xdr:col>
      <xdr:colOff>2367642</xdr:colOff>
      <xdr:row>21</xdr:row>
      <xdr:rowOff>95250</xdr:rowOff>
    </xdr:from>
    <xdr:to>
      <xdr:col>2</xdr:col>
      <xdr:colOff>276679</xdr:colOff>
      <xdr:row>21</xdr:row>
      <xdr:rowOff>97517</xdr:rowOff>
    </xdr:to>
    <xdr:cxnSp macro="">
      <xdr:nvCxnSpPr>
        <xdr:cNvPr id="4" name="Straight Arrow Connector 3"/>
        <xdr:cNvCxnSpPr>
          <a:endCxn id="3" idx="1"/>
        </xdr:cNvCxnSpPr>
      </xdr:nvCxnSpPr>
      <xdr:spPr bwMode="auto">
        <a:xfrm>
          <a:off x="2517321" y="5320393"/>
          <a:ext cx="780144" cy="2267"/>
        </a:xfrm>
        <a:prstGeom prst="straightConnector1">
          <a:avLst/>
        </a:prstGeom>
        <a:ln>
          <a:solidFill>
            <a:srgbClr val="FF0000"/>
          </a:solidFill>
          <a:headEnd type="none" w="med" len="med"/>
          <a:tailEnd type="arrow"/>
        </a:ln>
      </xdr:spPr>
      <xdr:style>
        <a:lnRef idx="2">
          <a:schemeClr val="accent2"/>
        </a:lnRef>
        <a:fillRef idx="0">
          <a:schemeClr val="accent2"/>
        </a:fillRef>
        <a:effectRef idx="1">
          <a:schemeClr val="accent2"/>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0</xdr:rowOff>
    </xdr:from>
    <xdr:to>
      <xdr:col>21</xdr:col>
      <xdr:colOff>157843</xdr:colOff>
      <xdr:row>19</xdr:row>
      <xdr:rowOff>160564</xdr:rowOff>
    </xdr:to>
    <xdr:graphicFrame macro="">
      <xdr:nvGraphicFramePr>
        <xdr:cNvPr id="2" name="Chart 2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32</xdr:row>
      <xdr:rowOff>0</xdr:rowOff>
    </xdr:from>
    <xdr:to>
      <xdr:col>7</xdr:col>
      <xdr:colOff>157783</xdr:colOff>
      <xdr:row>56</xdr:row>
      <xdr:rowOff>67674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160190</xdr:colOff>
      <xdr:row>32</xdr:row>
      <xdr:rowOff>17928</xdr:rowOff>
    </xdr:from>
    <xdr:to>
      <xdr:col>14</xdr:col>
      <xdr:colOff>440435</xdr:colOff>
      <xdr:row>56</xdr:row>
      <xdr:rowOff>43861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477760</xdr:colOff>
      <xdr:row>32</xdr:row>
      <xdr:rowOff>13244</xdr:rowOff>
    </xdr:from>
    <xdr:to>
      <xdr:col>22</xdr:col>
      <xdr:colOff>134180</xdr:colOff>
      <xdr:row>55</xdr:row>
      <xdr:rowOff>113598</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0</xdr:colOff>
      <xdr:row>2</xdr:row>
      <xdr:rowOff>0</xdr:rowOff>
    </xdr:from>
    <xdr:to>
      <xdr:col>36</xdr:col>
      <xdr:colOff>0</xdr:colOff>
      <xdr:row>40</xdr:row>
      <xdr:rowOff>0</xdr:rowOff>
    </xdr:to>
    <xdr:graphicFrame macro="">
      <xdr:nvGraphicFramePr>
        <xdr:cNvPr id="3" name="YearlyCosts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161925</xdr:colOff>
          <xdr:row>1</xdr:row>
          <xdr:rowOff>0</xdr:rowOff>
        </xdr:from>
        <xdr:to>
          <xdr:col>1</xdr:col>
          <xdr:colOff>514350</xdr:colOff>
          <xdr:row>4</xdr:row>
          <xdr:rowOff>57150</xdr:rowOff>
        </xdr:to>
        <xdr:sp macro="" textlink="">
          <xdr:nvSpPr>
            <xdr:cNvPr id="1371137" name="CommandButton_YearlyCosts" hidden="1">
              <a:extLst>
                <a:ext uri="{63B3BB69-23CF-44E3-9099-C40C66FF867C}">
                  <a14:compatExt spid="_x0000_s1371137"/>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28575</xdr:rowOff>
        </xdr:from>
        <xdr:to>
          <xdr:col>4</xdr:col>
          <xdr:colOff>533400</xdr:colOff>
          <xdr:row>4</xdr:row>
          <xdr:rowOff>276225</xdr:rowOff>
        </xdr:to>
        <xdr:sp macro="" textlink="">
          <xdr:nvSpPr>
            <xdr:cNvPr id="1342465" name="ScenarioOneButton" hidden="1">
              <a:extLst>
                <a:ext uri="{63B3BB69-23CF-44E3-9099-C40C66FF867C}">
                  <a14:compatExt spid="_x0000_s13424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2</xdr:row>
          <xdr:rowOff>0</xdr:rowOff>
        </xdr:from>
        <xdr:to>
          <xdr:col>44</xdr:col>
          <xdr:colOff>85725</xdr:colOff>
          <xdr:row>3</xdr:row>
          <xdr:rowOff>295275</xdr:rowOff>
        </xdr:to>
        <xdr:sp macro="" textlink="">
          <xdr:nvSpPr>
            <xdr:cNvPr id="1343158" name="CommandButton_ScenarioTwo" hidden="1">
              <a:extLst>
                <a:ext uri="{63B3BB69-23CF-44E3-9099-C40C66FF867C}">
                  <a14:compatExt spid="_x0000_s1343158"/>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2</xdr:col>
      <xdr:colOff>28575</xdr:colOff>
      <xdr:row>5</xdr:row>
      <xdr:rowOff>0</xdr:rowOff>
    </xdr:from>
    <xdr:to>
      <xdr:col>25</xdr:col>
      <xdr:colOff>28575</xdr:colOff>
      <xdr:row>38</xdr:row>
      <xdr:rowOff>0</xdr:rowOff>
    </xdr:to>
    <xdr:graphicFrame macro="">
      <xdr:nvGraphicFramePr>
        <xdr:cNvPr id="2" name="ScreeningCurveMWh"/>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28575</xdr:colOff>
          <xdr:row>5</xdr:row>
          <xdr:rowOff>104775</xdr:rowOff>
        </xdr:from>
        <xdr:to>
          <xdr:col>1</xdr:col>
          <xdr:colOff>438150</xdr:colOff>
          <xdr:row>9</xdr:row>
          <xdr:rowOff>95250</xdr:rowOff>
        </xdr:to>
        <xdr:sp macro="" textlink="">
          <xdr:nvSpPr>
            <xdr:cNvPr id="1340417" name="CommandButton_ScreeningCurve" hidden="1">
              <a:extLst>
                <a:ext uri="{63B3BB69-23CF-44E3-9099-C40C66FF867C}">
                  <a14:compatExt spid="_x0000_s1340417"/>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3</xdr:col>
      <xdr:colOff>0</xdr:colOff>
      <xdr:row>4</xdr:row>
      <xdr:rowOff>0</xdr:rowOff>
    </xdr:from>
    <xdr:to>
      <xdr:col>30</xdr:col>
      <xdr:colOff>0</xdr:colOff>
      <xdr:row>42</xdr:row>
      <xdr:rowOff>0</xdr:rowOff>
    </xdr:to>
    <xdr:graphicFrame macro="">
      <xdr:nvGraphicFramePr>
        <xdr:cNvPr id="2" name="SensitivityAnalysis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238125</xdr:colOff>
          <xdr:row>4</xdr:row>
          <xdr:rowOff>104775</xdr:rowOff>
        </xdr:from>
        <xdr:to>
          <xdr:col>2</xdr:col>
          <xdr:colOff>257175</xdr:colOff>
          <xdr:row>10</xdr:row>
          <xdr:rowOff>123825</xdr:rowOff>
        </xdr:to>
        <xdr:sp macro="" textlink="">
          <xdr:nvSpPr>
            <xdr:cNvPr id="1341443" name="CommandButton1" hidden="1">
              <a:extLst>
                <a:ext uri="{63B3BB69-23CF-44E3-9099-C40C66FF867C}">
                  <a14:compatExt spid="_x0000_s1341443"/>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15</xdr:col>
      <xdr:colOff>0</xdr:colOff>
      <xdr:row>1</xdr:row>
      <xdr:rowOff>0</xdr:rowOff>
    </xdr:from>
    <xdr:to>
      <xdr:col>15</xdr:col>
      <xdr:colOff>750093</xdr:colOff>
      <xdr:row>1</xdr:row>
      <xdr:rowOff>349515</xdr:rowOff>
    </xdr:to>
    <xdr:sp macro="" textlink="">
      <xdr:nvSpPr>
        <xdr:cNvPr id="2" name="Right Arrow 1">
          <a:hlinkClick xmlns:r="http://schemas.openxmlformats.org/officeDocument/2006/relationships" r:id="rId1"/>
        </xdr:cNvPr>
        <xdr:cNvSpPr/>
      </xdr:nvSpPr>
      <xdr:spPr bwMode="auto">
        <a:xfrm>
          <a:off x="15087600" y="190500"/>
          <a:ext cx="750093" cy="349515"/>
        </a:xfrm>
        <a:prstGeom prst="rightArrow">
          <a:avLst/>
        </a:prstGeom>
        <a:ln>
          <a:headEnd type="none" w="med" len="med"/>
          <a:tailEnd type="none" w="med" len="med"/>
        </a:ln>
      </xdr:spPr>
      <xdr:style>
        <a:lnRef idx="0">
          <a:schemeClr val="dk1"/>
        </a:lnRef>
        <a:fillRef idx="3">
          <a:schemeClr val="dk1"/>
        </a:fillRef>
        <a:effectRef idx="3">
          <a:schemeClr val="dk1"/>
        </a:effectRef>
        <a:fontRef idx="minor">
          <a:schemeClr val="lt1"/>
        </a:fontRef>
      </xdr:style>
      <xdr:txBody>
        <a:bodyPr vertOverflow="clip" horzOverflow="clip" wrap="square" lIns="18288" tIns="0" rIns="0" bIns="0" rtlCol="0" anchor="t" upright="1">
          <a:scene3d>
            <a:camera prst="orthographicFront"/>
            <a:lightRig rig="flat" dir="tl">
              <a:rot lat="0" lon="0" rev="6600000"/>
            </a:lightRig>
          </a:scene3d>
          <a:sp3d extrusionH="25400" contourW="8890">
            <a:bevelT w="38100" h="31750"/>
            <a:contourClr>
              <a:schemeClr val="accent2">
                <a:shade val="75000"/>
              </a:schemeClr>
            </a:contourClr>
          </a:sp3d>
        </a:bodyPr>
        <a:lstStyle/>
        <a:p>
          <a:pPr algn="l"/>
          <a:endParaRPr lang="en-US" sz="1100" b="1" cap="none" spc="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endParaRPr>
        </a:p>
      </xdr:txBody>
    </xdr:sp>
    <xdr:clientData/>
  </xdr:twoCellAnchor>
  <xdr:twoCellAnchor>
    <xdr:from>
      <xdr:col>14</xdr:col>
      <xdr:colOff>95250</xdr:colOff>
      <xdr:row>0</xdr:row>
      <xdr:rowOff>190499</xdr:rowOff>
    </xdr:from>
    <xdr:to>
      <xdr:col>14</xdr:col>
      <xdr:colOff>845343</xdr:colOff>
      <xdr:row>1</xdr:row>
      <xdr:rowOff>349514</xdr:rowOff>
    </xdr:to>
    <xdr:sp macro="" textlink="">
      <xdr:nvSpPr>
        <xdr:cNvPr id="3" name="Right Arrow 2">
          <a:hlinkClick xmlns:r="http://schemas.openxmlformats.org/officeDocument/2006/relationships" r:id="rId2"/>
        </xdr:cNvPr>
        <xdr:cNvSpPr/>
      </xdr:nvSpPr>
      <xdr:spPr bwMode="auto">
        <a:xfrm rot="10800000">
          <a:off x="14239875" y="190499"/>
          <a:ext cx="750093" cy="349515"/>
        </a:xfrm>
        <a:prstGeom prst="rightArrow">
          <a:avLst/>
        </a:prstGeom>
        <a:ln>
          <a:headEnd type="none" w="med" len="med"/>
          <a:tailEnd type="none" w="med" len="med"/>
        </a:ln>
      </xdr:spPr>
      <xdr:style>
        <a:lnRef idx="0">
          <a:schemeClr val="dk1"/>
        </a:lnRef>
        <a:fillRef idx="3">
          <a:schemeClr val="dk1"/>
        </a:fillRef>
        <a:effectRef idx="3">
          <a:schemeClr val="dk1"/>
        </a:effectRef>
        <a:fontRef idx="minor">
          <a:schemeClr val="lt1"/>
        </a:fontRef>
      </xdr:style>
      <xdr:txBody>
        <a:bodyPr vertOverflow="clip" horzOverflow="clip" wrap="square" lIns="18288" tIns="0" rIns="0" bIns="0" rtlCol="0" anchor="t" upright="1">
          <a:scene3d>
            <a:camera prst="orthographicFront"/>
            <a:lightRig rig="flat" dir="tl">
              <a:rot lat="0" lon="0" rev="6600000"/>
            </a:lightRig>
          </a:scene3d>
          <a:sp3d extrusionH="25400" contourW="8890">
            <a:bevelT w="38100" h="31750"/>
            <a:contourClr>
              <a:schemeClr val="accent2">
                <a:shade val="75000"/>
              </a:schemeClr>
            </a:contourClr>
          </a:sp3d>
        </a:bodyPr>
        <a:lstStyle/>
        <a:p>
          <a:pPr algn="l"/>
          <a:endParaRPr lang="en-US" sz="1100" b="1" cap="none" spc="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endParaRPr>
        </a:p>
      </xdr:txBody>
    </xdr:sp>
    <xdr:clientData/>
  </xdr:twoCellAnchor>
  <xdr:twoCellAnchor>
    <xdr:from>
      <xdr:col>15</xdr:col>
      <xdr:colOff>0</xdr:colOff>
      <xdr:row>1</xdr:row>
      <xdr:rowOff>0</xdr:rowOff>
    </xdr:from>
    <xdr:to>
      <xdr:col>15</xdr:col>
      <xdr:colOff>750093</xdr:colOff>
      <xdr:row>1</xdr:row>
      <xdr:rowOff>349515</xdr:rowOff>
    </xdr:to>
    <xdr:sp macro="" textlink="">
      <xdr:nvSpPr>
        <xdr:cNvPr id="4" name="Right Arrow 3">
          <a:hlinkClick xmlns:r="http://schemas.openxmlformats.org/officeDocument/2006/relationships" r:id="rId1"/>
        </xdr:cNvPr>
        <xdr:cNvSpPr/>
      </xdr:nvSpPr>
      <xdr:spPr bwMode="auto">
        <a:xfrm>
          <a:off x="15259050" y="190500"/>
          <a:ext cx="750093" cy="349515"/>
        </a:xfrm>
        <a:prstGeom prst="rightArrow">
          <a:avLst/>
        </a:prstGeom>
        <a:ln>
          <a:headEnd type="none" w="med" len="med"/>
          <a:tailEnd type="none" w="med" len="med"/>
        </a:ln>
      </xdr:spPr>
      <xdr:style>
        <a:lnRef idx="0">
          <a:schemeClr val="dk1"/>
        </a:lnRef>
        <a:fillRef idx="3">
          <a:schemeClr val="dk1"/>
        </a:fillRef>
        <a:effectRef idx="3">
          <a:schemeClr val="dk1"/>
        </a:effectRef>
        <a:fontRef idx="minor">
          <a:schemeClr val="lt1"/>
        </a:fontRef>
      </xdr:style>
      <xdr:txBody>
        <a:bodyPr vertOverflow="clip" horzOverflow="clip" wrap="square" lIns="18288" tIns="0" rIns="0" bIns="0" rtlCol="0" anchor="t" upright="1">
          <a:scene3d>
            <a:camera prst="orthographicFront"/>
            <a:lightRig rig="flat" dir="tl">
              <a:rot lat="0" lon="0" rev="6600000"/>
            </a:lightRig>
          </a:scene3d>
          <a:sp3d extrusionH="25400" contourW="8890">
            <a:bevelT w="38100" h="31750"/>
            <a:contourClr>
              <a:schemeClr val="accent2">
                <a:shade val="75000"/>
              </a:schemeClr>
            </a:contourClr>
          </a:sp3d>
        </a:bodyPr>
        <a:lstStyle/>
        <a:p>
          <a:pPr algn="l"/>
          <a:endParaRPr lang="en-US" sz="1100" b="1" cap="none" spc="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endParaRPr>
        </a:p>
      </xdr:txBody>
    </xdr:sp>
    <xdr:clientData/>
  </xdr:twoCellAnchor>
  <xdr:twoCellAnchor>
    <xdr:from>
      <xdr:col>14</xdr:col>
      <xdr:colOff>95250</xdr:colOff>
      <xdr:row>0</xdr:row>
      <xdr:rowOff>190499</xdr:rowOff>
    </xdr:from>
    <xdr:to>
      <xdr:col>14</xdr:col>
      <xdr:colOff>845343</xdr:colOff>
      <xdr:row>1</xdr:row>
      <xdr:rowOff>349514</xdr:rowOff>
    </xdr:to>
    <xdr:sp macro="" textlink="">
      <xdr:nvSpPr>
        <xdr:cNvPr id="5" name="Right Arrow 4">
          <a:hlinkClick xmlns:r="http://schemas.openxmlformats.org/officeDocument/2006/relationships" r:id="rId2"/>
        </xdr:cNvPr>
        <xdr:cNvSpPr/>
      </xdr:nvSpPr>
      <xdr:spPr bwMode="auto">
        <a:xfrm rot="10800000">
          <a:off x="14411325" y="190499"/>
          <a:ext cx="750093" cy="349515"/>
        </a:xfrm>
        <a:prstGeom prst="rightArrow">
          <a:avLst/>
        </a:prstGeom>
        <a:ln>
          <a:headEnd type="none" w="med" len="med"/>
          <a:tailEnd type="none" w="med" len="med"/>
        </a:ln>
      </xdr:spPr>
      <xdr:style>
        <a:lnRef idx="0">
          <a:schemeClr val="dk1"/>
        </a:lnRef>
        <a:fillRef idx="3">
          <a:schemeClr val="dk1"/>
        </a:fillRef>
        <a:effectRef idx="3">
          <a:schemeClr val="dk1"/>
        </a:effectRef>
        <a:fontRef idx="minor">
          <a:schemeClr val="lt1"/>
        </a:fontRef>
      </xdr:style>
      <xdr:txBody>
        <a:bodyPr vertOverflow="clip" horzOverflow="clip" wrap="square" lIns="18288" tIns="0" rIns="0" bIns="0" rtlCol="0" anchor="t" upright="1">
          <a:scene3d>
            <a:camera prst="orthographicFront"/>
            <a:lightRig rig="flat" dir="tl">
              <a:rot lat="0" lon="0" rev="6600000"/>
            </a:lightRig>
          </a:scene3d>
          <a:sp3d extrusionH="25400" contourW="8890">
            <a:bevelT w="38100" h="31750"/>
            <a:contourClr>
              <a:schemeClr val="accent2">
                <a:shade val="75000"/>
              </a:schemeClr>
            </a:contourClr>
          </a:sp3d>
        </a:bodyPr>
        <a:lstStyle/>
        <a:p>
          <a:pPr algn="l"/>
          <a:endParaRPr lang="en-US" sz="1100" b="1" cap="none" spc="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24</xdr:col>
      <xdr:colOff>29696</xdr:colOff>
      <xdr:row>107</xdr:row>
      <xdr:rowOff>139656</xdr:rowOff>
    </xdr:from>
    <xdr:to>
      <xdr:col>44</xdr:col>
      <xdr:colOff>444500</xdr:colOff>
      <xdr:row>148</xdr:row>
      <xdr:rowOff>65247</xdr:rowOff>
    </xdr:to>
    <xdr:graphicFrame macro="">
      <xdr:nvGraphicFramePr>
        <xdr:cNvPr id="8621" name="Chart 20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544745</xdr:colOff>
      <xdr:row>108</xdr:row>
      <xdr:rowOff>6864</xdr:rowOff>
    </xdr:from>
    <xdr:to>
      <xdr:col>23</xdr:col>
      <xdr:colOff>47625</xdr:colOff>
      <xdr:row>146</xdr:row>
      <xdr:rowOff>45244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598541</xdr:colOff>
      <xdr:row>192</xdr:row>
      <xdr:rowOff>11906</xdr:rowOff>
    </xdr:from>
    <xdr:to>
      <xdr:col>24</xdr:col>
      <xdr:colOff>726282</xdr:colOff>
      <xdr:row>233</xdr:row>
      <xdr:rowOff>83343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012%20COST%20OF%20GENERATION%20REPORT/COG%20Model/COG%20Model%20Ver%203.91g%20%20Macro%20fix%20for%20IOU-POU%20Print%20Years/CEC_COG_Model_Version_3_91g%20%20ACS-JBK_6-2-1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ST%20OF%20GENERATION%20MODEL/2007%20IEPR%20COG%20Model%20-%20Fossil%20Fuel/2007-03-01%20Ver%2040/Gen_Cost_Ver_v40_Joel_03-25-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
      <sheetName val="INPUT-OUTPUT"/>
      <sheetName val="Annual Cost Chart"/>
      <sheetName val="Screening Curve"/>
      <sheetName val="Sensitivity Curve"/>
      <sheetName val="Print Tables"/>
      <sheetName val="Yearly Costs"/>
      <sheetName val="Changes"/>
      <sheetName val="Physical Data"/>
      <sheetName val="Financial Data"/>
      <sheetName val="Construction Costs"/>
      <sheetName val="O&amp;M Costs"/>
      <sheetName val="Income_Cash Flow"/>
      <sheetName val="Income_Rev_Req"/>
      <sheetName val="Inflation"/>
      <sheetName val="Financial Assumptions"/>
      <sheetName val="Tax_Equity"/>
      <sheetName val="Tax Incentives"/>
      <sheetName val="Transmission"/>
      <sheetName val="Fuel Price Forecasts"/>
      <sheetName val="Air &amp; Water Data"/>
      <sheetName val="ERC Forecasts"/>
      <sheetName val="SCAQMD Fees"/>
      <sheetName val="Plant Type Assumptions"/>
      <sheetName val="PTA-Mid"/>
      <sheetName val="PTA-Hi"/>
      <sheetName val="PTA-Lo"/>
      <sheetName val="General Assumptions"/>
      <sheetName val="Labor Table"/>
      <sheetName val="Overhaul Calcs"/>
      <sheetName val="WEP Forecast"/>
    </sheetNames>
    <sheetDataSet>
      <sheetData sheetId="0" refreshError="1"/>
      <sheetData sheetId="1">
        <row r="7">
          <cell r="C7" t="str">
            <v>Merchant Alternatives</v>
          </cell>
        </row>
        <row r="8">
          <cell r="C8">
            <v>2013</v>
          </cell>
        </row>
        <row r="9">
          <cell r="C9" t="str">
            <v>Wind - Class 4 100 MW</v>
          </cell>
        </row>
        <row r="11">
          <cell r="C11" t="str">
            <v>Tax Equity Financing</v>
          </cell>
        </row>
        <row r="15">
          <cell r="C15" t="str">
            <v>Carbon Price Mid</v>
          </cell>
        </row>
        <row r="16">
          <cell r="C16" t="str">
            <v>CA Average</v>
          </cell>
        </row>
        <row r="17">
          <cell r="C17" t="str">
            <v>CA - Avg.</v>
          </cell>
        </row>
        <row r="18">
          <cell r="C18">
            <v>2</v>
          </cell>
        </row>
        <row r="19">
          <cell r="U19">
            <v>133.31908228016141</v>
          </cell>
        </row>
        <row r="70">
          <cell r="C70" t="str">
            <v>Mid-range</v>
          </cell>
        </row>
        <row r="72">
          <cell r="C72">
            <v>2011</v>
          </cell>
        </row>
        <row r="73">
          <cell r="C73" t="str">
            <v>Wind</v>
          </cell>
        </row>
        <row r="75">
          <cell r="C75" t="str">
            <v>To Delivery Point</v>
          </cell>
        </row>
        <row r="106">
          <cell r="B106" t="str">
            <v>Generation Turbine 49.9 MW</v>
          </cell>
          <cell r="E106">
            <v>2011</v>
          </cell>
        </row>
        <row r="107">
          <cell r="B107" t="str">
            <v>Generation Turbine 100 MW</v>
          </cell>
          <cell r="E107">
            <v>2012</v>
          </cell>
        </row>
        <row r="108">
          <cell r="B108" t="str">
            <v>Generation Turbine - Advanced 200 MW</v>
          </cell>
          <cell r="E108">
            <v>2013</v>
          </cell>
        </row>
        <row r="109">
          <cell r="B109" t="str">
            <v>Combined Cycle - 2 CTs No Duct Firing 500 MW</v>
          </cell>
          <cell r="E109">
            <v>2014</v>
          </cell>
        </row>
        <row r="110">
          <cell r="B110" t="str">
            <v>Combined Cycle - 2 CTs With Duct Firing 550 MW</v>
          </cell>
          <cell r="E110">
            <v>2015</v>
          </cell>
        </row>
        <row r="111">
          <cell r="B111" t="str">
            <v>Biomass Fludized Bed Boiler 50 MW</v>
          </cell>
          <cell r="E111">
            <v>2016</v>
          </cell>
        </row>
        <row r="112">
          <cell r="B112" t="str">
            <v>Geothermal  Binary 30 MW</v>
          </cell>
          <cell r="E112">
            <v>2017</v>
          </cell>
        </row>
        <row r="113">
          <cell r="B113" t="str">
            <v>Geothermal  Flash 30 MW</v>
          </cell>
          <cell r="E113">
            <v>2018</v>
          </cell>
        </row>
        <row r="114">
          <cell r="B114" t="str">
            <v>Solar Parabolic Trough W/O Storage 250 MW</v>
          </cell>
          <cell r="E114">
            <v>2019</v>
          </cell>
        </row>
        <row r="115">
          <cell r="B115" t="str">
            <v>Solar Parabolic Trough With Storage 250 MW</v>
          </cell>
          <cell r="E115">
            <v>2020</v>
          </cell>
        </row>
        <row r="116">
          <cell r="B116" t="str">
            <v>Solar Power Tower W/O Storage 100 MW</v>
          </cell>
          <cell r="E116">
            <v>2021</v>
          </cell>
        </row>
        <row r="117">
          <cell r="B117" t="str">
            <v>Solar Power Tower With Storage 100 MW 6 HRs</v>
          </cell>
          <cell r="E117">
            <v>2022</v>
          </cell>
        </row>
        <row r="118">
          <cell r="B118" t="str">
            <v>Solar Power Tower With Storage 100 MW 11 HRs</v>
          </cell>
          <cell r="E118">
            <v>2023</v>
          </cell>
        </row>
        <row r="119">
          <cell r="B119" t="str">
            <v>Solar Photovoltaic (Thin Film) 100 MW</v>
          </cell>
          <cell r="E119">
            <v>2024</v>
          </cell>
        </row>
        <row r="120">
          <cell r="B120" t="str">
            <v>Solar Photovoltaic (Single Axis) 100 MW</v>
          </cell>
        </row>
        <row r="121">
          <cell r="B121" t="str">
            <v>Solar Photovoltaic (Thin Film) 20 MW</v>
          </cell>
        </row>
        <row r="122">
          <cell r="B122" t="str">
            <v>Solar Photovoltaic (Single Axis) 20 MW</v>
          </cell>
        </row>
        <row r="123">
          <cell r="B123" t="str">
            <v>Wind - Class 3 100 MW</v>
          </cell>
        </row>
        <row r="124">
          <cell r="B124" t="str">
            <v>Wind - Class 4 100 MW</v>
          </cell>
        </row>
        <row r="126">
          <cell r="B126" t="str">
            <v/>
          </cell>
        </row>
        <row r="137">
          <cell r="I137" t="str">
            <v>Tax Minimum Equals Zero</v>
          </cell>
        </row>
      </sheetData>
      <sheetData sheetId="2" refreshError="1"/>
      <sheetData sheetId="3" refreshError="1"/>
      <sheetData sheetId="4" refreshError="1"/>
      <sheetData sheetId="5" refreshError="1"/>
      <sheetData sheetId="6" refreshError="1"/>
      <sheetData sheetId="7" refreshError="1"/>
      <sheetData sheetId="8">
        <row r="19">
          <cell r="C19">
            <v>100</v>
          </cell>
          <cell r="E19">
            <v>331.66251442215952</v>
          </cell>
        </row>
        <row r="20">
          <cell r="C20">
            <v>0.15</v>
          </cell>
        </row>
        <row r="21">
          <cell r="C21">
            <v>85</v>
          </cell>
          <cell r="D21">
            <v>85</v>
          </cell>
          <cell r="E21">
            <v>281.91313725883555</v>
          </cell>
        </row>
        <row r="22">
          <cell r="C22">
            <v>5.0000000000000001E-3</v>
          </cell>
        </row>
        <row r="24">
          <cell r="C24">
            <v>6.4578457790002555E-2</v>
          </cell>
        </row>
        <row r="25">
          <cell r="C25">
            <v>2.7401728918610341E-2</v>
          </cell>
        </row>
        <row r="26">
          <cell r="C26">
            <v>76.945436364045662</v>
          </cell>
          <cell r="D26">
            <v>76.945436364045662</v>
          </cell>
          <cell r="E26">
            <v>255.19916897809651</v>
          </cell>
        </row>
        <row r="27">
          <cell r="C27">
            <v>3.0000000000000001E-3</v>
          </cell>
        </row>
        <row r="28">
          <cell r="E28">
            <v>255.19916897809651</v>
          </cell>
        </row>
        <row r="31">
          <cell r="C31">
            <v>1</v>
          </cell>
        </row>
        <row r="32">
          <cell r="C32">
            <v>0.39393939393939398</v>
          </cell>
        </row>
        <row r="34">
          <cell r="C34">
            <v>0</v>
          </cell>
        </row>
        <row r="35">
          <cell r="C35">
            <v>0</v>
          </cell>
        </row>
        <row r="36">
          <cell r="C36">
            <v>0</v>
          </cell>
          <cell r="D36">
            <v>0</v>
          </cell>
        </row>
        <row r="37">
          <cell r="D37">
            <v>3450.9090909090914</v>
          </cell>
        </row>
        <row r="38">
          <cell r="C38">
            <v>0.01</v>
          </cell>
          <cell r="D38">
            <v>34.509090909090915</v>
          </cell>
        </row>
        <row r="39">
          <cell r="D39">
            <v>3416.4000000000005</v>
          </cell>
        </row>
        <row r="42">
          <cell r="C42">
            <v>0.39</v>
          </cell>
        </row>
        <row r="47">
          <cell r="C47" t="str">
            <v>N/A</v>
          </cell>
        </row>
        <row r="49">
          <cell r="C49">
            <v>0</v>
          </cell>
        </row>
      </sheetData>
      <sheetData sheetId="9">
        <row r="2">
          <cell r="B2" t="str">
            <v>Merchant</v>
          </cell>
        </row>
        <row r="16">
          <cell r="B16">
            <v>0.4</v>
          </cell>
          <cell r="C16">
            <v>0.113425</v>
          </cell>
        </row>
        <row r="17">
          <cell r="B17">
            <v>0.6366666666666666</v>
          </cell>
          <cell r="C17">
            <v>0.13250000000000001</v>
          </cell>
        </row>
        <row r="18">
          <cell r="B18">
            <v>0.3633333333333334</v>
          </cell>
          <cell r="C18">
            <v>8.0000000000000016E-2</v>
          </cell>
        </row>
        <row r="19">
          <cell r="B19">
            <v>0.6</v>
          </cell>
          <cell r="C19">
            <v>5.9130000000000002E-2</v>
          </cell>
        </row>
        <row r="20">
          <cell r="B20">
            <v>6.6392134120000001E-2</v>
          </cell>
          <cell r="C20">
            <v>4.9974823400351864E-2</v>
          </cell>
        </row>
        <row r="23">
          <cell r="B23">
            <v>1.345</v>
          </cell>
        </row>
        <row r="24">
          <cell r="B24">
            <v>1.27</v>
          </cell>
        </row>
        <row r="25">
          <cell r="B25">
            <v>20</v>
          </cell>
        </row>
        <row r="26">
          <cell r="B26">
            <v>30</v>
          </cell>
          <cell r="C26">
            <v>52231</v>
          </cell>
        </row>
        <row r="27">
          <cell r="B27">
            <v>30</v>
          </cell>
        </row>
        <row r="28">
          <cell r="B28">
            <v>5</v>
          </cell>
        </row>
        <row r="29">
          <cell r="B29">
            <v>30</v>
          </cell>
        </row>
        <row r="32">
          <cell r="B32">
            <v>0.35</v>
          </cell>
        </row>
        <row r="33">
          <cell r="B33">
            <v>8.8400000000000006E-2</v>
          </cell>
        </row>
        <row r="34">
          <cell r="B34">
            <v>0.40745999999999993</v>
          </cell>
        </row>
        <row r="35">
          <cell r="B35">
            <v>1.098E-2</v>
          </cell>
        </row>
        <row r="36">
          <cell r="B36" t="str">
            <v>Y</v>
          </cell>
        </row>
        <row r="37">
          <cell r="B37">
            <v>7.9399999999999998E-2</v>
          </cell>
        </row>
        <row r="38">
          <cell r="B38">
            <v>0.9</v>
          </cell>
        </row>
        <row r="41">
          <cell r="B41" t="str">
            <v>Y</v>
          </cell>
        </row>
        <row r="43">
          <cell r="B43">
            <v>0.75</v>
          </cell>
        </row>
        <row r="44">
          <cell r="B44" t="str">
            <v>N</v>
          </cell>
        </row>
        <row r="45">
          <cell r="B45" t="str">
            <v>Y</v>
          </cell>
        </row>
        <row r="47">
          <cell r="B47" t="str">
            <v>N</v>
          </cell>
        </row>
        <row r="49">
          <cell r="B49" t="str">
            <v>Y</v>
          </cell>
          <cell r="C49">
            <v>0.3</v>
          </cell>
        </row>
        <row r="51">
          <cell r="C51">
            <v>0.15</v>
          </cell>
        </row>
        <row r="54">
          <cell r="B54" t="str">
            <v>N</v>
          </cell>
        </row>
        <row r="57">
          <cell r="B57" t="str">
            <v>Y</v>
          </cell>
          <cell r="C57">
            <v>0.02</v>
          </cell>
        </row>
        <row r="58">
          <cell r="B58">
            <v>10</v>
          </cell>
        </row>
        <row r="59">
          <cell r="B59">
            <v>2008</v>
          </cell>
        </row>
        <row r="60">
          <cell r="C60">
            <v>2.2421435694856658E-2</v>
          </cell>
        </row>
        <row r="61">
          <cell r="B61">
            <v>1</v>
          </cell>
          <cell r="C61">
            <v>0.02</v>
          </cell>
        </row>
        <row r="62">
          <cell r="B62">
            <v>0</v>
          </cell>
        </row>
        <row r="63">
          <cell r="B63">
            <v>0</v>
          </cell>
        </row>
        <row r="64">
          <cell r="B64">
            <v>10</v>
          </cell>
        </row>
        <row r="65">
          <cell r="B65">
            <v>2008</v>
          </cell>
        </row>
        <row r="66">
          <cell r="C66">
            <v>0</v>
          </cell>
        </row>
      </sheetData>
      <sheetData sheetId="10">
        <row r="6">
          <cell r="F6">
            <v>0</v>
          </cell>
        </row>
        <row r="7">
          <cell r="F7">
            <v>5.9130000000000002E-2</v>
          </cell>
        </row>
        <row r="12">
          <cell r="F12">
            <v>0</v>
          </cell>
        </row>
        <row r="13">
          <cell r="F13">
            <v>0</v>
          </cell>
        </row>
        <row r="14">
          <cell r="F14">
            <v>0</v>
          </cell>
        </row>
        <row r="15">
          <cell r="F15">
            <v>0</v>
          </cell>
        </row>
        <row r="16">
          <cell r="F16">
            <v>0.05</v>
          </cell>
        </row>
        <row r="17">
          <cell r="F17">
            <v>0.95</v>
          </cell>
          <cell r="G17">
            <v>238527409.64220548</v>
          </cell>
        </row>
        <row r="22">
          <cell r="C22">
            <v>40</v>
          </cell>
        </row>
        <row r="23">
          <cell r="C23">
            <v>4000</v>
          </cell>
          <cell r="G23">
            <v>2208.4034779602434</v>
          </cell>
        </row>
        <row r="25">
          <cell r="C25">
            <v>4000</v>
          </cell>
        </row>
        <row r="26">
          <cell r="C26">
            <v>15000</v>
          </cell>
          <cell r="G26">
            <v>2679.7600363663214</v>
          </cell>
        </row>
        <row r="50">
          <cell r="C50">
            <v>220840347.79602432</v>
          </cell>
        </row>
        <row r="51">
          <cell r="G51">
            <v>0.12345999999999999</v>
          </cell>
        </row>
        <row r="64">
          <cell r="C64">
            <v>0</v>
          </cell>
          <cell r="I64">
            <v>0</v>
          </cell>
        </row>
        <row r="65">
          <cell r="C65">
            <v>0</v>
          </cell>
        </row>
        <row r="66">
          <cell r="C66">
            <v>0</v>
          </cell>
        </row>
        <row r="67">
          <cell r="C67">
            <v>0</v>
          </cell>
        </row>
        <row r="71">
          <cell r="C71">
            <v>0</v>
          </cell>
        </row>
        <row r="72">
          <cell r="C72">
            <v>0</v>
          </cell>
        </row>
      </sheetData>
      <sheetData sheetId="11">
        <row r="9">
          <cell r="K9">
            <v>0</v>
          </cell>
        </row>
        <row r="13">
          <cell r="C13">
            <v>0</v>
          </cell>
          <cell r="K13">
            <v>0</v>
          </cell>
        </row>
        <row r="15">
          <cell r="C15">
            <v>0</v>
          </cell>
          <cell r="K15">
            <v>0</v>
          </cell>
        </row>
        <row r="16">
          <cell r="K16">
            <v>0</v>
          </cell>
        </row>
        <row r="17">
          <cell r="H17">
            <v>0</v>
          </cell>
        </row>
        <row r="19">
          <cell r="C19">
            <v>30</v>
          </cell>
        </row>
        <row r="20">
          <cell r="C20">
            <v>30</v>
          </cell>
          <cell r="K20">
            <v>0</v>
          </cell>
        </row>
        <row r="24">
          <cell r="C24">
            <v>586</v>
          </cell>
          <cell r="K24">
            <v>0</v>
          </cell>
        </row>
        <row r="26">
          <cell r="K26">
            <v>0</v>
          </cell>
        </row>
        <row r="27">
          <cell r="K27">
            <v>0</v>
          </cell>
        </row>
        <row r="31">
          <cell r="K31">
            <v>0</v>
          </cell>
        </row>
        <row r="32">
          <cell r="K32">
            <v>0</v>
          </cell>
        </row>
        <row r="33">
          <cell r="C33">
            <v>8</v>
          </cell>
          <cell r="K33">
            <v>0</v>
          </cell>
        </row>
        <row r="34">
          <cell r="C34">
            <v>8</v>
          </cell>
        </row>
        <row r="36">
          <cell r="K36">
            <v>0</v>
          </cell>
        </row>
        <row r="37">
          <cell r="C37">
            <v>5.0000000000000001E-3</v>
          </cell>
          <cell r="K37">
            <v>0</v>
          </cell>
        </row>
        <row r="38">
          <cell r="C38">
            <v>5.0000000000000001E-3</v>
          </cell>
          <cell r="K38">
            <v>0</v>
          </cell>
        </row>
        <row r="39">
          <cell r="C39">
            <v>6.0000000000000001E-3</v>
          </cell>
        </row>
        <row r="41">
          <cell r="C41">
            <v>6.81</v>
          </cell>
        </row>
        <row r="43">
          <cell r="C43">
            <v>6.81</v>
          </cell>
        </row>
        <row r="45">
          <cell r="C45">
            <v>7.0594898114151095E-2</v>
          </cell>
        </row>
        <row r="55">
          <cell r="H55">
            <v>0</v>
          </cell>
        </row>
        <row r="58">
          <cell r="H58">
            <v>0</v>
          </cell>
        </row>
        <row r="59">
          <cell r="H59">
            <v>0</v>
          </cell>
        </row>
        <row r="60">
          <cell r="H60">
            <v>0</v>
          </cell>
        </row>
        <row r="61">
          <cell r="H61">
            <v>0</v>
          </cell>
        </row>
      </sheetData>
      <sheetData sheetId="12">
        <row r="64">
          <cell r="E64">
            <v>575.3460457272131</v>
          </cell>
        </row>
        <row r="77">
          <cell r="B77" t="str">
            <v>REPTC (Tax Credit)</v>
          </cell>
        </row>
      </sheetData>
      <sheetData sheetId="13">
        <row r="198">
          <cell r="D198">
            <v>0.14190653897201133</v>
          </cell>
        </row>
      </sheetData>
      <sheetData sheetId="14">
        <row r="1">
          <cell r="B1">
            <v>2.3120259395784881E-2</v>
          </cell>
        </row>
        <row r="2">
          <cell r="B2">
            <v>1.5635908932064346E-2</v>
          </cell>
        </row>
      </sheetData>
      <sheetData sheetId="15">
        <row r="32">
          <cell r="I32">
            <v>3.2000000000000001E-2</v>
          </cell>
        </row>
        <row r="38">
          <cell r="E38">
            <v>3.5000000000000003E-2</v>
          </cell>
        </row>
      </sheetData>
      <sheetData sheetId="16" refreshError="1"/>
      <sheetData sheetId="17" refreshError="1"/>
      <sheetData sheetId="18" refreshError="1"/>
      <sheetData sheetId="19">
        <row r="4">
          <cell r="H4" t="str">
            <v xml:space="preserve">PG&amp;E </v>
          </cell>
          <cell r="I4" t="str">
            <v>SCE</v>
          </cell>
          <cell r="J4" t="str">
            <v>SDG&amp;E</v>
          </cell>
          <cell r="K4" t="str">
            <v>SMUD</v>
          </cell>
          <cell r="L4" t="str">
            <v>LADWP</v>
          </cell>
          <cell r="M4" t="str">
            <v>IID</v>
          </cell>
          <cell r="N4" t="str">
            <v>CA Average</v>
          </cell>
          <cell r="O4" t="str">
            <v>Mid-range CA Avg.</v>
          </cell>
          <cell r="P4" t="str">
            <v>High CA Average</v>
          </cell>
          <cell r="Q4" t="str">
            <v>Low CA Average</v>
          </cell>
          <cell r="R4" t="str">
            <v>Uranium</v>
          </cell>
          <cell r="S4" t="str">
            <v>Mid-range Uranium</v>
          </cell>
          <cell r="T4" t="str">
            <v>High Uranium</v>
          </cell>
          <cell r="U4" t="str">
            <v>Low Uranium</v>
          </cell>
          <cell r="V4" t="str">
            <v>Gassified Coal</v>
          </cell>
          <cell r="W4" t="str">
            <v>Mid-Range Gassified Coal</v>
          </cell>
          <cell r="X4" t="str">
            <v>High Gassified Coal</v>
          </cell>
          <cell r="Y4" t="str">
            <v>Low Gassified Coal</v>
          </cell>
          <cell r="Z4" t="str">
            <v>Solar</v>
          </cell>
          <cell r="AA4" t="str">
            <v>Steam</v>
          </cell>
          <cell r="AB4" t="str">
            <v>Hydro</v>
          </cell>
          <cell r="AC4" t="str">
            <v>Tidal</v>
          </cell>
          <cell r="AD4" t="str">
            <v>Wind</v>
          </cell>
          <cell r="AE4" t="str">
            <v>Methane</v>
          </cell>
          <cell r="AF4" t="str">
            <v>Manure</v>
          </cell>
          <cell r="AG4" t="str">
            <v>Biomass</v>
          </cell>
          <cell r="AH4" t="str">
            <v>Biomass Mid</v>
          </cell>
          <cell r="AI4" t="str">
            <v>Biomass High</v>
          </cell>
          <cell r="AJ4" t="str">
            <v>Biomass Low</v>
          </cell>
          <cell r="AK4" t="str">
            <v>No Carbon Price</v>
          </cell>
          <cell r="AL4" t="str">
            <v>Carbon Price Mid</v>
          </cell>
          <cell r="AM4" t="str">
            <v>Carbon Price High</v>
          </cell>
          <cell r="AN4" t="str">
            <v>Carbon Price Low</v>
          </cell>
        </row>
        <row r="79">
          <cell r="C79">
            <v>1</v>
          </cell>
        </row>
      </sheetData>
      <sheetData sheetId="20">
        <row r="2">
          <cell r="D2" t="str">
            <v>Bay Area</v>
          </cell>
          <cell r="E2" t="str">
            <v>Imperial County</v>
          </cell>
          <cell r="F2" t="str">
            <v>Kern</v>
          </cell>
          <cell r="G2" t="str">
            <v>San Joaquin</v>
          </cell>
          <cell r="H2" t="str">
            <v>Mojave</v>
          </cell>
          <cell r="I2" t="str">
            <v>Central Coast</v>
          </cell>
          <cell r="J2" t="str">
            <v>Sacramento</v>
          </cell>
          <cell r="K2" t="str">
            <v>San Diego</v>
          </cell>
          <cell r="L2" t="str">
            <v>San Luis</v>
          </cell>
          <cell r="M2" t="str">
            <v>Santa Barbara</v>
          </cell>
          <cell r="N2" t="str">
            <v>South Coast</v>
          </cell>
          <cell r="O2" t="str">
            <v>Ventura</v>
          </cell>
          <cell r="P2" t="str">
            <v>CA - Avg.</v>
          </cell>
        </row>
        <row r="5">
          <cell r="C5" t="str">
            <v>NOx</v>
          </cell>
          <cell r="D5">
            <v>25704.823609953386</v>
          </cell>
          <cell r="E5">
            <v>0</v>
          </cell>
          <cell r="F5">
            <v>77882.09479050494</v>
          </cell>
          <cell r="G5">
            <v>97352.618488131178</v>
          </cell>
          <cell r="H5">
            <v>77882.09479050494</v>
          </cell>
          <cell r="I5">
            <v>26822.424636473097</v>
          </cell>
          <cell r="J5">
            <v>36799.197178159346</v>
          </cell>
          <cell r="K5">
            <v>268650.68791600753</v>
          </cell>
          <cell r="L5">
            <v>22352.020530394249</v>
          </cell>
          <cell r="M5">
            <v>22352.020530394249</v>
          </cell>
          <cell r="N5">
            <v>117129.71274617399</v>
          </cell>
          <cell r="O5">
            <v>26822.424636473097</v>
          </cell>
          <cell r="P5">
            <v>66645.843321097505</v>
          </cell>
        </row>
        <row r="6">
          <cell r="C6" t="str">
            <v>VOC/ROG</v>
          </cell>
          <cell r="D6">
            <v>17719.516573383444</v>
          </cell>
          <cell r="E6">
            <v>1948.8087292372491</v>
          </cell>
          <cell r="F6">
            <v>35897.378760900858</v>
          </cell>
          <cell r="G6">
            <v>44871.723451126076</v>
          </cell>
          <cell r="H6">
            <v>35897.378760900858</v>
          </cell>
          <cell r="I6">
            <v>18489.930337443595</v>
          </cell>
          <cell r="J6">
            <v>12274.367306898892</v>
          </cell>
          <cell r="K6">
            <v>1948.8087292372491</v>
          </cell>
          <cell r="L6">
            <v>15408.275281202996</v>
          </cell>
          <cell r="M6">
            <v>15408.275281202996</v>
          </cell>
          <cell r="N6">
            <v>44083.151426922013</v>
          </cell>
          <cell r="O6">
            <v>18489.930337443595</v>
          </cell>
          <cell r="P6">
            <v>21869.795414658318</v>
          </cell>
        </row>
        <row r="7">
          <cell r="C7" t="str">
            <v>CO</v>
          </cell>
          <cell r="D7">
            <v>0</v>
          </cell>
          <cell r="E7">
            <v>0</v>
          </cell>
          <cell r="F7">
            <v>0</v>
          </cell>
          <cell r="G7">
            <v>0</v>
          </cell>
          <cell r="H7">
            <v>0</v>
          </cell>
          <cell r="I7">
            <v>0</v>
          </cell>
          <cell r="J7">
            <v>0</v>
          </cell>
          <cell r="K7">
            <v>0</v>
          </cell>
          <cell r="L7">
            <v>0</v>
          </cell>
          <cell r="M7">
            <v>0</v>
          </cell>
          <cell r="N7">
            <v>0</v>
          </cell>
          <cell r="O7">
            <v>0</v>
          </cell>
          <cell r="P7">
            <v>0</v>
          </cell>
        </row>
        <row r="8">
          <cell r="C8" t="str">
            <v>CO2</v>
          </cell>
        </row>
        <row r="9">
          <cell r="C9" t="str">
            <v>H2S</v>
          </cell>
        </row>
        <row r="10">
          <cell r="C10" t="str">
            <v>CH4</v>
          </cell>
        </row>
        <row r="11">
          <cell r="C11" t="str">
            <v>NH3</v>
          </cell>
        </row>
        <row r="12">
          <cell r="C12" t="str">
            <v>SOx</v>
          </cell>
          <cell r="D12">
            <v>0</v>
          </cell>
          <cell r="E12">
            <v>0</v>
          </cell>
          <cell r="F12">
            <v>0</v>
          </cell>
          <cell r="G12">
            <v>0</v>
          </cell>
          <cell r="H12">
            <v>0</v>
          </cell>
          <cell r="I12">
            <v>0</v>
          </cell>
          <cell r="J12">
            <v>0</v>
          </cell>
          <cell r="K12">
            <v>0</v>
          </cell>
          <cell r="L12">
            <v>0</v>
          </cell>
          <cell r="M12">
            <v>0</v>
          </cell>
          <cell r="N12">
            <v>205081.0217376303</v>
          </cell>
          <cell r="O12">
            <v>0</v>
          </cell>
          <cell r="P12">
            <v>17090.085144802524</v>
          </cell>
        </row>
        <row r="13">
          <cell r="C13" t="str">
            <v>PM10</v>
          </cell>
          <cell r="D13">
            <v>47278.926297347825</v>
          </cell>
          <cell r="E13">
            <v>0</v>
          </cell>
          <cell r="F13">
            <v>129537.24912515844</v>
          </cell>
          <cell r="G13">
            <v>161921.56140644805</v>
          </cell>
          <cell r="H13">
            <v>129537.24912515844</v>
          </cell>
          <cell r="I13">
            <v>49334.531788536864</v>
          </cell>
          <cell r="J13">
            <v>161921.56140644805</v>
          </cell>
          <cell r="K13">
            <v>0</v>
          </cell>
          <cell r="L13">
            <v>41112.109823780724</v>
          </cell>
          <cell r="M13">
            <v>41112.109823780724</v>
          </cell>
          <cell r="N13">
            <v>732528.51396341727</v>
          </cell>
          <cell r="O13">
            <v>49334.531788536864</v>
          </cell>
          <cell r="P13">
            <v>128634.86204571777</v>
          </cell>
        </row>
      </sheetData>
      <sheetData sheetId="21" refreshError="1"/>
      <sheetData sheetId="22" refreshError="1"/>
      <sheetData sheetId="23" refreshError="1"/>
      <sheetData sheetId="24" refreshError="1"/>
      <sheetData sheetId="25" refreshError="1"/>
      <sheetData sheetId="26" refreshError="1"/>
      <sheetData sheetId="27"/>
      <sheetData sheetId="28" refreshError="1"/>
      <sheetData sheetId="29" refreshError="1"/>
      <sheetData sheetId="3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s"/>
      <sheetName val="Instructions"/>
      <sheetName val="Adders"/>
      <sheetName val="INPUT-OUTPUT"/>
      <sheetName val="Data 1"/>
      <sheetName val="Data 2"/>
      <sheetName val="Income Statement"/>
      <sheetName val="Plant Type Assumptions"/>
      <sheetName val="CC_HeatRate"/>
      <sheetName val="Financial Assumptions"/>
      <sheetName val="General Assumptions"/>
      <sheetName val="Inflation"/>
      <sheetName val="Fuel Price Forecast"/>
      <sheetName val="Labor"/>
      <sheetName val="Air &amp; Water Data"/>
      <sheetName val="Overhaul Calcs"/>
      <sheetName val="Monthly Gas Forecast"/>
      <sheetName val="Monthly Gas By LDC"/>
      <sheetName val="Tax Notes"/>
      <sheetName val="MPR Income Statement"/>
    </sheetNames>
    <sheetDataSet>
      <sheetData sheetId="0"/>
      <sheetData sheetId="1"/>
      <sheetData sheetId="2"/>
      <sheetData sheetId="3">
        <row r="15">
          <cell r="C15" t="str">
            <v>CA - Avg.</v>
          </cell>
        </row>
      </sheetData>
      <sheetData sheetId="4"/>
      <sheetData sheetId="5"/>
      <sheetData sheetId="6"/>
      <sheetData sheetId="7"/>
      <sheetData sheetId="8"/>
      <sheetData sheetId="9"/>
      <sheetData sheetId="10"/>
      <sheetData sheetId="11"/>
      <sheetData sheetId="12">
        <row r="4">
          <cell r="G4" t="str">
            <v xml:space="preserve">PG&amp;E </v>
          </cell>
          <cell r="H4" t="str">
            <v>SCE</v>
          </cell>
          <cell r="I4" t="str">
            <v>SDG&amp;E</v>
          </cell>
          <cell r="J4" t="str">
            <v>SMUD</v>
          </cell>
          <cell r="K4" t="str">
            <v>LADWP</v>
          </cell>
          <cell r="L4" t="str">
            <v>IID</v>
          </cell>
          <cell r="M4" t="str">
            <v>CA - Avg.</v>
          </cell>
          <cell r="N4" t="str">
            <v>CPUC 2006 MPR</v>
          </cell>
          <cell r="O4" t="str">
            <v>Alternate Technologies with               No Fuel Cost</v>
          </cell>
          <cell r="P4" t="str">
            <v>Nuclear</v>
          </cell>
          <cell r="Q4" t="str">
            <v>IGCC PRB Coal Prices</v>
          </cell>
        </row>
      </sheetData>
      <sheetData sheetId="13"/>
      <sheetData sheetId="14"/>
      <sheetData sheetId="15"/>
      <sheetData sheetId="16"/>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jklein@energy.state.ca.us" TargetMode="External"/><Relationship Id="rId2" Type="http://schemas.openxmlformats.org/officeDocument/2006/relationships/hyperlink" Target="mailto:irhyne@energy.state.ca.us" TargetMode="External"/><Relationship Id="rId1" Type="http://schemas.openxmlformats.org/officeDocument/2006/relationships/hyperlink" Target="mailto:rmccann@aspeneg.com" TargetMode="External"/><Relationship Id="rId5" Type="http://schemas.openxmlformats.org/officeDocument/2006/relationships/drawing" Target="../drawings/drawing2.xml"/><Relationship Id="rId4"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1.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5.vml"/><Relationship Id="rId1" Type="http://schemas.openxmlformats.org/officeDocument/2006/relationships/drawing" Target="../drawings/drawing7.xml"/><Relationship Id="rId4" Type="http://schemas.openxmlformats.org/officeDocument/2006/relationships/image" Target="../media/image4.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6.vml"/><Relationship Id="rId1" Type="http://schemas.openxmlformats.org/officeDocument/2006/relationships/drawing" Target="../drawings/drawing8.xml"/><Relationship Id="rId4" Type="http://schemas.openxmlformats.org/officeDocument/2006/relationships/image" Target="../media/image5.emf"/></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8" Type="http://schemas.openxmlformats.org/officeDocument/2006/relationships/drawing" Target="../drawings/drawing9.xml"/><Relationship Id="rId3" Type="http://schemas.openxmlformats.org/officeDocument/2006/relationships/hyperlink" Target="http://www.treas.gov/offices/domestic-finance/debt-management/interest-rate/ltcompositeindex.shtml" TargetMode="External"/><Relationship Id="rId7" Type="http://schemas.openxmlformats.org/officeDocument/2006/relationships/printerSettings" Target="../printerSettings/printerSettings12.bin"/><Relationship Id="rId2" Type="http://schemas.openxmlformats.org/officeDocument/2006/relationships/hyperlink" Target="http://www.treas.gov/offices/domestic-finance/debt-management/interest-rate/yield.html" TargetMode="External"/><Relationship Id="rId1" Type="http://schemas.openxmlformats.org/officeDocument/2006/relationships/hyperlink" Target="http://pages.stern.nyu.edu/~adamodar/" TargetMode="External"/><Relationship Id="rId6" Type="http://schemas.openxmlformats.org/officeDocument/2006/relationships/hyperlink" Target="http://finance.yahoo.com/bonds/composite_bond_rates" TargetMode="External"/><Relationship Id="rId5" Type="http://schemas.openxmlformats.org/officeDocument/2006/relationships/hyperlink" Target="http://www.fmsbonds.com/Market_Yields/index.asp" TargetMode="External"/><Relationship Id="rId10" Type="http://schemas.openxmlformats.org/officeDocument/2006/relationships/comments" Target="../comments10.xml"/><Relationship Id="rId4" Type="http://schemas.openxmlformats.org/officeDocument/2006/relationships/hyperlink" Target="http://www.treas.gov/offices/domestic-finance/debt-management/interest-rate/real_yield.shtml" TargetMode="External"/><Relationship Id="rId9" Type="http://schemas.openxmlformats.org/officeDocument/2006/relationships/vmlDrawing" Target="../drawings/vmlDrawing14.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19.xml.rels><?xml version="1.0" encoding="UTF-8" standalone="yes"?>
<Relationships xmlns="http://schemas.openxmlformats.org/package/2006/relationships"><Relationship Id="rId3" Type="http://schemas.openxmlformats.org/officeDocument/2006/relationships/hyperlink" Target="http://www.dsireusa.org/incentives/incentive.cfm?Incentive_Code=US02F" TargetMode="External"/><Relationship Id="rId7" Type="http://schemas.openxmlformats.org/officeDocument/2006/relationships/comments" Target="../comments12.xml"/><Relationship Id="rId2" Type="http://schemas.openxmlformats.org/officeDocument/2006/relationships/hyperlink" Target="http://dsireusa.org/incentives/incentive.cfm?Incentive_Code=US13F" TargetMode="External"/><Relationship Id="rId1" Type="http://schemas.openxmlformats.org/officeDocument/2006/relationships/hyperlink" Target="http://www.law.cornell.edu/uscode/text/42/13317" TargetMode="External"/><Relationship Id="rId6" Type="http://schemas.openxmlformats.org/officeDocument/2006/relationships/vmlDrawing" Target="../drawings/vmlDrawing16.vml"/><Relationship Id="rId5" Type="http://schemas.openxmlformats.org/officeDocument/2006/relationships/printerSettings" Target="../printerSettings/printerSettings13.bin"/><Relationship Id="rId4" Type="http://schemas.openxmlformats.org/officeDocument/2006/relationships/hyperlink" Target="http://eetd.lbl.gov/ea/emp/reports/lbnl-1642e.pdf" TargetMode="External"/></Relationships>
</file>

<file path=xl/worksheets/_rels/sheet20.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omments" Target="../comments14.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20.vml"/><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21.vml"/><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22.vml"/><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4.vml"/><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22.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23.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0"/>
  </sheetPr>
  <dimension ref="D1:J30"/>
  <sheetViews>
    <sheetView tabSelected="1" zoomScale="130" zoomScaleNormal="130" workbookViewId="0">
      <selection activeCell="M12" sqref="M12"/>
    </sheetView>
  </sheetViews>
  <sheetFormatPr defaultColWidth="9.140625" defaultRowHeight="15"/>
  <cols>
    <col min="1" max="16384" width="9.140625" style="4326"/>
  </cols>
  <sheetData>
    <row r="1" spans="4:4">
      <c r="D1" s="4325"/>
    </row>
    <row r="2" spans="4:4" ht="15.75">
      <c r="D2" s="4327"/>
    </row>
    <row r="3" spans="4:4" ht="15.75">
      <c r="D3" s="4327"/>
    </row>
    <row r="4" spans="4:4">
      <c r="D4" s="4328"/>
    </row>
    <row r="5" spans="4:4">
      <c r="D5" s="4329"/>
    </row>
    <row r="6" spans="4:4">
      <c r="D6" s="4329"/>
    </row>
    <row r="8" spans="4:4">
      <c r="D8" s="4330"/>
    </row>
    <row r="9" spans="4:4">
      <c r="D9" s="4330"/>
    </row>
    <row r="10" spans="4:4">
      <c r="D10" s="4330"/>
    </row>
    <row r="11" spans="4:4">
      <c r="D11" s="4330"/>
    </row>
    <row r="12" spans="4:4">
      <c r="D12" s="4330"/>
    </row>
    <row r="13" spans="4:4">
      <c r="D13" s="4330"/>
    </row>
    <row r="14" spans="4:4">
      <c r="D14" s="4330"/>
    </row>
    <row r="15" spans="4:4">
      <c r="D15" s="4330"/>
    </row>
    <row r="16" spans="4:4">
      <c r="D16" s="4330"/>
    </row>
    <row r="18" spans="10:10" ht="18.75">
      <c r="J18" s="4331"/>
    </row>
    <row r="19" spans="10:10" ht="18.75">
      <c r="J19" s="4331"/>
    </row>
    <row r="20" spans="10:10" ht="18.75">
      <c r="J20" s="4332"/>
    </row>
    <row r="21" spans="10:10">
      <c r="J21" s="4330"/>
    </row>
    <row r="22" spans="10:10">
      <c r="J22" s="4330"/>
    </row>
    <row r="23" spans="10:10">
      <c r="J23" s="4330"/>
    </row>
    <row r="24" spans="10:10">
      <c r="J24" s="4330"/>
    </row>
    <row r="25" spans="10:10">
      <c r="J25" s="4330"/>
    </row>
    <row r="26" spans="10:10">
      <c r="J26" s="4330"/>
    </row>
    <row r="27" spans="10:10">
      <c r="J27" s="4330"/>
    </row>
    <row r="28" spans="10:10">
      <c r="J28" s="4330"/>
    </row>
    <row r="29" spans="10:10">
      <c r="J29" s="4330"/>
    </row>
    <row r="30" spans="10:10">
      <c r="J30" s="4330"/>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FFFF00"/>
    <pageSetUpPr fitToPage="1"/>
  </sheetPr>
  <dimension ref="B1:X116"/>
  <sheetViews>
    <sheetView showGridLines="0" zoomScaleNormal="100" workbookViewId="0">
      <selection activeCell="K4" sqref="K4"/>
    </sheetView>
  </sheetViews>
  <sheetFormatPr defaultColWidth="9.140625" defaultRowHeight="12.75"/>
  <cols>
    <col min="1" max="1" width="1.7109375" style="1272" customWidth="1"/>
    <col min="2" max="2" width="26.42578125" style="1272" customWidth="1"/>
    <col min="3" max="3" width="7" style="1272" customWidth="1"/>
    <col min="4" max="4" width="28.7109375" style="1272" customWidth="1"/>
    <col min="5" max="5" width="7.7109375" style="1272" customWidth="1"/>
    <col min="6" max="6" width="31.5703125" style="1272" customWidth="1"/>
    <col min="7" max="7" width="4.85546875" style="1272" customWidth="1"/>
    <col min="8" max="8" width="16.28515625" style="1272" customWidth="1"/>
    <col min="9" max="9" width="11.85546875" style="1272" customWidth="1"/>
    <col min="10" max="10" width="20" style="1272" customWidth="1"/>
    <col min="11" max="11" width="20.7109375" style="1272" customWidth="1"/>
    <col min="12" max="12" width="9.5703125" style="1272" customWidth="1"/>
    <col min="13" max="13" width="10.140625" style="1272" customWidth="1"/>
    <col min="14" max="14" width="3.28515625" style="1272" customWidth="1"/>
    <col min="15" max="15" width="6.5703125" style="1272" customWidth="1"/>
    <col min="16" max="16" width="4.85546875" style="1272" customWidth="1"/>
    <col min="17" max="17" width="6.85546875" style="1272" customWidth="1"/>
    <col min="18" max="18" width="3" style="1272" customWidth="1"/>
    <col min="19" max="19" width="6.85546875" style="1272" customWidth="1"/>
    <col min="20" max="20" width="5.42578125" style="1272" customWidth="1"/>
    <col min="21" max="21" width="8.42578125" style="1272" customWidth="1"/>
    <col min="22" max="22" width="9.140625" style="1272"/>
    <col min="23" max="23" width="10.42578125" style="1272" customWidth="1"/>
    <col min="24" max="24" width="6.7109375" style="1272" customWidth="1"/>
    <col min="25" max="25" width="14.42578125" style="1272" customWidth="1"/>
    <col min="26" max="26" width="8.85546875" style="1272" customWidth="1"/>
    <col min="27" max="27" width="27.42578125" style="1272" customWidth="1"/>
    <col min="28" max="28" width="8.85546875" style="1272" customWidth="1"/>
    <col min="29" max="29" width="26" style="1272" customWidth="1"/>
    <col min="30" max="30" width="5.140625" style="1272" customWidth="1"/>
    <col min="31" max="31" width="15.85546875" style="1272" customWidth="1"/>
    <col min="32" max="16384" width="9.140625" style="1272"/>
  </cols>
  <sheetData>
    <row r="1" spans="2:20" ht="23.25">
      <c r="B1" s="1286" t="s">
        <v>1694</v>
      </c>
      <c r="C1" s="1287"/>
      <c r="D1" s="1287"/>
      <c r="E1" s="1287"/>
      <c r="F1" s="1287"/>
      <c r="J1" s="2702" t="s">
        <v>1695</v>
      </c>
      <c r="K1" s="2703"/>
      <c r="L1" s="2703"/>
      <c r="M1" s="2704"/>
      <c r="N1" s="2565"/>
      <c r="O1" s="2243" t="s">
        <v>1672</v>
      </c>
      <c r="P1" s="2565" t="str">
        <f ca="1">MID(CELL("filename"),SEARCH("[",CELL("filename"))+1, SEARCH("]",CELL("filename"))-SEARCH("[",CELL("filename"))-1)</f>
        <v>FINAL_CEC_COG_Model_Version_3_98_ 11-12-15.xlsm</v>
      </c>
      <c r="Q1" s="2566"/>
      <c r="R1" s="117"/>
      <c r="S1" s="117"/>
      <c r="T1" s="117"/>
    </row>
    <row r="2" spans="2:20" ht="14.25" customHeight="1">
      <c r="B2" s="1271"/>
      <c r="J2" s="2705" t="s">
        <v>1671</v>
      </c>
      <c r="K2" s="2706" t="s">
        <v>2074</v>
      </c>
      <c r="L2" s="2707" t="s">
        <v>1679</v>
      </c>
      <c r="M2" s="2708"/>
      <c r="N2" s="2565"/>
      <c r="O2" s="2565"/>
      <c r="P2" s="2565"/>
      <c r="Q2" s="2566"/>
      <c r="R2" s="117"/>
      <c r="S2" s="117"/>
      <c r="T2" s="117"/>
    </row>
    <row r="3" spans="2:20" ht="15">
      <c r="B3" s="1278"/>
      <c r="C3" s="1279"/>
      <c r="D3" s="1279"/>
      <c r="E3" s="1279"/>
      <c r="F3" s="1279"/>
      <c r="G3" s="1279"/>
      <c r="H3" s="1279"/>
      <c r="I3" s="1280"/>
      <c r="J3" s="2705" t="s">
        <v>2072</v>
      </c>
      <c r="K3" s="2706" t="s">
        <v>2075</v>
      </c>
      <c r="L3" s="2707" t="s">
        <v>2073</v>
      </c>
      <c r="M3" s="2708"/>
      <c r="N3" s="2566"/>
      <c r="O3" s="2566"/>
      <c r="P3" s="2566"/>
      <c r="Q3" s="2566"/>
      <c r="R3" s="117"/>
      <c r="S3" s="117"/>
      <c r="T3" s="117"/>
    </row>
    <row r="4" spans="2:20" ht="16.5" thickBot="1">
      <c r="B4" s="3376" t="s">
        <v>1926</v>
      </c>
      <c r="C4" s="3375"/>
      <c r="D4" s="3375"/>
      <c r="E4" s="3375"/>
      <c r="F4" s="3375"/>
      <c r="G4" s="1279"/>
      <c r="H4" s="1279"/>
      <c r="I4" s="1280"/>
      <c r="J4" s="2709" t="s">
        <v>84</v>
      </c>
      <c r="K4" s="2710" t="s">
        <v>85</v>
      </c>
      <c r="L4" s="2711" t="s">
        <v>86</v>
      </c>
      <c r="M4" s="2712"/>
      <c r="N4" s="2567"/>
      <c r="O4" s="2567"/>
      <c r="P4" s="2567"/>
      <c r="Q4" s="2567"/>
    </row>
    <row r="5" spans="2:20">
      <c r="C5" s="1279"/>
      <c r="D5" s="1279"/>
      <c r="E5" s="1279"/>
      <c r="F5" s="1279"/>
      <c r="G5" s="1279"/>
      <c r="H5" s="1279"/>
      <c r="I5" s="1280"/>
    </row>
    <row r="6" spans="2:20">
      <c r="C6" s="1277"/>
    </row>
    <row r="7" spans="2:20" ht="18">
      <c r="B7" s="2140" t="s">
        <v>1494</v>
      </c>
    </row>
    <row r="8" spans="2:20" ht="15.75">
      <c r="B8" s="2139" t="s">
        <v>1925</v>
      </c>
    </row>
    <row r="9" spans="2:20" ht="15.75">
      <c r="B9" s="1273" t="s">
        <v>659</v>
      </c>
    </row>
    <row r="10" spans="2:20" ht="15">
      <c r="B10" s="1276" t="s">
        <v>592</v>
      </c>
    </row>
    <row r="11" spans="2:20" ht="15.75">
      <c r="B11" s="1273" t="s">
        <v>591</v>
      </c>
    </row>
    <row r="12" spans="2:20" ht="15">
      <c r="B12" s="1278"/>
    </row>
    <row r="20" spans="2:8" ht="16.5" customHeight="1">
      <c r="B20" s="1276"/>
    </row>
    <row r="21" spans="2:8" ht="18">
      <c r="B21" s="1271" t="s">
        <v>1151</v>
      </c>
      <c r="C21" s="1271"/>
    </row>
    <row r="22" spans="2:8" ht="9" customHeight="1"/>
    <row r="23" spans="2:8" ht="15.75" thickBot="1">
      <c r="B23" s="1281" t="s">
        <v>562</v>
      </c>
    </row>
    <row r="24" spans="2:8" ht="13.5" thickBot="1">
      <c r="B24" s="3394" t="s">
        <v>518</v>
      </c>
      <c r="C24" s="2116" t="s">
        <v>1003</v>
      </c>
      <c r="D24" s="2123"/>
      <c r="E24" s="2123"/>
      <c r="F24" s="2123"/>
      <c r="G24" s="2123"/>
      <c r="H24" s="2124"/>
    </row>
    <row r="25" spans="2:8" ht="13.5" thickBot="1">
      <c r="B25" s="2117" t="s">
        <v>965</v>
      </c>
      <c r="C25" s="2116" t="s">
        <v>73</v>
      </c>
      <c r="D25" s="2123"/>
      <c r="E25" s="2123"/>
      <c r="F25" s="2123"/>
      <c r="G25" s="2123"/>
      <c r="H25" s="2124"/>
    </row>
    <row r="26" spans="2:8" ht="13.5" thickBot="1">
      <c r="B26" s="3395" t="s">
        <v>1940</v>
      </c>
      <c r="C26" s="2116" t="s">
        <v>1942</v>
      </c>
      <c r="D26" s="2123"/>
      <c r="E26" s="2123"/>
      <c r="F26" s="2123"/>
      <c r="G26" s="2123"/>
      <c r="H26" s="2124"/>
    </row>
    <row r="27" spans="2:8" ht="26.25" customHeight="1" thickBot="1">
      <c r="B27" s="3395" t="s">
        <v>1630</v>
      </c>
      <c r="C27" s="4427" t="s">
        <v>2030</v>
      </c>
      <c r="D27" s="4428"/>
      <c r="E27" s="4428"/>
      <c r="F27" s="4428"/>
      <c r="G27" s="4428"/>
      <c r="H27" s="4429"/>
    </row>
    <row r="28" spans="2:8" ht="27" customHeight="1" thickBot="1">
      <c r="B28" s="3395" t="s">
        <v>1941</v>
      </c>
      <c r="C28" s="4427" t="s">
        <v>2029</v>
      </c>
      <c r="D28" s="4428"/>
      <c r="E28" s="4428"/>
      <c r="F28" s="4428"/>
      <c r="G28" s="4428"/>
      <c r="H28" s="4429"/>
    </row>
    <row r="29" spans="2:8" ht="14.25" customHeight="1" thickBot="1">
      <c r="B29" s="3395" t="s">
        <v>1547</v>
      </c>
      <c r="C29" s="2116" t="s">
        <v>1943</v>
      </c>
      <c r="D29" s="2123"/>
      <c r="E29" s="2123"/>
      <c r="F29" s="2123"/>
      <c r="G29" s="2123"/>
      <c r="H29" s="2124"/>
    </row>
    <row r="30" spans="2:8" ht="13.5" thickBot="1">
      <c r="B30" s="3395" t="s">
        <v>1597</v>
      </c>
      <c r="C30" s="2116" t="s">
        <v>1944</v>
      </c>
      <c r="D30" s="2123"/>
      <c r="E30" s="2123"/>
      <c r="F30" s="2123"/>
      <c r="G30" s="2123"/>
      <c r="H30" s="2124"/>
    </row>
    <row r="31" spans="2:8" ht="13.5" thickBot="1">
      <c r="B31" s="3396" t="s">
        <v>72</v>
      </c>
      <c r="C31" s="2116" t="s">
        <v>1945</v>
      </c>
      <c r="D31" s="2123"/>
      <c r="E31" s="2123"/>
      <c r="F31" s="2123"/>
      <c r="G31" s="2123"/>
      <c r="H31" s="2124"/>
    </row>
    <row r="32" spans="2:8" ht="13.5" thickBot="1">
      <c r="B32" s="3392" t="s">
        <v>1746</v>
      </c>
      <c r="C32" s="2116" t="s">
        <v>1939</v>
      </c>
      <c r="D32" s="2123"/>
      <c r="E32" s="2123"/>
      <c r="F32" s="2123"/>
      <c r="G32" s="2123"/>
      <c r="H32" s="2124"/>
    </row>
    <row r="33" spans="2:12" ht="13.5" thickBot="1">
      <c r="B33" s="3392" t="s">
        <v>1646</v>
      </c>
      <c r="C33" s="2116" t="s">
        <v>1938</v>
      </c>
      <c r="D33" s="2123"/>
      <c r="E33" s="2123"/>
      <c r="F33" s="2123"/>
      <c r="G33" s="2123"/>
      <c r="H33" s="2124"/>
    </row>
    <row r="34" spans="2:12" ht="13.5" thickBot="1">
      <c r="B34" s="3392" t="s">
        <v>1667</v>
      </c>
      <c r="C34" s="3393" t="s">
        <v>1936</v>
      </c>
      <c r="D34" s="2123"/>
      <c r="E34" s="2123"/>
      <c r="F34" s="2123"/>
      <c r="G34" s="2123"/>
      <c r="H34" s="2124"/>
    </row>
    <row r="35" spans="2:12" ht="13.5" thickBot="1">
      <c r="B35" s="3392" t="s">
        <v>1800</v>
      </c>
      <c r="C35" s="3393" t="s">
        <v>1937</v>
      </c>
      <c r="D35" s="2123"/>
      <c r="E35" s="2123"/>
      <c r="F35" s="2123"/>
      <c r="G35" s="2123"/>
      <c r="H35" s="2124"/>
    </row>
    <row r="36" spans="2:12" ht="13.5" thickBot="1">
      <c r="B36" s="2118" t="s">
        <v>75</v>
      </c>
      <c r="C36" s="373" t="s">
        <v>76</v>
      </c>
      <c r="D36" s="2123"/>
      <c r="E36" s="2123"/>
      <c r="F36" s="2123"/>
      <c r="G36" s="2123"/>
      <c r="H36" s="2124"/>
      <c r="J36" s="3397"/>
      <c r="K36" s="2335"/>
      <c r="L36" s="1282"/>
    </row>
    <row r="37" spans="2:12" ht="13.5" thickBot="1">
      <c r="B37" s="3398" t="s">
        <v>1946</v>
      </c>
      <c r="C37" s="2116" t="s">
        <v>74</v>
      </c>
      <c r="D37" s="1283"/>
      <c r="E37" s="1283"/>
      <c r="F37" s="1283"/>
      <c r="G37" s="1283"/>
      <c r="H37" s="2125"/>
    </row>
    <row r="38" spans="2:12" ht="13.5" thickBot="1">
      <c r="B38" s="2121" t="s">
        <v>1150</v>
      </c>
      <c r="C38" s="2116" t="s">
        <v>2047</v>
      </c>
      <c r="D38" s="2123"/>
      <c r="E38" s="2123"/>
      <c r="F38" s="2123"/>
      <c r="G38" s="2123"/>
      <c r="H38" s="2124"/>
      <c r="L38" s="1283"/>
    </row>
    <row r="39" spans="2:12" ht="13.5" thickBot="1">
      <c r="B39" s="2120" t="s">
        <v>388</v>
      </c>
      <c r="C39" s="2116" t="s">
        <v>538</v>
      </c>
      <c r="D39" s="1283"/>
      <c r="E39" s="1283"/>
      <c r="F39" s="1283"/>
      <c r="G39" s="1283"/>
      <c r="H39" s="2125"/>
      <c r="L39" s="1283"/>
    </row>
    <row r="40" spans="2:12" ht="13.5" thickBot="1">
      <c r="B40" s="2120" t="s">
        <v>1924</v>
      </c>
      <c r="C40" s="2116" t="s">
        <v>1947</v>
      </c>
      <c r="D40" s="2123"/>
      <c r="E40" s="2123"/>
      <c r="F40" s="2123"/>
      <c r="G40" s="2123"/>
      <c r="H40" s="2124"/>
      <c r="L40" s="1283"/>
    </row>
    <row r="41" spans="2:12" ht="13.5" thickBot="1">
      <c r="B41" s="2120" t="s">
        <v>106</v>
      </c>
      <c r="C41" s="2116" t="s">
        <v>1948</v>
      </c>
      <c r="D41" s="2123"/>
      <c r="E41" s="2123"/>
      <c r="F41" s="2123"/>
      <c r="G41" s="2123"/>
      <c r="H41" s="2124"/>
      <c r="L41" s="1283"/>
    </row>
    <row r="42" spans="2:12" ht="13.5" thickBot="1">
      <c r="B42" s="3399" t="s">
        <v>1424</v>
      </c>
      <c r="C42" s="2116" t="s">
        <v>2043</v>
      </c>
      <c r="D42" s="2123"/>
      <c r="E42" s="2123"/>
      <c r="F42" s="2123"/>
      <c r="G42" s="2123"/>
      <c r="H42" s="2124"/>
      <c r="L42" s="1283"/>
    </row>
    <row r="43" spans="2:12" ht="13.5" thickBot="1">
      <c r="B43" s="2122" t="s">
        <v>345</v>
      </c>
      <c r="C43" s="2116" t="s">
        <v>1949</v>
      </c>
      <c r="D43" s="2123"/>
      <c r="E43" s="2123"/>
      <c r="F43" s="2123"/>
      <c r="G43" s="2123"/>
      <c r="H43" s="2124"/>
      <c r="L43" s="1283"/>
    </row>
    <row r="44" spans="2:12" ht="13.5" thickBot="1">
      <c r="B44" s="2122" t="s">
        <v>1877</v>
      </c>
      <c r="C44" s="2116" t="s">
        <v>539</v>
      </c>
      <c r="D44" s="2123"/>
      <c r="E44" s="2123"/>
      <c r="F44" s="2123"/>
      <c r="G44" s="2123"/>
      <c r="H44" s="2124"/>
      <c r="L44" s="1283"/>
    </row>
    <row r="45" spans="2:12" ht="13.5" thickBot="1">
      <c r="B45" s="2122" t="s">
        <v>1866</v>
      </c>
      <c r="C45" s="12" t="s">
        <v>82</v>
      </c>
      <c r="D45" s="2123"/>
      <c r="E45" s="2123"/>
      <c r="F45" s="2123"/>
      <c r="G45" s="2123"/>
      <c r="H45" s="2124"/>
      <c r="L45" s="1283"/>
    </row>
    <row r="46" spans="2:12" ht="13.5" thickBot="1">
      <c r="B46" s="2122" t="s">
        <v>1867</v>
      </c>
      <c r="C46" s="2116" t="s">
        <v>1951</v>
      </c>
      <c r="D46" s="2123"/>
      <c r="E46" s="2123"/>
      <c r="F46" s="2123"/>
      <c r="G46" s="2123"/>
      <c r="H46" s="2124"/>
    </row>
    <row r="47" spans="2:12" ht="13.5" thickBot="1">
      <c r="B47" s="2119" t="s">
        <v>1249</v>
      </c>
      <c r="C47" s="2116" t="s">
        <v>77</v>
      </c>
      <c r="D47" s="2123"/>
      <c r="E47" s="2123"/>
      <c r="F47" s="2123"/>
      <c r="G47" s="2123"/>
      <c r="H47" s="2124"/>
    </row>
    <row r="48" spans="2:12" ht="13.5" thickBot="1">
      <c r="B48" s="2119" t="s">
        <v>2044</v>
      </c>
      <c r="C48" s="373" t="s">
        <v>2045</v>
      </c>
      <c r="D48" s="2123"/>
      <c r="E48" s="2123"/>
      <c r="F48" s="2123"/>
      <c r="G48" s="2123"/>
      <c r="H48" s="2124"/>
    </row>
    <row r="49" spans="2:11" ht="13.5" thickBot="1">
      <c r="B49" s="2119" t="s">
        <v>78</v>
      </c>
      <c r="C49" s="3393" t="s">
        <v>79</v>
      </c>
      <c r="D49" s="2123" t="s">
        <v>1950</v>
      </c>
      <c r="E49" s="1283"/>
      <c r="F49" s="1283"/>
      <c r="G49" s="1283"/>
      <c r="H49" s="2125"/>
    </row>
    <row r="50" spans="2:11" ht="13.5" thickBot="1">
      <c r="B50" s="2119" t="s">
        <v>80</v>
      </c>
      <c r="C50" s="2116" t="s">
        <v>81</v>
      </c>
      <c r="D50" s="2123"/>
      <c r="E50" s="2123"/>
      <c r="F50" s="2123"/>
      <c r="G50" s="2123"/>
      <c r="H50" s="2124"/>
    </row>
    <row r="51" spans="2:11" ht="13.5" thickBot="1">
      <c r="B51" s="2121" t="s">
        <v>1053</v>
      </c>
      <c r="C51" s="2116" t="s">
        <v>82</v>
      </c>
      <c r="D51" s="2123"/>
      <c r="E51" s="1283"/>
      <c r="F51" s="1283"/>
      <c r="G51" s="1283"/>
      <c r="H51" s="2125"/>
    </row>
    <row r="52" spans="2:11" ht="13.5" thickBot="1">
      <c r="B52" s="2121" t="s">
        <v>346</v>
      </c>
      <c r="C52" s="2116" t="s">
        <v>540</v>
      </c>
      <c r="D52" s="3401"/>
      <c r="E52" s="2123"/>
      <c r="F52" s="2123"/>
      <c r="G52" s="2123"/>
      <c r="H52" s="2124"/>
    </row>
    <row r="53" spans="2:11" ht="13.5" thickBot="1">
      <c r="B53" s="3400" t="s">
        <v>574</v>
      </c>
      <c r="C53" s="2116" t="s">
        <v>2046</v>
      </c>
      <c r="D53" s="3401"/>
      <c r="E53" s="2123"/>
      <c r="F53" s="2123"/>
      <c r="G53" s="2123"/>
      <c r="H53" s="2124"/>
    </row>
    <row r="55" spans="2:11" ht="15">
      <c r="B55" s="1281"/>
    </row>
    <row r="56" spans="2:11" ht="15.75" customHeight="1">
      <c r="C56" s="1283"/>
      <c r="D56" s="1283"/>
      <c r="E56" s="1283"/>
      <c r="F56" s="1283"/>
    </row>
    <row r="57" spans="2:11" ht="123" customHeight="1">
      <c r="B57" s="4425" t="s">
        <v>1933</v>
      </c>
      <c r="C57" s="4425"/>
      <c r="D57" s="4425"/>
      <c r="E57" s="4425"/>
      <c r="F57" s="4425"/>
      <c r="G57" s="4425"/>
      <c r="H57" s="4425"/>
      <c r="I57" s="4425"/>
      <c r="J57" s="4425"/>
    </row>
    <row r="58" spans="2:11" ht="15" customHeight="1">
      <c r="B58" s="1274"/>
      <c r="C58" s="1275"/>
      <c r="D58" s="1274"/>
      <c r="E58" s="1274"/>
      <c r="F58" s="1274"/>
      <c r="G58" s="1275"/>
      <c r="H58" s="1275"/>
      <c r="I58" s="1275"/>
      <c r="J58" s="1275"/>
    </row>
    <row r="59" spans="2:11" ht="27.75" customHeight="1" thickBot="1">
      <c r="B59" s="4426" t="s">
        <v>1934</v>
      </c>
      <c r="C59" s="4426"/>
      <c r="D59" s="4426"/>
      <c r="E59" s="4426"/>
      <c r="F59" s="4426"/>
      <c r="G59" s="4426"/>
      <c r="H59" s="4426"/>
      <c r="I59" s="4426"/>
      <c r="J59" s="2167"/>
      <c r="K59" s="1275"/>
    </row>
    <row r="60" spans="2:11" ht="24" customHeight="1">
      <c r="B60" s="2444"/>
      <c r="C60" s="2445"/>
      <c r="D60" s="2445"/>
      <c r="E60" s="2445"/>
      <c r="F60" s="2445"/>
      <c r="G60" s="2445"/>
      <c r="H60" s="2445"/>
      <c r="I60" s="2445"/>
      <c r="J60" s="2445"/>
      <c r="K60" s="2446"/>
    </row>
    <row r="61" spans="2:11" s="1282" customFormat="1" ht="15" customHeight="1">
      <c r="B61" s="2447"/>
      <c r="C61" s="2448"/>
      <c r="D61" s="2448"/>
      <c r="E61" s="2448"/>
      <c r="F61" s="2448"/>
      <c r="G61" s="2448"/>
      <c r="H61" s="2448"/>
      <c r="I61" s="2448"/>
      <c r="J61" s="2448"/>
      <c r="K61" s="2449"/>
    </row>
    <row r="62" spans="2:11" s="1282" customFormat="1" ht="13.5" customHeight="1">
      <c r="B62" s="2447"/>
      <c r="C62" s="2448"/>
      <c r="D62" s="2448"/>
      <c r="E62" s="2448"/>
      <c r="F62" s="2448"/>
      <c r="G62" s="2448"/>
      <c r="H62" s="2448"/>
      <c r="I62" s="2448"/>
      <c r="J62" s="2448"/>
      <c r="K62" s="2449"/>
    </row>
    <row r="63" spans="2:11" s="1282" customFormat="1" ht="17.25" customHeight="1">
      <c r="B63" s="2447"/>
      <c r="C63" s="2448"/>
      <c r="D63" s="2448"/>
      <c r="E63" s="2448"/>
      <c r="F63" s="2448"/>
      <c r="G63" s="2448"/>
      <c r="H63" s="2448"/>
      <c r="I63" s="2448"/>
      <c r="J63" s="2448"/>
      <c r="K63" s="2449"/>
    </row>
    <row r="64" spans="2:11" s="1282" customFormat="1" ht="18" customHeight="1">
      <c r="B64" s="2447"/>
      <c r="C64" s="2448"/>
      <c r="D64" s="2448"/>
      <c r="E64" s="2448"/>
      <c r="F64" s="2448"/>
      <c r="G64" s="2448"/>
      <c r="H64" s="2448"/>
      <c r="I64" s="2448"/>
      <c r="J64" s="2448"/>
      <c r="K64" s="2449"/>
    </row>
    <row r="65" spans="2:11" s="1282" customFormat="1" ht="18" customHeight="1">
      <c r="B65" s="2447"/>
      <c r="C65" s="2448"/>
      <c r="D65" s="2448"/>
      <c r="E65" s="2448"/>
      <c r="F65" s="2448"/>
      <c r="G65" s="2448"/>
      <c r="H65" s="2448"/>
      <c r="I65" s="2448"/>
      <c r="J65" s="2448"/>
      <c r="K65" s="2449"/>
    </row>
    <row r="66" spans="2:11" s="1282" customFormat="1" ht="18.75" customHeight="1">
      <c r="B66" s="2447"/>
      <c r="C66" s="2448"/>
      <c r="D66" s="2448"/>
      <c r="E66" s="2448"/>
      <c r="F66" s="2448"/>
      <c r="G66" s="2448"/>
      <c r="H66" s="2448"/>
      <c r="I66" s="2448"/>
      <c r="J66" s="2448"/>
      <c r="K66" s="2449"/>
    </row>
    <row r="67" spans="2:11" s="1282" customFormat="1" ht="15.75" customHeight="1">
      <c r="B67" s="2447"/>
      <c r="C67" s="2448"/>
      <c r="D67" s="2448"/>
      <c r="E67" s="2448"/>
      <c r="F67" s="2448"/>
      <c r="G67" s="2448"/>
      <c r="H67" s="2448"/>
      <c r="I67" s="2448"/>
      <c r="J67" s="2448"/>
      <c r="K67" s="2449"/>
    </row>
    <row r="68" spans="2:11" s="1282" customFormat="1" ht="15" customHeight="1">
      <c r="B68" s="2447"/>
      <c r="C68" s="2448"/>
      <c r="D68" s="2448"/>
      <c r="E68" s="2448"/>
      <c r="F68" s="2448"/>
      <c r="G68" s="2448"/>
      <c r="H68" s="2448"/>
      <c r="I68" s="2448"/>
      <c r="J68" s="2448"/>
      <c r="K68" s="2449"/>
    </row>
    <row r="69" spans="2:11" s="1282" customFormat="1" ht="18.75" customHeight="1">
      <c r="B69" s="2447"/>
      <c r="C69" s="2448"/>
      <c r="D69" s="2448"/>
      <c r="E69" s="2448"/>
      <c r="F69" s="2448"/>
      <c r="G69" s="2448"/>
      <c r="H69" s="2448"/>
      <c r="I69" s="2448"/>
      <c r="J69" s="2448"/>
      <c r="K69" s="2449"/>
    </row>
    <row r="70" spans="2:11" s="1282" customFormat="1" ht="16.5" customHeight="1">
      <c r="B70" s="2447"/>
      <c r="C70" s="2448"/>
      <c r="D70" s="2448"/>
      <c r="E70" s="2448"/>
      <c r="F70" s="2448"/>
      <c r="G70" s="2448"/>
      <c r="H70" s="2448"/>
      <c r="I70" s="2448"/>
      <c r="J70" s="2448"/>
      <c r="K70" s="2449"/>
    </row>
    <row r="71" spans="2:11" s="1282" customFormat="1" ht="15" customHeight="1">
      <c r="B71" s="2447"/>
      <c r="C71" s="2448"/>
      <c r="D71" s="2448"/>
      <c r="E71" s="2448"/>
      <c r="F71" s="2448"/>
      <c r="G71" s="2448"/>
      <c r="H71" s="2448"/>
      <c r="I71" s="2448"/>
      <c r="J71" s="2448"/>
      <c r="K71" s="2449"/>
    </row>
    <row r="72" spans="2:11" s="1282" customFormat="1" ht="15" customHeight="1">
      <c r="B72" s="2447"/>
      <c r="C72" s="2448"/>
      <c r="D72" s="2448"/>
      <c r="E72" s="2448"/>
      <c r="F72" s="2448"/>
      <c r="G72" s="2448"/>
      <c r="H72" s="2448"/>
      <c r="I72" s="2448"/>
      <c r="J72" s="2448"/>
      <c r="K72" s="2449"/>
    </row>
    <row r="73" spans="2:11" s="1282" customFormat="1" ht="15.75" customHeight="1">
      <c r="B73" s="2447"/>
      <c r="C73" s="2448"/>
      <c r="D73" s="2448"/>
      <c r="E73" s="2448"/>
      <c r="F73" s="2448"/>
      <c r="G73" s="2448"/>
      <c r="H73" s="2448"/>
      <c r="I73" s="2448"/>
      <c r="J73" s="2448"/>
      <c r="K73" s="2449"/>
    </row>
    <row r="74" spans="2:11" s="1282" customFormat="1" ht="15.75" customHeight="1">
      <c r="B74" s="2447"/>
      <c r="C74" s="2448"/>
      <c r="D74" s="2448"/>
      <c r="E74" s="2448"/>
      <c r="F74" s="2448"/>
      <c r="G74" s="2448"/>
      <c r="H74" s="2448"/>
      <c r="I74" s="2448"/>
      <c r="J74" s="2448"/>
      <c r="K74" s="2449"/>
    </row>
    <row r="75" spans="2:11" s="1282" customFormat="1" ht="13.5" customHeight="1">
      <c r="B75" s="2447"/>
      <c r="C75" s="2448"/>
      <c r="D75" s="2448"/>
      <c r="E75" s="2448"/>
      <c r="F75" s="2448"/>
      <c r="G75" s="2448"/>
      <c r="H75" s="2448"/>
      <c r="I75" s="2448"/>
      <c r="J75" s="2448"/>
      <c r="K75" s="2449"/>
    </row>
    <row r="76" spans="2:11" s="1282" customFormat="1" ht="19.5" customHeight="1">
      <c r="B76" s="2447"/>
      <c r="C76" s="2448"/>
      <c r="D76" s="2448"/>
      <c r="E76" s="2448"/>
      <c r="F76" s="2448"/>
      <c r="G76" s="2448"/>
      <c r="H76" s="2448"/>
      <c r="I76" s="2448"/>
      <c r="J76" s="2448"/>
      <c r="K76" s="2449"/>
    </row>
    <row r="77" spans="2:11" s="1282" customFormat="1" ht="21" customHeight="1">
      <c r="B77" s="2447"/>
      <c r="C77" s="2448"/>
      <c r="D77" s="2448"/>
      <c r="E77" s="2448"/>
      <c r="F77" s="2448"/>
      <c r="G77" s="2448"/>
      <c r="H77" s="2448"/>
      <c r="I77" s="2448"/>
      <c r="J77" s="2448"/>
      <c r="K77" s="2449"/>
    </row>
    <row r="78" spans="2:11" s="1282" customFormat="1" ht="16.5" customHeight="1">
      <c r="B78" s="2447"/>
      <c r="C78" s="2448"/>
      <c r="D78" s="2448"/>
      <c r="E78" s="2448"/>
      <c r="F78" s="2448"/>
      <c r="G78" s="2448"/>
      <c r="H78" s="2448"/>
      <c r="I78" s="2448"/>
      <c r="J78" s="2448"/>
      <c r="K78" s="2449"/>
    </row>
    <row r="79" spans="2:11" s="1282" customFormat="1" ht="16.5" customHeight="1" thickBot="1">
      <c r="B79" s="2450"/>
      <c r="C79" s="2451"/>
      <c r="D79" s="2451"/>
      <c r="E79" s="2451"/>
      <c r="F79" s="2451"/>
      <c r="G79" s="2451"/>
      <c r="H79" s="2451"/>
      <c r="I79" s="2451"/>
      <c r="J79" s="2451"/>
      <c r="K79" s="2452"/>
    </row>
    <row r="80" spans="2:11" s="1282" customFormat="1" ht="16.5" customHeight="1">
      <c r="B80" s="1284"/>
      <c r="D80" s="1285"/>
    </row>
    <row r="82" spans="2:24" ht="13.5" thickBot="1"/>
    <row r="83" spans="2:24" ht="15">
      <c r="B83" s="2431"/>
      <c r="C83" s="2432"/>
      <c r="D83" s="2432"/>
      <c r="E83" s="2432"/>
      <c r="F83" s="2432"/>
      <c r="G83" s="2432"/>
      <c r="H83" s="2432"/>
      <c r="I83" s="2432"/>
      <c r="J83" s="2432"/>
      <c r="K83" s="2432"/>
      <c r="L83" s="2432"/>
      <c r="M83" s="2432"/>
      <c r="N83" s="2432"/>
      <c r="O83" s="2432"/>
      <c r="P83" s="2432"/>
      <c r="Q83" s="2432"/>
      <c r="R83" s="2432"/>
      <c r="S83" s="2432"/>
      <c r="T83" s="2432"/>
      <c r="U83" s="2432"/>
      <c r="V83" s="2432"/>
      <c r="W83" s="2432"/>
      <c r="X83" s="2433"/>
    </row>
    <row r="84" spans="2:24" ht="15">
      <c r="B84" s="2434"/>
      <c r="C84" s="2435"/>
      <c r="D84" s="2435"/>
      <c r="E84" s="2435"/>
      <c r="F84" s="2435"/>
      <c r="G84" s="2435"/>
      <c r="H84" s="2435"/>
      <c r="I84" s="2435"/>
      <c r="J84" s="2435"/>
      <c r="K84" s="2435"/>
      <c r="L84" s="2435"/>
      <c r="M84" s="2435"/>
      <c r="N84" s="2435"/>
      <c r="O84" s="2435"/>
      <c r="P84" s="2435"/>
      <c r="Q84" s="2435"/>
      <c r="R84" s="2435"/>
      <c r="S84" s="2435"/>
      <c r="T84" s="2435"/>
      <c r="U84" s="2435"/>
      <c r="V84" s="2435"/>
      <c r="W84" s="2435"/>
      <c r="X84" s="2436"/>
    </row>
    <row r="85" spans="2:24" ht="15">
      <c r="B85" s="2434"/>
      <c r="C85" s="2435"/>
      <c r="D85" s="2435"/>
      <c r="E85" s="2435"/>
      <c r="F85" s="2435"/>
      <c r="G85" s="2435"/>
      <c r="H85" s="2435"/>
      <c r="I85" s="2435"/>
      <c r="J85" s="2435"/>
      <c r="K85" s="2435"/>
      <c r="L85" s="2435"/>
      <c r="M85" s="2435"/>
      <c r="N85" s="2435"/>
      <c r="O85" s="2435"/>
      <c r="P85" s="2435"/>
      <c r="Q85" s="2435"/>
      <c r="R85" s="2435"/>
      <c r="S85" s="2435"/>
      <c r="T85" s="2435"/>
      <c r="U85" s="2435"/>
      <c r="V85" s="2435"/>
      <c r="W85" s="2435"/>
      <c r="X85" s="2436"/>
    </row>
    <row r="86" spans="2:24" ht="15">
      <c r="B86" s="2434"/>
      <c r="C86" s="2435"/>
      <c r="D86" s="2435"/>
      <c r="E86" s="2435"/>
      <c r="F86" s="2435"/>
      <c r="G86" s="2435"/>
      <c r="H86" s="2435"/>
      <c r="I86" s="2435"/>
      <c r="J86" s="2435"/>
      <c r="K86" s="2435"/>
      <c r="L86" s="2435"/>
      <c r="M86" s="2435"/>
      <c r="N86" s="2435"/>
      <c r="O86" s="2435"/>
      <c r="P86" s="2435"/>
      <c r="Q86" s="2435"/>
      <c r="R86" s="2435"/>
      <c r="S86" s="2435"/>
      <c r="T86" s="2435"/>
      <c r="U86" s="2435"/>
      <c r="V86" s="2435"/>
      <c r="W86" s="2435"/>
      <c r="X86" s="2436"/>
    </row>
    <row r="87" spans="2:24" ht="18.75">
      <c r="B87" s="2440"/>
      <c r="C87" s="2441"/>
      <c r="D87" s="2441"/>
      <c r="E87" s="2435"/>
      <c r="F87" s="2435"/>
      <c r="G87" s="2435"/>
      <c r="H87" s="2435"/>
      <c r="I87" s="2435"/>
      <c r="J87" s="2435"/>
      <c r="K87" s="2435"/>
      <c r="L87" s="2435"/>
      <c r="M87" s="2435"/>
      <c r="N87" s="2435"/>
      <c r="O87" s="2435"/>
      <c r="P87" s="2435"/>
      <c r="Q87" s="2435"/>
      <c r="R87" s="2435"/>
      <c r="S87" s="2435"/>
      <c r="T87" s="2435"/>
      <c r="U87" s="2435"/>
      <c r="V87" s="2435"/>
      <c r="W87" s="2435"/>
      <c r="X87" s="2436"/>
    </row>
    <row r="88" spans="2:24" ht="18.75">
      <c r="B88" s="2440"/>
      <c r="C88" s="2441"/>
      <c r="D88" s="2441"/>
      <c r="E88" s="2435"/>
      <c r="F88" s="2435"/>
      <c r="G88" s="2435"/>
      <c r="H88" s="2435"/>
      <c r="I88" s="2435"/>
      <c r="J88" s="2435"/>
      <c r="K88" s="2435"/>
      <c r="L88" s="2435"/>
      <c r="M88" s="2435"/>
      <c r="N88" s="2435"/>
      <c r="O88" s="2435"/>
      <c r="P88" s="2435"/>
      <c r="Q88" s="2435"/>
      <c r="R88" s="2435"/>
      <c r="S88" s="2435"/>
      <c r="T88" s="2435"/>
      <c r="U88" s="2435"/>
      <c r="V88" s="2435"/>
      <c r="W88" s="2435"/>
      <c r="X88" s="2436"/>
    </row>
    <row r="89" spans="2:24" ht="18.75">
      <c r="B89" s="2440"/>
      <c r="C89" s="2441"/>
      <c r="D89" s="2441"/>
      <c r="E89" s="2435"/>
      <c r="F89" s="2435"/>
      <c r="G89" s="2435"/>
      <c r="H89" s="2435"/>
      <c r="I89" s="2435"/>
      <c r="J89" s="2435"/>
      <c r="K89" s="2435"/>
      <c r="L89" s="2435"/>
      <c r="M89" s="2435"/>
      <c r="N89" s="2435"/>
      <c r="O89" s="2435"/>
      <c r="P89" s="2435"/>
      <c r="Q89" s="2435"/>
      <c r="R89" s="2435"/>
      <c r="S89" s="2435"/>
      <c r="T89" s="2435"/>
      <c r="U89" s="2435"/>
      <c r="V89" s="2435"/>
      <c r="W89" s="2435"/>
      <c r="X89" s="2436"/>
    </row>
    <row r="90" spans="2:24" ht="18.75">
      <c r="B90" s="2440"/>
      <c r="C90" s="2441"/>
      <c r="D90" s="2441"/>
      <c r="E90" s="2435"/>
      <c r="F90" s="2435"/>
      <c r="G90" s="2435"/>
      <c r="H90" s="2435"/>
      <c r="I90" s="2435"/>
      <c r="J90" s="2435"/>
      <c r="K90" s="2435"/>
      <c r="L90" s="2435"/>
      <c r="M90" s="2435"/>
      <c r="N90" s="2435"/>
      <c r="O90" s="2435"/>
      <c r="P90" s="2435"/>
      <c r="Q90" s="2435"/>
      <c r="R90" s="2435"/>
      <c r="S90" s="2435"/>
      <c r="T90" s="2435"/>
      <c r="U90" s="2435"/>
      <c r="V90" s="2435"/>
      <c r="W90" s="2435"/>
      <c r="X90" s="2436"/>
    </row>
    <row r="91" spans="2:24" ht="18.75">
      <c r="B91" s="2440"/>
      <c r="C91" s="2441"/>
      <c r="D91" s="2441"/>
      <c r="E91" s="2435"/>
      <c r="F91" s="2435"/>
      <c r="G91" s="2435"/>
      <c r="H91" s="2435"/>
      <c r="I91" s="2435"/>
      <c r="J91" s="2435"/>
      <c r="K91" s="2435"/>
      <c r="L91" s="2435"/>
      <c r="M91" s="2435"/>
      <c r="N91" s="2435"/>
      <c r="O91" s="2435"/>
      <c r="P91" s="2435"/>
      <c r="Q91" s="2435"/>
      <c r="R91" s="2435"/>
      <c r="S91" s="2435"/>
      <c r="T91" s="2435"/>
      <c r="U91" s="2435"/>
      <c r="V91" s="2435"/>
      <c r="W91" s="2435"/>
      <c r="X91" s="2436"/>
    </row>
    <row r="92" spans="2:24" ht="18.75">
      <c r="B92" s="2440"/>
      <c r="C92" s="2441"/>
      <c r="D92" s="2441"/>
      <c r="E92" s="2435"/>
      <c r="F92" s="2435"/>
      <c r="G92" s="2435"/>
      <c r="H92" s="2435"/>
      <c r="I92" s="2435"/>
      <c r="J92" s="2435"/>
      <c r="K92" s="2435"/>
      <c r="L92" s="2435"/>
      <c r="M92" s="2435"/>
      <c r="N92" s="2435"/>
      <c r="O92" s="2435"/>
      <c r="P92" s="2435"/>
      <c r="Q92" s="2435"/>
      <c r="R92" s="2435"/>
      <c r="S92" s="2435"/>
      <c r="T92" s="2435"/>
      <c r="U92" s="2435"/>
      <c r="V92" s="2435"/>
      <c r="W92" s="2435"/>
      <c r="X92" s="2436"/>
    </row>
    <row r="93" spans="2:24" ht="18.75">
      <c r="B93" s="2440"/>
      <c r="C93" s="2441"/>
      <c r="D93" s="2441"/>
      <c r="E93" s="2435"/>
      <c r="F93" s="2435"/>
      <c r="G93" s="2435"/>
      <c r="H93" s="2435"/>
      <c r="I93" s="2435"/>
      <c r="J93" s="2435"/>
      <c r="K93" s="2435"/>
      <c r="L93" s="2435"/>
      <c r="M93" s="2435"/>
      <c r="N93" s="2435"/>
      <c r="O93" s="2435"/>
      <c r="P93" s="2435"/>
      <c r="Q93" s="2435"/>
      <c r="R93" s="2435"/>
      <c r="S93" s="2435"/>
      <c r="T93" s="2435"/>
      <c r="U93" s="2435"/>
      <c r="V93" s="2435"/>
      <c r="W93" s="2435"/>
      <c r="X93" s="2436"/>
    </row>
    <row r="94" spans="2:24" ht="18.75">
      <c r="B94" s="2440"/>
      <c r="C94" s="2441"/>
      <c r="D94" s="2441"/>
      <c r="E94" s="2435"/>
      <c r="F94" s="2435"/>
      <c r="G94" s="2435"/>
      <c r="H94" s="2435"/>
      <c r="I94" s="2435"/>
      <c r="J94" s="2435"/>
      <c r="K94" s="2435"/>
      <c r="L94" s="2435"/>
      <c r="M94" s="2435"/>
      <c r="N94" s="2435"/>
      <c r="O94" s="2435"/>
      <c r="P94" s="2435"/>
      <c r="Q94" s="2435"/>
      <c r="R94" s="2435"/>
      <c r="S94" s="2435"/>
      <c r="T94" s="2435"/>
      <c r="U94" s="2435"/>
      <c r="V94" s="2435"/>
      <c r="W94" s="2435"/>
      <c r="X94" s="2436"/>
    </row>
    <row r="95" spans="2:24" ht="18.75">
      <c r="B95" s="2440"/>
      <c r="C95" s="2441"/>
      <c r="D95" s="2441"/>
      <c r="E95" s="2435"/>
      <c r="F95" s="2435"/>
      <c r="G95" s="2435"/>
      <c r="H95" s="2435"/>
      <c r="I95" s="2435"/>
      <c r="J95" s="2435"/>
      <c r="K95" s="2435"/>
      <c r="L95" s="2435"/>
      <c r="M95" s="2435"/>
      <c r="N95" s="2435"/>
      <c r="O95" s="2435"/>
      <c r="P95" s="2435"/>
      <c r="Q95" s="2435"/>
      <c r="R95" s="2435"/>
      <c r="S95" s="2435"/>
      <c r="T95" s="2435"/>
      <c r="U95" s="2435"/>
      <c r="V95" s="2435"/>
      <c r="W95" s="2435"/>
      <c r="X95" s="2436"/>
    </row>
    <row r="96" spans="2:24" ht="18.75">
      <c r="B96" s="2440"/>
      <c r="C96" s="2441"/>
      <c r="D96" s="2441"/>
      <c r="E96" s="2435"/>
      <c r="F96" s="2435"/>
      <c r="G96" s="2435"/>
      <c r="H96" s="2435"/>
      <c r="I96" s="2435"/>
      <c r="J96" s="2435"/>
      <c r="K96" s="2435"/>
      <c r="L96" s="2435"/>
      <c r="M96" s="2435"/>
      <c r="N96" s="2435"/>
      <c r="O96" s="2435"/>
      <c r="P96" s="2435"/>
      <c r="Q96" s="2435"/>
      <c r="R96" s="2435"/>
      <c r="S96" s="2435"/>
      <c r="T96" s="2435"/>
      <c r="U96" s="2435"/>
      <c r="V96" s="2435"/>
      <c r="W96" s="2435"/>
      <c r="X96" s="2436"/>
    </row>
    <row r="97" spans="2:24" ht="18.75">
      <c r="B97" s="2440"/>
      <c r="C97" s="2441"/>
      <c r="D97" s="2441"/>
      <c r="E97" s="2435"/>
      <c r="F97" s="2435"/>
      <c r="G97" s="2435"/>
      <c r="H97" s="2435"/>
      <c r="I97" s="2435"/>
      <c r="J97" s="2435"/>
      <c r="K97" s="2435"/>
      <c r="L97" s="2435"/>
      <c r="M97" s="2435"/>
      <c r="N97" s="2435"/>
      <c r="O97" s="2435"/>
      <c r="P97" s="2435"/>
      <c r="Q97" s="2435"/>
      <c r="R97" s="2435"/>
      <c r="S97" s="2435"/>
      <c r="T97" s="2435"/>
      <c r="U97" s="2435"/>
      <c r="V97" s="2435"/>
      <c r="W97" s="2435"/>
      <c r="X97" s="2436"/>
    </row>
    <row r="98" spans="2:24" ht="18.75">
      <c r="B98" s="2440"/>
      <c r="C98" s="2441"/>
      <c r="D98" s="2441"/>
      <c r="E98" s="2435"/>
      <c r="F98" s="2435"/>
      <c r="G98" s="2435"/>
      <c r="H98" s="2435"/>
      <c r="I98" s="2435"/>
      <c r="J98" s="2435"/>
      <c r="K98" s="2435"/>
      <c r="L98" s="2435"/>
      <c r="M98" s="2435"/>
      <c r="N98" s="2435"/>
      <c r="O98" s="2435"/>
      <c r="P98" s="2435"/>
      <c r="Q98" s="2435"/>
      <c r="R98" s="2435"/>
      <c r="S98" s="2435"/>
      <c r="T98" s="2435"/>
      <c r="U98" s="2435"/>
      <c r="V98" s="2435"/>
      <c r="W98" s="2435"/>
      <c r="X98" s="2436"/>
    </row>
    <row r="99" spans="2:24" ht="18.75">
      <c r="B99" s="2440"/>
      <c r="C99" s="2441"/>
      <c r="D99" s="2441"/>
      <c r="E99" s="2435"/>
      <c r="F99" s="2435"/>
      <c r="G99" s="2435"/>
      <c r="H99" s="2435"/>
      <c r="I99" s="2435"/>
      <c r="J99" s="2435"/>
      <c r="K99" s="2435"/>
      <c r="L99" s="2435"/>
      <c r="M99" s="2435"/>
      <c r="N99" s="2435"/>
      <c r="O99" s="2435"/>
      <c r="P99" s="2435"/>
      <c r="Q99" s="2435"/>
      <c r="R99" s="2435"/>
      <c r="S99" s="2435"/>
      <c r="T99" s="2435"/>
      <c r="U99" s="2435"/>
      <c r="V99" s="2435"/>
      <c r="W99" s="2435"/>
      <c r="X99" s="2436"/>
    </row>
    <row r="100" spans="2:24" ht="18.75">
      <c r="B100" s="2440"/>
      <c r="C100" s="2441"/>
      <c r="D100" s="2441"/>
      <c r="E100" s="2435"/>
      <c r="F100" s="2435"/>
      <c r="G100" s="2435"/>
      <c r="H100" s="2435"/>
      <c r="I100" s="2435"/>
      <c r="J100" s="2435"/>
      <c r="K100" s="2435"/>
      <c r="L100" s="2435"/>
      <c r="M100" s="2435"/>
      <c r="N100" s="2435"/>
      <c r="O100" s="2435"/>
      <c r="P100" s="2435"/>
      <c r="Q100" s="2435"/>
      <c r="R100" s="2435"/>
      <c r="S100" s="2435"/>
      <c r="T100" s="2435"/>
      <c r="U100" s="2435"/>
      <c r="V100" s="2435"/>
      <c r="W100" s="2435"/>
      <c r="X100" s="2436"/>
    </row>
    <row r="101" spans="2:24" ht="18.75">
      <c r="B101" s="2440"/>
      <c r="C101" s="2441"/>
      <c r="D101" s="2441"/>
      <c r="E101" s="2435"/>
      <c r="F101" s="2435"/>
      <c r="G101" s="2435"/>
      <c r="H101" s="2435"/>
      <c r="I101" s="2435"/>
      <c r="J101" s="2435"/>
      <c r="K101" s="2435"/>
      <c r="L101" s="2435"/>
      <c r="M101" s="2435"/>
      <c r="N101" s="2435"/>
      <c r="O101" s="2435"/>
      <c r="P101" s="2435"/>
      <c r="Q101" s="2435"/>
      <c r="R101" s="2435"/>
      <c r="S101" s="2435"/>
      <c r="T101" s="2435"/>
      <c r="U101" s="2435"/>
      <c r="V101" s="2435"/>
      <c r="W101" s="2435"/>
      <c r="X101" s="2436"/>
    </row>
    <row r="102" spans="2:24" ht="18.75">
      <c r="B102" s="2440"/>
      <c r="C102" s="2441"/>
      <c r="D102" s="2441"/>
      <c r="E102" s="2435"/>
      <c r="F102" s="2435"/>
      <c r="G102" s="2435"/>
      <c r="H102" s="2435"/>
      <c r="I102" s="2435"/>
      <c r="J102" s="2435"/>
      <c r="K102" s="2435"/>
      <c r="L102" s="2435"/>
      <c r="M102" s="2435"/>
      <c r="N102" s="2435"/>
      <c r="O102" s="2435"/>
      <c r="P102" s="2435"/>
      <c r="Q102" s="2435"/>
      <c r="R102" s="2435"/>
      <c r="S102" s="2435"/>
      <c r="T102" s="2435"/>
      <c r="U102" s="2435"/>
      <c r="V102" s="2435"/>
      <c r="W102" s="2435"/>
      <c r="X102" s="2436"/>
    </row>
    <row r="103" spans="2:24" ht="18.75">
      <c r="B103" s="2440"/>
      <c r="C103" s="2441"/>
      <c r="D103" s="2441"/>
      <c r="E103" s="2435"/>
      <c r="F103" s="2435"/>
      <c r="G103" s="2435"/>
      <c r="H103" s="2435"/>
      <c r="I103" s="2435"/>
      <c r="J103" s="2435"/>
      <c r="K103" s="2435"/>
      <c r="L103" s="2435"/>
      <c r="M103" s="2435"/>
      <c r="N103" s="2435"/>
      <c r="O103" s="2435"/>
      <c r="P103" s="2435"/>
      <c r="Q103" s="2435"/>
      <c r="R103" s="2435"/>
      <c r="S103" s="2435"/>
      <c r="T103" s="2435"/>
      <c r="U103" s="2435"/>
      <c r="V103" s="2435"/>
      <c r="W103" s="2435"/>
      <c r="X103" s="2436"/>
    </row>
    <row r="104" spans="2:24" ht="18.75">
      <c r="B104" s="2440"/>
      <c r="C104" s="2441"/>
      <c r="D104" s="2441"/>
      <c r="E104" s="2435"/>
      <c r="F104" s="2435"/>
      <c r="G104" s="2435"/>
      <c r="H104" s="2435"/>
      <c r="I104" s="2435"/>
      <c r="J104" s="2435"/>
      <c r="K104" s="2435"/>
      <c r="L104" s="2435"/>
      <c r="M104" s="2435"/>
      <c r="N104" s="2435"/>
      <c r="O104" s="2435"/>
      <c r="P104" s="2435"/>
      <c r="Q104" s="2435"/>
      <c r="R104" s="2435"/>
      <c r="S104" s="2435"/>
      <c r="T104" s="2435"/>
      <c r="U104" s="2435"/>
      <c r="V104" s="2435"/>
      <c r="W104" s="2435"/>
      <c r="X104" s="2436"/>
    </row>
    <row r="105" spans="2:24" ht="18.75">
      <c r="B105" s="2440"/>
      <c r="C105" s="2441"/>
      <c r="D105" s="2441"/>
      <c r="E105" s="2435"/>
      <c r="F105" s="2435"/>
      <c r="G105" s="2435"/>
      <c r="H105" s="2435"/>
      <c r="I105" s="2435"/>
      <c r="J105" s="2435"/>
      <c r="K105" s="2435"/>
      <c r="L105" s="2435"/>
      <c r="M105" s="2435"/>
      <c r="N105" s="2435"/>
      <c r="O105" s="2435"/>
      <c r="P105" s="2435"/>
      <c r="Q105" s="2435"/>
      <c r="R105" s="2435"/>
      <c r="S105" s="2435"/>
      <c r="T105" s="2435"/>
      <c r="U105" s="2435"/>
      <c r="V105" s="2435"/>
      <c r="W105" s="2435"/>
      <c r="X105" s="2436"/>
    </row>
    <row r="106" spans="2:24" ht="18.75">
      <c r="B106" s="2440"/>
      <c r="C106" s="2441"/>
      <c r="D106" s="2441"/>
      <c r="E106" s="2435"/>
      <c r="F106" s="2435"/>
      <c r="G106" s="2435"/>
      <c r="H106" s="2435"/>
      <c r="I106" s="2435"/>
      <c r="J106" s="2435"/>
      <c r="K106" s="2435"/>
      <c r="L106" s="2435"/>
      <c r="M106" s="2435"/>
      <c r="N106" s="2435"/>
      <c r="O106" s="2435"/>
      <c r="P106" s="2435"/>
      <c r="Q106" s="2435"/>
      <c r="R106" s="2435"/>
      <c r="S106" s="2435"/>
      <c r="T106" s="2435"/>
      <c r="U106" s="2435"/>
      <c r="V106" s="2435"/>
      <c r="W106" s="2435"/>
      <c r="X106" s="2436"/>
    </row>
    <row r="107" spans="2:24" ht="18.75">
      <c r="B107" s="2440"/>
      <c r="C107" s="2441"/>
      <c r="D107" s="2441"/>
      <c r="E107" s="2435"/>
      <c r="F107" s="2435"/>
      <c r="G107" s="2435"/>
      <c r="H107" s="2435"/>
      <c r="I107" s="2435"/>
      <c r="J107" s="2435"/>
      <c r="K107" s="2435"/>
      <c r="L107" s="2435"/>
      <c r="M107" s="2435"/>
      <c r="N107" s="2435"/>
      <c r="O107" s="2435"/>
      <c r="P107" s="2435"/>
      <c r="Q107" s="2435"/>
      <c r="R107" s="2435"/>
      <c r="S107" s="2435"/>
      <c r="T107" s="2435"/>
      <c r="U107" s="2435"/>
      <c r="V107" s="2435"/>
      <c r="W107" s="2435"/>
      <c r="X107" s="2436"/>
    </row>
    <row r="108" spans="2:24" ht="18.75">
      <c r="B108" s="2440"/>
      <c r="C108" s="2441"/>
      <c r="D108" s="2441"/>
      <c r="E108" s="2435"/>
      <c r="F108" s="2435"/>
      <c r="G108" s="2435"/>
      <c r="H108" s="2435"/>
      <c r="I108" s="2435"/>
      <c r="J108" s="2435"/>
      <c r="K108" s="2435"/>
      <c r="L108" s="2435"/>
      <c r="M108" s="2435"/>
      <c r="N108" s="2435"/>
      <c r="O108" s="2435"/>
      <c r="P108" s="2435"/>
      <c r="Q108" s="2435"/>
      <c r="R108" s="2435"/>
      <c r="S108" s="2435"/>
      <c r="T108" s="2435"/>
      <c r="U108" s="2435"/>
      <c r="V108" s="2435"/>
      <c r="W108" s="2435"/>
      <c r="X108" s="2436"/>
    </row>
    <row r="109" spans="2:24" ht="18.75">
      <c r="B109" s="2440"/>
      <c r="C109" s="2441"/>
      <c r="D109" s="2441"/>
      <c r="E109" s="2435"/>
      <c r="F109" s="2435"/>
      <c r="G109" s="2435"/>
      <c r="H109" s="2435"/>
      <c r="I109" s="2435"/>
      <c r="J109" s="2435"/>
      <c r="K109" s="2435"/>
      <c r="L109" s="2435"/>
      <c r="M109" s="2435"/>
      <c r="N109" s="2435"/>
      <c r="O109" s="2435"/>
      <c r="P109" s="2435"/>
      <c r="Q109" s="2435"/>
      <c r="R109" s="2435"/>
      <c r="S109" s="2435"/>
      <c r="T109" s="2435"/>
      <c r="U109" s="2435"/>
      <c r="V109" s="2435"/>
      <c r="W109" s="2435"/>
      <c r="X109" s="2436"/>
    </row>
    <row r="110" spans="2:24" ht="15">
      <c r="B110" s="2434"/>
      <c r="C110" s="2435"/>
      <c r="D110" s="2435"/>
      <c r="E110" s="2435"/>
      <c r="F110" s="2435"/>
      <c r="G110" s="2435"/>
      <c r="H110" s="2435"/>
      <c r="I110" s="2435"/>
      <c r="J110" s="2435"/>
      <c r="K110" s="2435"/>
      <c r="L110" s="2435"/>
      <c r="M110" s="2435"/>
      <c r="N110" s="2435"/>
      <c r="O110" s="2435"/>
      <c r="P110" s="2435"/>
      <c r="Q110" s="2435"/>
      <c r="R110" s="2435"/>
      <c r="S110" s="2435"/>
      <c r="T110" s="2435"/>
      <c r="U110" s="2435"/>
      <c r="V110" s="2435"/>
      <c r="W110" s="2435"/>
      <c r="X110" s="2436"/>
    </row>
    <row r="111" spans="2:24" ht="15">
      <c r="B111" s="2434"/>
      <c r="C111" s="2435"/>
      <c r="D111" s="2435"/>
      <c r="E111" s="2435"/>
      <c r="F111" s="2435"/>
      <c r="G111" s="2435"/>
      <c r="H111" s="2435"/>
      <c r="I111" s="2435"/>
      <c r="J111" s="2435"/>
      <c r="K111" s="2435"/>
      <c r="L111" s="2435"/>
      <c r="M111" s="2435"/>
      <c r="N111" s="2435"/>
      <c r="O111" s="2435"/>
      <c r="P111" s="2435"/>
      <c r="Q111" s="2435"/>
      <c r="R111" s="2435"/>
      <c r="S111" s="2435"/>
      <c r="T111" s="2435"/>
      <c r="U111" s="2435"/>
      <c r="V111" s="2435"/>
      <c r="W111" s="2435"/>
      <c r="X111" s="2436"/>
    </row>
    <row r="112" spans="2:24" ht="15">
      <c r="B112" s="2434"/>
      <c r="C112" s="2435"/>
      <c r="D112" s="2435"/>
      <c r="E112" s="2435"/>
      <c r="F112" s="2435"/>
      <c r="G112" s="2435"/>
      <c r="H112" s="2435"/>
      <c r="I112" s="2435"/>
      <c r="J112" s="2435"/>
      <c r="K112" s="2435"/>
      <c r="L112" s="2435"/>
      <c r="M112" s="2435"/>
      <c r="N112" s="2435"/>
      <c r="O112" s="2435"/>
      <c r="P112" s="2435"/>
      <c r="Q112" s="2435"/>
      <c r="R112" s="2435"/>
      <c r="S112" s="2435"/>
      <c r="T112" s="2435"/>
      <c r="U112" s="2435"/>
      <c r="V112" s="2435"/>
      <c r="W112" s="2435"/>
      <c r="X112" s="2436"/>
    </row>
    <row r="113" spans="2:24" ht="15">
      <c r="B113" s="2434"/>
      <c r="C113" s="2435"/>
      <c r="D113" s="2435"/>
      <c r="E113" s="2435"/>
      <c r="F113" s="2435"/>
      <c r="G113" s="2435"/>
      <c r="H113" s="2435"/>
      <c r="I113" s="2435"/>
      <c r="J113" s="2435"/>
      <c r="K113" s="2435"/>
      <c r="L113" s="2435"/>
      <c r="M113" s="2435"/>
      <c r="N113" s="2435"/>
      <c r="O113" s="2435"/>
      <c r="P113" s="2435"/>
      <c r="Q113" s="2435"/>
      <c r="R113" s="2435"/>
      <c r="S113" s="2435"/>
      <c r="T113" s="2435"/>
      <c r="U113" s="2435"/>
      <c r="V113" s="2435"/>
      <c r="W113" s="2435"/>
      <c r="X113" s="2436"/>
    </row>
    <row r="114" spans="2:24" ht="15">
      <c r="B114" s="2434"/>
      <c r="C114" s="2435"/>
      <c r="D114" s="2435"/>
      <c r="E114" s="2435"/>
      <c r="F114" s="2435"/>
      <c r="G114" s="2435"/>
      <c r="H114" s="2435"/>
      <c r="I114" s="2435"/>
      <c r="J114" s="2435"/>
      <c r="K114" s="2435"/>
      <c r="L114" s="2435"/>
      <c r="M114" s="2435"/>
      <c r="N114" s="2435"/>
      <c r="O114" s="2435"/>
      <c r="P114" s="2435"/>
      <c r="Q114" s="2435"/>
      <c r="R114" s="2435"/>
      <c r="S114" s="2435"/>
      <c r="T114" s="2435"/>
      <c r="U114" s="2435"/>
      <c r="V114" s="2435"/>
      <c r="W114" s="2435"/>
      <c r="X114" s="2436"/>
    </row>
    <row r="115" spans="2:24" ht="15">
      <c r="B115" s="2434"/>
      <c r="C115" s="2435"/>
      <c r="D115" s="2435"/>
      <c r="E115" s="2435"/>
      <c r="F115" s="2435"/>
      <c r="G115" s="2435"/>
      <c r="H115" s="2435"/>
      <c r="I115" s="2435"/>
      <c r="J115" s="2435"/>
      <c r="K115" s="2435"/>
      <c r="L115" s="2435"/>
      <c r="M115" s="2435"/>
      <c r="N115" s="2435"/>
      <c r="O115" s="2435"/>
      <c r="P115" s="2435"/>
      <c r="Q115" s="2435"/>
      <c r="R115" s="2435"/>
      <c r="S115" s="2435"/>
      <c r="T115" s="2435"/>
      <c r="U115" s="2435"/>
      <c r="V115" s="2435"/>
      <c r="W115" s="2435"/>
      <c r="X115" s="2436"/>
    </row>
    <row r="116" spans="2:24" ht="15.75" thickBot="1">
      <c r="B116" s="2437"/>
      <c r="C116" s="2438"/>
      <c r="D116" s="2438"/>
      <c r="E116" s="2438"/>
      <c r="F116" s="2438"/>
      <c r="G116" s="2438"/>
      <c r="H116" s="2438"/>
      <c r="I116" s="2438"/>
      <c r="J116" s="2438"/>
      <c r="K116" s="2438"/>
      <c r="L116" s="2438"/>
      <c r="M116" s="2438"/>
      <c r="N116" s="2438"/>
      <c r="O116" s="2438"/>
      <c r="P116" s="2438"/>
      <c r="Q116" s="2438"/>
      <c r="R116" s="2438"/>
      <c r="S116" s="2438"/>
      <c r="T116" s="2438"/>
      <c r="U116" s="2438"/>
      <c r="V116" s="2438"/>
      <c r="W116" s="2438"/>
      <c r="X116" s="2439"/>
    </row>
  </sheetData>
  <mergeCells count="4">
    <mergeCell ref="B57:J57"/>
    <mergeCell ref="B59:I59"/>
    <mergeCell ref="C27:H27"/>
    <mergeCell ref="C28:H28"/>
  </mergeCells>
  <phoneticPr fontId="0" type="noConversion"/>
  <hyperlinks>
    <hyperlink ref="K4" r:id="rId1"/>
    <hyperlink ref="K2" r:id="rId2" display="irhyne@energy.state.ca.us"/>
    <hyperlink ref="K3" r:id="rId3" display="jklein@energy.state.ca.us"/>
  </hyperlinks>
  <pageMargins left="0.75" right="0.75" top="1" bottom="1" header="0.5" footer="0.5"/>
  <pageSetup scale="19" orientation="landscape" horizontalDpi="300" verticalDpi="300" r:id="rId4"/>
  <headerFooter alignWithMargins="0"/>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C00000"/>
    <pageSetUpPr fitToPage="1"/>
  </sheetPr>
  <dimension ref="A1:M47"/>
  <sheetViews>
    <sheetView zoomScaleNormal="100" workbookViewId="0">
      <pane xSplit="3" ySplit="3" topLeftCell="D4" activePane="bottomRight" state="frozen"/>
      <selection activeCell="D73" sqref="D73"/>
      <selection pane="topRight" activeCell="D73" sqref="D73"/>
      <selection pane="bottomLeft" activeCell="D73" sqref="D73"/>
      <selection pane="bottomRight" activeCell="E5" sqref="E5"/>
    </sheetView>
  </sheetViews>
  <sheetFormatPr defaultColWidth="9.140625" defaultRowHeight="12.75"/>
  <cols>
    <col min="1" max="1" width="9.28515625" style="3752" customWidth="1"/>
    <col min="2" max="2" width="25.28515625" style="125" customWidth="1"/>
    <col min="3" max="3" width="18.140625" style="125" customWidth="1"/>
    <col min="4" max="4" width="76" style="125" customWidth="1"/>
    <col min="5" max="5" width="83.7109375" style="125" customWidth="1"/>
    <col min="6" max="6" width="14.140625" style="125" customWidth="1"/>
    <col min="7" max="7" width="10.7109375" style="3752" customWidth="1"/>
    <col min="8" max="8" width="9.140625" style="2329"/>
    <col min="9" max="9" width="49.5703125" style="2329" customWidth="1"/>
    <col min="10" max="10" width="9.140625" style="2329"/>
    <col min="11" max="11" width="13.85546875" style="2329" customWidth="1"/>
    <col min="12" max="21" width="9.140625" style="2329"/>
    <col min="22" max="22" width="14.42578125" style="2329" customWidth="1"/>
    <col min="23" max="16384" width="9.140625" style="2329"/>
  </cols>
  <sheetData>
    <row r="1" spans="1:13" ht="15.75">
      <c r="A1" s="3750" t="s">
        <v>1974</v>
      </c>
      <c r="B1" s="3751"/>
      <c r="D1" s="2144" t="s">
        <v>2039</v>
      </c>
    </row>
    <row r="2" spans="1:13" ht="44.25" customHeight="1">
      <c r="A2" s="4260" t="s">
        <v>2038</v>
      </c>
      <c r="B2" s="4260"/>
      <c r="C2" s="3752"/>
      <c r="D2" s="3753"/>
      <c r="E2" s="3754"/>
    </row>
    <row r="3" spans="1:13">
      <c r="A3" s="3755" t="s">
        <v>1975</v>
      </c>
      <c r="B3" s="3756" t="s">
        <v>1976</v>
      </c>
      <c r="C3" s="3757" t="s">
        <v>1977</v>
      </c>
      <c r="D3" s="3758" t="s">
        <v>1978</v>
      </c>
      <c r="E3" s="3758" t="s">
        <v>1979</v>
      </c>
      <c r="F3" s="3759" t="s">
        <v>1980</v>
      </c>
      <c r="G3" s="3760" t="s">
        <v>1981</v>
      </c>
    </row>
    <row r="4" spans="1:13" s="3762" customFormat="1">
      <c r="A4" s="4420" t="s">
        <v>2076</v>
      </c>
      <c r="B4" s="4423" t="s">
        <v>2050</v>
      </c>
      <c r="C4" s="4421"/>
      <c r="D4" s="4422" t="s">
        <v>2077</v>
      </c>
      <c r="E4" s="4422" t="s">
        <v>2078</v>
      </c>
      <c r="F4" s="4422" t="s">
        <v>1986</v>
      </c>
      <c r="G4" s="4424">
        <v>42320</v>
      </c>
      <c r="H4" s="278"/>
      <c r="I4" s="278"/>
      <c r="J4" s="278"/>
      <c r="K4" s="278"/>
      <c r="L4" s="278"/>
      <c r="M4" s="278"/>
    </row>
    <row r="5" spans="1:13" s="3762" customFormat="1">
      <c r="A5" s="3763"/>
      <c r="B5" s="89"/>
      <c r="C5" s="89"/>
      <c r="D5" s="89"/>
      <c r="E5" s="89"/>
      <c r="F5" s="89"/>
      <c r="G5" s="89"/>
      <c r="H5" s="278"/>
      <c r="I5" s="278"/>
      <c r="J5" s="278"/>
      <c r="K5" s="278"/>
      <c r="L5" s="278"/>
      <c r="M5" s="278"/>
    </row>
    <row r="6" spans="1:13">
      <c r="A6" s="3766"/>
      <c r="B6" s="1288"/>
      <c r="C6" s="3761"/>
      <c r="D6" s="1288"/>
      <c r="E6" s="3761"/>
      <c r="F6" s="3761"/>
      <c r="G6" s="3766"/>
      <c r="H6" s="89"/>
      <c r="I6" s="89"/>
      <c r="J6" s="89"/>
      <c r="K6" s="89"/>
      <c r="L6" s="89"/>
      <c r="M6" s="89"/>
    </row>
    <row r="7" spans="1:13">
      <c r="A7" s="3766"/>
      <c r="B7" s="3764"/>
      <c r="C7" s="3761"/>
      <c r="D7" s="3761"/>
      <c r="E7" s="3761"/>
      <c r="F7" s="3761"/>
      <c r="G7" s="3766"/>
      <c r="H7" s="89"/>
      <c r="I7" s="89"/>
      <c r="J7" s="89"/>
      <c r="K7" s="89"/>
      <c r="L7" s="89"/>
      <c r="M7" s="89"/>
    </row>
    <row r="8" spans="1:13">
      <c r="A8" s="3766"/>
      <c r="B8" s="3764"/>
      <c r="C8" s="3761"/>
      <c r="D8" s="3761"/>
      <c r="E8" s="3761"/>
      <c r="F8" s="3761"/>
      <c r="G8" s="3766"/>
      <c r="H8" s="89"/>
      <c r="I8" s="89"/>
      <c r="J8" s="89"/>
      <c r="K8" s="89"/>
      <c r="L8" s="89"/>
      <c r="M8" s="89"/>
    </row>
    <row r="9" spans="1:13">
      <c r="A9" s="3766"/>
      <c r="B9" s="3764"/>
      <c r="C9" s="3761"/>
      <c r="D9" s="3761"/>
      <c r="E9" s="3761"/>
      <c r="F9" s="3761"/>
      <c r="G9" s="3766"/>
      <c r="H9" s="89"/>
      <c r="I9" s="89"/>
      <c r="J9" s="89"/>
      <c r="K9" s="89"/>
      <c r="L9" s="89"/>
      <c r="M9" s="89"/>
    </row>
    <row r="10" spans="1:13" ht="15.75" customHeight="1">
      <c r="A10" s="3766"/>
      <c r="B10" s="3761"/>
      <c r="C10" s="3761"/>
      <c r="D10" s="3761"/>
      <c r="E10" s="3761"/>
      <c r="F10" s="3761"/>
      <c r="G10" s="3766"/>
      <c r="H10" s="89"/>
      <c r="I10" s="89"/>
      <c r="J10" s="89"/>
      <c r="K10" s="89"/>
      <c r="L10" s="89"/>
      <c r="M10" s="89"/>
    </row>
    <row r="11" spans="1:13" s="89" customFormat="1" ht="15.75" customHeight="1">
      <c r="A11" s="3766"/>
      <c r="B11" s="3767"/>
      <c r="C11" s="3761"/>
      <c r="D11" s="3761"/>
      <c r="E11" s="3761"/>
      <c r="F11" s="3761"/>
      <c r="G11" s="3766"/>
    </row>
    <row r="12" spans="1:13">
      <c r="A12" s="3766"/>
      <c r="B12" s="3764"/>
      <c r="C12" s="3761"/>
      <c r="D12" s="3761"/>
      <c r="E12" s="3761"/>
      <c r="F12" s="3761"/>
      <c r="G12" s="3766"/>
      <c r="H12" s="89"/>
      <c r="I12" s="89"/>
      <c r="J12" s="89"/>
      <c r="K12" s="89"/>
      <c r="L12" s="89"/>
      <c r="M12" s="89"/>
    </row>
    <row r="13" spans="1:13">
      <c r="A13" s="3766"/>
      <c r="B13" s="3764"/>
      <c r="C13" s="3761"/>
      <c r="D13" s="3761"/>
      <c r="E13" s="3761"/>
      <c r="F13" s="3761"/>
      <c r="G13" s="3766"/>
      <c r="H13" s="89"/>
      <c r="I13" s="89"/>
      <c r="J13" s="89"/>
      <c r="K13" s="89"/>
      <c r="L13" s="89"/>
      <c r="M13" s="89"/>
    </row>
    <row r="14" spans="1:13">
      <c r="A14" s="3766"/>
      <c r="B14" s="3764"/>
      <c r="C14" s="3761"/>
      <c r="D14" s="3761"/>
      <c r="E14" s="3761"/>
      <c r="F14" s="3761"/>
      <c r="G14" s="3766"/>
      <c r="H14" s="89"/>
      <c r="I14" s="89"/>
      <c r="J14" s="89"/>
      <c r="K14" s="89"/>
      <c r="L14" s="89"/>
      <c r="M14" s="89"/>
    </row>
    <row r="15" spans="1:13">
      <c r="A15" s="3766"/>
      <c r="B15" s="3764"/>
      <c r="C15" s="3761"/>
      <c r="D15" s="3761"/>
      <c r="E15" s="3761"/>
      <c r="F15" s="3761"/>
      <c r="G15" s="3766"/>
      <c r="H15" s="89"/>
      <c r="I15" s="89"/>
      <c r="J15" s="89"/>
      <c r="K15" s="89"/>
      <c r="L15" s="89"/>
      <c r="M15" s="89"/>
    </row>
    <row r="16" spans="1:13">
      <c r="A16" s="3766"/>
      <c r="B16" s="3764"/>
      <c r="C16" s="3761"/>
      <c r="D16" s="3761"/>
      <c r="E16" s="3761"/>
      <c r="F16" s="3761"/>
      <c r="G16" s="3766"/>
      <c r="H16" s="89"/>
      <c r="I16" s="89"/>
      <c r="J16" s="89"/>
      <c r="K16" s="89"/>
      <c r="L16" s="89"/>
      <c r="M16" s="89"/>
    </row>
    <row r="17" spans="1:13" ht="31.5" customHeight="1">
      <c r="A17" s="3766"/>
      <c r="B17" s="3764"/>
      <c r="C17" s="3761"/>
      <c r="D17" s="3761"/>
      <c r="E17" s="3761"/>
      <c r="F17" s="3761"/>
      <c r="G17" s="3766"/>
      <c r="H17" s="89"/>
      <c r="I17" s="89"/>
      <c r="J17" s="89"/>
      <c r="K17" s="89"/>
      <c r="L17" s="89"/>
      <c r="M17" s="89"/>
    </row>
    <row r="18" spans="1:13" ht="26.25" customHeight="1">
      <c r="A18" s="3766"/>
      <c r="B18" s="3764"/>
      <c r="C18" s="3761"/>
      <c r="D18" s="3761"/>
      <c r="E18" s="3761"/>
      <c r="F18" s="3761"/>
      <c r="G18" s="3766"/>
      <c r="H18" s="89"/>
      <c r="I18" s="89"/>
      <c r="J18" s="89"/>
      <c r="K18" s="89"/>
      <c r="L18" s="89"/>
      <c r="M18" s="89"/>
    </row>
    <row r="19" spans="1:13">
      <c r="A19" s="3766"/>
      <c r="B19" s="3764"/>
      <c r="C19" s="3761"/>
      <c r="D19" s="89"/>
      <c r="E19" s="3761"/>
      <c r="F19" s="3761"/>
      <c r="G19" s="3766"/>
      <c r="H19" s="89"/>
      <c r="I19" s="89"/>
      <c r="J19" s="89"/>
      <c r="K19" s="89"/>
      <c r="L19" s="89"/>
      <c r="M19" s="89"/>
    </row>
    <row r="20" spans="1:13">
      <c r="A20" s="3766"/>
      <c r="B20" s="3764"/>
      <c r="C20" s="3761"/>
      <c r="D20" s="3761"/>
      <c r="E20" s="3761"/>
      <c r="F20" s="3761"/>
      <c r="G20" s="3766"/>
      <c r="H20" s="89"/>
      <c r="I20" s="89"/>
      <c r="J20" s="89"/>
      <c r="K20" s="89"/>
      <c r="L20" s="89"/>
      <c r="M20" s="89"/>
    </row>
    <row r="21" spans="1:13">
      <c r="A21" s="3766"/>
      <c r="B21" s="3764"/>
      <c r="C21" s="3761"/>
      <c r="D21" s="3761"/>
      <c r="E21" s="3761"/>
      <c r="F21" s="3761"/>
      <c r="G21" s="3766"/>
      <c r="H21" s="89"/>
      <c r="I21" s="89"/>
      <c r="J21" s="89"/>
      <c r="K21" s="89"/>
      <c r="L21" s="89"/>
      <c r="M21" s="89"/>
    </row>
    <row r="22" spans="1:13">
      <c r="A22" s="3766"/>
      <c r="B22" s="3764"/>
      <c r="C22" s="3765"/>
      <c r="D22" s="3765"/>
      <c r="E22" s="3761"/>
      <c r="F22" s="3761"/>
      <c r="G22" s="3766"/>
      <c r="H22" s="89"/>
      <c r="I22" s="89"/>
      <c r="J22" s="89"/>
      <c r="K22" s="89"/>
      <c r="L22" s="89"/>
      <c r="M22" s="89"/>
    </row>
    <row r="23" spans="1:13">
      <c r="A23" s="3766"/>
      <c r="B23" s="3767"/>
      <c r="C23" s="3761"/>
      <c r="D23" s="3761"/>
      <c r="E23" s="3761"/>
      <c r="F23" s="3761"/>
      <c r="G23" s="3766"/>
      <c r="H23" s="89"/>
      <c r="I23" s="89"/>
      <c r="J23" s="89"/>
      <c r="K23" s="89"/>
      <c r="L23" s="89"/>
      <c r="M23" s="89"/>
    </row>
    <row r="24" spans="1:13">
      <c r="A24" s="3766"/>
      <c r="B24" s="3767"/>
      <c r="C24" s="3761"/>
      <c r="D24" s="3761"/>
      <c r="E24" s="3761"/>
      <c r="F24" s="3761"/>
      <c r="G24" s="3766"/>
      <c r="H24" s="89"/>
      <c r="I24" s="89"/>
      <c r="J24" s="89"/>
      <c r="K24" s="89"/>
      <c r="L24" s="89"/>
      <c r="M24" s="89"/>
    </row>
    <row r="25" spans="1:13">
      <c r="A25" s="3766"/>
      <c r="B25" s="3764"/>
      <c r="C25" s="3761"/>
      <c r="D25" s="3761"/>
      <c r="E25" s="3761"/>
      <c r="F25" s="3761"/>
      <c r="G25" s="3766"/>
      <c r="H25" s="89"/>
      <c r="I25" s="89"/>
      <c r="J25" s="89"/>
      <c r="K25" s="89"/>
      <c r="L25" s="89"/>
      <c r="M25" s="89"/>
    </row>
    <row r="26" spans="1:13">
      <c r="A26" s="3766"/>
      <c r="B26" s="3767"/>
      <c r="C26" s="3761"/>
      <c r="D26" s="3761"/>
      <c r="E26" s="3761"/>
      <c r="F26" s="3761"/>
      <c r="G26" s="3766"/>
      <c r="H26" s="89"/>
      <c r="I26" s="89"/>
      <c r="J26" s="89"/>
      <c r="K26" s="89"/>
      <c r="L26" s="89"/>
      <c r="M26" s="89"/>
    </row>
    <row r="27" spans="1:13">
      <c r="A27" s="3766"/>
      <c r="B27" s="3767"/>
      <c r="C27" s="3761"/>
      <c r="D27" s="3761"/>
      <c r="E27" s="3761"/>
      <c r="F27" s="3761"/>
      <c r="G27" s="3766"/>
      <c r="H27" s="89"/>
      <c r="I27" s="89"/>
      <c r="J27" s="89"/>
      <c r="K27" s="89"/>
      <c r="L27" s="89"/>
      <c r="M27" s="89"/>
    </row>
    <row r="28" spans="1:13">
      <c r="A28" s="3766"/>
      <c r="B28" s="3764"/>
      <c r="C28" s="3761"/>
      <c r="D28" s="3761"/>
      <c r="E28" s="3761"/>
      <c r="F28" s="3761"/>
      <c r="G28" s="3766"/>
      <c r="H28" s="89"/>
      <c r="I28" s="89"/>
      <c r="J28" s="89"/>
      <c r="K28" s="89"/>
      <c r="L28" s="89"/>
      <c r="M28" s="89"/>
    </row>
    <row r="29" spans="1:13">
      <c r="A29" s="3766"/>
      <c r="B29" s="3764"/>
      <c r="C29" s="3761"/>
      <c r="D29" s="3761"/>
      <c r="E29" s="3761"/>
      <c r="F29" s="3761"/>
      <c r="G29" s="3766"/>
      <c r="H29" s="89"/>
      <c r="I29" s="89"/>
      <c r="J29" s="89"/>
      <c r="K29" s="89"/>
      <c r="L29" s="89"/>
      <c r="M29" s="89"/>
    </row>
    <row r="30" spans="1:13" ht="14.25" customHeight="1">
      <c r="A30" s="3766"/>
      <c r="B30" s="3764"/>
      <c r="C30" s="3761"/>
      <c r="D30" s="3761"/>
      <c r="E30" s="3761"/>
      <c r="F30" s="3761"/>
      <c r="G30" s="3766"/>
      <c r="H30" s="89"/>
      <c r="I30" s="89"/>
      <c r="J30" s="89"/>
      <c r="K30" s="89"/>
      <c r="L30" s="89"/>
      <c r="M30" s="89"/>
    </row>
    <row r="31" spans="1:13">
      <c r="A31" s="3766"/>
      <c r="B31" s="3764"/>
      <c r="C31" s="3761"/>
      <c r="D31" s="3761"/>
      <c r="E31" s="3761"/>
      <c r="F31" s="3761"/>
      <c r="G31" s="3766"/>
      <c r="H31" s="89"/>
      <c r="I31" s="89"/>
      <c r="J31" s="89"/>
      <c r="K31" s="89"/>
      <c r="L31" s="89"/>
      <c r="M31" s="89"/>
    </row>
    <row r="32" spans="1:13">
      <c r="A32" s="3766"/>
      <c r="B32" s="3764"/>
      <c r="C32" s="3761"/>
      <c r="D32" s="89"/>
      <c r="E32" s="3761"/>
      <c r="F32" s="3761"/>
      <c r="G32" s="3766"/>
      <c r="H32" s="89"/>
      <c r="I32" s="89"/>
      <c r="J32" s="89"/>
      <c r="K32" s="89"/>
      <c r="L32" s="89"/>
      <c r="M32" s="89"/>
    </row>
    <row r="33" spans="1:13">
      <c r="A33" s="3766"/>
      <c r="B33" s="3764"/>
      <c r="C33" s="3761"/>
      <c r="D33" s="3761"/>
      <c r="E33" s="3761"/>
      <c r="F33" s="3761"/>
      <c r="G33" s="3766"/>
      <c r="H33" s="89"/>
      <c r="I33" s="89"/>
      <c r="J33" s="89"/>
      <c r="K33" s="89"/>
      <c r="L33" s="89"/>
      <c r="M33" s="89"/>
    </row>
    <row r="34" spans="1:13">
      <c r="A34" s="3766"/>
      <c r="B34" s="3768"/>
      <c r="C34" s="3761"/>
      <c r="D34" s="3761"/>
      <c r="E34" s="3761"/>
      <c r="F34" s="3761"/>
      <c r="G34" s="3766"/>
      <c r="H34" s="89"/>
      <c r="I34" s="89"/>
      <c r="J34" s="89"/>
      <c r="K34" s="89"/>
      <c r="L34" s="89"/>
      <c r="M34" s="89"/>
    </row>
    <row r="35" spans="1:13">
      <c r="A35" s="3766"/>
      <c r="B35" s="3761"/>
      <c r="C35" s="3761"/>
      <c r="D35" s="3761"/>
      <c r="E35" s="3761"/>
      <c r="F35" s="3761"/>
      <c r="G35" s="3766"/>
      <c r="H35" s="89"/>
      <c r="I35" s="89"/>
      <c r="J35" s="89"/>
      <c r="K35" s="89"/>
      <c r="L35" s="89"/>
      <c r="M35" s="89"/>
    </row>
    <row r="36" spans="1:13">
      <c r="A36" s="3766"/>
      <c r="B36" s="3764"/>
      <c r="C36" s="3761"/>
      <c r="D36" s="3761"/>
      <c r="E36" s="3761"/>
      <c r="F36" s="3761"/>
      <c r="G36" s="3766"/>
      <c r="H36" s="89"/>
      <c r="I36" s="89"/>
      <c r="J36" s="89"/>
      <c r="K36" s="89"/>
      <c r="L36" s="89"/>
      <c r="M36" s="89"/>
    </row>
    <row r="37" spans="1:13">
      <c r="A37" s="3766"/>
      <c r="B37" s="3764"/>
      <c r="C37" s="3761"/>
      <c r="D37" s="3761"/>
      <c r="E37" s="3761"/>
      <c r="F37" s="3761"/>
      <c r="G37" s="3766"/>
      <c r="H37" s="89"/>
      <c r="I37" s="89"/>
      <c r="J37" s="89"/>
      <c r="K37" s="89"/>
      <c r="L37" s="89"/>
      <c r="M37" s="89"/>
    </row>
    <row r="38" spans="1:13">
      <c r="A38" s="3766"/>
      <c r="B38" s="3764"/>
      <c r="C38" s="3761"/>
      <c r="D38" s="3761"/>
      <c r="E38" s="3761"/>
      <c r="F38" s="3761"/>
      <c r="G38" s="3766"/>
      <c r="H38" s="89"/>
      <c r="I38" s="89"/>
      <c r="J38" s="89"/>
      <c r="K38" s="89"/>
      <c r="L38" s="89"/>
      <c r="M38" s="89"/>
    </row>
    <row r="39" spans="1:13">
      <c r="A39" s="3766"/>
      <c r="B39" s="3764"/>
      <c r="C39" s="3769"/>
      <c r="D39" s="3769"/>
      <c r="E39" s="3761"/>
      <c r="F39" s="3765"/>
      <c r="G39" s="3766"/>
      <c r="H39" s="89"/>
      <c r="I39" s="89"/>
      <c r="J39" s="89"/>
      <c r="K39" s="89"/>
      <c r="L39" s="89"/>
      <c r="M39" s="89"/>
    </row>
    <row r="40" spans="1:13">
      <c r="A40" s="3766"/>
      <c r="B40" s="3764"/>
      <c r="C40" s="3769"/>
      <c r="D40" s="3769"/>
      <c r="E40" s="3761"/>
      <c r="F40" s="3765"/>
      <c r="G40" s="3766"/>
      <c r="H40" s="89"/>
      <c r="I40" s="89"/>
      <c r="J40" s="89"/>
      <c r="K40" s="89"/>
      <c r="L40" s="89"/>
      <c r="M40" s="89"/>
    </row>
    <row r="41" spans="1:13">
      <c r="A41" s="3766"/>
      <c r="B41" s="3764"/>
      <c r="C41" s="3761"/>
      <c r="D41" s="3761"/>
      <c r="E41" s="3761"/>
      <c r="F41" s="3761"/>
      <c r="G41" s="3766"/>
      <c r="H41" s="89"/>
      <c r="I41" s="89"/>
      <c r="J41" s="89"/>
      <c r="K41" s="89"/>
      <c r="L41" s="89"/>
      <c r="M41" s="89"/>
    </row>
    <row r="42" spans="1:13">
      <c r="A42" s="3766"/>
      <c r="B42" s="3764"/>
      <c r="C42" s="3761"/>
      <c r="D42" s="89"/>
      <c r="E42" s="3761"/>
      <c r="F42" s="3761"/>
      <c r="G42" s="3766"/>
    </row>
    <row r="43" spans="1:13">
      <c r="A43" s="3766"/>
      <c r="B43" s="3764"/>
      <c r="C43" s="3761"/>
      <c r="D43" s="89"/>
      <c r="E43" s="3761"/>
      <c r="F43" s="3761"/>
      <c r="G43" s="3766"/>
    </row>
    <row r="44" spans="1:13">
      <c r="A44" s="3766"/>
      <c r="B44" s="3761"/>
      <c r="C44" s="3761"/>
      <c r="D44" s="3761"/>
      <c r="E44" s="3761"/>
      <c r="F44" s="3761"/>
      <c r="G44" s="3766"/>
    </row>
    <row r="45" spans="1:13">
      <c r="A45" s="3766"/>
      <c r="B45" s="3761"/>
      <c r="C45" s="3761"/>
      <c r="D45" s="3761"/>
      <c r="E45" s="3761"/>
      <c r="F45" s="3761"/>
      <c r="G45" s="3766"/>
    </row>
    <row r="46" spans="1:13">
      <c r="A46" s="3766"/>
      <c r="B46" s="3761"/>
      <c r="C46" s="3761"/>
      <c r="D46" s="3761"/>
      <c r="E46" s="3761"/>
      <c r="F46" s="3761"/>
      <c r="G46" s="3766"/>
    </row>
    <row r="47" spans="1:13">
      <c r="A47" s="3766"/>
      <c r="B47" s="3761"/>
      <c r="C47" s="3761"/>
      <c r="D47" s="3761"/>
      <c r="E47" s="3761"/>
      <c r="F47" s="3761"/>
      <c r="G47" s="3766"/>
    </row>
  </sheetData>
  <pageMargins left="0.45" right="0.45" top="0.75" bottom="0.75" header="0.3" footer="0.3"/>
  <pageSetup scale="10"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tabColor indexed="10"/>
  </sheetPr>
  <dimension ref="A1:IW358"/>
  <sheetViews>
    <sheetView showGridLines="0" zoomScale="80" zoomScaleNormal="80" workbookViewId="0"/>
  </sheetViews>
  <sheetFormatPr defaultColWidth="8.85546875" defaultRowHeight="12.75"/>
  <cols>
    <col min="1" max="1" width="2.140625" style="117" customWidth="1"/>
    <col min="2" max="2" width="44.5703125" style="117" customWidth="1"/>
    <col min="3" max="3" width="33.140625" style="117" customWidth="1"/>
    <col min="4" max="4" width="12.5703125" style="117" customWidth="1"/>
    <col min="5" max="5" width="5.85546875" style="117" customWidth="1"/>
    <col min="6" max="6" width="6.7109375" style="117" customWidth="1"/>
    <col min="7" max="7" width="41.140625" style="117" customWidth="1"/>
    <col min="8" max="13" width="15.5703125" style="117" customWidth="1"/>
    <col min="14" max="14" width="21.42578125" style="117" customWidth="1"/>
    <col min="15" max="15" width="19.42578125" style="117" customWidth="1"/>
    <col min="16" max="16" width="12" style="117" customWidth="1"/>
    <col min="17" max="17" width="15.28515625" style="117" customWidth="1"/>
    <col min="18" max="18" width="10.85546875" style="117" customWidth="1"/>
    <col min="19" max="19" width="26" style="117" customWidth="1"/>
    <col min="20" max="20" width="11.140625" style="117" customWidth="1"/>
    <col min="21" max="21" width="11" style="117" customWidth="1"/>
    <col min="22" max="22" width="10.5703125" style="117" customWidth="1"/>
    <col min="23" max="23" width="12.140625" style="117" customWidth="1"/>
    <col min="24" max="24" width="12" style="117" customWidth="1"/>
    <col min="25" max="25" width="10.5703125" style="117" customWidth="1"/>
    <col min="26" max="26" width="8.140625" style="117" customWidth="1"/>
    <col min="27" max="27" width="8" style="117" customWidth="1"/>
    <col min="28" max="28" width="7.7109375" style="117" customWidth="1"/>
    <col min="29" max="32" width="8.140625" style="117" customWidth="1"/>
    <col min="33" max="33" width="7.7109375" style="117" customWidth="1"/>
    <col min="34" max="36" width="8.140625" style="117" customWidth="1"/>
    <col min="37" max="38" width="5.85546875" style="117" customWidth="1"/>
    <col min="39" max="41" width="8.5703125" style="117" customWidth="1"/>
    <col min="42" max="42" width="71.140625" style="117" customWidth="1"/>
    <col min="43" max="43" width="13.85546875" style="117" customWidth="1"/>
    <col min="44" max="44" width="18.7109375" style="117" customWidth="1"/>
    <col min="45" max="45" width="11.85546875" style="117" customWidth="1"/>
    <col min="46" max="60" width="8.42578125" style="117" customWidth="1"/>
    <col min="61" max="71" width="8.5703125" style="117" customWidth="1"/>
    <col min="72" max="72" width="8.5703125" customWidth="1"/>
    <col min="73" max="73" width="8.5703125" style="117" customWidth="1"/>
    <col min="74" max="74" width="43" style="2" customWidth="1"/>
    <col min="75" max="75" width="8.5703125" style="2" customWidth="1"/>
    <col min="76" max="76" width="9.85546875" style="2" customWidth="1"/>
    <col min="77" max="77" width="10.7109375" style="2" customWidth="1"/>
    <col min="78" max="78" width="9" style="2" customWidth="1"/>
    <col min="79" max="80" width="8.5703125" style="2" customWidth="1"/>
    <col min="81" max="81" width="10.42578125" style="2" customWidth="1"/>
    <col min="82" max="82" width="8.5703125" style="2" customWidth="1"/>
    <col min="83" max="83" width="9" style="2" customWidth="1"/>
    <col min="84" max="86" width="8.5703125" style="2" customWidth="1"/>
    <col min="87" max="87" width="4" style="2" customWidth="1"/>
    <col min="88" max="88" width="8.5703125" style="2" customWidth="1"/>
    <col min="89" max="89" width="43.42578125" style="2" customWidth="1"/>
    <col min="90" max="90" width="8.5703125" style="2" customWidth="1"/>
    <col min="91" max="91" width="10.85546875" style="2" customWidth="1"/>
    <col min="92" max="92" width="10.140625" style="2" customWidth="1"/>
    <col min="93" max="98" width="8.5703125" style="2" customWidth="1"/>
    <col min="99" max="100" width="11.85546875" style="2" customWidth="1"/>
    <col min="101" max="101" width="10.5703125" style="2" customWidth="1"/>
    <col min="102" max="102" width="10.85546875" style="2" customWidth="1"/>
    <col min="103" max="103" width="11.5703125" style="117" customWidth="1"/>
    <col min="104" max="104" width="39" style="2" customWidth="1"/>
    <col min="105" max="105" width="10.140625" style="2" customWidth="1"/>
    <col min="106" max="106" width="9.85546875" style="2" customWidth="1"/>
    <col min="107" max="107" width="14.28515625" style="2" customWidth="1"/>
    <col min="108" max="108" width="15.42578125" style="2" customWidth="1"/>
    <col min="109" max="109" width="13" style="2" customWidth="1"/>
    <col min="110" max="110" width="9.140625" style="2" customWidth="1"/>
    <col min="111" max="111" width="10.42578125" style="2" customWidth="1"/>
    <col min="112" max="112" width="8.140625" style="2" customWidth="1"/>
    <col min="113" max="113" width="10.140625" style="2" customWidth="1"/>
    <col min="114" max="114" width="8.140625" style="2" customWidth="1"/>
    <col min="115" max="115" width="9" style="2" customWidth="1"/>
    <col min="116" max="116" width="8.42578125" style="2" customWidth="1"/>
    <col min="117" max="120" width="7.140625" style="2" customWidth="1"/>
    <col min="121" max="121" width="8.5703125" style="2" customWidth="1"/>
    <col min="122" max="123" width="13.140625" style="2" customWidth="1"/>
    <col min="124" max="124" width="9.140625" style="117" customWidth="1"/>
    <col min="125" max="125" width="13.28515625" style="117" customWidth="1"/>
    <col min="126" max="126" width="11.28515625" style="117" customWidth="1"/>
    <col min="127" max="127" width="10.28515625" style="117" customWidth="1"/>
    <col min="128" max="128" width="11" style="117" customWidth="1"/>
    <col min="129" max="131" width="8.5703125" style="117" customWidth="1"/>
    <col min="132" max="132" width="9.140625" style="117" customWidth="1"/>
    <col min="133" max="143" width="8.5703125" style="117" customWidth="1"/>
    <col min="144" max="16384" width="8.85546875" style="117"/>
  </cols>
  <sheetData>
    <row r="1" spans="1:123" ht="23.25">
      <c r="A1" s="2330"/>
      <c r="B1" s="4443" t="s">
        <v>1694</v>
      </c>
      <c r="C1" s="4443"/>
      <c r="D1" s="2564"/>
      <c r="G1" s="3895"/>
      <c r="H1" s="4009"/>
      <c r="I1" s="4010"/>
      <c r="J1" s="4011"/>
      <c r="K1" s="4011"/>
      <c r="L1" s="4012"/>
      <c r="N1" s="3845"/>
      <c r="O1" s="1844"/>
      <c r="BT1" s="2329"/>
      <c r="BV1" s="2330"/>
      <c r="BW1" s="2330"/>
      <c r="BX1" s="2330"/>
      <c r="BY1" s="2330"/>
      <c r="BZ1" s="2330"/>
      <c r="CA1" s="2330"/>
      <c r="CB1" s="2330"/>
      <c r="CC1" s="2330"/>
      <c r="CD1" s="2330"/>
      <c r="CE1" s="2330"/>
      <c r="CF1" s="2330"/>
      <c r="CG1" s="2330"/>
      <c r="CH1" s="2330"/>
      <c r="CI1" s="2330"/>
      <c r="CJ1" s="2330"/>
      <c r="CK1" s="2330"/>
      <c r="CL1" s="2330"/>
      <c r="CM1" s="2330"/>
      <c r="CN1" s="2330"/>
      <c r="CO1" s="2330"/>
      <c r="CP1" s="2330"/>
      <c r="CQ1" s="2330"/>
      <c r="CR1" s="2330"/>
      <c r="CS1" s="2330"/>
      <c r="CT1" s="2330"/>
      <c r="CU1" s="2330"/>
      <c r="CV1" s="2330"/>
      <c r="CW1" s="2330"/>
      <c r="CX1" s="2330"/>
      <c r="CZ1" s="2330"/>
      <c r="DA1" s="2330"/>
      <c r="DB1" s="2330"/>
      <c r="DC1" s="2330"/>
      <c r="DD1" s="2330"/>
      <c r="DE1" s="2330"/>
      <c r="DF1" s="2330"/>
      <c r="DG1" s="2330"/>
      <c r="DH1" s="2330"/>
      <c r="DI1" s="2330"/>
      <c r="DJ1" s="2330"/>
      <c r="DK1" s="2330"/>
      <c r="DL1" s="2330"/>
      <c r="DM1" s="2330"/>
      <c r="DN1" s="2330"/>
      <c r="DO1" s="2330"/>
      <c r="DP1" s="2330"/>
      <c r="DQ1" s="2330"/>
      <c r="DR1" s="2330"/>
      <c r="DS1" s="2330"/>
    </row>
    <row r="2" spans="1:123" ht="18" customHeight="1" thickBot="1">
      <c r="B2" s="2564" t="s">
        <v>1819</v>
      </c>
      <c r="C2" s="2634"/>
      <c r="D2" s="2564"/>
      <c r="G2" s="3895"/>
      <c r="H2" s="4009"/>
      <c r="I2" s="4010"/>
      <c r="J2" s="4011"/>
      <c r="K2" s="4011"/>
      <c r="L2" s="4012"/>
      <c r="M2" s="2272"/>
      <c r="N2" s="3845"/>
      <c r="O2" s="1844"/>
      <c r="P2" s="2272"/>
      <c r="Q2" s="2272"/>
      <c r="R2" s="2272"/>
      <c r="S2" s="2272"/>
      <c r="T2" s="2272"/>
      <c r="U2" s="2272"/>
      <c r="V2" s="2272"/>
      <c r="W2" s="2272"/>
      <c r="X2" s="2272"/>
      <c r="Y2" s="2272"/>
      <c r="Z2" s="2272"/>
    </row>
    <row r="3" spans="1:123" ht="15" customHeight="1" thickBot="1">
      <c r="B3" s="2564" t="s">
        <v>1982</v>
      </c>
      <c r="C3" s="2330"/>
      <c r="D3" s="3346"/>
      <c r="H3" s="4228"/>
      <c r="I3" s="4228"/>
      <c r="J3" s="4228"/>
      <c r="K3" s="4228"/>
      <c r="L3" s="4228"/>
      <c r="M3" s="4228"/>
      <c r="N3" s="3846"/>
      <c r="O3" s="1844"/>
      <c r="P3" s="2272"/>
      <c r="Q3" s="2272"/>
      <c r="R3" s="2272"/>
      <c r="S3" s="2272"/>
      <c r="T3" s="2272"/>
      <c r="U3" s="2272"/>
      <c r="V3" s="2272"/>
      <c r="W3" s="2272"/>
      <c r="X3" s="2272"/>
      <c r="Y3" s="2272"/>
      <c r="Z3" s="2272"/>
    </row>
    <row r="4" spans="1:123" ht="22.9" customHeight="1" thickBot="1">
      <c r="B4" s="3739" t="s">
        <v>1820</v>
      </c>
      <c r="C4" s="3739"/>
      <c r="D4" s="3739"/>
      <c r="G4" s="3895"/>
      <c r="H4" s="4009"/>
      <c r="I4" s="4010"/>
      <c r="J4" s="4011"/>
      <c r="K4" s="4011"/>
      <c r="L4" s="4012"/>
      <c r="M4" s="2746"/>
      <c r="N4" s="2746"/>
      <c r="O4" s="2746"/>
      <c r="P4" s="2746"/>
      <c r="Q4" s="2746"/>
      <c r="R4" s="2747"/>
      <c r="S4" s="4457" t="s">
        <v>1684</v>
      </c>
      <c r="T4" s="4458"/>
      <c r="U4" s="4458"/>
      <c r="V4" s="4459"/>
      <c r="W4" s="2272"/>
      <c r="X4" s="2272"/>
      <c r="Y4" s="2272"/>
      <c r="Z4" s="2272"/>
    </row>
    <row r="5" spans="1:123" ht="23.25">
      <c r="B5" s="4449" t="s">
        <v>618</v>
      </c>
      <c r="C5" s="4449"/>
      <c r="D5" s="487"/>
      <c r="E5" s="487"/>
      <c r="F5" s="487"/>
      <c r="G5" s="4446" t="s">
        <v>1690</v>
      </c>
      <c r="H5" s="4447"/>
      <c r="I5" s="4447"/>
      <c r="J5" s="4447"/>
      <c r="K5" s="4447"/>
      <c r="L5" s="4447"/>
      <c r="M5" s="4448"/>
      <c r="N5" s="2330"/>
      <c r="S5" s="4465" t="s">
        <v>621</v>
      </c>
      <c r="T5" s="4466"/>
      <c r="U5" s="4466"/>
      <c r="V5" s="4467"/>
      <c r="W5" s="2743"/>
      <c r="X5" s="2743"/>
      <c r="Y5" s="2743"/>
      <c r="Z5" s="2272"/>
      <c r="AB5" s="2545"/>
      <c r="AD5" s="2554"/>
    </row>
    <row r="6" spans="1:123" s="102" customFormat="1" ht="30" customHeight="1" thickBot="1">
      <c r="A6" s="107"/>
      <c r="C6" s="103"/>
      <c r="D6" s="2557"/>
      <c r="E6" s="1267"/>
      <c r="F6" s="2154"/>
      <c r="G6" s="4454" t="str">
        <f>("  "&amp;PlantType&amp;"")</f>
        <v xml:space="preserve">  Wind - Class 3 100 MW</v>
      </c>
      <c r="H6" s="4455"/>
      <c r="I6" s="4455"/>
      <c r="J6" s="4455"/>
      <c r="K6" s="4455"/>
      <c r="L6" s="4455"/>
      <c r="M6" s="4456"/>
      <c r="N6" s="2389"/>
      <c r="S6" s="4465" t="str">
        <f>PlantType</f>
        <v>Wind - Class 3 100 MW</v>
      </c>
      <c r="T6" s="4466"/>
      <c r="U6" s="4466"/>
      <c r="V6" s="4467"/>
      <c r="W6" s="2744"/>
      <c r="X6" s="2744"/>
      <c r="Y6" s="2744"/>
      <c r="Z6" s="2142"/>
      <c r="AA6" s="125"/>
      <c r="AB6" s="2555"/>
      <c r="AC6" s="125"/>
      <c r="AD6" s="125"/>
      <c r="AE6" s="125"/>
      <c r="AF6" s="125"/>
      <c r="AG6" s="125"/>
      <c r="AH6" s="125"/>
      <c r="AI6" s="125"/>
      <c r="AJ6" s="125"/>
      <c r="AK6" s="125"/>
      <c r="AL6" s="125"/>
    </row>
    <row r="7" spans="1:123" s="102" customFormat="1" ht="18.75" thickBot="1">
      <c r="A7" s="107"/>
      <c r="B7" s="2635" t="s">
        <v>1685</v>
      </c>
      <c r="C7" s="2559" t="s">
        <v>2</v>
      </c>
      <c r="D7" s="2557"/>
      <c r="E7" s="1267"/>
      <c r="F7" s="107"/>
      <c r="G7" s="2714" t="str">
        <f>OwnerScenario</f>
        <v>Merchant Alternatives</v>
      </c>
      <c r="H7" s="4441" t="s">
        <v>2026</v>
      </c>
      <c r="I7" s="4442"/>
      <c r="J7" s="4441" t="s">
        <v>2027</v>
      </c>
      <c r="K7" s="4442"/>
      <c r="L7" s="4441" t="s">
        <v>2028</v>
      </c>
      <c r="M7" s="4442"/>
      <c r="N7" s="4432"/>
      <c r="O7" s="4432"/>
      <c r="P7" s="4432"/>
      <c r="Q7" s="4432"/>
      <c r="S7" s="2668" t="str">
        <f>("Start Year = "&amp;StartYr&amp;" "&amp;" ("&amp;StartYr&amp;" Dollars)")</f>
        <v>Start Year = 2013  (2013 Dollars)</v>
      </c>
      <c r="T7" s="2253" t="s">
        <v>980</v>
      </c>
      <c r="U7" s="2253" t="s">
        <v>955</v>
      </c>
      <c r="V7" s="2669" t="s">
        <v>1125</v>
      </c>
      <c r="W7" s="2744"/>
      <c r="X7" s="2744"/>
      <c r="Y7" s="2744"/>
      <c r="Z7" s="2332"/>
      <c r="AA7"/>
      <c r="AB7" s="2330"/>
      <c r="AC7"/>
      <c r="AD7"/>
      <c r="AE7"/>
      <c r="AF7"/>
      <c r="AG7"/>
      <c r="AH7"/>
      <c r="AI7"/>
      <c r="AJ7"/>
      <c r="AK7"/>
      <c r="AL7"/>
    </row>
    <row r="8" spans="1:123" s="102" customFormat="1" ht="18.75" thickBot="1">
      <c r="A8" s="107"/>
      <c r="B8" s="2635" t="s">
        <v>1821</v>
      </c>
      <c r="C8" s="2560">
        <v>2013</v>
      </c>
      <c r="D8" s="2558"/>
      <c r="F8" s="109"/>
      <c r="G8" s="2715" t="str">
        <f>("Start Year = "&amp;StartYr&amp;" "&amp;" ("&amp;StartYr&amp;" Dollars)")</f>
        <v>Start Year = 2013  (2013 Dollars)</v>
      </c>
      <c r="H8" s="2716" t="s">
        <v>980</v>
      </c>
      <c r="I8" s="2717" t="s">
        <v>955</v>
      </c>
      <c r="J8" s="2716" t="s">
        <v>980</v>
      </c>
      <c r="K8" s="2717" t="s">
        <v>955</v>
      </c>
      <c r="L8" s="2718" t="s">
        <v>980</v>
      </c>
      <c r="M8" s="2719" t="s">
        <v>955</v>
      </c>
      <c r="N8" s="3842"/>
      <c r="O8" s="3842"/>
      <c r="P8" s="3842"/>
      <c r="Q8" s="3842"/>
      <c r="S8" s="2670" t="s">
        <v>1141</v>
      </c>
      <c r="T8" s="2652">
        <f>IF(OwnerType="Merchant",'Income_Cash Flow'!D105,Income_Rev_Req!D108)</f>
        <v>171.31335951810115</v>
      </c>
      <c r="U8" s="2652">
        <f>(T8)*GrossMW/StudyGWH</f>
        <v>80.235093667898113</v>
      </c>
      <c r="V8" s="2671">
        <f>U8/LevelizedMWh</f>
        <v>0.94260219081923569</v>
      </c>
      <c r="W8" s="104"/>
      <c r="X8" s="104"/>
      <c r="Y8" s="1820"/>
      <c r="Z8" s="2332"/>
      <c r="AA8"/>
      <c r="AB8" s="2330"/>
      <c r="AC8"/>
      <c r="AD8"/>
      <c r="AE8"/>
      <c r="AF8"/>
      <c r="AG8"/>
      <c r="AH8"/>
      <c r="AI8"/>
      <c r="AJ8"/>
      <c r="AK8"/>
      <c r="AL8"/>
    </row>
    <row r="9" spans="1:123" s="1801" customFormat="1" ht="18">
      <c r="B9" s="4450" t="s">
        <v>1686</v>
      </c>
      <c r="C9" s="4452" t="s">
        <v>1795</v>
      </c>
      <c r="D9" s="2558"/>
      <c r="F9" s="1802"/>
      <c r="G9" s="2720" t="s">
        <v>1141</v>
      </c>
      <c r="H9" s="2721">
        <v>171.31335951810115</v>
      </c>
      <c r="I9" s="2722">
        <v>80.235093667898113</v>
      </c>
      <c r="J9" s="2721">
        <v>354.08105702599482</v>
      </c>
      <c r="K9" s="2722">
        <v>207.38969497268803</v>
      </c>
      <c r="L9" s="3796">
        <v>82.980529076942702</v>
      </c>
      <c r="M9" s="2722">
        <v>32.158600128034045</v>
      </c>
      <c r="N9" s="3835"/>
      <c r="O9" s="3835"/>
      <c r="P9" s="3835"/>
      <c r="Q9" s="3835"/>
      <c r="S9" s="2670" t="s">
        <v>196</v>
      </c>
      <c r="T9" s="2638">
        <f>IF(OwnerType="Merchant",'Income_Cash Flow'!D106,Income_Rev_Req!D109)</f>
        <v>14.635139806572186</v>
      </c>
      <c r="U9" s="2638">
        <f>(T9)*GrossMW/StudyGWH</f>
        <v>6.8544088827995404</v>
      </c>
      <c r="V9" s="2671">
        <f>U9/LevelizedMWh</f>
        <v>8.0525622073059286E-2</v>
      </c>
      <c r="W9" s="2569"/>
      <c r="X9" s="2569"/>
      <c r="Y9" s="2568"/>
      <c r="Z9" s="2390"/>
      <c r="AA9" s="1803"/>
      <c r="AB9" s="1803"/>
      <c r="AC9" s="1803"/>
      <c r="AD9" s="1803"/>
      <c r="AE9" s="1803"/>
      <c r="AF9" s="1803"/>
      <c r="AG9" s="1803"/>
      <c r="AH9" s="1803"/>
      <c r="AI9" s="1803"/>
      <c r="AJ9" s="1803"/>
      <c r="AK9" s="1803"/>
      <c r="AL9" s="1803"/>
    </row>
    <row r="10" spans="1:123" s="1802" customFormat="1" ht="28.9" customHeight="1" thickBot="1">
      <c r="B10" s="4451"/>
      <c r="C10" s="4453"/>
      <c r="D10" s="2558"/>
      <c r="E10" s="1801"/>
      <c r="G10" s="2723" t="s">
        <v>196</v>
      </c>
      <c r="H10" s="2724">
        <v>14.635139806572186</v>
      </c>
      <c r="I10" s="2725">
        <v>6.8544088827995404</v>
      </c>
      <c r="J10" s="2724">
        <v>20.741651785482599</v>
      </c>
      <c r="K10" s="2725">
        <v>12.148644361692426</v>
      </c>
      <c r="L10" s="3797">
        <v>11.526281263647912</v>
      </c>
      <c r="M10" s="2725">
        <v>4.466940308095718</v>
      </c>
      <c r="N10" s="3044"/>
      <c r="O10" s="3044"/>
      <c r="P10" s="3044"/>
      <c r="Q10" s="3044"/>
      <c r="S10" s="2670" t="s">
        <v>573</v>
      </c>
      <c r="T10" s="2638">
        <f>IF(OwnerType="Merchant",'Income_Cash Flow'!D107,Income_Rev_Req!D110)</f>
        <v>21.391440826369717</v>
      </c>
      <c r="U10" s="2638">
        <f>(T10)*GrossMW/StudyGWH</f>
        <v>10.018741464314834</v>
      </c>
      <c r="V10" s="2671">
        <f>U10/LevelizedMWh</f>
        <v>0.11770021348268306</v>
      </c>
      <c r="W10" s="1872"/>
      <c r="X10" s="1872"/>
      <c r="Y10" s="2568"/>
      <c r="Z10" s="2390"/>
      <c r="AA10" s="1803"/>
      <c r="AB10" s="1803"/>
      <c r="AC10" s="1803"/>
      <c r="AD10" s="1803"/>
      <c r="AE10" s="1803"/>
      <c r="AF10" s="1803"/>
      <c r="AG10" s="1803"/>
      <c r="AH10" s="1803"/>
      <c r="AI10" s="1803"/>
      <c r="AJ10" s="1803"/>
      <c r="AK10" s="1803"/>
      <c r="AL10" s="1803"/>
    </row>
    <row r="11" spans="1:123" s="1802" customFormat="1" ht="18.75" thickBot="1">
      <c r="B11" s="2150" t="s">
        <v>1699</v>
      </c>
      <c r="C11" s="2767" t="s">
        <v>1706</v>
      </c>
      <c r="G11" s="2726" t="s">
        <v>573</v>
      </c>
      <c r="H11" s="2724">
        <v>21.391440826369717</v>
      </c>
      <c r="I11" s="2725">
        <v>10.018741464314834</v>
      </c>
      <c r="J11" s="2724">
        <v>27.71343457900926</v>
      </c>
      <c r="K11" s="2725">
        <v>16.232104570237784</v>
      </c>
      <c r="L11" s="3797">
        <v>15.963937656278878</v>
      </c>
      <c r="M11" s="2725">
        <v>6.1867270945104966</v>
      </c>
      <c r="N11" s="3044"/>
      <c r="O11" s="3044"/>
      <c r="P11" s="3044"/>
      <c r="Q11" s="3044"/>
      <c r="S11" s="2672" t="s">
        <v>301</v>
      </c>
      <c r="T11" s="2638">
        <f>IF(OwnerType="Merchant",'Income_Cash Flow'!D108,Income_Rev_Req!D111)</f>
        <v>0</v>
      </c>
      <c r="U11" s="2638">
        <f>(T11)*GrossMW/StudyGWH</f>
        <v>0</v>
      </c>
      <c r="V11" s="2671">
        <f>U11/LevelizedMWh</f>
        <v>0</v>
      </c>
      <c r="W11" s="1872"/>
      <c r="X11" s="1872"/>
      <c r="Y11" s="2568"/>
      <c r="Z11" s="2390"/>
      <c r="AA11" s="1803"/>
      <c r="AB11" s="1803"/>
      <c r="AC11" s="1803"/>
      <c r="AD11" s="1803"/>
      <c r="AE11" s="1803"/>
      <c r="AF11" s="1803"/>
      <c r="AG11" s="1803"/>
      <c r="AH11" s="1803"/>
      <c r="AI11" s="1803"/>
      <c r="AJ11" s="1803"/>
      <c r="AK11" s="1803"/>
      <c r="AL11" s="1803"/>
    </row>
    <row r="12" spans="1:123" s="1802" customFormat="1" ht="18">
      <c r="D12" s="1808"/>
      <c r="E12" s="1808"/>
      <c r="G12" s="2727" t="s">
        <v>301</v>
      </c>
      <c r="H12" s="2724">
        <v>0</v>
      </c>
      <c r="I12" s="2725">
        <v>0</v>
      </c>
      <c r="J12" s="2724">
        <v>0</v>
      </c>
      <c r="K12" s="2725">
        <v>0</v>
      </c>
      <c r="L12" s="3797">
        <v>0</v>
      </c>
      <c r="M12" s="2725">
        <v>0</v>
      </c>
      <c r="N12" s="3044"/>
      <c r="O12" s="3044"/>
      <c r="P12" s="3044"/>
      <c r="Q12" s="3044"/>
      <c r="S12" s="2673" t="s">
        <v>963</v>
      </c>
      <c r="T12" s="2654">
        <f>IF(OwnerType="Merchant",'Income_Cash Flow'!D112,Income_Rev_Req!D115)</f>
        <v>-51.649302851754157</v>
      </c>
      <c r="U12" s="2654">
        <f>(T12)*GrossMW/StudyGWH</f>
        <v>-24.190096229793824</v>
      </c>
      <c r="V12" s="2674">
        <f>U12/LevelizedMWh</f>
        <v>-0.28418534409282653</v>
      </c>
      <c r="W12" s="1872"/>
      <c r="X12" s="1872"/>
      <c r="Y12" s="2568"/>
      <c r="Z12" s="2390"/>
      <c r="AA12" s="1803"/>
      <c r="AB12" s="1803"/>
      <c r="AC12" s="1803"/>
      <c r="AD12" s="1803"/>
      <c r="AE12" s="1803"/>
      <c r="AF12" s="1803"/>
      <c r="AG12" s="1803"/>
      <c r="AH12" s="1803"/>
      <c r="AI12" s="1803"/>
      <c r="AJ12" s="1803"/>
      <c r="AK12" s="1803"/>
      <c r="AL12" s="1809"/>
      <c r="AM12" s="1810"/>
      <c r="AN12" s="1810"/>
      <c r="AO12" s="1810"/>
    </row>
    <row r="13" spans="1:123" s="1811" customFormat="1" ht="18">
      <c r="B13" s="4444" t="s">
        <v>1687</v>
      </c>
      <c r="C13" s="4444"/>
      <c r="D13" s="1813"/>
      <c r="E13" s="1813"/>
      <c r="G13" s="2728" t="s">
        <v>963</v>
      </c>
      <c r="H13" s="2729">
        <v>-51.649302851754157</v>
      </c>
      <c r="I13" s="2730">
        <v>-24.190096229793824</v>
      </c>
      <c r="J13" s="2729">
        <v>-81.390228780287543</v>
      </c>
      <c r="K13" s="2730">
        <v>-47.671272962964302</v>
      </c>
      <c r="L13" s="3798">
        <v>-63.959224136135802</v>
      </c>
      <c r="M13" s="2730">
        <v>-24.787008908874462</v>
      </c>
      <c r="N13" s="3836"/>
      <c r="O13" s="3836"/>
      <c r="P13" s="3836"/>
      <c r="Q13" s="3836"/>
      <c r="S13" s="2675" t="s">
        <v>1688</v>
      </c>
      <c r="T13" s="2655">
        <f>SUM(T8:T12)</f>
        <v>155.69063729928891</v>
      </c>
      <c r="U13" s="2655">
        <f>SUM(U8:U12)</f>
        <v>72.918147785218665</v>
      </c>
      <c r="V13" s="2676">
        <f>SUM(V8:V12)</f>
        <v>0.85664268228215135</v>
      </c>
      <c r="W13" s="1927"/>
      <c r="X13" s="1927"/>
      <c r="Y13" s="2570"/>
      <c r="Z13" s="2571"/>
      <c r="AA13" s="1814"/>
      <c r="AB13" s="1814"/>
      <c r="AC13" s="1814"/>
      <c r="AD13" s="1814"/>
      <c r="AE13" s="1814"/>
      <c r="AF13" s="1814"/>
      <c r="AG13" s="1814"/>
      <c r="AH13" s="1814"/>
      <c r="AI13" s="1814"/>
      <c r="AJ13" s="1814"/>
      <c r="AK13" s="1814"/>
      <c r="AL13" s="1815"/>
      <c r="AM13" s="1810"/>
      <c r="AN13" s="1810"/>
      <c r="AO13" s="1810"/>
      <c r="AT13" s="1802"/>
      <c r="AU13" s="1802"/>
      <c r="AV13" s="1802"/>
      <c r="AW13" s="1802"/>
      <c r="AX13" s="1802"/>
      <c r="AY13" s="1802"/>
      <c r="AZ13" s="1802"/>
      <c r="BA13" s="1802"/>
      <c r="BB13" s="1802"/>
      <c r="BC13" s="1802"/>
      <c r="BD13" s="1802"/>
      <c r="BE13" s="1802"/>
      <c r="BF13" s="1802"/>
      <c r="BG13" s="1802"/>
      <c r="BH13" s="1802"/>
      <c r="BI13" s="1802"/>
      <c r="BJ13" s="1802"/>
      <c r="BK13" s="1802"/>
      <c r="BL13" s="1802"/>
      <c r="BM13" s="1802"/>
      <c r="BN13" s="1802"/>
      <c r="BO13" s="1802"/>
      <c r="BP13" s="1802"/>
    </row>
    <row r="14" spans="1:123" s="1802" customFormat="1" ht="18">
      <c r="D14" s="1817"/>
      <c r="E14" s="1817"/>
      <c r="G14" s="2731" t="s">
        <v>958</v>
      </c>
      <c r="H14" s="2732">
        <v>155.69063729928891</v>
      </c>
      <c r="I14" s="2733">
        <v>72.918147785218665</v>
      </c>
      <c r="J14" s="2732">
        <v>321.14591461019916</v>
      </c>
      <c r="K14" s="2733">
        <v>188.09917094165394</v>
      </c>
      <c r="L14" s="3799">
        <v>46.511523860733689</v>
      </c>
      <c r="M14" s="2733">
        <v>18.025258621765794</v>
      </c>
      <c r="N14" s="3837"/>
      <c r="O14" s="3837"/>
      <c r="P14" s="3837"/>
      <c r="Q14" s="3837"/>
      <c r="S14" s="2670" t="s">
        <v>1433</v>
      </c>
      <c r="T14" s="2638">
        <f>IF(OwnerType="Merchant",'Income_Cash Flow'!D109,Income_Rev_Req!D112)</f>
        <v>0</v>
      </c>
      <c r="U14" s="2652">
        <f>(T14)*GrossMW/StudyGWH</f>
        <v>0</v>
      </c>
      <c r="V14" s="2671">
        <f>U14/LevelizedMWh</f>
        <v>0</v>
      </c>
      <c r="W14" s="1872"/>
      <c r="X14" s="1872"/>
      <c r="Y14" s="2572"/>
      <c r="Z14" s="1872"/>
      <c r="AL14" s="1810"/>
      <c r="AM14" s="1810"/>
      <c r="AN14" s="1810"/>
      <c r="AO14" s="1810"/>
    </row>
    <row r="15" spans="1:123" s="1802" customFormat="1" ht="18">
      <c r="B15" s="2561" t="s">
        <v>1700</v>
      </c>
      <c r="C15" s="2562" t="s">
        <v>1680</v>
      </c>
      <c r="D15" s="1817"/>
      <c r="E15" s="1817"/>
      <c r="G15" s="2723" t="s">
        <v>1433</v>
      </c>
      <c r="H15" s="2724">
        <v>0</v>
      </c>
      <c r="I15" s="2734">
        <v>0</v>
      </c>
      <c r="J15" s="2724">
        <v>0</v>
      </c>
      <c r="K15" s="2734">
        <v>0</v>
      </c>
      <c r="L15" s="3797">
        <v>0</v>
      </c>
      <c r="M15" s="2734">
        <v>0</v>
      </c>
      <c r="N15" s="3044"/>
      <c r="O15" s="3835"/>
      <c r="P15" s="3044"/>
      <c r="Q15" s="3835"/>
      <c r="S15" s="2670" t="s">
        <v>164</v>
      </c>
      <c r="T15" s="2638">
        <f>IF(OwnerType="Merchant",'Income_Cash Flow'!D110,Income_Rev_Req!D113)</f>
        <v>26.054494620263569</v>
      </c>
      <c r="U15" s="2652">
        <f>(T15)*GrossMW/StudyGWH</f>
        <v>12.202695821312828</v>
      </c>
      <c r="V15" s="2671">
        <f>U15/LevelizedMWh</f>
        <v>0.14335731771784849</v>
      </c>
      <c r="W15" s="1872"/>
      <c r="X15" s="1872"/>
      <c r="Y15" s="2568"/>
      <c r="Z15" s="1872"/>
      <c r="AL15" s="1810"/>
      <c r="AM15" s="1810"/>
      <c r="AN15" s="1810"/>
      <c r="AO15" s="1810"/>
    </row>
    <row r="16" spans="1:123" s="1802" customFormat="1" ht="18">
      <c r="B16" s="2561" t="s">
        <v>1701</v>
      </c>
      <c r="C16" s="2563" t="s">
        <v>1261</v>
      </c>
      <c r="D16" s="1817"/>
      <c r="E16" s="1817"/>
      <c r="G16" s="2723" t="s">
        <v>164</v>
      </c>
      <c r="H16" s="2724">
        <v>26.054494620263569</v>
      </c>
      <c r="I16" s="2734">
        <v>12.202695821312828</v>
      </c>
      <c r="J16" s="2724">
        <v>40.037286049376505</v>
      </c>
      <c r="K16" s="2734">
        <v>23.450338210848891</v>
      </c>
      <c r="L16" s="3797">
        <v>17.979157764289344</v>
      </c>
      <c r="M16" s="2734">
        <v>6.9677134095458095</v>
      </c>
      <c r="N16" s="3044"/>
      <c r="O16" s="3835"/>
      <c r="P16" s="3044"/>
      <c r="Q16" s="3835"/>
      <c r="S16" s="2677" t="s">
        <v>1689</v>
      </c>
      <c r="T16" s="2636">
        <f>SUM(T14:T15)</f>
        <v>26.054494620263569</v>
      </c>
      <c r="U16" s="2656">
        <f>SUM(U14:U15)</f>
        <v>12.202695821312828</v>
      </c>
      <c r="V16" s="2678">
        <f>SUM(V14:V15)</f>
        <v>0.14335731771784849</v>
      </c>
      <c r="W16" s="1872"/>
      <c r="X16" s="1872"/>
      <c r="Y16" s="2568"/>
      <c r="Z16" s="1872"/>
      <c r="AL16" s="1810"/>
      <c r="AM16" s="1810"/>
      <c r="AN16" s="1810"/>
      <c r="AO16" s="1810"/>
    </row>
    <row r="17" spans="1:41" s="1802" customFormat="1" ht="18.75" thickBot="1">
      <c r="B17" s="2561" t="s">
        <v>1702</v>
      </c>
      <c r="C17" s="2563" t="s">
        <v>1147</v>
      </c>
      <c r="D17" s="1817"/>
      <c r="E17" s="1817"/>
      <c r="G17" s="2735" t="s">
        <v>959</v>
      </c>
      <c r="H17" s="2736">
        <v>26.054494620263569</v>
      </c>
      <c r="I17" s="2737">
        <v>12.202695821312828</v>
      </c>
      <c r="J17" s="2736">
        <v>40.037286049376505</v>
      </c>
      <c r="K17" s="2737">
        <v>23.450338210848891</v>
      </c>
      <c r="L17" s="3800">
        <v>17.979157764289344</v>
      </c>
      <c r="M17" s="2737">
        <v>6.9677134095458095</v>
      </c>
      <c r="N17" s="3843"/>
      <c r="O17" s="3838"/>
      <c r="P17" s="3843"/>
      <c r="Q17" s="3838"/>
      <c r="S17" s="2679" t="str">
        <f>"Total Levelized Costs "&amp;Perspective&amp;""</f>
        <v>Total Levelized Costs At Interconnection Point</v>
      </c>
      <c r="T17" s="2638">
        <f>SUM(T16,T13)</f>
        <v>181.74513191955248</v>
      </c>
      <c r="U17" s="2638">
        <f>SUM(U16,U13)</f>
        <v>85.120843606531494</v>
      </c>
      <c r="V17" s="2680">
        <f>SUM(V16,V13)</f>
        <v>0.99999999999999978</v>
      </c>
      <c r="W17" s="1872"/>
      <c r="X17" s="1872"/>
      <c r="Y17" s="2573"/>
      <c r="Z17" s="1872"/>
      <c r="AL17" s="1810"/>
      <c r="AM17" s="1810"/>
      <c r="AN17" s="1810"/>
      <c r="AO17" s="1810"/>
    </row>
    <row r="18" spans="1:41" s="1802" customFormat="1" ht="19.5" thickTop="1" thickBot="1">
      <c r="B18" s="3488"/>
      <c r="C18" s="3489">
        <v>2</v>
      </c>
      <c r="D18" s="1817"/>
      <c r="E18" s="1817"/>
      <c r="G18" s="3748" t="str">
        <f>"Total Levelized Costs "&amp;Perspective&amp;""</f>
        <v>Total Levelized Costs At Interconnection Point</v>
      </c>
      <c r="H18" s="3749">
        <v>181.74513191955248</v>
      </c>
      <c r="I18" s="3749">
        <v>85.120843606531494</v>
      </c>
      <c r="J18" s="3749">
        <v>361.18320065957568</v>
      </c>
      <c r="K18" s="3749">
        <v>211.54950915250282</v>
      </c>
      <c r="L18" s="3795">
        <v>64.490681625023029</v>
      </c>
      <c r="M18" s="3749">
        <v>24.992972031311602</v>
      </c>
      <c r="N18" s="3843"/>
      <c r="O18" s="3843"/>
      <c r="P18" s="3843"/>
      <c r="Q18" s="3843"/>
      <c r="S18" s="2670" t="s">
        <v>1422</v>
      </c>
      <c r="T18" s="2638">
        <f>IF(Perspective="To Delivery Point",IF(OwnerType="Merchant",'Income_Cash Flow'!D111,Income_Rev_Req!D114),0)</f>
        <v>0</v>
      </c>
      <c r="U18" s="2652">
        <f>(T18)*GrossMW/StudyGWH</f>
        <v>0</v>
      </c>
      <c r="V18" s="2671">
        <f>U18/LevelizedMWh</f>
        <v>0</v>
      </c>
      <c r="W18" s="1872"/>
      <c r="X18" s="1872"/>
      <c r="Y18" s="2568"/>
      <c r="Z18" s="1872"/>
      <c r="AL18" s="1810"/>
      <c r="AM18" s="1810"/>
      <c r="AN18" s="1810"/>
      <c r="AO18" s="1810"/>
    </row>
    <row r="19" spans="1:41" s="1802" customFormat="1" ht="18">
      <c r="C19" s="1887"/>
      <c r="D19" s="1819"/>
      <c r="E19" s="1819"/>
      <c r="G19" s="3743" t="s">
        <v>1422</v>
      </c>
      <c r="H19" s="3744">
        <v>0</v>
      </c>
      <c r="I19" s="3745">
        <v>0</v>
      </c>
      <c r="J19" s="3744">
        <v>0</v>
      </c>
      <c r="K19" s="3745">
        <v>0</v>
      </c>
      <c r="L19" s="3744">
        <v>0</v>
      </c>
      <c r="M19" s="3745">
        <v>0</v>
      </c>
      <c r="N19" s="2389"/>
      <c r="O19" s="2389"/>
      <c r="P19" s="2389"/>
      <c r="Q19" s="2389"/>
      <c r="S19" s="2677" t="s">
        <v>611</v>
      </c>
      <c r="T19" s="2654">
        <f>T13+T16+T18</f>
        <v>181.74513191955248</v>
      </c>
      <c r="U19" s="2654">
        <f>U13+U16+U18</f>
        <v>85.120843606531494</v>
      </c>
      <c r="V19" s="2678">
        <f>V13+V16+V18</f>
        <v>0.99999999999999978</v>
      </c>
      <c r="W19" s="1872"/>
      <c r="X19" s="1872"/>
      <c r="Y19" s="2574"/>
      <c r="Z19" s="1872"/>
      <c r="AL19" s="1810"/>
      <c r="AM19" s="1810"/>
      <c r="AN19" s="1810"/>
      <c r="AO19" s="1810"/>
    </row>
    <row r="20" spans="1:41" s="1802" customFormat="1" ht="18">
      <c r="C20" s="1887"/>
      <c r="D20" s="1819"/>
      <c r="E20" s="1819"/>
      <c r="G20" s="3746" t="s">
        <v>1691</v>
      </c>
      <c r="H20" s="3747">
        <v>181.74513191955248</v>
      </c>
      <c r="I20" s="3747">
        <v>85.120843606531494</v>
      </c>
      <c r="J20" s="3747">
        <v>361.18320065957568</v>
      </c>
      <c r="K20" s="3747">
        <v>211.54950915250282</v>
      </c>
      <c r="L20" s="3747">
        <v>64.490681625023029</v>
      </c>
      <c r="M20" s="3747">
        <v>24.992972031311602</v>
      </c>
      <c r="N20" s="3837"/>
      <c r="O20" s="3837"/>
      <c r="P20" s="3844"/>
      <c r="Q20" s="3844"/>
      <c r="S20" s="2681" t="s">
        <v>1514</v>
      </c>
      <c r="T20" s="2636">
        <f>Income_Rev_Req!D6</f>
        <v>249.95762865115609</v>
      </c>
      <c r="U20" s="2637">
        <f>T20*GrossMW/StudyGWH</f>
        <v>117.06835826608217</v>
      </c>
      <c r="V20" s="2682"/>
      <c r="W20" s="1872"/>
      <c r="X20" s="1872"/>
      <c r="Y20" s="2575"/>
      <c r="Z20" s="1872"/>
      <c r="AL20" s="1810"/>
      <c r="AM20" s="1810"/>
      <c r="AN20" s="1810"/>
      <c r="AO20" s="1810"/>
    </row>
    <row r="21" spans="1:41" s="1802" customFormat="1" ht="14.1" customHeight="1">
      <c r="C21" s="1887"/>
      <c r="D21" s="1817"/>
      <c r="E21" s="1817"/>
      <c r="G21" s="2739" t="s">
        <v>1698</v>
      </c>
      <c r="H21" s="2738">
        <v>249.95762865115609</v>
      </c>
      <c r="I21" s="2609">
        <v>117.06835826608217</v>
      </c>
      <c r="J21" s="2738">
        <v>472.55106001437372</v>
      </c>
      <c r="K21" s="2609">
        <v>276.77905454345313</v>
      </c>
      <c r="L21" s="2738">
        <v>136.08497879137201</v>
      </c>
      <c r="M21" s="2609">
        <v>52.738907127548593</v>
      </c>
      <c r="N21" s="2738"/>
      <c r="O21" s="2609"/>
      <c r="P21" s="3844"/>
      <c r="Q21" s="3844"/>
      <c r="S21" s="2681"/>
      <c r="T21" s="2636"/>
      <c r="U21" s="2637"/>
      <c r="V21" s="2682"/>
      <c r="W21" s="1872"/>
      <c r="X21" s="1872"/>
      <c r="Y21" s="2575"/>
      <c r="Z21" s="1872"/>
      <c r="AL21" s="1810"/>
      <c r="AM21" s="1810"/>
      <c r="AN21" s="1810"/>
      <c r="AO21" s="1810"/>
    </row>
    <row r="22" spans="1:41" s="1802" customFormat="1" ht="14.1" customHeight="1">
      <c r="B22" s="2713" t="s">
        <v>1703</v>
      </c>
      <c r="C22" s="1887"/>
      <c r="D22" s="2349"/>
      <c r="E22" s="1910"/>
      <c r="H22" s="3072"/>
      <c r="I22" s="3281"/>
      <c r="J22" s="3072"/>
      <c r="K22" s="2781"/>
      <c r="M22" s="2781"/>
      <c r="N22" s="2349"/>
      <c r="O22" s="3742"/>
      <c r="P22" s="3044"/>
      <c r="Q22" s="2349"/>
      <c r="R22" s="2346"/>
      <c r="S22" s="2672"/>
      <c r="T22" s="2657"/>
      <c r="U22" s="2658"/>
      <c r="V22" s="2683"/>
      <c r="W22" s="1872"/>
      <c r="X22" s="1872"/>
      <c r="Y22" s="2575"/>
      <c r="Z22" s="1872"/>
      <c r="AL22" s="1810"/>
      <c r="AM22" s="1810"/>
      <c r="AN22" s="1810"/>
      <c r="AO22" s="1810"/>
    </row>
    <row r="23" spans="1:41" s="1802" customFormat="1" ht="14.1" customHeight="1">
      <c r="C23" s="1887"/>
      <c r="E23" s="3073"/>
      <c r="F23" s="1825"/>
      <c r="G23" s="2483"/>
      <c r="H23" s="3961"/>
      <c r="I23" s="3961"/>
      <c r="J23" s="3961"/>
      <c r="K23" s="3961"/>
      <c r="L23" s="3961"/>
      <c r="M23" s="3038"/>
      <c r="N23" s="3459"/>
      <c r="O23" s="3044"/>
      <c r="P23" s="3044"/>
      <c r="Q23" s="2349"/>
      <c r="R23" s="2346"/>
      <c r="S23" s="4460" t="s">
        <v>619</v>
      </c>
      <c r="T23" s="4461"/>
      <c r="U23" s="4461"/>
      <c r="V23" s="4462"/>
      <c r="W23" s="2587"/>
      <c r="X23" s="2588"/>
      <c r="Y23" s="1872"/>
      <c r="Z23" s="1872"/>
      <c r="AK23" s="1827"/>
      <c r="AL23" s="1828"/>
      <c r="AM23" s="1810"/>
      <c r="AN23" s="1810"/>
      <c r="AO23" s="1810"/>
    </row>
    <row r="24" spans="1:41" s="1802" customFormat="1" ht="21" customHeight="1">
      <c r="C24" s="1803"/>
      <c r="D24" s="1907"/>
      <c r="E24" s="1825"/>
      <c r="G24" s="4445" t="s">
        <v>1692</v>
      </c>
      <c r="H24" s="4445"/>
      <c r="I24" s="4445"/>
      <c r="J24" s="4445"/>
      <c r="K24" s="4445"/>
      <c r="L24" s="4445"/>
      <c r="M24" s="4445"/>
      <c r="N24" s="3460"/>
      <c r="O24" s="3044"/>
      <c r="P24" s="3044"/>
      <c r="Q24" s="2349"/>
      <c r="R24" s="2346"/>
      <c r="S24" s="4460"/>
      <c r="T24" s="4461"/>
      <c r="U24" s="4461"/>
      <c r="V24" s="4462"/>
      <c r="W24" s="2745"/>
      <c r="X24" s="2745"/>
      <c r="Y24" s="2745"/>
      <c r="Z24" s="1872"/>
      <c r="AK24" s="1830"/>
      <c r="AL24" s="1831"/>
      <c r="AM24" s="1810"/>
      <c r="AN24" s="1810"/>
      <c r="AO24" s="1810"/>
    </row>
    <row r="25" spans="1:41" s="1802" customFormat="1" ht="14.1" customHeight="1" thickBot="1">
      <c r="C25" s="1803"/>
      <c r="D25" s="1827"/>
      <c r="E25" s="1825"/>
      <c r="F25" s="1833"/>
      <c r="G25" s="2595"/>
      <c r="H25" s="2595"/>
      <c r="I25" s="2595"/>
      <c r="J25" s="2595"/>
      <c r="K25" s="2595"/>
      <c r="L25" s="2595"/>
      <c r="M25" s="2595"/>
      <c r="N25" s="3460"/>
      <c r="O25" s="3043"/>
      <c r="P25" s="2349"/>
      <c r="Q25" s="2349"/>
      <c r="R25" s="2346"/>
      <c r="S25" s="2672"/>
      <c r="T25" s="2639"/>
      <c r="U25" s="2639"/>
      <c r="V25" s="2683"/>
      <c r="W25" s="2745"/>
      <c r="X25" s="2745"/>
      <c r="Y25" s="2745"/>
      <c r="Z25" s="1872"/>
      <c r="AK25" s="1830"/>
      <c r="AL25" s="1831"/>
      <c r="AM25" s="1810"/>
      <c r="AN25" s="1810"/>
      <c r="AO25" s="1810"/>
    </row>
    <row r="26" spans="1:41" s="1802" customFormat="1" ht="14.1" customHeight="1" thickBot="1">
      <c r="C26" s="1803"/>
      <c r="D26" s="2153"/>
      <c r="E26" s="1825"/>
      <c r="F26" s="1833"/>
      <c r="G26" s="2596" t="s">
        <v>1693</v>
      </c>
      <c r="H26" s="4438" t="s">
        <v>2026</v>
      </c>
      <c r="I26" s="4439"/>
      <c r="J26" s="4438" t="s">
        <v>2027</v>
      </c>
      <c r="K26" s="4439"/>
      <c r="L26" s="4438" t="s">
        <v>2028</v>
      </c>
      <c r="M26" s="4439"/>
      <c r="N26" s="4440"/>
      <c r="O26" s="4440"/>
      <c r="P26" s="4440"/>
      <c r="Q26" s="4440"/>
      <c r="R26" s="2346"/>
      <c r="S26" s="4463" t="s">
        <v>910</v>
      </c>
      <c r="T26" s="2253" t="s">
        <v>1018</v>
      </c>
      <c r="U26" s="2253" t="s">
        <v>1019</v>
      </c>
      <c r="V26" s="2669" t="s">
        <v>305</v>
      </c>
      <c r="W26" s="1872"/>
      <c r="X26" s="1872"/>
      <c r="Y26" s="1872"/>
      <c r="Z26" s="1872"/>
      <c r="AK26" s="1830"/>
      <c r="AL26" s="1831"/>
      <c r="AM26" s="1810"/>
      <c r="AN26" s="1810"/>
      <c r="AO26" s="1810"/>
    </row>
    <row r="27" spans="1:41" s="1802" customFormat="1" ht="14.1" customHeight="1">
      <c r="B27" s="4431"/>
      <c r="C27" s="4431"/>
      <c r="D27" s="2153"/>
      <c r="E27" s="1825"/>
      <c r="F27" s="1842"/>
      <c r="G27" s="4435" t="s">
        <v>910</v>
      </c>
      <c r="H27" s="1834" t="str">
        <f t="shared" ref="H27:M27" si="0">("StartYr ("&amp;StartYr&amp;")")</f>
        <v>StartYr (2013)</v>
      </c>
      <c r="I27" s="1834" t="str">
        <f t="shared" si="0"/>
        <v>StartYr (2013)</v>
      </c>
      <c r="J27" s="1834" t="str">
        <f t="shared" si="0"/>
        <v>StartYr (2013)</v>
      </c>
      <c r="K27" s="1834" t="str">
        <f t="shared" si="0"/>
        <v>StartYr (2013)</v>
      </c>
      <c r="L27" s="1834" t="str">
        <f t="shared" si="0"/>
        <v>StartYr (2013)</v>
      </c>
      <c r="M27" s="1834" t="str">
        <f t="shared" si="0"/>
        <v>StartYr (2013)</v>
      </c>
      <c r="N27" s="3740"/>
      <c r="O27" s="3740"/>
      <c r="P27" s="3740"/>
      <c r="Q27" s="3740"/>
      <c r="R27" s="2346"/>
      <c r="S27" s="4464"/>
      <c r="T27" s="2253">
        <f>BaseYr</f>
        <v>2011</v>
      </c>
      <c r="U27" s="2253">
        <f>StartYr</f>
        <v>2013</v>
      </c>
      <c r="V27" s="2669">
        <f>StartYr</f>
        <v>2013</v>
      </c>
      <c r="W27" s="1820"/>
      <c r="X27" s="1820"/>
      <c r="Y27" s="1820"/>
      <c r="Z27" s="1872"/>
      <c r="AL27" s="1810"/>
      <c r="AM27" s="1810"/>
      <c r="AN27" s="1810"/>
      <c r="AO27" s="1810"/>
    </row>
    <row r="28" spans="1:41" s="1802" customFormat="1" ht="14.1" customHeight="1" thickBot="1">
      <c r="A28" s="1847"/>
      <c r="B28" s="2346"/>
      <c r="C28" s="1817"/>
      <c r="D28" s="2153"/>
      <c r="E28" s="2131"/>
      <c r="F28" s="2131"/>
      <c r="G28" s="4436"/>
      <c r="H28" s="1836" t="str">
        <f>("Real "&amp;" "&amp;BaseYr&amp;" $")</f>
        <v>Real  2011 $</v>
      </c>
      <c r="I28" s="2162" t="str">
        <f>("Nominal "&amp;" "&amp;StartYr&amp;" $")</f>
        <v>Nominal  2013 $</v>
      </c>
      <c r="J28" s="1836" t="str">
        <f>("Real "&amp;" "&amp;BaseYr&amp;" $")</f>
        <v>Real  2011 $</v>
      </c>
      <c r="K28" s="2162" t="str">
        <f>("Nominal "&amp;" "&amp;StartYr&amp;" $")</f>
        <v>Nominal  2013 $</v>
      </c>
      <c r="L28" s="1836" t="str">
        <f>("Real "&amp;" "&amp;BaseYr&amp;" $")</f>
        <v>Real  2011 $</v>
      </c>
      <c r="M28" s="4373" t="str">
        <f>("Nominal "&amp;" "&amp;StartYr&amp;" $")</f>
        <v>Nominal  2013 $</v>
      </c>
      <c r="N28" s="3851"/>
      <c r="O28" s="3851"/>
      <c r="P28" s="3851"/>
      <c r="Q28" s="3740"/>
      <c r="R28" s="2346"/>
      <c r="S28" s="2670" t="str">
        <f>"Instant Cost (" &amp;  " $/kW)"</f>
        <v>Instant Cost ( $/kW)</v>
      </c>
      <c r="T28" s="2659">
        <f>InstantCost</f>
        <v>1825.1512982560221</v>
      </c>
      <c r="U28" s="2659">
        <f>'Construction Costs'!G24</f>
        <v>1910.5228692064391</v>
      </c>
      <c r="V28" s="2684" t="s">
        <v>1215</v>
      </c>
      <c r="W28" s="1820"/>
      <c r="X28" s="1820"/>
      <c r="Y28" s="1820"/>
      <c r="Z28" s="1872"/>
      <c r="AL28" s="1810"/>
      <c r="AM28" s="1810"/>
      <c r="AN28" s="1810"/>
      <c r="AO28" s="1810"/>
    </row>
    <row r="29" spans="1:41" s="1802" customFormat="1" ht="14.1" customHeight="1">
      <c r="A29" s="1847"/>
      <c r="B29" s="2346"/>
      <c r="C29" s="2346"/>
      <c r="D29" s="2153"/>
      <c r="E29" s="2131"/>
      <c r="F29" s="2131"/>
      <c r="G29" s="2161" t="str">
        <f>"Instant Cost (" &amp;  "$/kW)"</f>
        <v>Instant Cost ($/kW)</v>
      </c>
      <c r="H29" s="1843">
        <v>1825.1512982560221</v>
      </c>
      <c r="I29" s="2598">
        <v>1910.5228692064391</v>
      </c>
      <c r="J29" s="1843">
        <v>2545.3086762323637</v>
      </c>
      <c r="K29" s="2598">
        <v>2664.3656554818735</v>
      </c>
      <c r="L29" s="1843">
        <v>1465.5024191290177</v>
      </c>
      <c r="M29" s="3282">
        <v>1534.0513903141618</v>
      </c>
      <c r="N29" s="1844"/>
      <c r="O29" s="1844"/>
      <c r="P29" s="1844"/>
      <c r="Q29" s="1844"/>
      <c r="R29" s="2346"/>
      <c r="S29" s="2670" t="str">
        <f>"Installed Cost (" &amp;  " $/kW)"</f>
        <v>Installed Cost ( $/kW)</v>
      </c>
      <c r="T29" s="2659">
        <f>'Construction Costs'!G23</f>
        <v>1981.1671213452837</v>
      </c>
      <c r="U29" s="2659">
        <f>InstalledCostPerkW</f>
        <v>2073.8363425907637</v>
      </c>
      <c r="V29" s="2684" t="s">
        <v>1215</v>
      </c>
      <c r="W29" s="1844"/>
      <c r="X29" s="1844"/>
      <c r="Y29" s="1844"/>
      <c r="Z29" s="1872"/>
      <c r="AL29" s="1810"/>
      <c r="AM29" s="1810"/>
      <c r="AN29" s="1810"/>
      <c r="AO29" s="1810"/>
    </row>
    <row r="30" spans="1:41" s="1802" customFormat="1" ht="14.1" customHeight="1">
      <c r="A30" s="1847"/>
      <c r="B30" s="2346"/>
      <c r="C30" s="2347"/>
      <c r="D30" s="2153"/>
      <c r="E30" s="2131"/>
      <c r="F30" s="2131"/>
      <c r="G30" s="2163" t="str">
        <f>"Installed Cost (" &amp;  "$/kW)"</f>
        <v>Installed Cost ($/kW)</v>
      </c>
      <c r="H30" s="3037">
        <v>1981.1671213452837</v>
      </c>
      <c r="I30" s="1844">
        <v>2073.8363425907637</v>
      </c>
      <c r="J30" s="3037">
        <v>2960.4438794696875</v>
      </c>
      <c r="K30" s="1844">
        <v>3098.9188349116671</v>
      </c>
      <c r="L30" s="3037">
        <v>1514.1342014533275</v>
      </c>
      <c r="M30" s="3283">
        <v>1584.9579274268074</v>
      </c>
      <c r="N30" s="1844"/>
      <c r="O30" s="1844"/>
      <c r="P30" s="1844"/>
      <c r="Q30" s="1844"/>
      <c r="R30" s="2346"/>
      <c r="S30" s="2670" t="s">
        <v>1797</v>
      </c>
      <c r="T30" s="2659"/>
      <c r="U30" s="2644">
        <f>U29/U28</f>
        <v>1.0854810355932347</v>
      </c>
      <c r="V30" s="2684"/>
      <c r="W30" s="1844"/>
      <c r="X30" s="1844"/>
      <c r="Y30" s="1844"/>
      <c r="Z30" s="1872"/>
      <c r="AA30" s="1821"/>
      <c r="AB30" s="1821"/>
      <c r="AC30" s="1821"/>
      <c r="AD30" s="1821"/>
      <c r="AE30" s="1821"/>
      <c r="AF30" s="1821"/>
      <c r="AG30" s="1821"/>
      <c r="AH30" s="1821"/>
      <c r="AI30" s="1821"/>
      <c r="AJ30" s="1821"/>
      <c r="AL30" s="1810"/>
      <c r="AM30" s="1810"/>
      <c r="AN30" s="1810"/>
      <c r="AO30" s="1810"/>
    </row>
    <row r="31" spans="1:41" s="1802" customFormat="1" ht="14.1" customHeight="1">
      <c r="A31" s="1847"/>
      <c r="D31" s="2153"/>
      <c r="E31" s="2131"/>
      <c r="F31" s="2131"/>
      <c r="G31" s="2163" t="s">
        <v>1749</v>
      </c>
      <c r="H31" s="3288"/>
      <c r="I31" s="3039">
        <v>1.0854810355932347</v>
      </c>
      <c r="J31" s="3290"/>
      <c r="K31" s="3039">
        <v>1.1630981763091375</v>
      </c>
      <c r="L31" s="3290"/>
      <c r="M31" s="3284">
        <v>1.0331843753306207</v>
      </c>
      <c r="N31" s="3839"/>
      <c r="O31" s="2608"/>
      <c r="P31" s="2608"/>
      <c r="Q31" s="2608"/>
      <c r="R31" s="2346"/>
      <c r="S31" s="2670" t="s">
        <v>1798</v>
      </c>
      <c r="T31" s="2659"/>
      <c r="U31" s="2644">
        <f>'Construction Costs'!I25</f>
        <v>1.2965487837889422</v>
      </c>
      <c r="V31" s="2684"/>
      <c r="W31" s="1806"/>
      <c r="X31" s="1806"/>
      <c r="Y31" s="1806"/>
      <c r="Z31" s="1872"/>
      <c r="AL31" s="1810"/>
      <c r="AM31" s="1810"/>
      <c r="AN31" s="1810"/>
      <c r="AO31" s="1810"/>
    </row>
    <row r="32" spans="1:41" s="1802" customFormat="1" ht="14.1" customHeight="1">
      <c r="A32" s="1847"/>
      <c r="D32" s="2131"/>
      <c r="E32" s="2131"/>
      <c r="F32" s="2131"/>
      <c r="G32" s="2160" t="s">
        <v>1799</v>
      </c>
      <c r="H32" s="3289"/>
      <c r="I32" s="3250">
        <v>1.2965487837889422</v>
      </c>
      <c r="J32" s="3291"/>
      <c r="K32" s="3040">
        <v>1.5464456313506982</v>
      </c>
      <c r="L32" s="3292"/>
      <c r="M32" s="3285">
        <v>1.1066483759048096</v>
      </c>
      <c r="N32" s="3840"/>
      <c r="O32" s="3841"/>
      <c r="P32" s="2608"/>
      <c r="Q32" s="2608"/>
      <c r="R32" s="2346"/>
      <c r="S32" s="2670" t="str">
        <f>"Fixed O&amp;M Cost (" &amp;  " $/kW-Yr)"</f>
        <v>Fixed O&amp;M Cost ( $/kW-Yr)</v>
      </c>
      <c r="T32" s="2638">
        <f>FixedOMPerkWYr</f>
        <v>0</v>
      </c>
      <c r="U32" s="2638">
        <f>'Income_Cash Flow'!F13</f>
        <v>0</v>
      </c>
      <c r="V32" s="2680">
        <f>T11</f>
        <v>0</v>
      </c>
      <c r="W32" s="1806"/>
      <c r="X32" s="1806"/>
      <c r="Y32" s="1806"/>
      <c r="Z32" s="1872"/>
      <c r="AL32" s="1810"/>
      <c r="AM32" s="1810"/>
      <c r="AN32" s="1810"/>
      <c r="AO32" s="1810"/>
    </row>
    <row r="33" spans="1:148" s="1802" customFormat="1" ht="14.1" customHeight="1">
      <c r="A33" s="1855"/>
      <c r="B33" s="1856"/>
      <c r="C33" s="1803"/>
      <c r="D33" s="2131"/>
      <c r="E33" s="2131"/>
      <c r="F33" s="2131"/>
      <c r="G33" s="2163" t="str">
        <f>"Fixed O&amp;M Cost (" &amp;  "$/kW-Yr)"</f>
        <v>Fixed O&amp;M Cost ($/kW-Yr)</v>
      </c>
      <c r="H33" s="2251">
        <v>0</v>
      </c>
      <c r="I33" s="1806">
        <v>0</v>
      </c>
      <c r="J33" s="2251">
        <v>0</v>
      </c>
      <c r="K33" s="1806">
        <v>0</v>
      </c>
      <c r="L33" s="2251">
        <v>0</v>
      </c>
      <c r="M33" s="3286">
        <v>0</v>
      </c>
      <c r="N33" s="1806"/>
      <c r="O33" s="1806"/>
      <c r="P33" s="1806"/>
      <c r="Q33" s="1806"/>
      <c r="R33" s="2346"/>
      <c r="S33" s="2670" t="str">
        <f>"Variable O&amp;M Cost (" &amp;  " $/MWh)"</f>
        <v>Variable O&amp;M Cost ( $/MWh)</v>
      </c>
      <c r="T33" s="2638">
        <f>TotalVariableOMPerMWh</f>
        <v>9</v>
      </c>
      <c r="U33" s="2638">
        <f>'Income_Cash Flow'!F97</f>
        <v>9.5154208669312972</v>
      </c>
      <c r="V33" s="2680">
        <f>U15</f>
        <v>12.202695821312828</v>
      </c>
      <c r="W33" s="1806"/>
      <c r="X33" s="1806"/>
      <c r="Y33" s="1806"/>
      <c r="Z33" s="1872"/>
      <c r="AL33" s="1810"/>
      <c r="AM33" s="1810"/>
      <c r="AN33" s="1810"/>
      <c r="AO33" s="1810"/>
    </row>
    <row r="34" spans="1:148" s="1802" customFormat="1" ht="14.1" customHeight="1">
      <c r="A34" s="1847"/>
      <c r="B34" s="1856"/>
      <c r="C34" s="1803"/>
      <c r="D34" s="2131"/>
      <c r="E34" s="2131"/>
      <c r="F34" s="2131"/>
      <c r="G34" s="2163" t="str">
        <f>"Variable O&amp;M Cost (" &amp;  "$/MWh)"</f>
        <v>Variable O&amp;M Cost ($/MWh)</v>
      </c>
      <c r="H34" s="2251">
        <v>9</v>
      </c>
      <c r="I34" s="1806">
        <v>9.5154208669312972</v>
      </c>
      <c r="J34" s="2251">
        <v>18</v>
      </c>
      <c r="K34" s="1806">
        <v>19.030841733862594</v>
      </c>
      <c r="L34" s="2251">
        <v>5</v>
      </c>
      <c r="M34" s="3286">
        <v>5.2863449260729434</v>
      </c>
      <c r="N34" s="1806"/>
      <c r="O34" s="1806"/>
      <c r="P34" s="1806"/>
      <c r="Q34" s="1806"/>
      <c r="R34" s="2346"/>
      <c r="S34" s="4016" t="s">
        <v>1963</v>
      </c>
      <c r="T34" s="2638">
        <f>T32/(8.76*$T$52)+T33</f>
        <v>9</v>
      </c>
      <c r="U34" s="2638">
        <f>U32/(8.76*$T$52)+U33</f>
        <v>9.5154208669312972</v>
      </c>
      <c r="V34" s="2680"/>
      <c r="W34" s="1806"/>
      <c r="X34" s="1806"/>
      <c r="Y34" s="1806"/>
      <c r="Z34" s="1872"/>
      <c r="AL34" s="1810"/>
      <c r="AM34" s="1810"/>
      <c r="AN34" s="1810"/>
      <c r="AO34" s="1810"/>
    </row>
    <row r="35" spans="1:148" s="1802" customFormat="1" ht="14.1" customHeight="1">
      <c r="B35" s="4430" t="s">
        <v>2033</v>
      </c>
      <c r="C35" s="4430"/>
      <c r="D35" s="2131"/>
      <c r="E35" s="2131"/>
      <c r="F35" s="2131"/>
      <c r="G35" s="3490" t="s">
        <v>1963</v>
      </c>
      <c r="H35" s="2251">
        <v>9</v>
      </c>
      <c r="I35" s="2251">
        <v>9.5154208669312972</v>
      </c>
      <c r="J35" s="2251">
        <v>18</v>
      </c>
      <c r="K35" s="2251">
        <v>19.030841733862594</v>
      </c>
      <c r="L35" s="2251">
        <v>5</v>
      </c>
      <c r="M35" s="2251">
        <v>5.2863449260729434</v>
      </c>
      <c r="N35" s="1806"/>
      <c r="O35" s="1806"/>
      <c r="P35" s="1806"/>
      <c r="Q35" s="1806"/>
      <c r="R35" s="2346"/>
      <c r="S35" s="4016" t="s">
        <v>1965</v>
      </c>
      <c r="T35" s="2638">
        <f>T33*(8.76*$T$52)+T32</f>
        <v>20.4984</v>
      </c>
      <c r="U35" s="2638">
        <f>U33*(8.76*$T$52)+U32</f>
        <v>21.672322566522723</v>
      </c>
      <c r="V35" s="2680"/>
      <c r="W35" s="1806"/>
      <c r="X35" s="1806"/>
      <c r="Y35" s="1806"/>
      <c r="Z35" s="1872"/>
      <c r="AL35" s="1810"/>
      <c r="AM35" s="1810"/>
      <c r="AN35" s="1810"/>
      <c r="AO35" s="1810"/>
    </row>
    <row r="36" spans="1:148" s="1802" customFormat="1" ht="14.1" customHeight="1" thickBot="1">
      <c r="B36" s="2149" t="s">
        <v>1649</v>
      </c>
      <c r="C36" s="2145" t="s">
        <v>2026</v>
      </c>
      <c r="D36" s="2131"/>
      <c r="E36" s="2131"/>
      <c r="F36" s="2131"/>
      <c r="G36" s="3079" t="s">
        <v>1965</v>
      </c>
      <c r="H36" s="2164">
        <v>20.4984</v>
      </c>
      <c r="I36" s="2164">
        <v>21.672322566522723</v>
      </c>
      <c r="J36" s="2164">
        <v>34.689599999999999</v>
      </c>
      <c r="K36" s="2164">
        <v>36.67623818949999</v>
      </c>
      <c r="L36" s="2164">
        <v>13.139999999999999</v>
      </c>
      <c r="M36" s="2164">
        <v>13.892514465719694</v>
      </c>
      <c r="N36" s="1806"/>
      <c r="O36" s="1806"/>
      <c r="P36" s="1806"/>
      <c r="Q36" s="1806"/>
      <c r="R36" s="2346"/>
      <c r="S36" s="2670" t="s">
        <v>1491</v>
      </c>
      <c r="T36" s="2638">
        <f>'Construction Costs'!G23*InsurancePct</f>
        <v>11.887002728071703</v>
      </c>
      <c r="U36" s="2638">
        <f>'Income_Cash Flow'!F16</f>
        <v>12.443018055544583</v>
      </c>
      <c r="V36" s="2680">
        <f>T9</f>
        <v>14.635139806572186</v>
      </c>
      <c r="W36" s="2580"/>
      <c r="X36" s="1852"/>
      <c r="Y36" s="1853"/>
      <c r="Z36" s="1872"/>
      <c r="AL36" s="1810"/>
      <c r="AM36" s="1810"/>
      <c r="AN36" s="1810"/>
      <c r="AO36" s="1810"/>
    </row>
    <row r="37" spans="1:148" s="1802" customFormat="1" ht="14.1" customHeight="1">
      <c r="A37" s="1860"/>
      <c r="B37" s="2146" t="s">
        <v>1372</v>
      </c>
      <c r="C37" s="1805" t="s">
        <v>561</v>
      </c>
      <c r="D37" s="2131"/>
      <c r="E37" s="2131"/>
      <c r="F37" s="2131"/>
      <c r="G37" s="2163" t="s">
        <v>1491</v>
      </c>
      <c r="H37" s="2251">
        <v>11.887002728071703</v>
      </c>
      <c r="I37" s="1806">
        <v>12.443018055544583</v>
      </c>
      <c r="J37" s="2251">
        <v>17.762663276818127</v>
      </c>
      <c r="K37" s="1806">
        <v>18.593513009470001</v>
      </c>
      <c r="L37" s="2251">
        <v>9.0848052087199651</v>
      </c>
      <c r="M37" s="3286">
        <v>9.5097475645608451</v>
      </c>
      <c r="N37" s="1806"/>
      <c r="O37" s="1806"/>
      <c r="P37" s="1806"/>
      <c r="Q37" s="1806"/>
      <c r="R37" s="2346"/>
      <c r="S37" s="2670" t="s">
        <v>1492</v>
      </c>
      <c r="T37" s="2638">
        <f>'Construction Costs'!G23*AdValoremTaxRate*'Income_Cash Flow'!F14</f>
        <v>21.535682842447503</v>
      </c>
      <c r="U37" s="2638">
        <f>'Income_Cash Flow'!F15</f>
        <v>22.54301581123012</v>
      </c>
      <c r="V37" s="2680">
        <f>T10</f>
        <v>21.391440826369717</v>
      </c>
      <c r="W37" s="1820"/>
      <c r="X37" s="1820"/>
      <c r="Y37" s="1854"/>
      <c r="Z37" s="1872"/>
      <c r="AL37" s="1810"/>
      <c r="AM37" s="1810"/>
      <c r="AN37" s="1810"/>
      <c r="AO37" s="1810"/>
    </row>
    <row r="38" spans="1:148" s="1802" customFormat="1" ht="14.1" customHeight="1" thickBot="1">
      <c r="B38" s="2147" t="str">
        <f>"Base Year (All Costs In " &amp; BaseYr &amp; " Dollars)"</f>
        <v>Base Year (All Costs In 2011 Dollars)</v>
      </c>
      <c r="C38" s="1807">
        <v>2011</v>
      </c>
      <c r="D38" s="2131"/>
      <c r="E38" s="2131"/>
      <c r="F38" s="2131"/>
      <c r="G38" s="1851" t="s">
        <v>1492</v>
      </c>
      <c r="H38" s="2165">
        <v>21.535682842447503</v>
      </c>
      <c r="I38" s="2166">
        <v>22.54301581123012</v>
      </c>
      <c r="J38" s="2165">
        <v>31.530503582679856</v>
      </c>
      <c r="K38" s="2166">
        <v>33.005344943110202</v>
      </c>
      <c r="L38" s="2165">
        <v>16.45894159663796</v>
      </c>
      <c r="M38" s="3287">
        <v>17.228809662714884</v>
      </c>
      <c r="N38" s="1806"/>
      <c r="O38" s="1806"/>
      <c r="P38" s="1806"/>
      <c r="Q38" s="1806"/>
      <c r="R38" s="2346"/>
      <c r="S38" s="2670"/>
      <c r="T38" s="2638"/>
      <c r="U38" s="2638"/>
      <c r="V38" s="2680"/>
      <c r="W38" s="1820"/>
      <c r="X38" s="1820"/>
      <c r="Y38" s="1820"/>
      <c r="Z38" s="1872"/>
      <c r="AL38" s="1810"/>
      <c r="AM38" s="1810"/>
      <c r="AN38" s="1810"/>
      <c r="AO38" s="1810"/>
    </row>
    <row r="39" spans="1:148" s="1802" customFormat="1" ht="14.1" customHeight="1">
      <c r="B39" s="2146" t="s">
        <v>607</v>
      </c>
      <c r="C39" s="2252" t="s">
        <v>131</v>
      </c>
      <c r="D39" s="2131"/>
      <c r="E39" s="2131"/>
      <c r="F39" s="2131"/>
      <c r="G39" s="4435" t="s">
        <v>1026</v>
      </c>
      <c r="H39" s="4435" t="s">
        <v>1027</v>
      </c>
      <c r="I39" s="4435" t="s">
        <v>1028</v>
      </c>
      <c r="J39" s="4435" t="s">
        <v>1027</v>
      </c>
      <c r="K39" s="4435" t="s">
        <v>1028</v>
      </c>
      <c r="L39" s="4435" t="s">
        <v>1027</v>
      </c>
      <c r="M39" s="4435" t="s">
        <v>1028</v>
      </c>
      <c r="N39" s="4437"/>
      <c r="O39" s="4437"/>
      <c r="P39" s="4437"/>
      <c r="Q39" s="4437"/>
      <c r="R39" s="2346"/>
      <c r="S39" s="2670"/>
      <c r="T39" s="2639"/>
      <c r="U39" s="2640"/>
      <c r="V39" s="2685"/>
      <c r="W39" s="1857"/>
      <c r="X39" s="1857"/>
      <c r="Y39" s="1858"/>
      <c r="Z39" s="1872"/>
      <c r="AL39" s="1810"/>
      <c r="AM39" s="1810"/>
      <c r="AN39" s="1810"/>
      <c r="AO39" s="1810"/>
    </row>
    <row r="40" spans="1:148" s="1802" customFormat="1" ht="14.1" customHeight="1" thickBot="1">
      <c r="B40" s="2148" t="s">
        <v>1139</v>
      </c>
      <c r="C40" s="1812" t="s">
        <v>2052</v>
      </c>
      <c r="D40" s="2131"/>
      <c r="E40" s="2131"/>
      <c r="F40" s="2131"/>
      <c r="G40" s="4436"/>
      <c r="H40" s="4436"/>
      <c r="I40" s="4436"/>
      <c r="J40" s="4436"/>
      <c r="K40" s="4436"/>
      <c r="L40" s="4436"/>
      <c r="M40" s="4436"/>
      <c r="N40" s="4437"/>
      <c r="O40" s="4437"/>
      <c r="P40" s="4437"/>
      <c r="Q40" s="4437"/>
      <c r="R40" s="1857"/>
      <c r="S40" s="2677" t="s">
        <v>1020</v>
      </c>
      <c r="T40" s="2253" t="s">
        <v>1021</v>
      </c>
      <c r="U40" s="2253" t="s">
        <v>547</v>
      </c>
      <c r="V40" s="2686" t="s">
        <v>1022</v>
      </c>
      <c r="W40" s="1857"/>
      <c r="X40" s="2576"/>
      <c r="Y40" s="1858"/>
      <c r="Z40" s="1872"/>
      <c r="AL40" s="1810"/>
      <c r="AM40" s="1810"/>
      <c r="AN40" s="1810"/>
      <c r="AO40" s="1810"/>
    </row>
    <row r="41" spans="1:148" s="1802" customFormat="1" ht="14.1" customHeight="1">
      <c r="B41" s="2147" t="s">
        <v>908</v>
      </c>
      <c r="C41" s="3741" t="s">
        <v>1973</v>
      </c>
      <c r="D41" s="2131"/>
      <c r="E41" s="2131"/>
      <c r="F41" s="2131"/>
      <c r="G41" s="2597" t="s">
        <v>1964</v>
      </c>
      <c r="H41" s="2600">
        <v>0</v>
      </c>
      <c r="I41" s="2601">
        <v>0</v>
      </c>
      <c r="J41" s="2600">
        <v>0</v>
      </c>
      <c r="K41" s="2602">
        <v>0</v>
      </c>
      <c r="L41" s="2600">
        <v>0</v>
      </c>
      <c r="M41" s="2601">
        <v>0</v>
      </c>
      <c r="N41" s="2625"/>
      <c r="O41" s="2605"/>
      <c r="P41" s="2625"/>
      <c r="Q41" s="2605"/>
      <c r="R41" s="1857"/>
      <c r="S41" s="2677">
        <f>StartYr</f>
        <v>2013</v>
      </c>
      <c r="T41" s="2253" t="s">
        <v>1023</v>
      </c>
      <c r="U41" s="2253" t="s">
        <v>1023</v>
      </c>
      <c r="V41" s="2669" t="s">
        <v>1024</v>
      </c>
      <c r="W41" s="1857"/>
      <c r="X41" s="2576"/>
      <c r="Y41" s="1858"/>
      <c r="Z41" s="1872"/>
      <c r="AL41" s="1810"/>
      <c r="AM41" s="1810"/>
      <c r="AN41" s="1810"/>
      <c r="AO41" s="1810"/>
    </row>
    <row r="42" spans="1:148" s="1802" customFormat="1" ht="13.5" customHeight="1">
      <c r="B42" s="2149" t="s">
        <v>909</v>
      </c>
      <c r="C42" s="1818" t="s">
        <v>639</v>
      </c>
      <c r="D42" s="2131"/>
      <c r="E42" s="2131"/>
      <c r="F42" s="2131"/>
      <c r="G42" s="2523" t="s">
        <v>972</v>
      </c>
      <c r="H42" s="2603">
        <v>0.01</v>
      </c>
      <c r="I42" s="2604">
        <v>23.006060606060611</v>
      </c>
      <c r="J42" s="2603">
        <v>0.01</v>
      </c>
      <c r="K42" s="2605">
        <v>19.466666666666669</v>
      </c>
      <c r="L42" s="2603">
        <v>0.01</v>
      </c>
      <c r="M42" s="2604">
        <v>26.545454545454547</v>
      </c>
      <c r="N42" s="2622"/>
      <c r="O42" s="2605"/>
      <c r="P42" s="2622"/>
      <c r="Q42" s="2605"/>
      <c r="R42" s="1857"/>
      <c r="S42" s="2672" t="s">
        <v>911</v>
      </c>
      <c r="T42" s="2642">
        <f>GrossMW</f>
        <v>100</v>
      </c>
      <c r="U42" s="2642">
        <f>GrossMW</f>
        <v>100</v>
      </c>
      <c r="V42" s="2687">
        <f>AnnualGrossEnergy</f>
        <v>221.10834294810633</v>
      </c>
      <c r="W42" s="1857"/>
      <c r="X42" s="2576"/>
      <c r="Y42" s="1861"/>
      <c r="Z42" s="1872"/>
      <c r="AL42" s="1810"/>
      <c r="AM42" s="1810"/>
      <c r="AN42" s="1810"/>
      <c r="AO42" s="1810"/>
    </row>
    <row r="43" spans="1:148" s="1802" customFormat="1" ht="13.5" customHeight="1">
      <c r="B43" s="1821"/>
      <c r="C43" s="1803"/>
      <c r="D43" s="2131"/>
      <c r="E43" s="2131"/>
      <c r="F43" s="2131"/>
      <c r="G43" s="2163" t="s">
        <v>624</v>
      </c>
      <c r="H43" s="1881"/>
      <c r="I43" s="2604">
        <v>2277.6000000000004</v>
      </c>
      <c r="J43" s="1881"/>
      <c r="K43" s="2605">
        <v>1927.2</v>
      </c>
      <c r="L43" s="1881"/>
      <c r="M43" s="2604">
        <v>2628</v>
      </c>
      <c r="N43" s="2271"/>
      <c r="O43" s="2605"/>
      <c r="P43" s="2271"/>
      <c r="Q43" s="2605"/>
      <c r="R43" s="2580"/>
      <c r="S43" s="2670" t="s">
        <v>197</v>
      </c>
      <c r="T43" s="2642">
        <f>NetMW</f>
        <v>98</v>
      </c>
      <c r="U43" s="2642">
        <f>OpCapMW</f>
        <v>98</v>
      </c>
      <c r="V43" s="2687">
        <f>AnnualNetGWh</f>
        <v>216.6861760891442</v>
      </c>
      <c r="W43" s="2580"/>
      <c r="X43" s="1863"/>
      <c r="Y43" s="1863"/>
      <c r="Z43" s="1872"/>
      <c r="AL43" s="1810"/>
      <c r="AM43" s="1810"/>
      <c r="AN43" s="1810"/>
      <c r="AO43" s="1810"/>
    </row>
    <row r="44" spans="1:148" s="1802" customFormat="1" ht="14.1" customHeight="1">
      <c r="B44" s="1856"/>
      <c r="C44" s="1803"/>
      <c r="D44" s="2131"/>
      <c r="E44" s="2131"/>
      <c r="F44" s="2131"/>
      <c r="G44" s="2163" t="s">
        <v>632</v>
      </c>
      <c r="H44" s="2606">
        <v>0.99</v>
      </c>
      <c r="I44" s="2607"/>
      <c r="J44" s="2606">
        <v>0.99</v>
      </c>
      <c r="K44" s="2608"/>
      <c r="L44" s="2606">
        <v>0.99</v>
      </c>
      <c r="M44" s="2607"/>
      <c r="N44" s="2625"/>
      <c r="O44" s="2608"/>
      <c r="P44" s="2625"/>
      <c r="Q44" s="2608"/>
      <c r="R44" s="1864"/>
      <c r="S44" s="2670" t="s">
        <v>198</v>
      </c>
      <c r="T44" s="2642">
        <f>'Physical Data'!C23</f>
        <v>97.51</v>
      </c>
      <c r="U44" s="2642">
        <f>'Physical Data'!D23</f>
        <v>97.51</v>
      </c>
      <c r="V44" s="2687">
        <f>'Physical Data'!E23</f>
        <v>215.60274520869848</v>
      </c>
      <c r="W44" s="1864"/>
      <c r="X44" s="1864"/>
      <c r="Y44" s="1864"/>
      <c r="Z44" s="1872"/>
      <c r="AL44" s="1810"/>
      <c r="AM44" s="1810"/>
      <c r="AN44" s="1810"/>
      <c r="AO44" s="1810"/>
    </row>
    <row r="45" spans="1:148" s="1802" customFormat="1" ht="14.1" customHeight="1" thickBot="1">
      <c r="B45" s="1856"/>
      <c r="C45" s="1847"/>
      <c r="D45" s="2131"/>
      <c r="E45" s="2131"/>
      <c r="F45" s="2131"/>
      <c r="G45" s="1851" t="s">
        <v>1030</v>
      </c>
      <c r="H45" s="3372">
        <v>0.26</v>
      </c>
      <c r="I45" s="3373"/>
      <c r="J45" s="3372">
        <v>0.22</v>
      </c>
      <c r="K45" s="3374"/>
      <c r="L45" s="3372">
        <v>0.3</v>
      </c>
      <c r="M45" s="3344"/>
      <c r="N45" s="2625"/>
      <c r="O45" s="2608"/>
      <c r="P45" s="2625"/>
      <c r="Q45" s="2608"/>
      <c r="R45" s="2577"/>
      <c r="S45" s="2670" t="s">
        <v>1421</v>
      </c>
      <c r="T45" s="2642">
        <f>LoadCenterMW</f>
        <v>96.565443187134534</v>
      </c>
      <c r="U45" s="2642">
        <f>EffectiveMW</f>
        <v>96.565443187134534</v>
      </c>
      <c r="V45" s="2687">
        <f>StudyGWH</f>
        <v>213.51425129156823</v>
      </c>
      <c r="W45" s="2577"/>
      <c r="X45" s="1865"/>
      <c r="Y45" s="1865"/>
      <c r="Z45" s="1872"/>
      <c r="AL45" s="1810"/>
      <c r="AM45" s="1810"/>
      <c r="AN45" s="1810"/>
      <c r="AO45" s="1810"/>
    </row>
    <row r="46" spans="1:148" s="1802" customFormat="1" ht="14.1" customHeight="1">
      <c r="B46" s="1856"/>
      <c r="C46" s="1847"/>
      <c r="D46" s="2131"/>
      <c r="E46" s="2131"/>
      <c r="F46" s="2131"/>
      <c r="G46" s="4435" t="s">
        <v>828</v>
      </c>
      <c r="H46" s="4435">
        <f>StartYr</f>
        <v>2013</v>
      </c>
      <c r="I46" s="4435" t="s">
        <v>305</v>
      </c>
      <c r="J46" s="4435">
        <f>StartYr</f>
        <v>2013</v>
      </c>
      <c r="K46" s="4435" t="s">
        <v>305</v>
      </c>
      <c r="L46" s="4435">
        <f>StartYr</f>
        <v>2013</v>
      </c>
      <c r="M46" s="4435" t="s">
        <v>305</v>
      </c>
      <c r="N46" s="4437"/>
      <c r="O46" s="4437"/>
      <c r="P46" s="4437"/>
      <c r="Q46" s="4437"/>
      <c r="R46" s="2578"/>
      <c r="S46" s="2670"/>
      <c r="T46" s="2639"/>
      <c r="U46" s="2641"/>
      <c r="V46" s="2685"/>
      <c r="W46" s="2578"/>
      <c r="X46" s="1865"/>
      <c r="Y46" s="1865"/>
      <c r="Z46" s="1872"/>
      <c r="AL46" s="1810"/>
      <c r="AM46" s="1810"/>
      <c r="AN46" s="1810"/>
      <c r="AO46" s="1810"/>
    </row>
    <row r="47" spans="1:148" s="1802" customFormat="1" ht="14.1" customHeight="1" thickBot="1">
      <c r="B47" s="1856"/>
      <c r="C47" s="1847"/>
      <c r="D47" s="2131"/>
      <c r="E47" s="2131"/>
      <c r="F47" s="2131"/>
      <c r="G47" s="4436"/>
      <c r="H47" s="4436"/>
      <c r="I47" s="4436"/>
      <c r="J47" s="4436"/>
      <c r="K47" s="4436"/>
      <c r="L47" s="4436"/>
      <c r="M47" s="4436"/>
      <c r="N47" s="4437"/>
      <c r="O47" s="4437"/>
      <c r="P47" s="4437"/>
      <c r="Q47" s="4437"/>
      <c r="R47" s="2589"/>
      <c r="S47" s="2677" t="s">
        <v>1026</v>
      </c>
      <c r="T47" s="2253" t="s">
        <v>1027</v>
      </c>
      <c r="U47" s="2253" t="s">
        <v>1028</v>
      </c>
      <c r="V47" s="2669"/>
      <c r="W47" s="2589"/>
      <c r="X47" s="1865"/>
      <c r="Y47" s="1865"/>
      <c r="Z47" s="1872"/>
      <c r="AL47" s="1810"/>
      <c r="AM47" s="1810"/>
      <c r="AN47" s="1810"/>
      <c r="AO47" s="1810"/>
    </row>
    <row r="48" spans="1:148" s="1802" customFormat="1" ht="14.1" customHeight="1">
      <c r="D48" s="2131"/>
      <c r="E48" s="2131"/>
      <c r="F48" s="2131"/>
      <c r="G48" s="2523" t="s">
        <v>829</v>
      </c>
      <c r="H48" s="2610">
        <v>0</v>
      </c>
      <c r="I48" s="2610">
        <v>0</v>
      </c>
      <c r="J48" s="2610">
        <v>0</v>
      </c>
      <c r="K48" s="2611">
        <v>0</v>
      </c>
      <c r="L48" s="2610">
        <v>0</v>
      </c>
      <c r="M48" s="2610">
        <v>0</v>
      </c>
      <c r="N48" s="3461"/>
      <c r="O48" s="3461"/>
      <c r="P48" s="3461"/>
      <c r="Q48" s="3461"/>
      <c r="R48" s="2577"/>
      <c r="S48" s="2670" t="s">
        <v>1029</v>
      </c>
      <c r="T48" s="2648">
        <f>SchdOutageFactor</f>
        <v>0</v>
      </c>
      <c r="U48" s="2643">
        <f>SchdOutHours</f>
        <v>0</v>
      </c>
      <c r="V48" s="2688"/>
      <c r="W48" s="2577"/>
      <c r="X48" s="1866"/>
      <c r="Y48" s="1866"/>
      <c r="Z48" s="1872"/>
      <c r="AL48" s="1810"/>
      <c r="AM48" s="1810"/>
      <c r="AN48" s="1810"/>
      <c r="AO48" s="1810"/>
      <c r="BK48" s="1821"/>
      <c r="BL48" s="1821"/>
      <c r="BM48" s="1821"/>
      <c r="BN48" s="1821"/>
      <c r="BO48" s="1821"/>
      <c r="BP48" s="1821"/>
      <c r="BQ48" s="1821"/>
      <c r="BR48" s="1821"/>
      <c r="BS48" s="1821"/>
      <c r="BT48" s="1821"/>
      <c r="BU48" s="1821"/>
      <c r="BV48" s="1821"/>
      <c r="BW48" s="1821"/>
      <c r="BX48" s="1821"/>
      <c r="BY48" s="1821"/>
      <c r="BZ48" s="1821"/>
      <c r="CA48" s="1821"/>
      <c r="CB48" s="1821"/>
      <c r="CC48" s="1821"/>
      <c r="CD48" s="1821"/>
      <c r="CE48" s="1821"/>
      <c r="CF48" s="1821"/>
      <c r="CG48" s="1821"/>
      <c r="CH48" s="1821"/>
      <c r="CI48" s="1821"/>
      <c r="CJ48" s="1821"/>
      <c r="CK48" s="1821"/>
      <c r="CL48" s="1821"/>
      <c r="CM48" s="1821"/>
      <c r="CN48" s="1821"/>
      <c r="CO48" s="1821"/>
      <c r="CP48" s="1821"/>
      <c r="CQ48" s="1821"/>
      <c r="CR48" s="1821"/>
      <c r="CS48" s="1821"/>
      <c r="CT48" s="1821"/>
      <c r="CU48" s="1821"/>
      <c r="CV48" s="1821"/>
      <c r="CW48" s="1821"/>
      <c r="CX48" s="1821"/>
      <c r="CY48" s="1821"/>
      <c r="CZ48" s="1821"/>
      <c r="DA48" s="1821"/>
      <c r="DB48" s="1821"/>
      <c r="DC48" s="1821"/>
      <c r="DD48" s="1821"/>
      <c r="DE48" s="1821"/>
      <c r="DF48" s="1821"/>
      <c r="DG48" s="1821"/>
      <c r="DH48" s="1821"/>
      <c r="DI48" s="1821"/>
      <c r="DJ48" s="1821"/>
      <c r="DK48" s="1821"/>
      <c r="DL48" s="1821"/>
      <c r="DM48" s="1821"/>
      <c r="DN48" s="1821"/>
      <c r="DO48" s="1821"/>
      <c r="DP48" s="1821"/>
      <c r="DQ48" s="1821"/>
      <c r="DR48" s="1821"/>
      <c r="DS48" s="1821"/>
      <c r="DT48" s="1821"/>
      <c r="DU48" s="1821"/>
      <c r="DV48" s="1821"/>
      <c r="DW48" s="1821"/>
      <c r="DX48" s="1821"/>
      <c r="DY48" s="1821"/>
      <c r="DZ48" s="1821"/>
      <c r="EA48" s="1821"/>
      <c r="EB48" s="1821"/>
      <c r="EC48" s="1821"/>
      <c r="ED48" s="1821"/>
      <c r="EE48" s="1821"/>
      <c r="EF48" s="1821"/>
      <c r="EG48" s="1821"/>
      <c r="EH48" s="1821"/>
      <c r="EI48" s="1821"/>
      <c r="EJ48" s="1821"/>
      <c r="EK48" s="1821"/>
      <c r="EL48" s="1821"/>
      <c r="EM48" s="1821"/>
      <c r="EN48" s="1821"/>
      <c r="EO48" s="1821"/>
      <c r="EP48" s="1821"/>
      <c r="EQ48" s="1821"/>
      <c r="ER48" s="1821"/>
    </row>
    <row r="49" spans="1:257" s="1802" customFormat="1" ht="14.1" customHeight="1">
      <c r="D49" s="1817"/>
      <c r="E49" s="1817"/>
      <c r="G49" s="2163" t="s">
        <v>830</v>
      </c>
      <c r="H49" s="2612">
        <v>0</v>
      </c>
      <c r="I49" s="2612" t="s">
        <v>1215</v>
      </c>
      <c r="J49" s="2612">
        <v>0</v>
      </c>
      <c r="K49" s="2613" t="s">
        <v>1215</v>
      </c>
      <c r="L49" s="2612">
        <v>0</v>
      </c>
      <c r="M49" s="2612" t="s">
        <v>1215</v>
      </c>
      <c r="N49" s="3462"/>
      <c r="O49" s="3462"/>
      <c r="P49" s="3462"/>
      <c r="Q49" s="3462"/>
      <c r="R49" s="2579"/>
      <c r="S49" s="2670" t="s">
        <v>972</v>
      </c>
      <c r="T49" s="2647">
        <f>ForcedOutageFactor</f>
        <v>0.01</v>
      </c>
      <c r="U49" s="2643">
        <f>ForceOutageHrs</f>
        <v>23.006060606060611</v>
      </c>
      <c r="V49" s="2688"/>
      <c r="W49" s="2579"/>
      <c r="X49" s="1866"/>
      <c r="Y49" s="1866"/>
      <c r="Z49" s="1872"/>
      <c r="AL49" s="1810"/>
      <c r="AM49" s="1810"/>
      <c r="AN49" s="1810"/>
      <c r="AO49" s="1810"/>
      <c r="BK49" s="1821"/>
      <c r="BL49" s="1821"/>
      <c r="BM49" s="1821"/>
      <c r="BN49" s="1821"/>
      <c r="BO49" s="1821"/>
      <c r="BP49" s="1821"/>
      <c r="BQ49" s="1821"/>
      <c r="BR49" s="1821"/>
      <c r="BS49" s="1821"/>
      <c r="BT49" s="1821"/>
      <c r="BU49" s="1821"/>
      <c r="BV49" s="1821"/>
      <c r="BW49" s="1821"/>
      <c r="BX49" s="1821"/>
      <c r="BY49" s="1821"/>
      <c r="BZ49" s="1821"/>
      <c r="CA49" s="1821"/>
      <c r="CB49" s="1821"/>
      <c r="CC49" s="1821"/>
      <c r="CD49" s="1821"/>
      <c r="CE49" s="1821"/>
      <c r="CF49" s="1821"/>
      <c r="CG49" s="1821"/>
      <c r="CH49" s="1821"/>
      <c r="CI49" s="1821"/>
      <c r="CJ49" s="1821"/>
      <c r="CK49" s="1821"/>
      <c r="CL49" s="1821"/>
      <c r="CM49" s="1821"/>
      <c r="CN49" s="1821"/>
      <c r="CO49" s="1821"/>
      <c r="CP49" s="1821"/>
      <c r="CQ49" s="1821"/>
      <c r="CR49" s="1821"/>
      <c r="CS49" s="1821"/>
      <c r="CT49" s="1821"/>
      <c r="CU49" s="1821"/>
      <c r="CV49" s="1821"/>
      <c r="CW49" s="1821"/>
      <c r="CX49" s="1821"/>
      <c r="CY49" s="1821"/>
      <c r="CZ49" s="1821"/>
      <c r="DA49" s="1821"/>
      <c r="DB49" s="1821"/>
      <c r="DC49" s="1821"/>
      <c r="DD49" s="1821"/>
      <c r="DE49" s="1821"/>
      <c r="DF49" s="1821"/>
      <c r="DG49" s="1821"/>
      <c r="DH49" s="1821"/>
      <c r="DI49" s="1821"/>
      <c r="DJ49" s="1821"/>
      <c r="DK49" s="1821"/>
      <c r="DL49" s="1821"/>
      <c r="DM49" s="1821"/>
      <c r="DN49" s="1821"/>
      <c r="DO49" s="1821"/>
      <c r="DP49" s="1821"/>
      <c r="DQ49" s="1821"/>
      <c r="DR49" s="1821"/>
      <c r="DS49" s="1821"/>
      <c r="DT49" s="1821"/>
      <c r="DU49" s="1821"/>
      <c r="DV49" s="1821"/>
      <c r="DW49" s="1821"/>
      <c r="DX49" s="1821"/>
      <c r="DY49" s="1821"/>
      <c r="DZ49" s="1821"/>
      <c r="EA49" s="1821"/>
      <c r="EB49" s="1821"/>
      <c r="EC49" s="1821"/>
      <c r="ED49" s="1821"/>
      <c r="EE49" s="1821"/>
      <c r="EF49" s="1821"/>
      <c r="EG49" s="1821"/>
      <c r="EH49" s="1821"/>
      <c r="EI49" s="1821"/>
      <c r="EJ49" s="1821"/>
      <c r="EK49" s="1821"/>
      <c r="EL49" s="1821"/>
      <c r="EM49" s="1821"/>
      <c r="EN49" s="1821"/>
      <c r="EO49" s="1821"/>
      <c r="EP49" s="1821"/>
      <c r="EQ49" s="1821"/>
      <c r="ER49" s="1821"/>
    </row>
    <row r="50" spans="1:257" s="1802" customFormat="1" ht="14.1" customHeight="1" thickBot="1">
      <c r="A50" s="1847"/>
      <c r="D50" s="1817"/>
      <c r="E50" s="1817"/>
      <c r="G50" s="1851" t="str">
        <f>"Fuel Price (" &amp;  "$/MMBtu)"</f>
        <v>Fuel Price ($/MMBtu)</v>
      </c>
      <c r="H50" s="2165" t="s">
        <v>1215</v>
      </c>
      <c r="I50" s="2165" t="s">
        <v>1215</v>
      </c>
      <c r="J50" s="2165" t="s">
        <v>1215</v>
      </c>
      <c r="K50" s="2614" t="s">
        <v>1215</v>
      </c>
      <c r="L50" s="2165" t="s">
        <v>1215</v>
      </c>
      <c r="M50" s="2165" t="s">
        <v>1215</v>
      </c>
      <c r="N50" s="1806"/>
      <c r="O50" s="1806"/>
      <c r="P50" s="1806"/>
      <c r="Q50" s="1806"/>
      <c r="R50" s="2580"/>
      <c r="S50" s="2670" t="s">
        <v>624</v>
      </c>
      <c r="T50" s="2650"/>
      <c r="U50" s="2643">
        <f>OpHrsPerYr</f>
        <v>2277.6000000000004</v>
      </c>
      <c r="V50" s="2688"/>
      <c r="W50" s="2580"/>
      <c r="X50" s="2580"/>
      <c r="Y50" s="2580"/>
      <c r="Z50" s="1872"/>
      <c r="AL50" s="1810"/>
      <c r="AM50" s="1810"/>
      <c r="AN50" s="1810"/>
      <c r="AO50" s="1810"/>
      <c r="BK50" s="1821"/>
      <c r="BL50" s="1821"/>
      <c r="BM50" s="1821"/>
      <c r="BN50" s="1821"/>
      <c r="BO50" s="1821"/>
      <c r="BP50" s="1821"/>
      <c r="BQ50" s="1821"/>
      <c r="BR50" s="1821"/>
      <c r="BS50" s="1821"/>
      <c r="BT50" s="1821"/>
      <c r="BU50" s="1821"/>
      <c r="BV50" s="1821"/>
      <c r="BW50" s="1821"/>
      <c r="BX50" s="1821"/>
      <c r="BY50" s="1821"/>
      <c r="BZ50" s="1821"/>
      <c r="CA50" s="1821"/>
      <c r="CB50" s="1821"/>
      <c r="CC50" s="1821"/>
      <c r="CD50" s="1821"/>
      <c r="CE50" s="1821"/>
      <c r="CF50" s="1821"/>
      <c r="CG50" s="1821"/>
      <c r="CH50" s="1821"/>
      <c r="CI50" s="1821"/>
      <c r="CJ50" s="1821"/>
      <c r="CK50" s="1821"/>
      <c r="CL50" s="1821"/>
      <c r="CM50" s="1821"/>
      <c r="CN50" s="1821"/>
      <c r="CO50" s="1821"/>
      <c r="CP50" s="1821"/>
      <c r="CQ50" s="1821"/>
      <c r="CR50" s="1821"/>
      <c r="CS50" s="1821"/>
      <c r="CT50" s="1821"/>
      <c r="CU50" s="1821"/>
      <c r="CV50" s="1821"/>
      <c r="CW50" s="1821"/>
      <c r="CX50" s="1821"/>
      <c r="CY50" s="1821"/>
      <c r="CZ50" s="1821"/>
      <c r="DA50" s="1821"/>
      <c r="DB50" s="1821"/>
      <c r="DC50" s="1821"/>
      <c r="DD50" s="1821"/>
      <c r="DE50" s="1821"/>
      <c r="DF50" s="1821"/>
      <c r="DG50" s="1821"/>
      <c r="DH50" s="1821"/>
      <c r="DI50" s="1821"/>
      <c r="DJ50" s="1821"/>
      <c r="DK50" s="1821"/>
      <c r="DL50" s="1821"/>
      <c r="DM50" s="1821"/>
      <c r="DN50" s="1821"/>
      <c r="DO50" s="1821"/>
      <c r="DP50" s="1821"/>
      <c r="DQ50" s="1821"/>
      <c r="DR50" s="1821"/>
      <c r="DS50" s="1821"/>
      <c r="DT50" s="1821"/>
      <c r="DU50" s="1821"/>
      <c r="DV50" s="1821"/>
      <c r="DW50" s="1821"/>
      <c r="DX50" s="1821"/>
      <c r="DY50" s="1821"/>
      <c r="DZ50" s="1821"/>
      <c r="EA50" s="1821"/>
      <c r="EB50" s="1821"/>
      <c r="EC50" s="1821"/>
      <c r="ED50" s="1821"/>
      <c r="EE50" s="1821"/>
      <c r="EF50" s="1821"/>
      <c r="EG50" s="1821"/>
      <c r="EH50" s="1821"/>
      <c r="EI50" s="1821"/>
      <c r="EJ50" s="1821"/>
      <c r="EK50" s="1821"/>
      <c r="EL50" s="1821"/>
      <c r="EM50" s="1821"/>
      <c r="EN50" s="1821"/>
      <c r="EO50" s="1821"/>
      <c r="EP50" s="1821"/>
      <c r="EQ50" s="1821"/>
      <c r="ER50" s="1821"/>
    </row>
    <row r="51" spans="1:257" s="1802" customFormat="1" ht="14.1" customHeight="1" thickBot="1">
      <c r="A51" s="1847"/>
      <c r="B51" s="1875"/>
      <c r="D51" s="1817"/>
      <c r="E51" s="1817"/>
      <c r="G51" s="4435" t="s">
        <v>203</v>
      </c>
      <c r="H51" s="4433" t="s">
        <v>1202</v>
      </c>
      <c r="I51" s="4433" t="s">
        <v>633</v>
      </c>
      <c r="J51" s="4433" t="s">
        <v>1202</v>
      </c>
      <c r="K51" s="4433" t="s">
        <v>633</v>
      </c>
      <c r="L51" s="4433" t="s">
        <v>1202</v>
      </c>
      <c r="M51" s="4433" t="s">
        <v>633</v>
      </c>
      <c r="N51" s="4470"/>
      <c r="O51" s="4470"/>
      <c r="P51" s="4470"/>
      <c r="Q51" s="4470"/>
      <c r="R51" s="1820"/>
      <c r="S51" s="2670" t="s">
        <v>632</v>
      </c>
      <c r="T51" s="2648">
        <f>(1-SchdOutageFactor)*(1-ForcedOutageRate)</f>
        <v>0.99</v>
      </c>
      <c r="U51" s="2644"/>
      <c r="V51" s="2689"/>
      <c r="W51" s="1820"/>
      <c r="X51" s="1820"/>
      <c r="Y51" s="1820"/>
      <c r="Z51" s="1872"/>
      <c r="AL51" s="1810"/>
      <c r="AM51" s="1810"/>
      <c r="AN51" s="1810"/>
      <c r="AO51" s="1810"/>
      <c r="BK51" s="1821"/>
      <c r="BL51" s="1821"/>
      <c r="BM51" s="1821"/>
      <c r="BN51" s="1821"/>
      <c r="BO51" s="1821"/>
      <c r="BP51" s="1821"/>
      <c r="BQ51" s="1821"/>
      <c r="BR51" s="1821"/>
      <c r="BS51" s="1821"/>
      <c r="BT51" s="1821"/>
      <c r="BU51" s="1821"/>
      <c r="BV51" s="1821"/>
      <c r="BW51" s="1821"/>
      <c r="BX51" s="1821"/>
      <c r="BY51" s="1821"/>
      <c r="BZ51" s="1821"/>
      <c r="CA51" s="1821"/>
      <c r="CB51" s="1821"/>
      <c r="CC51" s="1821"/>
      <c r="CD51" s="1821"/>
      <c r="CE51" s="1821"/>
      <c r="CF51" s="1821"/>
      <c r="CG51" s="1821"/>
      <c r="CH51" s="1821"/>
      <c r="CI51" s="1821"/>
      <c r="CJ51" s="1821"/>
      <c r="CK51" s="1821"/>
      <c r="CL51" s="1821"/>
      <c r="CM51" s="1821"/>
      <c r="CN51" s="1821"/>
      <c r="CO51" s="1821"/>
      <c r="CP51" s="1821"/>
      <c r="CQ51" s="1821"/>
      <c r="CR51" s="1821"/>
      <c r="CS51" s="1821"/>
      <c r="CT51" s="1821"/>
      <c r="CU51" s="1821"/>
      <c r="CV51" s="1821"/>
      <c r="CW51" s="1821"/>
      <c r="CX51" s="1821"/>
      <c r="CY51" s="1821"/>
      <c r="CZ51" s="1821"/>
      <c r="DA51" s="1821"/>
      <c r="DB51" s="1821"/>
      <c r="DC51" s="1821"/>
      <c r="DD51" s="1821"/>
      <c r="DE51" s="1821"/>
      <c r="DF51" s="1821"/>
      <c r="DG51" s="1821"/>
      <c r="DH51" s="1821"/>
      <c r="DI51" s="1821"/>
      <c r="DJ51" s="1821"/>
      <c r="DK51" s="1821"/>
      <c r="DL51" s="1821"/>
      <c r="DM51" s="1821"/>
      <c r="DN51" s="1821"/>
      <c r="DO51" s="1821"/>
      <c r="DP51" s="1821"/>
      <c r="DQ51" s="1821"/>
      <c r="DR51" s="1821"/>
      <c r="DS51" s="1821"/>
      <c r="DT51" s="1821"/>
      <c r="DU51" s="1821"/>
      <c r="DV51" s="1821"/>
      <c r="DW51" s="1821"/>
      <c r="DX51" s="1821"/>
      <c r="DY51" s="1821"/>
      <c r="DZ51" s="1821"/>
      <c r="EA51" s="1821"/>
      <c r="EB51" s="1821"/>
      <c r="EC51" s="1821"/>
      <c r="ED51" s="1821"/>
      <c r="EE51" s="1821"/>
      <c r="EF51" s="1821"/>
      <c r="EG51" s="1821"/>
      <c r="EH51" s="1821"/>
      <c r="EI51" s="1821"/>
      <c r="EJ51" s="1821"/>
      <c r="EK51" s="1821"/>
      <c r="EL51" s="1821"/>
      <c r="EM51" s="1821"/>
      <c r="EN51" s="1821"/>
      <c r="EO51" s="1821"/>
      <c r="EP51" s="1821"/>
      <c r="EQ51" s="1821"/>
      <c r="ER51" s="1821"/>
    </row>
    <row r="52" spans="1:257" s="1802" customFormat="1" ht="14.1" customHeight="1" thickBot="1">
      <c r="A52" s="1847"/>
      <c r="B52" s="1829" t="s">
        <v>620</v>
      </c>
      <c r="D52" s="1817"/>
      <c r="E52" s="1817"/>
      <c r="G52" s="4436"/>
      <c r="H52" s="4434"/>
      <c r="I52" s="4434"/>
      <c r="J52" s="4434"/>
      <c r="K52" s="4434"/>
      <c r="L52" s="4434"/>
      <c r="M52" s="4434"/>
      <c r="N52" s="4470"/>
      <c r="O52" s="4470"/>
      <c r="P52" s="4470"/>
      <c r="Q52" s="4470"/>
      <c r="R52" s="1869"/>
      <c r="S52" s="2670" t="s">
        <v>1030</v>
      </c>
      <c r="T52" s="3345">
        <f>NetCapacityFactor</f>
        <v>0.26</v>
      </c>
      <c r="U52" s="2644"/>
      <c r="V52" s="2689"/>
      <c r="W52" s="1869"/>
      <c r="X52" s="1869"/>
      <c r="Y52" s="1869"/>
      <c r="Z52" s="1872"/>
      <c r="AL52" s="1810"/>
      <c r="AM52" s="1810"/>
      <c r="AN52" s="1810"/>
      <c r="AO52" s="1810"/>
      <c r="BK52" s="1821"/>
      <c r="BL52" s="1821"/>
      <c r="BM52" s="1821"/>
      <c r="BN52" s="1821"/>
      <c r="BO52" s="1821"/>
      <c r="BP52" s="1821"/>
      <c r="BQ52" s="1821"/>
      <c r="BR52" s="1821"/>
      <c r="BS52" s="1821"/>
      <c r="BT52" s="1821"/>
      <c r="BU52" s="1821"/>
      <c r="BV52" s="1821"/>
      <c r="BW52" s="1821"/>
      <c r="BX52" s="1821"/>
      <c r="BY52" s="1821"/>
      <c r="BZ52" s="1821"/>
      <c r="CA52" s="1821"/>
      <c r="CB52" s="1821"/>
      <c r="CC52" s="1821"/>
      <c r="CD52" s="1821"/>
      <c r="CE52" s="1821"/>
      <c r="CF52" s="1821"/>
      <c r="CG52" s="1821"/>
      <c r="CH52" s="1821"/>
      <c r="CI52" s="1821"/>
      <c r="CJ52" s="1821"/>
      <c r="CK52" s="1821"/>
      <c r="CL52" s="1821"/>
      <c r="CM52" s="1821"/>
      <c r="CN52" s="1821"/>
      <c r="CO52" s="1821"/>
      <c r="CP52" s="1821"/>
      <c r="CQ52" s="1821"/>
      <c r="CR52" s="1821"/>
      <c r="CS52" s="1821"/>
      <c r="CT52" s="1821"/>
      <c r="CU52" s="1821"/>
      <c r="CV52" s="1821"/>
      <c r="CW52" s="1821"/>
      <c r="CX52" s="1821"/>
      <c r="CY52" s="1821"/>
      <c r="CZ52" s="1821"/>
      <c r="DA52" s="1821"/>
      <c r="DB52" s="1821"/>
      <c r="DC52" s="1821"/>
      <c r="DD52" s="1821"/>
      <c r="DE52" s="1821"/>
      <c r="DF52" s="1821"/>
      <c r="DG52" s="1821"/>
      <c r="DH52" s="1821"/>
      <c r="DI52" s="1821"/>
      <c r="DJ52" s="1821"/>
      <c r="DK52" s="1821"/>
      <c r="DL52" s="1821"/>
      <c r="DM52" s="1821"/>
      <c r="DN52" s="1821"/>
      <c r="DO52" s="1821"/>
      <c r="DP52" s="1821"/>
      <c r="DQ52" s="1821"/>
      <c r="DR52" s="1821"/>
      <c r="DS52" s="1821"/>
      <c r="DT52" s="1821"/>
      <c r="DU52" s="1821"/>
      <c r="DV52" s="1821"/>
      <c r="DW52" s="1821"/>
      <c r="DX52" s="1821"/>
      <c r="DY52" s="1821"/>
      <c r="DZ52" s="1821"/>
      <c r="EA52" s="1821"/>
      <c r="EB52" s="1821"/>
      <c r="EC52" s="1821"/>
      <c r="ED52" s="1821"/>
      <c r="EE52" s="1821"/>
      <c r="EF52" s="1821"/>
      <c r="EG52" s="1821"/>
      <c r="EH52" s="1821"/>
      <c r="EI52" s="1821"/>
      <c r="EJ52" s="1821"/>
      <c r="EK52" s="1821"/>
      <c r="EL52" s="1821"/>
      <c r="EM52" s="1821"/>
      <c r="EN52" s="1821"/>
      <c r="EO52" s="1821"/>
      <c r="EP52" s="1821"/>
      <c r="EQ52" s="1821"/>
      <c r="ER52" s="1821"/>
    </row>
    <row r="53" spans="1:257" s="1802" customFormat="1" ht="14.1" customHeight="1">
      <c r="A53" s="1847"/>
      <c r="B53" s="1832" t="s">
        <v>1249</v>
      </c>
      <c r="D53" s="1817"/>
      <c r="E53" s="1817"/>
      <c r="G53" s="2615" t="s">
        <v>1923</v>
      </c>
      <c r="H53" s="2616"/>
      <c r="I53" s="2617">
        <v>0.113425</v>
      </c>
      <c r="J53" s="2616"/>
      <c r="K53" s="2618">
        <v>0.14200000000000002</v>
      </c>
      <c r="L53" s="2616"/>
      <c r="M53" s="2617">
        <v>9.1710333333333338E-2</v>
      </c>
      <c r="N53" s="3453"/>
      <c r="O53" s="2622"/>
      <c r="P53" s="3453"/>
      <c r="Q53" s="2622"/>
      <c r="R53" s="1870"/>
      <c r="S53" s="2670"/>
      <c r="T53" s="2639"/>
      <c r="U53" s="2639"/>
      <c r="V53" s="2683"/>
      <c r="W53" s="1870"/>
      <c r="X53" s="1870"/>
      <c r="Y53" s="1870"/>
      <c r="Z53" s="1872"/>
      <c r="AL53" s="1810"/>
      <c r="AM53" s="1810"/>
      <c r="AN53" s="1810"/>
      <c r="AO53" s="1810"/>
      <c r="BK53" s="1821"/>
      <c r="BL53" s="1821"/>
      <c r="BM53" s="1821"/>
      <c r="BN53" s="1821"/>
      <c r="BO53" s="1821"/>
      <c r="BP53" s="1821"/>
      <c r="BQ53" s="1821"/>
      <c r="BR53" s="1821"/>
      <c r="BS53" s="1821"/>
      <c r="BT53" s="1821"/>
      <c r="BU53" s="1821"/>
      <c r="BV53" s="1821"/>
      <c r="BW53" s="1821"/>
      <c r="BX53" s="1821"/>
      <c r="BY53" s="1821"/>
      <c r="BZ53" s="1821"/>
      <c r="CA53" s="1821"/>
      <c r="CB53" s="1821"/>
      <c r="CC53" s="1821"/>
      <c r="CD53" s="1821"/>
      <c r="CE53" s="1821"/>
      <c r="CF53" s="1821"/>
      <c r="CG53" s="1821"/>
      <c r="CH53" s="1821"/>
      <c r="CI53" s="1821"/>
      <c r="CJ53" s="1821"/>
      <c r="CK53" s="1821"/>
      <c r="CL53" s="1821"/>
      <c r="CM53" s="1821"/>
      <c r="CN53" s="1821"/>
      <c r="CO53" s="1821"/>
      <c r="CP53" s="1821"/>
      <c r="CQ53" s="1821"/>
      <c r="CR53" s="1821"/>
      <c r="CS53" s="1821"/>
      <c r="CT53" s="1821"/>
      <c r="CU53" s="1821"/>
      <c r="CV53" s="1821"/>
      <c r="CW53" s="1821"/>
      <c r="CX53" s="1821"/>
      <c r="CY53" s="1821"/>
      <c r="CZ53" s="1821"/>
      <c r="DA53" s="1821"/>
      <c r="DB53" s="1821"/>
      <c r="DC53" s="1821"/>
      <c r="DD53" s="1821"/>
      <c r="DE53" s="1821"/>
      <c r="DF53" s="1821"/>
      <c r="DG53" s="1821"/>
      <c r="DH53" s="1821"/>
      <c r="DI53" s="1821"/>
      <c r="DJ53" s="1821"/>
      <c r="DK53" s="1821"/>
      <c r="DL53" s="1821"/>
      <c r="DM53" s="1821"/>
      <c r="DN53" s="1821"/>
      <c r="DO53" s="1821"/>
      <c r="DP53" s="1821"/>
      <c r="DQ53" s="1821"/>
      <c r="DR53" s="1821"/>
      <c r="DS53" s="1821"/>
      <c r="DT53" s="1821"/>
      <c r="DU53" s="1821"/>
      <c r="DV53" s="1821"/>
      <c r="DW53" s="1821"/>
      <c r="DX53" s="1821"/>
      <c r="DY53" s="1821"/>
      <c r="DZ53" s="1821"/>
      <c r="EA53" s="1821"/>
      <c r="EB53" s="1821"/>
      <c r="EC53" s="1821"/>
      <c r="ED53" s="1821"/>
      <c r="EE53" s="1821"/>
      <c r="EF53" s="1821"/>
      <c r="EG53" s="1821"/>
      <c r="EH53" s="1821"/>
      <c r="EI53" s="1821"/>
      <c r="EJ53" s="1821"/>
      <c r="EK53" s="1821"/>
      <c r="EL53" s="1821"/>
      <c r="EM53" s="1821"/>
      <c r="EN53" s="1821"/>
      <c r="EO53" s="1821"/>
      <c r="EP53" s="1821"/>
      <c r="EQ53" s="1821"/>
      <c r="ER53" s="1821"/>
    </row>
    <row r="54" spans="1:257" s="1925" customFormat="1" ht="14.1" customHeight="1">
      <c r="A54" s="2143"/>
      <c r="B54" s="1835" t="s">
        <v>388</v>
      </c>
      <c r="C54" s="1802"/>
      <c r="D54" s="1926"/>
      <c r="E54" s="1926"/>
      <c r="F54" s="1821"/>
      <c r="G54" s="2629" t="s">
        <v>1263</v>
      </c>
      <c r="H54" s="3359">
        <v>0.4</v>
      </c>
      <c r="I54" s="2621">
        <v>0.13250000000000001</v>
      </c>
      <c r="J54" s="3359">
        <v>0.5</v>
      </c>
      <c r="K54" s="2622">
        <v>0.15</v>
      </c>
      <c r="L54" s="3359">
        <v>0.15</v>
      </c>
      <c r="M54" s="2621">
        <v>0.1041</v>
      </c>
      <c r="N54" s="3453"/>
      <c r="O54" s="2622"/>
      <c r="P54" s="3453"/>
      <c r="Q54" s="2622"/>
      <c r="R54" s="1871"/>
      <c r="S54" s="2677" t="s">
        <v>828</v>
      </c>
      <c r="T54" s="2253">
        <f>StartYr</f>
        <v>2013</v>
      </c>
      <c r="U54" s="2253" t="s">
        <v>305</v>
      </c>
      <c r="V54" s="2669"/>
      <c r="W54" s="1871"/>
      <c r="X54" s="1871"/>
      <c r="Y54" s="1871"/>
      <c r="Z54" s="1872"/>
      <c r="AA54" s="1821"/>
      <c r="AB54" s="1821"/>
      <c r="AC54" s="1821"/>
      <c r="AD54" s="1821"/>
      <c r="AE54" s="1821"/>
      <c r="AF54" s="1821"/>
      <c r="AG54" s="1821"/>
      <c r="AH54" s="1821"/>
      <c r="AI54" s="1821"/>
      <c r="AJ54" s="1821"/>
      <c r="AK54" s="1821"/>
      <c r="AL54" s="1821"/>
      <c r="AM54" s="1927"/>
      <c r="AN54" s="1927"/>
      <c r="AO54" s="1927"/>
      <c r="AT54" s="1928"/>
      <c r="AU54" s="1928"/>
      <c r="AV54" s="1928"/>
      <c r="AW54" s="1928"/>
      <c r="AX54" s="1928"/>
      <c r="AY54" s="1928"/>
      <c r="AZ54" s="1928"/>
      <c r="BA54" s="1928"/>
      <c r="BB54" s="1928"/>
      <c r="BC54" s="1928"/>
      <c r="BD54" s="1928"/>
      <c r="BE54" s="1928"/>
      <c r="BF54" s="1928"/>
      <c r="BG54" s="1928"/>
      <c r="BH54" s="1928"/>
      <c r="BI54" s="1928"/>
      <c r="BJ54" s="1928"/>
      <c r="BK54" s="1928"/>
      <c r="BL54" s="1928"/>
      <c r="BM54" s="1928"/>
      <c r="BN54" s="1928"/>
      <c r="BO54" s="1928"/>
      <c r="BP54" s="1928"/>
      <c r="BQ54" s="1821"/>
      <c r="BR54" s="1821"/>
      <c r="BS54" s="1821"/>
      <c r="BT54" s="1821"/>
      <c r="BU54" s="1821"/>
      <c r="BV54" s="1821"/>
      <c r="BW54" s="1821"/>
      <c r="BX54" s="1821"/>
      <c r="BY54" s="1821"/>
      <c r="BZ54" s="1821"/>
      <c r="CA54" s="1821"/>
      <c r="CB54" s="1821"/>
      <c r="CC54" s="1821"/>
      <c r="CD54" s="1821"/>
      <c r="CE54" s="1821"/>
      <c r="CF54" s="1821"/>
      <c r="CG54" s="1821"/>
      <c r="CH54" s="1821"/>
      <c r="CI54" s="1821"/>
      <c r="CJ54" s="1821"/>
      <c r="CK54" s="1821"/>
      <c r="CL54" s="1821"/>
      <c r="CM54" s="1821"/>
      <c r="CN54" s="1821"/>
      <c r="CO54" s="1821"/>
      <c r="CP54" s="1821"/>
      <c r="CQ54" s="1821"/>
      <c r="CR54" s="1821"/>
      <c r="CS54" s="1821"/>
      <c r="CT54" s="1821"/>
      <c r="CU54" s="1821"/>
      <c r="CV54" s="1821"/>
      <c r="CW54" s="1821"/>
      <c r="CX54" s="1821"/>
      <c r="CY54" s="1821"/>
      <c r="CZ54" s="1821"/>
      <c r="DA54" s="1821"/>
      <c r="DB54" s="1821"/>
      <c r="DC54" s="1821"/>
      <c r="DD54" s="1821"/>
      <c r="DE54" s="1821"/>
      <c r="DF54" s="1821"/>
      <c r="DG54" s="1821"/>
      <c r="DH54" s="1821"/>
      <c r="DI54" s="1821"/>
      <c r="DJ54" s="1821"/>
      <c r="DK54" s="1821"/>
      <c r="DL54" s="1821"/>
      <c r="DM54" s="1821"/>
      <c r="DN54" s="1821"/>
      <c r="DO54" s="1821"/>
      <c r="DP54" s="1821"/>
      <c r="DQ54" s="1821"/>
      <c r="DR54" s="1821"/>
      <c r="DS54" s="1821"/>
      <c r="DT54" s="1821"/>
      <c r="DU54" s="1821"/>
      <c r="DV54" s="1821"/>
      <c r="DW54" s="1821"/>
      <c r="DX54" s="1821"/>
      <c r="DY54" s="1821"/>
      <c r="DZ54" s="1821"/>
      <c r="EA54" s="1821"/>
      <c r="EB54" s="1821"/>
      <c r="EC54" s="1821"/>
      <c r="ED54" s="1821"/>
      <c r="EE54" s="1821"/>
      <c r="EF54" s="1821"/>
      <c r="EG54" s="1821"/>
      <c r="EH54" s="1821"/>
      <c r="EI54" s="1821"/>
      <c r="EJ54" s="1821"/>
      <c r="EK54" s="1821"/>
      <c r="EL54" s="1821"/>
      <c r="EM54" s="1821"/>
      <c r="EN54" s="1821"/>
      <c r="EO54" s="1821"/>
      <c r="EP54" s="1821"/>
      <c r="EQ54" s="1821"/>
      <c r="ER54" s="1821"/>
      <c r="ES54" s="1821"/>
      <c r="ET54" s="1821"/>
      <c r="EU54" s="1821"/>
      <c r="EV54" s="1821"/>
      <c r="EW54" s="1821"/>
      <c r="EX54" s="1821"/>
      <c r="EY54" s="1821"/>
      <c r="EZ54" s="1821"/>
      <c r="FA54" s="1821"/>
      <c r="FB54" s="1821"/>
      <c r="FC54" s="1821"/>
      <c r="FD54" s="1821"/>
      <c r="FE54" s="1821"/>
      <c r="FF54" s="1821"/>
      <c r="FG54" s="1821"/>
      <c r="FH54" s="1821"/>
      <c r="FI54" s="1821"/>
      <c r="FJ54" s="1821"/>
      <c r="FK54" s="1821"/>
      <c r="FL54" s="1821"/>
      <c r="FM54" s="1821"/>
      <c r="FN54" s="1821"/>
      <c r="FO54" s="1821"/>
      <c r="FP54" s="1821"/>
      <c r="FQ54" s="1821"/>
      <c r="FR54" s="1821"/>
      <c r="FS54" s="1821"/>
      <c r="FT54" s="1821"/>
      <c r="FU54" s="1821"/>
      <c r="FV54" s="1821"/>
      <c r="FW54" s="1821"/>
      <c r="FX54" s="1821"/>
      <c r="FY54" s="1821"/>
      <c r="FZ54" s="1821"/>
      <c r="GA54" s="1821"/>
      <c r="GB54" s="1821"/>
      <c r="GC54" s="1821"/>
      <c r="GD54" s="1821"/>
      <c r="GE54" s="1821"/>
      <c r="GF54" s="1821"/>
      <c r="GG54" s="1821"/>
      <c r="GH54" s="1821"/>
      <c r="GI54" s="1821"/>
      <c r="GJ54" s="1821"/>
      <c r="GK54" s="1821"/>
      <c r="GL54" s="1821"/>
      <c r="GM54" s="1821"/>
      <c r="GN54" s="1821"/>
      <c r="GO54" s="1821"/>
      <c r="GP54" s="1821"/>
      <c r="GQ54" s="1821"/>
      <c r="GR54" s="1821"/>
      <c r="GS54" s="1821"/>
      <c r="GT54" s="1821"/>
      <c r="GU54" s="1821"/>
      <c r="GV54" s="1821"/>
      <c r="GW54" s="1821"/>
      <c r="GX54" s="1821"/>
      <c r="GY54" s="1821"/>
      <c r="GZ54" s="1821"/>
      <c r="HA54" s="1821"/>
      <c r="HB54" s="1821"/>
      <c r="HC54" s="1821"/>
      <c r="HD54" s="1821"/>
      <c r="HE54" s="1821"/>
      <c r="HF54" s="1821"/>
      <c r="HG54" s="1821"/>
      <c r="HH54" s="1821"/>
      <c r="HI54" s="1821"/>
      <c r="HJ54" s="1821"/>
      <c r="HK54" s="1821"/>
      <c r="HL54" s="1821"/>
      <c r="HM54" s="1821"/>
      <c r="HN54" s="1821"/>
      <c r="HO54" s="1821"/>
      <c r="HP54" s="1821"/>
      <c r="HQ54" s="1821"/>
      <c r="HR54" s="1821"/>
      <c r="HS54" s="1821"/>
      <c r="HT54" s="1821"/>
      <c r="HU54" s="1821"/>
      <c r="HV54" s="1821"/>
      <c r="HW54" s="1821"/>
      <c r="HX54" s="1821"/>
      <c r="HY54" s="1821"/>
      <c r="HZ54" s="1821"/>
      <c r="IA54" s="1821"/>
      <c r="IB54" s="1821"/>
      <c r="IC54" s="1821"/>
      <c r="ID54" s="1821"/>
      <c r="IE54" s="1821"/>
      <c r="IF54" s="1821"/>
      <c r="IG54" s="1821"/>
      <c r="IH54" s="1821"/>
      <c r="II54" s="1821"/>
      <c r="IJ54" s="1821"/>
      <c r="IK54" s="1821"/>
      <c r="IL54" s="1821"/>
      <c r="IM54" s="1821"/>
      <c r="IN54" s="1821"/>
      <c r="IO54" s="1821"/>
      <c r="IP54" s="1821"/>
      <c r="IQ54" s="1821"/>
      <c r="IR54" s="1821"/>
      <c r="IS54" s="1821"/>
      <c r="IT54" s="1821"/>
      <c r="IU54" s="1821"/>
      <c r="IV54" s="1821"/>
      <c r="IW54" s="1821"/>
    </row>
    <row r="55" spans="1:257" s="1802" customFormat="1" ht="14.1" customHeight="1">
      <c r="B55" s="1841" t="s">
        <v>1053</v>
      </c>
      <c r="D55" s="1817"/>
      <c r="E55" s="1817"/>
      <c r="G55" s="2629" t="s">
        <v>1924</v>
      </c>
      <c r="H55" s="3359">
        <v>0.3633333333333334</v>
      </c>
      <c r="I55" s="2621">
        <v>8.0000000000000016E-2</v>
      </c>
      <c r="J55" s="3359">
        <v>0.15999999999999959</v>
      </c>
      <c r="K55" s="2622">
        <v>0.10000000000000002</v>
      </c>
      <c r="L55" s="3359">
        <v>0.3633333333333334</v>
      </c>
      <c r="M55" s="2621">
        <v>7.0000000000000021E-2</v>
      </c>
      <c r="N55" s="3453"/>
      <c r="O55" s="2622"/>
      <c r="P55" s="3453"/>
      <c r="Q55" s="2622"/>
      <c r="R55" s="1872"/>
      <c r="S55" s="2670" t="s">
        <v>829</v>
      </c>
      <c r="T55" s="2645">
        <f>AvgHeatRate</f>
        <v>0</v>
      </c>
      <c r="U55" s="2645">
        <f>Income_Rev_Req!D17/AnnualGrossEnergy</f>
        <v>0</v>
      </c>
      <c r="V55" s="2690"/>
      <c r="W55" s="1872"/>
      <c r="X55" s="1872"/>
      <c r="Y55" s="1872"/>
      <c r="Z55" s="1872"/>
      <c r="BK55" s="1821"/>
      <c r="BL55" s="1821"/>
      <c r="BM55" s="1821"/>
      <c r="BN55" s="1821"/>
      <c r="BO55" s="1821"/>
      <c r="BP55" s="1821"/>
      <c r="BQ55" s="1821"/>
      <c r="BR55" s="1821"/>
      <c r="BS55" s="1821"/>
      <c r="BT55" s="1821"/>
      <c r="BU55" s="1821"/>
      <c r="BV55" s="1821"/>
      <c r="BW55" s="1821"/>
      <c r="BX55" s="1821"/>
      <c r="BY55" s="1821"/>
      <c r="BZ55" s="1821"/>
      <c r="CA55" s="1821"/>
      <c r="CB55" s="1821"/>
      <c r="CC55" s="1821"/>
      <c r="CD55" s="1821"/>
      <c r="CE55" s="1821"/>
      <c r="CF55" s="1821"/>
      <c r="CG55" s="1821"/>
      <c r="CH55" s="1821"/>
      <c r="CI55" s="1821"/>
      <c r="CJ55" s="1821"/>
      <c r="CK55" s="1821"/>
      <c r="CL55" s="1821"/>
      <c r="CM55" s="1821"/>
      <c r="CN55" s="1821"/>
      <c r="CO55" s="1821"/>
      <c r="CP55" s="1821"/>
      <c r="CQ55" s="1821"/>
      <c r="CR55" s="1821"/>
      <c r="CS55" s="1821"/>
      <c r="CT55" s="1821"/>
      <c r="CU55" s="1821"/>
      <c r="CV55" s="1821"/>
      <c r="CW55" s="1821"/>
      <c r="CX55" s="1821"/>
      <c r="CY55" s="1821"/>
      <c r="CZ55" s="1821"/>
      <c r="DA55" s="1821"/>
      <c r="DB55" s="1821"/>
      <c r="DC55" s="1821"/>
      <c r="DD55" s="1821"/>
      <c r="DE55" s="1821"/>
      <c r="DF55" s="1821"/>
      <c r="DG55" s="1821"/>
      <c r="DH55" s="1821"/>
      <c r="DI55" s="1821"/>
      <c r="DJ55" s="1821"/>
      <c r="DK55" s="1821"/>
      <c r="DL55" s="1821"/>
      <c r="DM55" s="1821"/>
      <c r="DN55" s="1821"/>
      <c r="DO55" s="1821"/>
      <c r="DP55" s="1821"/>
      <c r="DQ55" s="1821"/>
      <c r="DR55" s="1821"/>
      <c r="DS55" s="1821"/>
      <c r="DT55" s="1821"/>
      <c r="DU55" s="1821"/>
      <c r="DV55" s="1821"/>
      <c r="DW55" s="1821"/>
      <c r="DX55" s="1821"/>
      <c r="DY55" s="1821"/>
      <c r="DZ55" s="1821"/>
      <c r="EA55" s="1821"/>
      <c r="EB55" s="1821"/>
      <c r="EC55" s="1821"/>
      <c r="ED55" s="1821"/>
      <c r="EE55" s="1821"/>
      <c r="EF55" s="1821"/>
      <c r="EG55" s="1821"/>
      <c r="EH55" s="1821"/>
      <c r="EI55" s="1821"/>
      <c r="EJ55" s="1821"/>
      <c r="EK55" s="1821"/>
      <c r="EL55" s="1821"/>
      <c r="EM55" s="1821"/>
      <c r="EN55" s="1821"/>
      <c r="EO55" s="1821"/>
      <c r="EP55" s="1821"/>
      <c r="EQ55" s="1821"/>
      <c r="ER55" s="1821"/>
    </row>
    <row r="56" spans="1:257" s="1802" customFormat="1" ht="14.1" customHeight="1">
      <c r="B56" s="3391" t="s">
        <v>1935</v>
      </c>
      <c r="D56" s="1872"/>
      <c r="E56" s="1872"/>
      <c r="G56" s="2619" t="s">
        <v>957</v>
      </c>
      <c r="H56" s="2620">
        <v>0.6</v>
      </c>
      <c r="I56" s="2621">
        <v>5.9130000000000002E-2</v>
      </c>
      <c r="J56" s="2620">
        <v>0.5</v>
      </c>
      <c r="K56" s="2622">
        <v>7.3637497456765011E-2</v>
      </c>
      <c r="L56" s="2620">
        <v>0.85</v>
      </c>
      <c r="M56" s="2621">
        <v>4.5909654120040687E-2</v>
      </c>
      <c r="N56" s="3454"/>
      <c r="O56" s="2622"/>
      <c r="P56" s="3454"/>
      <c r="Q56" s="2622"/>
      <c r="R56" s="4470"/>
      <c r="S56" s="2670" t="s">
        <v>830</v>
      </c>
      <c r="T56" s="2646">
        <f>Income_Rev_Req!F17</f>
        <v>0</v>
      </c>
      <c r="U56" s="2646" t="str">
        <f>IF(AvgHeatRate=0,"N/A",Income_Rev_Req!D17)</f>
        <v>N/A</v>
      </c>
      <c r="V56" s="2691"/>
      <c r="W56" s="2741"/>
      <c r="X56" s="2741"/>
      <c r="Y56" s="1873"/>
      <c r="Z56" s="1872"/>
      <c r="BK56" s="1821"/>
      <c r="BL56" s="1821"/>
      <c r="BM56" s="1821"/>
      <c r="BN56" s="1821"/>
      <c r="BO56" s="1821"/>
      <c r="BP56" s="1821"/>
      <c r="BQ56" s="1821"/>
      <c r="BR56" s="1821"/>
      <c r="BS56" s="1821"/>
      <c r="BT56" s="1821"/>
      <c r="BU56" s="1821"/>
      <c r="BV56" s="1821"/>
      <c r="BW56" s="1821"/>
      <c r="BX56" s="1821"/>
      <c r="BY56" s="1821"/>
      <c r="BZ56" s="1821"/>
      <c r="CA56" s="1821"/>
      <c r="CB56" s="1821"/>
      <c r="CC56" s="1821"/>
      <c r="CD56" s="1821"/>
      <c r="CE56" s="1821"/>
      <c r="CF56" s="1821"/>
      <c r="CG56" s="1821"/>
      <c r="CH56" s="1821"/>
      <c r="CI56" s="1821"/>
      <c r="CJ56" s="1821"/>
      <c r="CK56" s="1821"/>
      <c r="CL56" s="1821"/>
      <c r="CM56" s="1821"/>
      <c r="CN56" s="1821"/>
      <c r="CO56" s="1821"/>
      <c r="CP56" s="1821"/>
      <c r="CQ56" s="1821"/>
      <c r="CR56" s="1821"/>
      <c r="CS56" s="1821"/>
      <c r="CT56" s="1821"/>
      <c r="CU56" s="1821"/>
      <c r="CV56" s="1821"/>
      <c r="CW56" s="1821"/>
      <c r="CX56" s="1821"/>
      <c r="CY56" s="1821"/>
      <c r="CZ56" s="1821"/>
      <c r="DA56" s="1821"/>
      <c r="DB56" s="1821"/>
      <c r="DC56" s="1821"/>
      <c r="DD56" s="1821"/>
      <c r="DE56" s="1821"/>
      <c r="DF56" s="1821"/>
      <c r="DG56" s="1821"/>
      <c r="DH56" s="1821"/>
      <c r="DI56" s="1821"/>
      <c r="DJ56" s="1821"/>
      <c r="DK56" s="1821"/>
      <c r="DL56" s="1821"/>
      <c r="DM56" s="1821"/>
      <c r="DN56" s="1821"/>
      <c r="DO56" s="1821"/>
      <c r="DP56" s="1821"/>
      <c r="DQ56" s="1821"/>
      <c r="DR56" s="1821"/>
      <c r="DS56" s="1821"/>
      <c r="DT56" s="1821"/>
      <c r="DU56" s="1821"/>
      <c r="DV56" s="1821"/>
      <c r="DW56" s="1821"/>
      <c r="DX56" s="1821"/>
      <c r="DY56" s="1821"/>
      <c r="DZ56" s="1821"/>
      <c r="EA56" s="1821"/>
      <c r="EB56" s="1821"/>
      <c r="EC56" s="1821"/>
      <c r="ED56" s="1821"/>
      <c r="EE56" s="1821"/>
      <c r="EF56" s="1821"/>
      <c r="EG56" s="1821"/>
      <c r="EH56" s="1821"/>
      <c r="EI56" s="1821"/>
      <c r="EJ56" s="1821"/>
      <c r="EK56" s="1821"/>
      <c r="EL56" s="1821"/>
      <c r="EM56" s="1821"/>
      <c r="EN56" s="1821"/>
      <c r="EO56" s="1821"/>
      <c r="EP56" s="1821"/>
      <c r="EQ56" s="1821"/>
      <c r="ER56" s="1821"/>
    </row>
    <row r="57" spans="1:257" s="1802" customFormat="1" ht="14.1" customHeight="1" thickBot="1">
      <c r="B57" s="1848" t="s">
        <v>107</v>
      </c>
      <c r="D57" s="1872"/>
      <c r="E57" s="1872"/>
      <c r="G57" s="2619" t="s">
        <v>453</v>
      </c>
      <c r="H57" s="2623">
        <v>6.6392134120000001E-2</v>
      </c>
      <c r="I57" s="2624">
        <v>4.9974823400351864E-2</v>
      </c>
      <c r="J57" s="2623">
        <v>9.2816581371515772E-2</v>
      </c>
      <c r="K57" s="2625">
        <v>7.5693604629434752E-2</v>
      </c>
      <c r="L57" s="2623">
        <v>3.6879360484445574E-2</v>
      </c>
      <c r="M57" s="2624">
        <v>2.0916404555564094E-2</v>
      </c>
      <c r="N57" s="2625"/>
      <c r="O57" s="2625"/>
      <c r="P57" s="2625"/>
      <c r="Q57" s="2625"/>
      <c r="R57" s="4470"/>
      <c r="S57" s="2670" t="str">
        <f>"Fuel Price (" &amp;  "$/MMBtu)"</f>
        <v>Fuel Price ($/MMBtu)</v>
      </c>
      <c r="T57" s="2638" t="str">
        <f>IF(AvgHeatRate=0,"N/A",Income_Rev_Req!F16)</f>
        <v>N/A</v>
      </c>
      <c r="U57" s="2638" t="str">
        <f>IF(AvgHeatRate=0,"N/A",Income_Rev_Req!D16)</f>
        <v>N/A</v>
      </c>
      <c r="V57" s="2680"/>
      <c r="W57" s="2741"/>
      <c r="X57" s="2741"/>
      <c r="Y57" s="1873"/>
      <c r="Z57" s="1872"/>
      <c r="BK57" s="1821"/>
      <c r="BL57" s="1821"/>
      <c r="BM57" s="1821"/>
      <c r="BN57" s="1821"/>
      <c r="BO57" s="1821"/>
      <c r="BP57" s="1821"/>
      <c r="BQ57" s="1821"/>
      <c r="BR57" s="1821"/>
      <c r="BS57" s="1821"/>
      <c r="BT57" s="1821"/>
      <c r="BU57" s="1821"/>
      <c r="BV57" s="1821"/>
      <c r="BW57" s="1821"/>
      <c r="BX57" s="1821"/>
      <c r="BY57" s="1821"/>
      <c r="BZ57" s="1821"/>
      <c r="CA57" s="1821"/>
      <c r="CB57" s="1821"/>
      <c r="CC57" s="1821"/>
      <c r="CD57" s="1821"/>
      <c r="CE57" s="1821"/>
      <c r="CF57" s="1821"/>
      <c r="CG57" s="1821"/>
      <c r="CH57" s="1821"/>
      <c r="CI57" s="1821"/>
      <c r="CJ57" s="1821"/>
      <c r="CK57" s="1821"/>
      <c r="CL57" s="1821"/>
      <c r="CM57" s="1821"/>
      <c r="CN57" s="1821"/>
      <c r="CO57" s="1821"/>
      <c r="CP57" s="1821"/>
      <c r="CQ57" s="1821"/>
      <c r="CR57" s="1821"/>
      <c r="CS57" s="1821"/>
      <c r="CT57" s="1821"/>
      <c r="CU57" s="1821"/>
      <c r="CV57" s="1821"/>
      <c r="CW57" s="1821"/>
      <c r="CX57" s="1821"/>
      <c r="CY57" s="1821"/>
      <c r="CZ57" s="1821"/>
      <c r="DA57" s="1821"/>
      <c r="DB57" s="1821"/>
      <c r="DC57" s="1821"/>
      <c r="DD57" s="1821"/>
      <c r="DE57" s="1821"/>
      <c r="DF57" s="1821"/>
      <c r="DG57" s="1821"/>
      <c r="DH57" s="1821"/>
      <c r="DI57" s="1821"/>
      <c r="DJ57" s="1821"/>
      <c r="DK57" s="1821"/>
      <c r="DL57" s="1821"/>
      <c r="DM57" s="1821"/>
      <c r="DN57" s="1821"/>
      <c r="DO57" s="1821"/>
      <c r="DP57" s="1821"/>
      <c r="DQ57" s="1821"/>
      <c r="DR57" s="1821"/>
      <c r="DS57" s="1821"/>
      <c r="DT57" s="1821"/>
      <c r="DU57" s="1821"/>
      <c r="DV57" s="1821"/>
      <c r="DW57" s="1821"/>
      <c r="DX57" s="1821"/>
      <c r="DY57" s="1821"/>
      <c r="DZ57" s="1821"/>
      <c r="EA57" s="1821"/>
      <c r="EB57" s="1821"/>
      <c r="EC57" s="1821"/>
      <c r="ED57" s="1821"/>
      <c r="EE57" s="1821"/>
      <c r="EF57" s="1821"/>
      <c r="EG57" s="1821"/>
      <c r="EH57" s="1821"/>
      <c r="EI57" s="1821"/>
      <c r="EJ57" s="1821"/>
      <c r="EK57" s="1821"/>
      <c r="EL57" s="1821"/>
      <c r="EM57" s="1821"/>
      <c r="EN57" s="1821"/>
      <c r="EO57" s="1821"/>
      <c r="EP57" s="1821"/>
      <c r="EQ57" s="1821"/>
      <c r="ER57" s="1821"/>
    </row>
    <row r="58" spans="1:257" s="1802" customFormat="1" ht="14.1" customHeight="1">
      <c r="G58" s="2626" t="s">
        <v>172</v>
      </c>
      <c r="H58" s="2627">
        <v>2.3120259395784881E-2</v>
      </c>
      <c r="I58" s="2628"/>
      <c r="J58" s="2627">
        <v>2.3120259395784881E-2</v>
      </c>
      <c r="K58" s="2348"/>
      <c r="L58" s="2627">
        <v>2.3120259395784881E-2</v>
      </c>
      <c r="M58" s="2628"/>
      <c r="N58" s="3455"/>
      <c r="O58" s="2348"/>
      <c r="P58" s="3455"/>
      <c r="Q58" s="2348"/>
      <c r="R58" s="2581"/>
      <c r="S58" s="2672"/>
      <c r="T58" s="2639"/>
      <c r="U58" s="2639"/>
      <c r="V58" s="2683"/>
      <c r="W58" s="2581"/>
      <c r="X58" s="1874"/>
      <c r="Y58" s="1874"/>
      <c r="Z58" s="1872"/>
      <c r="BK58" s="1821"/>
      <c r="BL58" s="1821"/>
      <c r="BM58" s="1821"/>
      <c r="BN58" s="1821"/>
      <c r="BO58" s="1821"/>
      <c r="BP58" s="1821"/>
      <c r="BQ58" s="1821"/>
      <c r="BR58" s="1821"/>
      <c r="BS58" s="1821"/>
      <c r="BT58" s="1821"/>
      <c r="BU58" s="1821"/>
      <c r="BV58" s="1821"/>
      <c r="BW58" s="1821"/>
      <c r="BX58" s="1821"/>
      <c r="BY58" s="1821"/>
      <c r="BZ58" s="1821"/>
      <c r="CA58" s="1821"/>
      <c r="CB58" s="1821"/>
      <c r="CC58" s="1821"/>
      <c r="CD58" s="1821"/>
      <c r="CE58" s="1821"/>
      <c r="CF58" s="1821"/>
      <c r="CG58" s="1821"/>
      <c r="CH58" s="1821"/>
      <c r="CI58" s="1821"/>
      <c r="CJ58" s="1821"/>
      <c r="CK58" s="1821"/>
      <c r="CL58" s="1821"/>
      <c r="CM58" s="1821"/>
      <c r="CN58" s="1821"/>
      <c r="CO58" s="1821"/>
      <c r="CP58" s="1821"/>
      <c r="CQ58" s="1821"/>
      <c r="CR58" s="1821"/>
      <c r="CS58" s="1821"/>
      <c r="CT58" s="1821"/>
      <c r="CU58" s="1821"/>
      <c r="CV58" s="1821"/>
      <c r="CW58" s="1821"/>
      <c r="CX58" s="1821"/>
      <c r="CY58" s="1821"/>
      <c r="CZ58" s="1821"/>
      <c r="DA58" s="1821"/>
      <c r="DB58" s="1821"/>
      <c r="DC58" s="1821"/>
      <c r="DD58" s="1821"/>
      <c r="DE58" s="1821"/>
      <c r="DF58" s="1821"/>
      <c r="DG58" s="1821"/>
      <c r="DH58" s="1821"/>
      <c r="DI58" s="1821"/>
      <c r="DJ58" s="1821"/>
      <c r="DK58" s="1821"/>
      <c r="DL58" s="1821"/>
      <c r="DM58" s="1821"/>
      <c r="DN58" s="1821"/>
      <c r="DO58" s="1821"/>
      <c r="DP58" s="1821"/>
      <c r="DQ58" s="1821"/>
      <c r="DR58" s="1821"/>
      <c r="DS58" s="1821"/>
      <c r="DT58" s="1821"/>
      <c r="DU58" s="1821"/>
      <c r="DV58" s="1821"/>
      <c r="DW58" s="1821"/>
      <c r="DX58" s="1821"/>
      <c r="DY58" s="1821"/>
      <c r="DZ58" s="1821"/>
      <c r="EA58" s="1821"/>
      <c r="EB58" s="1821"/>
      <c r="EC58" s="1821"/>
      <c r="ED58" s="1821"/>
      <c r="EE58" s="1821"/>
      <c r="EF58" s="1821"/>
      <c r="EG58" s="1821"/>
      <c r="EH58" s="1821"/>
      <c r="EI58" s="1821"/>
      <c r="EJ58" s="1821"/>
      <c r="EK58" s="1821"/>
      <c r="EL58" s="1821"/>
      <c r="EM58" s="1821"/>
      <c r="EN58" s="1821"/>
      <c r="EO58" s="1821"/>
      <c r="EP58" s="1821"/>
      <c r="EQ58" s="1821"/>
      <c r="ER58" s="1821"/>
    </row>
    <row r="59" spans="1:257" s="1802" customFormat="1" ht="14.1" customHeight="1">
      <c r="G59" s="2629" t="s">
        <v>176</v>
      </c>
      <c r="H59" s="2630">
        <v>1.5635908932064346E-2</v>
      </c>
      <c r="I59" s="2631"/>
      <c r="J59" s="2630">
        <v>1.5918079895975268E-2</v>
      </c>
      <c r="K59" s="2271"/>
      <c r="L59" s="2630">
        <v>1.5635908932064346E-2</v>
      </c>
      <c r="M59" s="2631"/>
      <c r="N59" s="3456"/>
      <c r="O59" s="2271"/>
      <c r="P59" s="3456"/>
      <c r="Q59" s="2271"/>
      <c r="R59" s="2582"/>
      <c r="S59" s="4469" t="s">
        <v>203</v>
      </c>
      <c r="T59" s="4468" t="s">
        <v>1202</v>
      </c>
      <c r="U59" s="4468" t="s">
        <v>633</v>
      </c>
      <c r="V59" s="2692"/>
      <c r="W59" s="2582"/>
      <c r="X59" s="1874"/>
      <c r="Y59" s="1874"/>
      <c r="Z59" s="1872"/>
      <c r="BK59" s="1821"/>
      <c r="BL59" s="1821"/>
      <c r="BM59" s="1821"/>
      <c r="BN59" s="1821"/>
      <c r="BO59" s="1821"/>
      <c r="BP59" s="1821"/>
      <c r="BQ59" s="1821"/>
      <c r="BR59" s="1821"/>
      <c r="BS59" s="1821"/>
      <c r="BT59" s="1821"/>
      <c r="BU59" s="1821"/>
      <c r="BV59" s="1821"/>
      <c r="BW59" s="1821"/>
      <c r="BX59" s="1821"/>
      <c r="BY59" s="1821"/>
      <c r="BZ59" s="1821"/>
      <c r="CA59" s="1821"/>
      <c r="CB59" s="1821"/>
      <c r="CC59" s="1821"/>
      <c r="CD59" s="1821"/>
      <c r="CE59" s="1821"/>
      <c r="CF59" s="1821"/>
      <c r="CG59" s="1821"/>
      <c r="CH59" s="1821"/>
      <c r="CI59" s="1821"/>
      <c r="CJ59" s="1821"/>
      <c r="CK59" s="1821"/>
      <c r="CL59" s="1821"/>
      <c r="CM59" s="1821"/>
      <c r="CN59" s="1821"/>
      <c r="CO59" s="1821"/>
      <c r="CP59" s="1821"/>
      <c r="CQ59" s="1821"/>
      <c r="CR59" s="1821"/>
      <c r="CS59" s="1821"/>
      <c r="CT59" s="1821"/>
      <c r="CU59" s="1821"/>
      <c r="CV59" s="1821"/>
      <c r="CW59" s="1821"/>
      <c r="CX59" s="1821"/>
      <c r="CY59" s="1821"/>
      <c r="CZ59" s="1821"/>
      <c r="DA59" s="1821"/>
      <c r="DB59" s="1821"/>
      <c r="DC59" s="1821"/>
      <c r="DD59" s="1821"/>
      <c r="DE59" s="1821"/>
      <c r="DF59" s="1821"/>
      <c r="DG59" s="1821"/>
      <c r="DH59" s="1821"/>
      <c r="DI59" s="1821"/>
      <c r="DJ59" s="1821"/>
      <c r="DK59" s="1821"/>
      <c r="DL59" s="1821"/>
      <c r="DM59" s="1821"/>
      <c r="DN59" s="1821"/>
      <c r="DO59" s="1821"/>
      <c r="DP59" s="1821"/>
      <c r="DQ59" s="1821"/>
      <c r="DR59" s="1821"/>
      <c r="DS59" s="1821"/>
      <c r="DT59" s="1821"/>
      <c r="DU59" s="1821"/>
      <c r="DV59" s="1821"/>
      <c r="DW59" s="1821"/>
      <c r="DX59" s="1821"/>
      <c r="DY59" s="1821"/>
      <c r="DZ59" s="1821"/>
      <c r="EA59" s="1821"/>
      <c r="EB59" s="1821"/>
      <c r="EC59" s="1821"/>
      <c r="ED59" s="1821"/>
      <c r="EE59" s="1821"/>
      <c r="EF59" s="1821"/>
      <c r="EG59" s="1821"/>
      <c r="EH59" s="1821"/>
      <c r="EI59" s="1821"/>
      <c r="EJ59" s="1821"/>
      <c r="EK59" s="1821"/>
      <c r="EL59" s="1821"/>
      <c r="EM59" s="1821"/>
      <c r="EN59" s="1821"/>
      <c r="EO59" s="1821"/>
      <c r="EP59" s="1821"/>
      <c r="EQ59" s="1821"/>
      <c r="ER59" s="1821"/>
    </row>
    <row r="60" spans="1:257" s="1802" customFormat="1" ht="14.1" customHeight="1">
      <c r="G60" s="2619" t="s">
        <v>454</v>
      </c>
      <c r="H60" s="2632">
        <v>20</v>
      </c>
      <c r="I60" s="2631"/>
      <c r="J60" s="2632">
        <v>15</v>
      </c>
      <c r="K60" s="2271"/>
      <c r="L60" s="2632">
        <v>25</v>
      </c>
      <c r="M60" s="2631"/>
      <c r="N60" s="3457"/>
      <c r="O60" s="2271"/>
      <c r="P60" s="3457"/>
      <c r="Q60" s="2271"/>
      <c r="R60" s="2577"/>
      <c r="S60" s="4469"/>
      <c r="T60" s="4468"/>
      <c r="U60" s="4468"/>
      <c r="V60" s="2692"/>
      <c r="W60" s="2577"/>
      <c r="X60" s="1876"/>
      <c r="Y60" s="1876"/>
      <c r="Z60" s="1872"/>
    </row>
    <row r="61" spans="1:257" s="1802" customFormat="1" ht="14.1" customHeight="1">
      <c r="A61" s="1821"/>
      <c r="G61" s="2599" t="s">
        <v>1283</v>
      </c>
      <c r="H61" s="2632">
        <v>30</v>
      </c>
      <c r="I61" s="1878">
        <v>52231</v>
      </c>
      <c r="J61" s="2632">
        <v>30</v>
      </c>
      <c r="K61" s="1879">
        <v>52231</v>
      </c>
      <c r="L61" s="2632">
        <v>30</v>
      </c>
      <c r="M61" s="1878">
        <v>52231</v>
      </c>
      <c r="N61" s="3457"/>
      <c r="O61" s="1879"/>
      <c r="P61" s="3457"/>
      <c r="Q61" s="1879"/>
      <c r="R61" s="2583"/>
      <c r="S61" s="2693" t="s">
        <v>1923</v>
      </c>
      <c r="T61" s="2660"/>
      <c r="U61" s="2647">
        <f>AvgEquityRate</f>
        <v>0.113425</v>
      </c>
      <c r="V61" s="2694"/>
      <c r="W61" s="2577"/>
      <c r="X61" s="1876"/>
      <c r="Y61" s="1876"/>
      <c r="Z61" s="1872"/>
    </row>
    <row r="62" spans="1:257" s="1802" customFormat="1" ht="23.25" customHeight="1">
      <c r="A62" s="1880"/>
      <c r="G62" s="2619" t="s">
        <v>455</v>
      </c>
      <c r="H62" s="2632">
        <v>30</v>
      </c>
      <c r="I62" s="2631"/>
      <c r="J62" s="2632">
        <v>20</v>
      </c>
      <c r="K62" s="2271"/>
      <c r="L62" s="2632">
        <v>30</v>
      </c>
      <c r="M62" s="2631"/>
      <c r="N62" s="3457"/>
      <c r="O62" s="2271"/>
      <c r="P62" s="3457"/>
      <c r="Q62" s="2271"/>
      <c r="R62" s="2584"/>
      <c r="S62" s="2693" t="s">
        <v>1263</v>
      </c>
      <c r="T62" s="2660">
        <f>PctEquity</f>
        <v>0.4</v>
      </c>
      <c r="U62" s="2647">
        <f>EquityRate</f>
        <v>0.13250000000000001</v>
      </c>
      <c r="V62" s="2694"/>
      <c r="W62" s="2577"/>
      <c r="X62" s="1876"/>
      <c r="Y62" s="1876"/>
      <c r="Z62" s="1872"/>
    </row>
    <row r="63" spans="1:257" s="1802" customFormat="1" ht="18" customHeight="1">
      <c r="F63" s="1821"/>
      <c r="G63" s="2619" t="s">
        <v>456</v>
      </c>
      <c r="H63" s="2633">
        <v>5</v>
      </c>
      <c r="I63" s="2631"/>
      <c r="J63" s="2633">
        <v>5</v>
      </c>
      <c r="K63" s="2271"/>
      <c r="L63" s="2633">
        <v>5</v>
      </c>
      <c r="M63" s="2631"/>
      <c r="N63" s="3458"/>
      <c r="O63" s="2271"/>
      <c r="P63" s="3458"/>
      <c r="Q63" s="2271"/>
      <c r="R63" s="2585"/>
      <c r="S63" s="2693" t="s">
        <v>1924</v>
      </c>
      <c r="T63" s="2660">
        <f>PctTaxEquity</f>
        <v>0.3633333333333334</v>
      </c>
      <c r="U63" s="2647">
        <f>TaxEquityRate</f>
        <v>8.0000000000000016E-2</v>
      </c>
      <c r="V63" s="2694"/>
      <c r="W63" s="2583"/>
      <c r="X63" s="1877"/>
      <c r="Y63" s="1877"/>
      <c r="Z63" s="1872"/>
    </row>
    <row r="64" spans="1:257" s="1802" customFormat="1" ht="29.25" customHeight="1" thickBot="1">
      <c r="F64" s="1880"/>
      <c r="G64" s="2619" t="s">
        <v>457</v>
      </c>
      <c r="H64" s="2633">
        <v>30</v>
      </c>
      <c r="I64" s="2631"/>
      <c r="J64" s="2633">
        <v>30</v>
      </c>
      <c r="K64" s="2271"/>
      <c r="L64" s="2633">
        <v>30</v>
      </c>
      <c r="M64" s="2631"/>
      <c r="N64" s="3458"/>
      <c r="O64" s="2271"/>
      <c r="P64" s="3458"/>
      <c r="Q64" s="2271"/>
      <c r="R64" s="2585"/>
      <c r="S64" s="2672" t="s">
        <v>957</v>
      </c>
      <c r="T64" s="2653">
        <f>Debt_Financed</f>
        <v>0.6</v>
      </c>
      <c r="U64" s="2647">
        <f>DebtRate</f>
        <v>5.9130000000000002E-2</v>
      </c>
      <c r="V64" s="2694"/>
      <c r="W64" s="2584"/>
      <c r="X64" s="2742"/>
      <c r="Y64" s="2742"/>
      <c r="Z64" s="1872"/>
    </row>
    <row r="65" spans="1:38" s="1802" customFormat="1" ht="14.1" customHeight="1" thickBot="1">
      <c r="D65" s="1867"/>
      <c r="E65" s="1867"/>
      <c r="G65" s="3350" t="s">
        <v>1922</v>
      </c>
      <c r="H65" s="3479" t="s">
        <v>1959</v>
      </c>
      <c r="I65" s="3480" t="s">
        <v>1960</v>
      </c>
      <c r="J65" s="3479" t="s">
        <v>1959</v>
      </c>
      <c r="K65" s="3480" t="s">
        <v>1960</v>
      </c>
      <c r="L65" s="3479" t="s">
        <v>1959</v>
      </c>
      <c r="M65" s="3850" t="s">
        <v>1960</v>
      </c>
      <c r="N65" s="3848"/>
      <c r="O65" s="3848"/>
      <c r="P65" s="3848"/>
      <c r="Q65" s="3848"/>
      <c r="R65" s="2585"/>
      <c r="S65" s="2672" t="s">
        <v>453</v>
      </c>
      <c r="T65" s="2648">
        <f>DiscountRate</f>
        <v>6.6392134120000001E-2</v>
      </c>
      <c r="U65" s="2648">
        <f>RealDiscountRate</f>
        <v>4.9974823400351864E-2</v>
      </c>
      <c r="V65" s="2695"/>
      <c r="W65" s="2585"/>
      <c r="X65" s="2742"/>
      <c r="Y65" s="2742"/>
      <c r="Z65" s="1872"/>
    </row>
    <row r="66" spans="1:38" s="1802" customFormat="1" ht="14.1" customHeight="1">
      <c r="D66" s="1867"/>
      <c r="E66" s="1867"/>
      <c r="G66" s="3347" t="s">
        <v>911</v>
      </c>
      <c r="H66" s="3351">
        <v>100</v>
      </c>
      <c r="I66" s="3352">
        <v>221.10834294810633</v>
      </c>
      <c r="J66" s="3351">
        <v>100</v>
      </c>
      <c r="K66" s="3352">
        <v>182.79955333765548</v>
      </c>
      <c r="L66" s="3351">
        <v>100</v>
      </c>
      <c r="M66" s="3353">
        <v>262.8000000000003</v>
      </c>
      <c r="N66" s="3463"/>
      <c r="O66" s="3463"/>
      <c r="P66" s="3463"/>
      <c r="Q66" s="3463"/>
      <c r="R66" s="2586"/>
      <c r="S66" s="2696" t="s">
        <v>172</v>
      </c>
      <c r="T66" s="2661">
        <f>'Financial Data'!B21</f>
        <v>2.3120259395784881E-2</v>
      </c>
      <c r="U66" s="2649"/>
      <c r="V66" s="2697"/>
      <c r="W66" s="2585"/>
      <c r="X66" s="1879"/>
      <c r="Y66" s="1879"/>
      <c r="Z66" s="1872"/>
    </row>
    <row r="67" spans="1:38" s="1802" customFormat="1" ht="14.1" customHeight="1">
      <c r="B67" s="1862"/>
      <c r="D67" s="1867"/>
      <c r="E67" s="1867"/>
      <c r="G67" s="3348" t="s">
        <v>197</v>
      </c>
      <c r="H67" s="3354">
        <v>98</v>
      </c>
      <c r="I67" s="1859">
        <v>216.6861760891442</v>
      </c>
      <c r="J67" s="3354">
        <v>97</v>
      </c>
      <c r="K67" s="1859">
        <v>177.31556673752581</v>
      </c>
      <c r="L67" s="3354">
        <v>99</v>
      </c>
      <c r="M67" s="3355">
        <v>260.17200000000025</v>
      </c>
      <c r="N67" s="3463"/>
      <c r="O67" s="3463"/>
      <c r="P67" s="3463"/>
      <c r="Q67" s="3463"/>
      <c r="R67" s="2586"/>
      <c r="S67" s="2693" t="s">
        <v>176</v>
      </c>
      <c r="T67" s="2662">
        <f>'Financial Data'!B22</f>
        <v>1.5635908932064346E-2</v>
      </c>
      <c r="U67" s="2650"/>
      <c r="V67" s="2698"/>
      <c r="W67" s="2585"/>
      <c r="X67" s="2742"/>
      <c r="Y67" s="2742"/>
      <c r="Z67" s="1872"/>
    </row>
    <row r="68" spans="1:38" s="1884" customFormat="1" ht="15">
      <c r="A68" s="1802"/>
      <c r="B68" s="1862"/>
      <c r="C68" s="1882"/>
      <c r="D68" s="1880"/>
      <c r="E68" s="1880"/>
      <c r="F68" s="1802"/>
      <c r="G68" s="3348" t="s">
        <v>198</v>
      </c>
      <c r="H68" s="3354">
        <v>97.51</v>
      </c>
      <c r="I68" s="1859">
        <v>215.60274520869848</v>
      </c>
      <c r="J68" s="3354">
        <v>96.515000000000001</v>
      </c>
      <c r="K68" s="1859">
        <v>176.42898890383816</v>
      </c>
      <c r="L68" s="3354">
        <v>98.504999999999995</v>
      </c>
      <c r="M68" s="3355">
        <v>258.8711400000002</v>
      </c>
      <c r="N68" s="3463"/>
      <c r="O68" s="3463"/>
      <c r="P68" s="3463"/>
      <c r="Q68" s="3463"/>
      <c r="R68" s="1872"/>
      <c r="S68" s="2672" t="s">
        <v>454</v>
      </c>
      <c r="T68" s="2663">
        <f>DebtTerm</f>
        <v>20</v>
      </c>
      <c r="U68" s="2650"/>
      <c r="V68" s="2698"/>
      <c r="W68" s="2586"/>
      <c r="X68" s="2742"/>
      <c r="Y68" s="2742"/>
      <c r="Z68" s="2590"/>
      <c r="AK68" s="1883"/>
      <c r="AL68" s="1883"/>
    </row>
    <row r="69" spans="1:38" s="1817" customFormat="1" ht="15.75" thickBot="1">
      <c r="A69" s="1802"/>
      <c r="B69" s="1885"/>
      <c r="C69" s="1882"/>
      <c r="D69" s="1802"/>
      <c r="E69" s="1802"/>
      <c r="F69" s="1802"/>
      <c r="G69" s="3349" t="str">
        <f>Perspective</f>
        <v>At Interconnection Point</v>
      </c>
      <c r="H69" s="3356">
        <v>96.565443187134534</v>
      </c>
      <c r="I69" s="3357">
        <v>213.51425129156823</v>
      </c>
      <c r="J69" s="3356">
        <v>93.398605073198951</v>
      </c>
      <c r="K69" s="3357">
        <v>170.73223289740849</v>
      </c>
      <c r="L69" s="3356">
        <v>98.186934950769782</v>
      </c>
      <c r="M69" s="3358">
        <v>258.0352650506232</v>
      </c>
      <c r="N69" s="3463"/>
      <c r="O69" s="3463"/>
      <c r="P69" s="3463"/>
      <c r="Q69" s="3463"/>
      <c r="R69" s="2591"/>
      <c r="S69" s="2672" t="s">
        <v>1283</v>
      </c>
      <c r="T69" s="2663">
        <f>EquipLifeYears</f>
        <v>30</v>
      </c>
      <c r="U69" s="2651">
        <f>EndDate</f>
        <v>52231</v>
      </c>
      <c r="V69" s="2699"/>
      <c r="W69" s="2586"/>
      <c r="X69" s="2742"/>
      <c r="Y69" s="2742"/>
      <c r="Z69" s="2328"/>
    </row>
    <row r="70" spans="1:38" s="1817" customFormat="1">
      <c r="A70" s="1802"/>
      <c r="D70" s="1802"/>
      <c r="E70" s="1802"/>
      <c r="F70" s="1802"/>
      <c r="G70" s="1802"/>
      <c r="H70" s="1802"/>
      <c r="I70" s="1802"/>
      <c r="J70" s="1802"/>
      <c r="K70" s="1802"/>
      <c r="L70" s="1802"/>
      <c r="M70" s="1802"/>
      <c r="N70" s="2349"/>
      <c r="O70" s="2349"/>
      <c r="P70" s="2349"/>
      <c r="Q70" s="2349"/>
      <c r="R70" s="2592"/>
      <c r="S70" s="2672" t="s">
        <v>455</v>
      </c>
      <c r="T70" s="2663">
        <f>BookLife</f>
        <v>30</v>
      </c>
      <c r="U70" s="2650"/>
      <c r="V70" s="2698"/>
      <c r="W70" s="1872"/>
      <c r="X70" s="1872"/>
      <c r="Y70" s="1872"/>
      <c r="Z70" s="2328"/>
    </row>
    <row r="71" spans="1:38" s="1817" customFormat="1">
      <c r="A71" s="1802"/>
      <c r="D71" s="1802"/>
      <c r="E71" s="1802"/>
      <c r="F71" s="1802"/>
      <c r="G71" s="1802"/>
      <c r="H71" s="1802"/>
      <c r="I71" s="1802"/>
      <c r="J71" s="1802"/>
      <c r="K71" s="1802"/>
      <c r="L71" s="1802"/>
      <c r="M71" s="1802"/>
      <c r="N71" s="2349"/>
      <c r="O71" s="2349"/>
      <c r="P71" s="2349"/>
      <c r="Q71" s="2349"/>
      <c r="R71" s="2593"/>
      <c r="S71" s="2672" t="s">
        <v>456</v>
      </c>
      <c r="T71" s="2664">
        <f>FedTaxLife</f>
        <v>5</v>
      </c>
      <c r="U71" s="2650"/>
      <c r="V71" s="2698"/>
      <c r="W71" s="2591"/>
      <c r="X71" s="1872"/>
      <c r="Y71" s="1872"/>
      <c r="Z71" s="2328"/>
    </row>
    <row r="72" spans="1:38" s="1817" customFormat="1" ht="13.5" thickBot="1">
      <c r="A72" s="1802"/>
      <c r="D72" s="1802"/>
      <c r="E72" s="1802"/>
      <c r="F72" s="1802"/>
      <c r="N72" s="2349"/>
      <c r="O72" s="2349"/>
      <c r="P72" s="2349"/>
      <c r="Q72" s="2349"/>
      <c r="R72" s="2593"/>
      <c r="S72" s="2672" t="s">
        <v>457</v>
      </c>
      <c r="T72" s="2664">
        <f>StateTaxLife</f>
        <v>30</v>
      </c>
      <c r="U72" s="2650"/>
      <c r="V72" s="2698"/>
      <c r="W72" s="2592"/>
      <c r="X72" s="1872"/>
      <c r="Y72" s="1872"/>
      <c r="Z72" s="2328"/>
    </row>
    <row r="73" spans="1:38" s="1817" customFormat="1" ht="18.75" thickBot="1">
      <c r="A73" s="1802"/>
      <c r="D73" s="1802"/>
      <c r="E73" s="1802"/>
      <c r="F73" s="1802"/>
      <c r="G73" s="2714" t="str">
        <f>OwnerScenario</f>
        <v>Merchant Alternatives</v>
      </c>
      <c r="H73" s="4438" t="s">
        <v>2026</v>
      </c>
      <c r="I73" s="4439"/>
      <c r="J73" s="4438" t="s">
        <v>2027</v>
      </c>
      <c r="K73" s="4439"/>
      <c r="L73" s="4438" t="s">
        <v>2028</v>
      </c>
      <c r="M73" s="4439"/>
      <c r="N73" s="4432"/>
      <c r="O73" s="4432"/>
      <c r="P73" s="4432"/>
      <c r="Q73" s="4432"/>
      <c r="R73" s="2593"/>
      <c r="S73" s="2672"/>
      <c r="T73" s="2639"/>
      <c r="U73" s="2639"/>
      <c r="V73" s="2683"/>
      <c r="W73" s="2593"/>
      <c r="X73" s="1872"/>
      <c r="Y73" s="1872"/>
      <c r="Z73" s="2328"/>
    </row>
    <row r="74" spans="1:38" s="1817" customFormat="1">
      <c r="A74" s="1802"/>
      <c r="D74" s="1884"/>
      <c r="E74" s="1884"/>
      <c r="F74" s="1802"/>
      <c r="G74" s="2599" t="s">
        <v>1750</v>
      </c>
      <c r="H74" s="4017">
        <v>1.6095061179475287</v>
      </c>
      <c r="I74" s="2593"/>
      <c r="J74" s="4017">
        <v>2.0890573886261916</v>
      </c>
      <c r="K74" s="2593"/>
      <c r="L74" s="4017">
        <v>0.80777675762278167</v>
      </c>
      <c r="M74" s="4018"/>
      <c r="N74" s="3849"/>
      <c r="O74" s="2286"/>
      <c r="P74" s="3849"/>
      <c r="Q74" s="2286"/>
      <c r="R74" s="2593"/>
      <c r="S74" s="2668" t="s">
        <v>1400</v>
      </c>
      <c r="T74" s="2665" t="s">
        <v>1399</v>
      </c>
      <c r="U74" s="2639"/>
      <c r="V74" s="2683"/>
      <c r="W74" s="2593"/>
      <c r="X74" s="2349"/>
      <c r="Y74" s="1872"/>
      <c r="Z74" s="2328"/>
    </row>
    <row r="75" spans="1:38" s="1817" customFormat="1" ht="13.5" thickBot="1">
      <c r="A75" s="1802"/>
      <c r="D75" s="2346"/>
      <c r="F75" s="1802"/>
      <c r="G75" s="2889" t="s">
        <v>1751</v>
      </c>
      <c r="H75" s="4019">
        <v>1.097745798409439</v>
      </c>
      <c r="I75" s="2918"/>
      <c r="J75" s="4019">
        <v>1.5415569083032703</v>
      </c>
      <c r="K75" s="2918"/>
      <c r="L75" s="4019">
        <v>0.25539702770257366</v>
      </c>
      <c r="M75" s="4020"/>
      <c r="N75" s="3849"/>
      <c r="O75" s="2286"/>
      <c r="P75" s="3849"/>
      <c r="Q75" s="2286"/>
      <c r="R75" s="2593"/>
      <c r="S75" s="2700" t="s">
        <v>1344</v>
      </c>
      <c r="T75" s="2666">
        <f>'Construction Costs'!D66</f>
        <v>0</v>
      </c>
      <c r="U75" s="2639"/>
      <c r="V75" s="2683"/>
      <c r="W75" s="2593"/>
      <c r="X75" s="1872"/>
      <c r="Y75" s="1872"/>
      <c r="Z75" s="2328"/>
    </row>
    <row r="76" spans="1:38" s="1817" customFormat="1">
      <c r="A76" s="1802"/>
      <c r="F76" s="1802"/>
      <c r="N76" s="2328"/>
      <c r="O76" s="2328"/>
      <c r="P76" s="2328"/>
      <c r="Q76" s="2271"/>
      <c r="R76" s="2593"/>
      <c r="S76" s="2701" t="s">
        <v>1341</v>
      </c>
      <c r="T76" s="2667">
        <f>'Construction Costs'!D63</f>
        <v>0</v>
      </c>
      <c r="U76" s="2639"/>
      <c r="V76" s="2683"/>
      <c r="W76" s="2593"/>
      <c r="X76" s="1872"/>
      <c r="Y76" s="1872"/>
      <c r="Z76" s="2328"/>
    </row>
    <row r="77" spans="1:38" s="1817" customFormat="1">
      <c r="A77" s="1802"/>
      <c r="C77" s="1884"/>
      <c r="F77" s="1802"/>
      <c r="N77" s="2328"/>
      <c r="O77" s="2328"/>
      <c r="P77" s="2328"/>
      <c r="Q77" s="2271"/>
      <c r="R77" s="2593"/>
      <c r="S77" s="2701" t="s">
        <v>1342</v>
      </c>
      <c r="T77" s="2667">
        <f>'Construction Costs'!D64</f>
        <v>0</v>
      </c>
      <c r="U77" s="2639"/>
      <c r="V77" s="2683"/>
      <c r="W77" s="2593"/>
      <c r="X77" s="2594"/>
      <c r="Y77" s="2594"/>
      <c r="Z77" s="2328"/>
    </row>
    <row r="78" spans="1:38" s="1817" customFormat="1">
      <c r="A78" s="1802"/>
      <c r="B78" s="1884"/>
      <c r="F78" s="1802"/>
      <c r="N78" s="2328"/>
      <c r="O78" s="2328"/>
      <c r="P78" s="2328"/>
      <c r="Q78" s="2271"/>
      <c r="R78" s="2593"/>
      <c r="S78" s="2701" t="s">
        <v>375</v>
      </c>
      <c r="T78" s="2667">
        <f>'Construction Costs'!D71</f>
        <v>0</v>
      </c>
      <c r="U78" s="2639"/>
      <c r="V78" s="2683"/>
      <c r="W78" s="2593"/>
      <c r="X78" s="2328"/>
      <c r="Y78" s="2328"/>
      <c r="Z78" s="2328"/>
    </row>
    <row r="79" spans="1:38" s="1817" customFormat="1">
      <c r="A79" s="1802"/>
      <c r="F79" s="1802"/>
      <c r="N79" s="2328"/>
      <c r="O79" s="2328"/>
      <c r="P79" s="2328"/>
      <c r="Q79" s="2328"/>
      <c r="R79" s="2328"/>
      <c r="S79" s="2701" t="s">
        <v>387</v>
      </c>
      <c r="T79" s="2667">
        <f>'Construction Costs'!D70</f>
        <v>0</v>
      </c>
      <c r="U79" s="2639"/>
      <c r="V79" s="2683"/>
      <c r="W79" s="2593"/>
      <c r="X79" s="2328"/>
      <c r="Y79" s="2328"/>
      <c r="Z79" s="2328"/>
    </row>
    <row r="80" spans="1:38" s="1817" customFormat="1">
      <c r="A80" s="1802"/>
      <c r="B80" s="1804"/>
      <c r="F80" s="1802"/>
      <c r="L80" s="2271"/>
      <c r="M80" s="2593"/>
      <c r="S80" s="2701" t="s">
        <v>1343</v>
      </c>
      <c r="T80" s="2667">
        <f>'Construction Costs'!D65</f>
        <v>0</v>
      </c>
      <c r="U80" s="2649"/>
      <c r="V80" s="2697"/>
      <c r="W80" s="2593"/>
      <c r="X80" s="2328"/>
      <c r="Y80" s="2328"/>
    </row>
    <row r="81" spans="1:25" s="1817" customFormat="1">
      <c r="A81" s="1802"/>
      <c r="F81" s="1802"/>
      <c r="L81" s="2271"/>
      <c r="M81" s="2593"/>
      <c r="S81" s="2701" t="s">
        <v>294</v>
      </c>
      <c r="T81" s="2667">
        <f>'Construction Costs'!D67</f>
        <v>0</v>
      </c>
      <c r="U81" s="2639"/>
      <c r="V81" s="2683"/>
      <c r="W81" s="2328"/>
      <c r="X81" s="2328"/>
      <c r="Y81" s="2328"/>
    </row>
    <row r="82" spans="1:25" s="1817" customFormat="1" ht="15.75">
      <c r="A82" s="1802"/>
      <c r="B82" s="4431" t="s">
        <v>2034</v>
      </c>
      <c r="C82" s="4431"/>
      <c r="F82" s="1802"/>
      <c r="G82" s="1886"/>
      <c r="H82" s="1859"/>
      <c r="L82" s="2328"/>
      <c r="M82" s="2328"/>
      <c r="S82" s="2701" t="s">
        <v>295</v>
      </c>
      <c r="T82" s="2667">
        <f>'Construction Costs'!D68</f>
        <v>0</v>
      </c>
      <c r="U82" s="2639"/>
      <c r="V82" s="2683"/>
    </row>
    <row r="83" spans="1:25" s="1817" customFormat="1" ht="14.1" customHeight="1" thickBot="1">
      <c r="A83" s="1802"/>
      <c r="B83" s="2346" t="s">
        <v>2035</v>
      </c>
      <c r="F83" s="1802"/>
      <c r="S83" s="2871" t="s">
        <v>296</v>
      </c>
      <c r="T83" s="2667">
        <f>'Construction Costs'!D69</f>
        <v>0</v>
      </c>
      <c r="U83" s="2639"/>
      <c r="V83" s="2683"/>
    </row>
    <row r="84" spans="1:25" s="1817" customFormat="1" ht="14.1" customHeight="1" thickBot="1">
      <c r="A84" s="1802"/>
      <c r="B84" s="2346" t="s">
        <v>2037</v>
      </c>
      <c r="C84" s="2749">
        <f>C29</f>
        <v>0</v>
      </c>
      <c r="F84" s="1802"/>
      <c r="S84" s="2872"/>
      <c r="T84" s="2639"/>
      <c r="U84" s="2639"/>
      <c r="V84" s="2698"/>
    </row>
    <row r="85" spans="1:25" s="1817" customFormat="1" ht="14.1" customHeight="1">
      <c r="A85" s="1802"/>
      <c r="B85" s="2346" t="s">
        <v>2036</v>
      </c>
      <c r="C85" s="1803"/>
      <c r="F85" s="1802"/>
      <c r="S85" s="2872" t="s">
        <v>1752</v>
      </c>
      <c r="T85" s="2639"/>
      <c r="U85" s="2639"/>
      <c r="V85" s="2683"/>
      <c r="X85" s="2888">
        <f>AvgDCR</f>
        <v>1.345</v>
      </c>
    </row>
    <row r="86" spans="1:25" s="1817" customFormat="1" ht="14.1" customHeight="1">
      <c r="A86" s="1802"/>
      <c r="F86" s="1802"/>
      <c r="S86" s="2875" t="s">
        <v>1753</v>
      </c>
      <c r="T86" s="2916">
        <f>IF(OwnerType="Merchant",'Income_Cash Flow'!D37,Income_Rev_Req!D45)</f>
        <v>1.6095061179475287</v>
      </c>
      <c r="U86" s="2876"/>
      <c r="V86" s="2877"/>
      <c r="X86" s="2888">
        <f>MinDCR</f>
        <v>1.27</v>
      </c>
    </row>
    <row r="87" spans="1:25" s="1817" customFormat="1" ht="14.1" customHeight="1">
      <c r="A87" s="1802"/>
      <c r="D87" s="1810"/>
      <c r="E87" s="1810"/>
      <c r="F87" s="1802"/>
      <c r="S87" s="2878" t="s">
        <v>1754</v>
      </c>
      <c r="T87" s="2917">
        <f>IF(OwnerType="Merchant",'Income_Cash Flow'!E37,Income_Rev_Req!E45)</f>
        <v>1.097745798409439</v>
      </c>
      <c r="U87" s="2879"/>
      <c r="V87" s="2880"/>
    </row>
    <row r="88" spans="1:25" s="1817" customFormat="1" ht="14.1" customHeight="1">
      <c r="A88" s="1802"/>
      <c r="D88" s="1810"/>
      <c r="E88" s="1810"/>
      <c r="F88" s="1802"/>
    </row>
    <row r="89" spans="1:25" s="1817" customFormat="1" ht="14.1" customHeight="1">
      <c r="A89" s="1802"/>
      <c r="D89" s="1802"/>
      <c r="E89" s="1802"/>
      <c r="F89" s="1802"/>
    </row>
    <row r="90" spans="1:25" s="1817" customFormat="1" ht="14.1" customHeight="1">
      <c r="A90" s="1802"/>
      <c r="D90" s="1802"/>
      <c r="E90" s="1802"/>
      <c r="F90" s="1802"/>
    </row>
    <row r="91" spans="1:25" s="1817" customFormat="1" ht="14.1" customHeight="1">
      <c r="A91" s="1802"/>
      <c r="D91" s="1802"/>
      <c r="E91" s="1802"/>
      <c r="F91" s="1802"/>
    </row>
    <row r="92" spans="1:25" s="1817" customFormat="1" ht="14.1" customHeight="1">
      <c r="A92" s="1802"/>
      <c r="D92" s="1802"/>
      <c r="E92" s="1802"/>
      <c r="F92" s="1802"/>
    </row>
    <row r="93" spans="1:25" s="1817" customFormat="1">
      <c r="A93" s="1802"/>
      <c r="C93" s="1810"/>
      <c r="D93" s="1802"/>
      <c r="E93" s="1802"/>
      <c r="F93" s="1802"/>
    </row>
    <row r="94" spans="1:25" s="1817" customFormat="1" ht="14.1" customHeight="1">
      <c r="A94" s="1802"/>
      <c r="B94" s="1810"/>
      <c r="C94" s="1802"/>
      <c r="D94" s="1802"/>
      <c r="E94" s="1802"/>
      <c r="F94" s="1802"/>
    </row>
    <row r="95" spans="1:25" s="1817" customFormat="1" ht="14.1" customHeight="1">
      <c r="A95" s="1802"/>
      <c r="B95" s="1802"/>
      <c r="C95" s="1802"/>
      <c r="D95" s="1802"/>
      <c r="E95" s="1802"/>
      <c r="F95" s="1802"/>
    </row>
    <row r="96" spans="1:25" s="1817" customFormat="1" ht="14.1" customHeight="1">
      <c r="A96" s="1802"/>
      <c r="B96" s="1802"/>
      <c r="C96" s="1802"/>
      <c r="D96" s="1802"/>
      <c r="E96" s="1802"/>
      <c r="F96" s="1802"/>
    </row>
    <row r="97" spans="1:36" s="1817" customFormat="1" ht="14.1" customHeight="1">
      <c r="A97" s="1802"/>
      <c r="B97" s="1802"/>
      <c r="C97" s="1802"/>
      <c r="D97" s="1802"/>
      <c r="E97" s="1802"/>
      <c r="F97" s="1802"/>
    </row>
    <row r="98" spans="1:36" s="1817" customFormat="1" ht="14.1" customHeight="1">
      <c r="A98" s="1802"/>
      <c r="B98" s="1802"/>
      <c r="C98" s="1802"/>
      <c r="D98" s="1802"/>
      <c r="E98" s="1802"/>
      <c r="F98" s="1802"/>
    </row>
    <row r="99" spans="1:36" s="1817" customFormat="1" ht="14.1" customHeight="1">
      <c r="A99" s="1887"/>
      <c r="B99" s="1802"/>
      <c r="C99" s="1802"/>
      <c r="D99" s="1802"/>
      <c r="E99" s="1802"/>
      <c r="F99" s="1802"/>
    </row>
    <row r="100" spans="1:36" s="1817" customFormat="1" ht="14.1" customHeight="1">
      <c r="A100" s="1887"/>
      <c r="B100" s="1802"/>
      <c r="C100" s="1802"/>
      <c r="D100" s="1802"/>
      <c r="E100" s="1802"/>
      <c r="F100" s="1887"/>
    </row>
    <row r="101" spans="1:36" s="1817" customFormat="1" ht="14.1" customHeight="1">
      <c r="B101" s="1802"/>
      <c r="C101" s="1802"/>
      <c r="D101" s="1802"/>
      <c r="E101" s="1802"/>
      <c r="F101" s="1887"/>
    </row>
    <row r="102" spans="1:36" s="1817" customFormat="1" ht="14.1" customHeight="1">
      <c r="B102" s="1802"/>
      <c r="C102" s="1802"/>
      <c r="D102" s="1802"/>
      <c r="E102" s="1802"/>
      <c r="F102" s="1887"/>
    </row>
    <row r="103" spans="1:36" s="1817" customFormat="1" ht="14.1" customHeight="1">
      <c r="B103" s="1802"/>
      <c r="C103" s="1802"/>
      <c r="D103" s="1802"/>
      <c r="E103" s="1802"/>
      <c r="F103" s="1887"/>
      <c r="Z103" s="1888"/>
      <c r="AA103" s="1888"/>
      <c r="AB103" s="1888"/>
      <c r="AC103" s="1888"/>
      <c r="AD103" s="1888"/>
      <c r="AE103" s="1888"/>
      <c r="AF103" s="1888"/>
      <c r="AG103" s="1888"/>
      <c r="AH103" s="1888"/>
      <c r="AI103" s="1888"/>
      <c r="AJ103" s="1888"/>
    </row>
    <row r="104" spans="1:36" s="1817" customFormat="1" ht="14.1" customHeight="1">
      <c r="B104" s="1802" t="s">
        <v>284</v>
      </c>
      <c r="C104" s="1887"/>
      <c r="D104" s="1802"/>
      <c r="E104" s="1802"/>
      <c r="F104" s="1883"/>
      <c r="Z104" s="1888"/>
      <c r="AA104" s="1888"/>
      <c r="AB104" s="1888"/>
      <c r="AC104" s="1888"/>
      <c r="AD104" s="1888"/>
      <c r="AE104" s="1888"/>
      <c r="AF104" s="1888"/>
      <c r="AG104" s="1888"/>
      <c r="AH104" s="1888"/>
      <c r="AI104" s="1888"/>
      <c r="AJ104" s="1888"/>
    </row>
    <row r="105" spans="1:36" s="1817" customFormat="1" ht="14.1" customHeight="1">
      <c r="B105" s="1889" t="s">
        <v>1052</v>
      </c>
      <c r="C105" s="1890" t="s">
        <v>1036</v>
      </c>
      <c r="D105" s="1891" t="s">
        <v>644</v>
      </c>
      <c r="E105" s="3080" t="s">
        <v>521</v>
      </c>
      <c r="F105" s="1803"/>
      <c r="G105" s="1892" t="s">
        <v>285</v>
      </c>
      <c r="H105" s="1890" t="s">
        <v>625</v>
      </c>
      <c r="I105" s="1890" t="s">
        <v>1483</v>
      </c>
      <c r="J105" s="1893" t="s">
        <v>907</v>
      </c>
      <c r="K105" s="1804"/>
      <c r="N105" s="1888"/>
      <c r="O105" s="1888"/>
      <c r="P105" s="1888"/>
      <c r="Q105" s="1888"/>
      <c r="R105" s="1888"/>
      <c r="Z105" s="1888"/>
      <c r="AA105" s="1888"/>
      <c r="AB105" s="1888"/>
      <c r="AC105" s="1888"/>
      <c r="AD105" s="1888"/>
      <c r="AE105" s="1888"/>
      <c r="AF105" s="1888"/>
      <c r="AG105" s="1888"/>
      <c r="AH105" s="1888"/>
      <c r="AI105" s="1888"/>
      <c r="AJ105" s="1888"/>
    </row>
    <row r="106" spans="1:36" s="1817" customFormat="1" ht="14.1" customHeight="1">
      <c r="B106" s="1894" t="str">
        <f>IF(NOT(ISBLANK('Plant Type Assumptions'!$D$2)),'Plant Type Assumptions'!$D$2,"")</f>
        <v>Generation Turbine 49.9 MW</v>
      </c>
      <c r="C106" s="1894" t="str">
        <f>IF(NOT(ISBLANK('Financial Assumptions'!$D$2)),'Financial Assumptions'!$D$2,"")</f>
        <v>Merchant Fossil</v>
      </c>
      <c r="D106" s="1894" t="str">
        <f>IF(NOT(ISBLANK('General Assumptions'!$D$2)),'General Assumptions'!$D$2,"")</f>
        <v>Default</v>
      </c>
      <c r="E106" s="3081">
        <v>2011</v>
      </c>
      <c r="F106" s="1803"/>
      <c r="G106" s="1895" t="s">
        <v>128</v>
      </c>
      <c r="H106" s="1896" t="str">
        <f>'Air &amp; Water Data'!$D$2</f>
        <v>Bay Area</v>
      </c>
      <c r="I106" s="1897" t="s">
        <v>1486</v>
      </c>
      <c r="J106" s="1887" t="s">
        <v>1973</v>
      </c>
      <c r="K106" s="1903"/>
      <c r="N106" s="1888"/>
      <c r="O106" s="1888"/>
      <c r="P106" s="1888"/>
      <c r="Q106" s="1888"/>
      <c r="R106" s="1888"/>
    </row>
    <row r="107" spans="1:36" s="1817" customFormat="1" ht="14.1" customHeight="1">
      <c r="B107" s="1897" t="str">
        <f>IF(NOT(ISBLANK('Plant Type Assumptions'!$E$2)),'Plant Type Assumptions'!$E$2,"")</f>
        <v>Generation Turbine 100 MW</v>
      </c>
      <c r="C107" s="1897" t="str">
        <f>IF(NOT(ISBLANK('Financial Assumptions'!$E$2)),'Financial Assumptions'!$E$2,"")</f>
        <v>Merchant Alternatives</v>
      </c>
      <c r="D107" s="1897" t="str">
        <f>IF(NOT(ISBLANK('General Assumptions'!$E$2)),'General Assumptions'!$E$2,"")</f>
        <v>2007 IEPR</v>
      </c>
      <c r="E107" s="3082">
        <v>2012</v>
      </c>
      <c r="F107" s="1803"/>
      <c r="G107" s="1895" t="s">
        <v>127</v>
      </c>
      <c r="H107" s="1899" t="str">
        <f>'Air &amp; Water Data'!$E$2</f>
        <v>Imperial County</v>
      </c>
      <c r="I107" s="1897" t="s">
        <v>1485</v>
      </c>
      <c r="J107" s="1887" t="s">
        <v>199</v>
      </c>
      <c r="K107" s="1903"/>
      <c r="N107" s="1888"/>
      <c r="O107" s="1888"/>
      <c r="P107" s="1888"/>
      <c r="Q107" s="1888"/>
      <c r="R107" s="1888"/>
      <c r="W107" s="1888"/>
      <c r="X107" s="1888"/>
      <c r="Y107" s="1888"/>
    </row>
    <row r="108" spans="1:36" s="1817" customFormat="1" ht="14.1" customHeight="1">
      <c r="B108" s="1897" t="str">
        <f>IF(NOT(ISBLANK('Plant Type Assumptions'!$F$2)),'Plant Type Assumptions'!$F$2,"")</f>
        <v>Generation Turbine - Advanced 200 MW</v>
      </c>
      <c r="C108" s="1897" t="str">
        <f>IF(NOT(ISBLANK('Financial Assumptions'!$F$2)),'Financial Assumptions'!$F$2,"")</f>
        <v>Default IOU Fossil</v>
      </c>
      <c r="D108" s="1897" t="str">
        <f>IF(NOT(ISBLANK('General Assumptions'!$F$2)),'General Assumptions'!$F$2,"")</f>
        <v>2006 MPR - Baseload</v>
      </c>
      <c r="E108" s="3082">
        <v>2013</v>
      </c>
      <c r="F108" s="1803"/>
      <c r="G108" s="1901" t="s">
        <v>1380</v>
      </c>
      <c r="H108" s="1899" t="s">
        <v>1195</v>
      </c>
      <c r="I108" s="1897" t="s">
        <v>2026</v>
      </c>
      <c r="J108" s="1902" t="s">
        <v>200</v>
      </c>
      <c r="K108" s="1903"/>
      <c r="L108" s="1888"/>
      <c r="M108" s="1888"/>
      <c r="W108" s="1888"/>
      <c r="X108" s="1888"/>
      <c r="Y108" s="1888"/>
    </row>
    <row r="109" spans="1:36" s="1817" customFormat="1" ht="14.1" customHeight="1">
      <c r="B109" s="1897" t="str">
        <f>IF(NOT(ISBLANK('Plant Type Assumptions'!$G$2)),'Plant Type Assumptions'!$G$2,"")</f>
        <v>Combined Cycle - 2 CTs No Duct Firing 500 MW</v>
      </c>
      <c r="C109" s="1897" t="str">
        <f>IF(NOT(ISBLANK('Financial Assumptions'!$G$2)),'Financial Assumptions'!$G$2,"")</f>
        <v>Default IOU Alternatives</v>
      </c>
      <c r="D109" s="1897" t="str">
        <f>IF(NOT(ISBLANK('General Assumptions'!$G$2)),'General Assumptions'!$G$2,"")</f>
        <v/>
      </c>
      <c r="E109" s="3082">
        <v>2014</v>
      </c>
      <c r="F109" s="1803"/>
      <c r="H109" s="1899" t="str">
        <f>'Air &amp; Water Data'!$F$2</f>
        <v>Kern</v>
      </c>
      <c r="I109" s="1897"/>
      <c r="J109" s="1903"/>
      <c r="K109" s="1903"/>
      <c r="L109" s="1888"/>
      <c r="M109" s="1888"/>
      <c r="W109" s="1888"/>
      <c r="X109" s="1888"/>
      <c r="Y109" s="1888"/>
    </row>
    <row r="110" spans="1:36" s="1817" customFormat="1" ht="14.1" customHeight="1">
      <c r="B110" s="1897" t="str">
        <f>IF(NOT(ISBLANK('Plant Type Assumptions'!$H$2)),'Plant Type Assumptions'!$H$2,"")</f>
        <v>Combined Cycle - 2 CTs With Duct Firing 550 MW</v>
      </c>
      <c r="C110" s="1897" t="str">
        <f>IF(NOT(ISBLANK('Financial Assumptions'!$H$2)),'Financial Assumptions'!$H$2,"")</f>
        <v>Default POU</v>
      </c>
      <c r="D110" s="1897" t="str">
        <f>IF(NOT(ISBLANK('General Assumptions'!$H$2)),'General Assumptions'!$H$2,"")</f>
        <v/>
      </c>
      <c r="E110" s="3082">
        <v>2015</v>
      </c>
      <c r="F110" s="1803"/>
      <c r="H110" s="1899" t="str">
        <f>'Air &amp; Water Data'!$H$2</f>
        <v>Mojave</v>
      </c>
      <c r="I110" s="1897"/>
      <c r="J110" s="1903"/>
      <c r="K110" s="346"/>
      <c r="L110" s="1888"/>
      <c r="M110" s="1888"/>
      <c r="S110" s="1888"/>
      <c r="T110" s="1888"/>
      <c r="U110" s="1888"/>
      <c r="V110" s="1888"/>
    </row>
    <row r="111" spans="1:36" s="1817" customFormat="1" ht="14.1" customHeight="1">
      <c r="B111" s="119" t="str">
        <f>IF(NOT(ISBLANK('Plant Type Assumptions'!$I$2)),'Plant Type Assumptions'!$I$2,"")</f>
        <v>Biomass Fluidized Bed Boiler 50 MW</v>
      </c>
      <c r="C111" s="1897" t="str">
        <f>IF(NOT(ISBLANK('Financial Assumptions'!$I$2)),'Financial Assumptions'!$I$2,"")</f>
        <v>CPUC 2009 MPR</v>
      </c>
      <c r="D111" s="1897" t="str">
        <f>IF(NOT(ISBLANK('General Assumptions'!$I$2)),'General Assumptions'!$I$2,"")</f>
        <v/>
      </c>
      <c r="E111" s="3082">
        <v>2016</v>
      </c>
      <c r="F111" s="1803"/>
      <c r="H111" s="1899" t="s">
        <v>1196</v>
      </c>
      <c r="I111" s="1897" t="s">
        <v>1383</v>
      </c>
      <c r="J111" s="1903"/>
      <c r="K111" s="346"/>
      <c r="L111" s="1898"/>
      <c r="S111" s="1888"/>
      <c r="T111" s="1888"/>
      <c r="U111" s="1888"/>
      <c r="V111" s="1888"/>
    </row>
    <row r="112" spans="1:36" s="1817" customFormat="1" ht="14.1" customHeight="1">
      <c r="B112" s="119" t="str">
        <f>IF(NOT(ISBLANK('Plant Type Assumptions'!$J$2)),'Plant Type Assumptions'!$J$2,"")</f>
        <v>Geothermal  Binary 30 MW</v>
      </c>
      <c r="C112" s="1897" t="str">
        <f>IF(NOT(ISBLANK('Financial Assumptions'!$J$2)),'Financial Assumptions'!$J$2,"")</f>
        <v>CPUC 2006 MPR</v>
      </c>
      <c r="D112" s="1897" t="str">
        <f>IF(NOT(ISBLANK('General Assumptions'!$J$2)),'General Assumptions'!$J$2,"")</f>
        <v/>
      </c>
      <c r="E112" s="3082">
        <v>2017</v>
      </c>
      <c r="F112" s="1803"/>
      <c r="H112" s="1899" t="str">
        <f>'Air &amp; Water Data'!$J$2</f>
        <v>Sacramento</v>
      </c>
      <c r="I112" s="1897"/>
      <c r="J112" s="1903"/>
      <c r="K112" s="117"/>
      <c r="L112" s="1900"/>
      <c r="S112" s="1888"/>
      <c r="T112" s="1888"/>
      <c r="U112" s="1888"/>
      <c r="V112" s="1888"/>
    </row>
    <row r="113" spans="2:68">
      <c r="B113" s="119" t="str">
        <f>IF(NOT(ISBLANK('Plant Type Assumptions'!$K$2)),'Plant Type Assumptions'!$K$2,"")</f>
        <v>Geothermal  Flash 30 MW</v>
      </c>
      <c r="C113" s="119" t="str">
        <f>IF(NOT(ISBLANK('Financial Assumptions'!$K$2)),'Financial Assumptions'!$K$2,"")</f>
        <v>2003 IEPR</v>
      </c>
      <c r="D113" s="147" t="str">
        <f>IF(NOT(ISBLANK('General Assumptions'!$K$2)),'General Assumptions'!$K$2,"")</f>
        <v/>
      </c>
      <c r="E113" s="3082">
        <v>2018</v>
      </c>
      <c r="F113"/>
      <c r="H113" s="191" t="str">
        <f>'Air &amp; Water Data'!$K$2</f>
        <v>San Diego</v>
      </c>
      <c r="I113" s="119"/>
      <c r="J113" s="346"/>
      <c r="L113" s="1887"/>
      <c r="M113" s="1817"/>
      <c r="N113" s="1817"/>
      <c r="O113" s="1817"/>
      <c r="P113" s="1817"/>
      <c r="Q113" s="1817"/>
      <c r="R113" s="1817"/>
      <c r="S113" s="1817"/>
      <c r="T113" s="1817"/>
      <c r="U113" s="1817"/>
      <c r="V113" s="1817"/>
      <c r="W113" s="1817"/>
      <c r="X113" s="1817"/>
      <c r="Y113" s="1817"/>
    </row>
    <row r="114" spans="2:68">
      <c r="B114" s="119" t="str">
        <f>IF(NOT(ISBLANK('Plant Type Assumptions'!$L$2)),'Plant Type Assumptions'!$L$2,"")</f>
        <v>Solar Parabolic Trough W/O Storage 250 MW</v>
      </c>
      <c r="C114" s="119" t="str">
        <f>IF(NOT(ISBLANK('Financial Assumptions'!$L$2)),'Financial Assumptions'!$L$2,"")</f>
        <v xml:space="preserve">Test Case Financial </v>
      </c>
      <c r="D114" s="149" t="str">
        <f>IF(NOT(ISBLANK('General Assumptions'!$L$2)),'General Assumptions'!$L$2,"")</f>
        <v/>
      </c>
      <c r="E114" s="3082">
        <v>2019</v>
      </c>
      <c r="F114"/>
      <c r="H114" s="191" t="str">
        <f>'Air &amp; Water Data'!$L$2</f>
        <v>San Luis</v>
      </c>
      <c r="I114" s="119"/>
      <c r="J114" s="346"/>
      <c r="L114" s="1817"/>
      <c r="M114" s="1817"/>
      <c r="N114" s="1817"/>
      <c r="O114" s="1817"/>
      <c r="P114" s="1817"/>
      <c r="Q114" s="1817"/>
      <c r="R114" s="1817"/>
      <c r="S114" s="1817"/>
      <c r="T114" s="1817"/>
      <c r="U114" s="1817"/>
      <c r="V114" s="1817"/>
      <c r="W114" s="1817"/>
      <c r="X114" s="1817"/>
      <c r="Y114" s="1817"/>
    </row>
    <row r="115" spans="2:68">
      <c r="B115" s="119" t="str">
        <f>IF(NOT(ISBLANK('Plant Type Assumptions'!$M$2)),'Plant Type Assumptions'!$M$2,"")</f>
        <v>Solar Parabolic Trough With Storage 250 MW</v>
      </c>
      <c r="C115" s="119"/>
      <c r="D115" s="149" t="str">
        <f>IF(NOT(ISBLANK('General Assumptions'!$M$2)),'General Assumptions'!$M$2,"")</f>
        <v/>
      </c>
      <c r="E115" s="3082">
        <v>2020</v>
      </c>
      <c r="F115"/>
      <c r="H115" s="191" t="str">
        <f>'Air &amp; Water Data'!$M$2</f>
        <v>Santa Barbara</v>
      </c>
      <c r="I115" s="119"/>
      <c r="J115" s="346"/>
      <c r="L115" s="1817"/>
      <c r="M115" s="1817"/>
      <c r="S115" s="1817"/>
      <c r="T115" s="1817"/>
      <c r="U115" s="1817"/>
      <c r="V115" s="1817"/>
      <c r="W115" s="1817"/>
      <c r="X115" s="1817"/>
      <c r="Y115" s="1817"/>
    </row>
    <row r="116" spans="2:68">
      <c r="B116" s="119" t="str">
        <f>IF(NOT(ISBLANK('Plant Type Assumptions'!$N$2)),'Plant Type Assumptions'!$N$2,"")</f>
        <v>Solar Power Tower W/O Storage 100 MW</v>
      </c>
      <c r="C116" s="119"/>
      <c r="D116" s="149" t="str">
        <f>IF(NOT(ISBLANK('General Assumptions'!$N$2)),'General Assumptions'!$N$2,"")</f>
        <v/>
      </c>
      <c r="E116" s="3082">
        <v>2021</v>
      </c>
      <c r="F116"/>
      <c r="H116" s="191" t="str">
        <f>'Air &amp; Water Data'!$N$2</f>
        <v>South Coast</v>
      </c>
      <c r="I116" s="119"/>
      <c r="J116" s="346"/>
      <c r="K116" s="346"/>
      <c r="L116" s="1903"/>
      <c r="M116" s="1817"/>
      <c r="S116" s="1817"/>
      <c r="T116" s="1817"/>
      <c r="U116" s="1817"/>
      <c r="V116" s="1817"/>
      <c r="W116" s="1817"/>
      <c r="X116" s="1817"/>
      <c r="Y116" s="1817"/>
    </row>
    <row r="117" spans="2:68">
      <c r="B117" s="119" t="str">
        <f>IF(NOT(ISBLANK('Plant Type Assumptions'!$O$2)),'Plant Type Assumptions'!$O$2,"")</f>
        <v>Solar Power Tower With Storage 100 MW 6 HRs</v>
      </c>
      <c r="C117" s="119"/>
      <c r="D117" s="119" t="str">
        <f>IF(NOT(ISBLANK('General Assumptions'!$O$2)),'General Assumptions'!$O$2,"")</f>
        <v/>
      </c>
      <c r="E117" s="3083">
        <v>2022</v>
      </c>
      <c r="F117"/>
      <c r="H117" s="220" t="str">
        <f>'Air &amp; Water Data'!$O$2</f>
        <v>Ventura</v>
      </c>
      <c r="I117" s="119"/>
      <c r="J117" s="346"/>
      <c r="K117" s="346"/>
      <c r="L117" s="1903"/>
      <c r="M117" s="1817"/>
      <c r="S117" s="1817"/>
      <c r="T117" s="1817"/>
      <c r="U117" s="1817"/>
      <c r="V117" s="1817"/>
    </row>
    <row r="118" spans="2:68">
      <c r="B118" s="119" t="str">
        <f>IF(NOT(ISBLANK('Plant Type Assumptions'!$P$2)),'Plant Type Assumptions'!$P$2,"")</f>
        <v>Solar Power Tower With Storage 100 MW 11 HRs</v>
      </c>
      <c r="C118" s="119"/>
      <c r="D118" s="119" t="str">
        <f>IF(NOT(ISBLANK('General Assumptions'!$P$2)),'General Assumptions'!$P$2,"")</f>
        <v/>
      </c>
      <c r="E118" s="3082">
        <v>2023</v>
      </c>
      <c r="F118"/>
      <c r="H118" s="221" t="str">
        <f>'Air &amp; Water Data'!$P$2</f>
        <v>CA - Avg.</v>
      </c>
      <c r="I118" s="119"/>
      <c r="J118" s="346"/>
      <c r="K118" s="346"/>
      <c r="L118" s="346"/>
      <c r="S118" s="1817"/>
      <c r="T118" s="1817"/>
      <c r="U118" s="1817"/>
      <c r="V118" s="1817"/>
    </row>
    <row r="119" spans="2:68">
      <c r="B119" s="119" t="str">
        <f>IF(NOT(ISBLANK('Plant Type Assumptions'!$Q$2)),'Plant Type Assumptions'!$Q$2,"")</f>
        <v>Solar Photovoltaic (Thin-Film) 100 MW</v>
      </c>
      <c r="C119" s="119"/>
      <c r="D119" s="119" t="str">
        <f>IF(NOT(ISBLANK('General Assumptions'!$Q$2)),'General Assumptions'!$Q$2,"")</f>
        <v/>
      </c>
      <c r="E119" s="3083">
        <v>2024</v>
      </c>
      <c r="F119"/>
      <c r="I119" s="119"/>
      <c r="J119" s="346"/>
      <c r="K119" s="346"/>
      <c r="L119" s="346"/>
      <c r="S119" s="1817"/>
      <c r="T119" s="1817"/>
      <c r="U119" s="1817"/>
      <c r="V119" s="1817"/>
    </row>
    <row r="120" spans="2:68">
      <c r="B120" s="119" t="str">
        <f>IF(NOT(ISBLANK('Plant Type Assumptions'!$R$2)),'Plant Type Assumptions'!$R$2,"")</f>
        <v>Solar Photovoltaic (Single Axis) 100 MW</v>
      </c>
      <c r="C120" s="119"/>
      <c r="D120" s="119" t="str">
        <f>IF(NOT(ISBLANK('General Assumptions'!$R$2)),'General Assumptions'!$R$2,"")</f>
        <v/>
      </c>
      <c r="E120"/>
      <c r="F120"/>
      <c r="I120" s="119"/>
      <c r="J120" s="346"/>
      <c r="K120" s="346"/>
      <c r="M120" s="2"/>
      <c r="AM120" s="1817"/>
      <c r="AN120" s="1817"/>
      <c r="AO120" s="1817"/>
      <c r="AP120" s="1817"/>
      <c r="AQ120" s="1817"/>
      <c r="AR120" s="1817"/>
      <c r="AS120" s="1817"/>
      <c r="AT120" s="1817"/>
      <c r="AU120" s="1817"/>
      <c r="AV120" s="1817"/>
      <c r="AW120" s="1817"/>
      <c r="AX120" s="1817"/>
      <c r="AY120" s="1817"/>
      <c r="AZ120" s="1817"/>
      <c r="BA120" s="1817"/>
      <c r="BB120" s="1817"/>
      <c r="BC120" s="1817"/>
      <c r="BD120" s="1817"/>
      <c r="BE120" s="1817"/>
      <c r="BF120" s="1817"/>
      <c r="BG120" s="1817"/>
      <c r="BH120" s="1817"/>
      <c r="BI120" s="1817"/>
      <c r="BJ120" s="1817"/>
      <c r="BK120" s="1817"/>
      <c r="BL120" s="1817"/>
      <c r="BM120" s="1817"/>
      <c r="BN120" s="1817"/>
      <c r="BO120" s="1817"/>
      <c r="BP120" s="1817"/>
    </row>
    <row r="121" spans="2:68">
      <c r="B121" s="119" t="str">
        <f>IF(NOT(ISBLANK('Plant Type Assumptions'!$S$2)),'Plant Type Assumptions'!$S$2,"")</f>
        <v>Solar Photovoltaic (Thin-Film) 20 MW</v>
      </c>
      <c r="C121" s="119"/>
      <c r="D121" s="119" t="str">
        <f>IF(NOT(ISBLANK('General Assumptions'!$S$2)),'General Assumptions'!$S$2,"")</f>
        <v/>
      </c>
      <c r="E121"/>
      <c r="F121"/>
      <c r="I121" s="119" t="str">
        <f>IF(NOT(ISBLANK('Fuel Price Forecasts'!AN$4)),'Fuel Price Forecasts'!AN$4,"")</f>
        <v>Carbon Price Low</v>
      </c>
      <c r="J121" s="346"/>
      <c r="K121" s="346"/>
      <c r="M121" s="2"/>
      <c r="AM121" s="1817"/>
      <c r="AN121" s="1817"/>
      <c r="AO121" s="1817"/>
      <c r="AP121" s="1817"/>
      <c r="AQ121" s="1817"/>
      <c r="AR121" s="1817"/>
      <c r="AS121" s="1817"/>
      <c r="AT121" s="1817"/>
      <c r="AU121" s="1817"/>
      <c r="AV121" s="1817"/>
      <c r="AW121" s="1817"/>
      <c r="AX121" s="1817"/>
      <c r="AY121" s="1817"/>
      <c r="AZ121" s="1817"/>
      <c r="BA121" s="1817"/>
      <c r="BB121" s="1817"/>
      <c r="BC121" s="1817"/>
      <c r="BD121" s="1817"/>
      <c r="BE121" s="1817"/>
      <c r="BF121" s="1817"/>
      <c r="BG121" s="1817"/>
      <c r="BH121" s="1817"/>
      <c r="BI121" s="1817"/>
      <c r="BJ121" s="1817"/>
      <c r="BK121" s="1817"/>
      <c r="BL121" s="1817"/>
      <c r="BM121" s="1817"/>
      <c r="BN121" s="1817"/>
      <c r="BO121" s="1817"/>
      <c r="BP121" s="1817"/>
    </row>
    <row r="122" spans="2:68">
      <c r="B122" s="119" t="str">
        <f>IF(NOT(ISBLANK('Plant Type Assumptions'!$T$2)),'Plant Type Assumptions'!$T$2,"")</f>
        <v>Solar Photovoltaic (Single Axis) 20 MW</v>
      </c>
      <c r="C122" s="119"/>
      <c r="D122" s="119" t="str">
        <f>IF(NOT(ISBLANK('General Assumptions'!$T$2)),'General Assumptions'!$T$2,"")</f>
        <v/>
      </c>
      <c r="E122"/>
      <c r="F122"/>
      <c r="I122" s="119" t="str">
        <f>IF(NOT(ISBLANK('Fuel Price Forecasts'!AP$4)),'Fuel Price Forecasts'!AP$4,"")</f>
        <v/>
      </c>
      <c r="J122" s="346"/>
      <c r="M122" s="2"/>
      <c r="AM122" s="1817"/>
      <c r="AN122" s="1817"/>
      <c r="AO122" s="1817"/>
      <c r="AP122" s="1817"/>
      <c r="AQ122" s="1817"/>
      <c r="AR122" s="1817"/>
      <c r="AS122" s="1817"/>
      <c r="AT122" s="1817"/>
      <c r="AU122" s="1817"/>
      <c r="AV122" s="1817"/>
      <c r="AW122" s="1817"/>
      <c r="AX122" s="1817"/>
      <c r="AY122" s="1817"/>
      <c r="AZ122" s="1817"/>
      <c r="BA122" s="1817"/>
      <c r="BB122" s="1817"/>
      <c r="BC122" s="1817"/>
      <c r="BD122" s="1817"/>
      <c r="BE122" s="1817"/>
      <c r="BF122" s="1817"/>
      <c r="BG122" s="1817"/>
      <c r="BH122" s="1817"/>
      <c r="BI122" s="1817"/>
      <c r="BJ122" s="1817"/>
      <c r="BK122" s="1817"/>
      <c r="BL122" s="1817"/>
      <c r="BM122" s="1817"/>
      <c r="BN122" s="1817"/>
      <c r="BO122" s="1817"/>
      <c r="BP122" s="1817"/>
    </row>
    <row r="123" spans="2:68">
      <c r="B123" s="119" t="str">
        <f>IF(NOT(ISBLANK('Plant Type Assumptions'!$U$2)),'Plant Type Assumptions'!$U$2,"")</f>
        <v>Wind - Class 3 100 MW</v>
      </c>
      <c r="C123" s="2783"/>
      <c r="D123" s="119" t="str">
        <f>IF(NOT(ISBLANK('General Assumptions'!$U$2)),'General Assumptions'!$U$2,"")</f>
        <v/>
      </c>
      <c r="E123"/>
      <c r="F123"/>
      <c r="I123" s="120" t="str">
        <f>IF(NOT(ISBLANK('Fuel Price Forecasts'!AQ$4)),'Fuel Price Forecasts'!AQ$4,"")</f>
        <v/>
      </c>
      <c r="J123" s="346"/>
      <c r="M123" s="2"/>
      <c r="AM123" s="1817"/>
      <c r="AN123" s="1817"/>
      <c r="AO123" s="1817"/>
      <c r="AP123" s="1817"/>
      <c r="AQ123" s="1817"/>
      <c r="AR123" s="1817"/>
      <c r="AS123" s="1817"/>
      <c r="AT123" s="1817"/>
      <c r="AU123" s="1817"/>
      <c r="AV123" s="1817"/>
      <c r="AW123" s="1817"/>
      <c r="AX123" s="1817"/>
      <c r="AY123" s="1817"/>
      <c r="AZ123" s="1817"/>
      <c r="BA123" s="1817"/>
      <c r="BB123" s="1817"/>
      <c r="BC123" s="1817"/>
      <c r="BD123" s="1817"/>
      <c r="BE123" s="1817"/>
      <c r="BF123" s="1817"/>
      <c r="BG123" s="1817"/>
      <c r="BH123" s="1817"/>
      <c r="BI123" s="1817"/>
      <c r="BJ123" s="1817"/>
      <c r="BK123" s="1817"/>
      <c r="BL123" s="1817"/>
      <c r="BM123" s="1817"/>
      <c r="BN123" s="1817"/>
      <c r="BO123" s="1817"/>
      <c r="BP123" s="1817"/>
    </row>
    <row r="124" spans="2:68">
      <c r="B124" s="119" t="str">
        <f>IF(NOT(ISBLANK('Plant Type Assumptions'!$V$2)),'Plant Type Assumptions'!$V$2,"")</f>
        <v>Wind - Class 4 100 MW</v>
      </c>
      <c r="C124" s="119"/>
      <c r="D124" s="119" t="str">
        <f>IF(NOT(ISBLANK('General Assumptions'!$V$2)),'General Assumptions'!$V$2,"")</f>
        <v/>
      </c>
      <c r="E124"/>
      <c r="F124"/>
      <c r="J124" s="346"/>
      <c r="AM124" s="1817"/>
      <c r="AN124" s="1817"/>
      <c r="AO124" s="1817"/>
      <c r="AP124" s="1817"/>
      <c r="AQ124" s="1817"/>
      <c r="AR124" s="1817"/>
      <c r="AS124" s="1817"/>
      <c r="AT124" s="1817"/>
      <c r="AU124" s="1817"/>
      <c r="AV124" s="1817"/>
      <c r="AW124" s="1817"/>
      <c r="AX124" s="1817"/>
      <c r="AY124" s="1817"/>
      <c r="AZ124" s="1817"/>
      <c r="BA124" s="1817"/>
      <c r="BB124" s="1817"/>
      <c r="BC124" s="1817"/>
      <c r="BD124" s="1817"/>
      <c r="BE124" s="1817"/>
      <c r="BF124" s="1817"/>
      <c r="BG124" s="1817"/>
      <c r="BH124" s="1817"/>
      <c r="BI124" s="1817"/>
      <c r="BJ124" s="1817"/>
      <c r="BK124" s="1817"/>
      <c r="BL124" s="1817"/>
      <c r="BM124" s="1817"/>
      <c r="BN124" s="1817"/>
      <c r="BO124" s="1817"/>
      <c r="BP124" s="1817"/>
    </row>
    <row r="125" spans="2:68">
      <c r="B125" s="119"/>
      <c r="C125" s="119"/>
      <c r="D125" s="119" t="str">
        <f>IF(NOT(ISBLANK('General Assumptions'!$W$2)),'General Assumptions'!$W$2,"")</f>
        <v/>
      </c>
      <c r="E125"/>
      <c r="F125"/>
      <c r="AM125" s="1817"/>
      <c r="AN125" s="1817"/>
      <c r="AO125" s="1817"/>
      <c r="AP125" s="1817"/>
      <c r="AQ125" s="1817"/>
      <c r="AR125" s="1817"/>
      <c r="AS125" s="1817"/>
      <c r="AT125" s="1817"/>
      <c r="AU125" s="1817"/>
      <c r="AV125" s="1817"/>
      <c r="AW125" s="1817"/>
      <c r="AX125" s="1817"/>
      <c r="AY125" s="1817"/>
      <c r="AZ125" s="1817"/>
      <c r="BA125" s="1817"/>
      <c r="BB125" s="1817"/>
      <c r="BC125" s="1817"/>
      <c r="BD125" s="1817"/>
      <c r="BE125" s="1817"/>
      <c r="BF125" s="1817"/>
      <c r="BG125" s="1817"/>
      <c r="BH125" s="1817"/>
      <c r="BI125" s="1817"/>
      <c r="BJ125" s="1817"/>
      <c r="BK125" s="1817"/>
      <c r="BL125" s="1817"/>
      <c r="BM125" s="1817"/>
      <c r="BN125" s="1817"/>
      <c r="BO125" s="1817"/>
      <c r="BP125" s="1817"/>
    </row>
    <row r="126" spans="2:68">
      <c r="B126" s="119" t="str">
        <f>IF(NOT(ISBLANK('Plant Type Assumptions'!$X$2)),'Plant Type Assumptions'!$X$2,"")</f>
        <v/>
      </c>
      <c r="C126" s="119"/>
      <c r="D126" s="119" t="str">
        <f>IF(NOT(ISBLANK('General Assumptions'!$X$2)),'General Assumptions'!$X$2,"")</f>
        <v/>
      </c>
      <c r="E126"/>
      <c r="F126"/>
      <c r="AM126" s="1817"/>
      <c r="AN126" s="1817"/>
      <c r="AO126" s="1817"/>
      <c r="AP126" s="1817"/>
      <c r="AQ126" s="1817"/>
      <c r="AR126" s="1817"/>
      <c r="AS126" s="1817"/>
      <c r="AT126" s="1817"/>
      <c r="AU126" s="1817"/>
      <c r="AV126" s="1817"/>
      <c r="AW126" s="1817"/>
      <c r="AX126" s="1817"/>
      <c r="AY126" s="1817"/>
      <c r="AZ126" s="1817"/>
      <c r="BA126" s="1817"/>
      <c r="BB126" s="1817"/>
      <c r="BC126" s="1817"/>
      <c r="BD126" s="1817"/>
      <c r="BE126" s="1817"/>
      <c r="BF126" s="1817"/>
      <c r="BG126" s="1817"/>
      <c r="BH126" s="1817"/>
      <c r="BI126" s="1817"/>
      <c r="BJ126" s="1817"/>
      <c r="BK126" s="1817"/>
      <c r="BL126" s="1817"/>
      <c r="BM126" s="1817"/>
      <c r="BN126" s="1817"/>
      <c r="BO126" s="1817"/>
      <c r="BP126" s="1817"/>
    </row>
    <row r="127" spans="2:68">
      <c r="B127" s="120" t="str">
        <f>IF(NOT(ISBLANK('Plant Type Assumptions'!$X$2)),'Plant Type Assumptions'!$X$2,"")</f>
        <v/>
      </c>
      <c r="C127" s="119"/>
      <c r="D127" s="147" t="str">
        <f>IF(NOT(ISBLANK('General Assumptions'!$Y$2)),'General Assumptions'!$Y$2,"")</f>
        <v/>
      </c>
      <c r="E127"/>
      <c r="F127"/>
      <c r="G127" s="193" t="s">
        <v>1197</v>
      </c>
      <c r="H127" s="859" t="s">
        <v>1201</v>
      </c>
      <c r="I127" s="3087" t="s">
        <v>12</v>
      </c>
      <c r="AM127" s="1817"/>
      <c r="AN127" s="1817"/>
      <c r="AO127" s="1817"/>
      <c r="AP127" s="1817"/>
      <c r="AQ127" s="1817"/>
      <c r="AR127" s="1817"/>
      <c r="AS127" s="1817"/>
      <c r="AT127" s="1817"/>
      <c r="AU127" s="1817"/>
      <c r="AV127" s="1817"/>
      <c r="AW127" s="1817"/>
      <c r="AX127" s="1817"/>
      <c r="AY127" s="1817"/>
      <c r="AZ127" s="1817"/>
      <c r="BA127" s="1817"/>
      <c r="BB127" s="1817"/>
      <c r="BC127" s="1817"/>
      <c r="BD127" s="1817"/>
      <c r="BE127" s="1817"/>
      <c r="BF127" s="1817"/>
      <c r="BG127" s="1817"/>
      <c r="BH127" s="1817"/>
      <c r="BI127" s="1817"/>
      <c r="BJ127" s="1817"/>
      <c r="BK127" s="1817"/>
      <c r="BL127" s="1817"/>
      <c r="BM127" s="1817"/>
      <c r="BN127" s="1817"/>
      <c r="BO127" s="1817"/>
      <c r="BP127" s="1817"/>
    </row>
    <row r="128" spans="2:68" ht="25.5">
      <c r="C128" s="119"/>
      <c r="D128" s="147" t="str">
        <f>IF(NOT(ISBLANK('General Assumptions'!$Z$2)),'General Assumptions'!$Z$2,"")</f>
        <v/>
      </c>
      <c r="E128"/>
      <c r="F128"/>
      <c r="G128" s="119" t="s">
        <v>639</v>
      </c>
      <c r="H128" s="3086">
        <v>2</v>
      </c>
      <c r="I128" s="2761" t="s">
        <v>1706</v>
      </c>
      <c r="J128" s="3084"/>
      <c r="AM128" s="1817"/>
      <c r="AN128" s="1817"/>
      <c r="AO128" s="1817"/>
      <c r="AP128" s="1817"/>
      <c r="AQ128" s="1817"/>
      <c r="AR128" s="1817"/>
      <c r="AS128" s="1817"/>
      <c r="AT128" s="1817"/>
      <c r="AU128" s="1817"/>
      <c r="AV128" s="1817"/>
      <c r="AW128" s="1817"/>
      <c r="AX128" s="1817"/>
      <c r="AY128" s="1817"/>
      <c r="AZ128" s="1817"/>
      <c r="BA128" s="1817"/>
      <c r="BB128" s="1817"/>
      <c r="BC128" s="1817"/>
      <c r="BD128" s="1817"/>
      <c r="BE128" s="1817"/>
      <c r="BF128" s="1817"/>
      <c r="BG128" s="1817"/>
      <c r="BH128" s="1817"/>
      <c r="BI128" s="1817"/>
      <c r="BJ128" s="1817"/>
      <c r="BK128" s="1817"/>
      <c r="BL128" s="1817"/>
      <c r="BM128" s="1817"/>
      <c r="BN128" s="1817"/>
      <c r="BO128" s="1817"/>
      <c r="BP128" s="1817"/>
    </row>
    <row r="129" spans="2:68" ht="25.5">
      <c r="C129" s="119"/>
      <c r="D129" s="147" t="str">
        <f>IF(NOT(ISBLANK('General Assumptions'!$IU$2)),'General Assumptions'!$IU$2,"")</f>
        <v/>
      </c>
      <c r="E129"/>
      <c r="F129"/>
      <c r="G129" s="120" t="s">
        <v>640</v>
      </c>
      <c r="H129" s="3086">
        <v>1</v>
      </c>
      <c r="I129" s="3088" t="s">
        <v>13</v>
      </c>
      <c r="J129" s="3085"/>
      <c r="AM129" s="1817"/>
      <c r="AN129" s="1817"/>
      <c r="AO129" s="1817"/>
      <c r="AP129" s="1817"/>
      <c r="AQ129" s="1817"/>
      <c r="AR129" s="1817"/>
      <c r="AS129" s="1817"/>
      <c r="AT129" s="1817"/>
      <c r="AU129" s="1817"/>
      <c r="AV129" s="1817"/>
      <c r="AW129" s="1817"/>
      <c r="AX129" s="1817"/>
      <c r="AY129" s="1817"/>
      <c r="AZ129" s="1817"/>
      <c r="BA129" s="1817"/>
      <c r="BB129" s="1817"/>
      <c r="BC129" s="1817"/>
      <c r="BD129" s="1817"/>
      <c r="BE129" s="1817"/>
      <c r="BF129" s="1817"/>
      <c r="BG129" s="1817"/>
      <c r="BH129" s="1817"/>
      <c r="BI129" s="1817"/>
      <c r="BJ129" s="1817"/>
      <c r="BK129" s="1817"/>
      <c r="BL129" s="1817"/>
      <c r="BM129" s="1817"/>
      <c r="BN129" s="1817"/>
      <c r="BO129" s="1817"/>
      <c r="BP129" s="1817"/>
    </row>
    <row r="130" spans="2:68" ht="38.25">
      <c r="C130" s="119" t="str">
        <f>IF(NOT(ISBLANK('Financial Assumptions'!$IV$2)),'Financial Assumptions'!$IV$2,"")</f>
        <v/>
      </c>
      <c r="D130" s="147" t="str">
        <f>IF(NOT(ISBLANK('General Assumptions'!$IV$2)),'General Assumptions'!$IV$2,"")</f>
        <v/>
      </c>
      <c r="E130"/>
      <c r="F130"/>
      <c r="G130" s="346"/>
      <c r="H130" s="3086">
        <v>3</v>
      </c>
      <c r="I130" s="2757" t="s">
        <v>1705</v>
      </c>
      <c r="J130" s="3084"/>
      <c r="Z130" s="1031"/>
      <c r="AA130" s="1031"/>
      <c r="AB130" s="1031"/>
      <c r="AC130" s="1031"/>
      <c r="AD130" s="1031"/>
      <c r="AE130" s="1031"/>
      <c r="AF130" s="1031"/>
      <c r="AG130" s="1031"/>
      <c r="AM130" s="1817"/>
      <c r="AN130" s="1817"/>
      <c r="AO130" s="1817"/>
      <c r="AP130" s="1817"/>
      <c r="AQ130" s="1817"/>
      <c r="AR130" s="1817"/>
      <c r="AS130" s="1817"/>
      <c r="AT130" s="1817"/>
      <c r="AU130" s="1817"/>
      <c r="AV130" s="1817"/>
      <c r="AW130" s="1817"/>
      <c r="AX130" s="1817"/>
      <c r="AY130" s="1817"/>
      <c r="AZ130" s="1817"/>
      <c r="BA130" s="1817"/>
      <c r="BB130" s="1817"/>
      <c r="BC130" s="1817"/>
      <c r="BD130" s="1817"/>
      <c r="BE130" s="1817"/>
      <c r="BF130" s="1817"/>
      <c r="BG130" s="1817"/>
      <c r="BH130" s="1817"/>
      <c r="BI130" s="1817"/>
      <c r="BJ130" s="1817"/>
      <c r="BK130" s="1817"/>
      <c r="BL130" s="1817"/>
      <c r="BM130" s="1817"/>
      <c r="BN130" s="1817"/>
      <c r="BO130" s="1817"/>
      <c r="BP130" s="1817"/>
    </row>
    <row r="131" spans="2:68">
      <c r="C131" s="119"/>
      <c r="D131" s="147"/>
      <c r="E131"/>
      <c r="F131"/>
      <c r="G131" s="346"/>
      <c r="H131" s="860">
        <v>4</v>
      </c>
      <c r="Z131" s="1032"/>
      <c r="AA131" s="1032"/>
      <c r="AB131" s="1032"/>
      <c r="AC131" s="1032"/>
      <c r="AD131" s="1032"/>
      <c r="AE131" s="1032"/>
      <c r="AF131" s="1032"/>
      <c r="AG131" s="1032"/>
      <c r="AM131" s="1817"/>
      <c r="AN131" s="1817"/>
      <c r="AO131" s="1817"/>
      <c r="AP131" s="1817"/>
      <c r="AQ131" s="1817"/>
      <c r="AR131" s="1817"/>
      <c r="AS131" s="1817"/>
      <c r="AT131" s="1817"/>
      <c r="AU131" s="1817"/>
      <c r="AV131" s="1817"/>
      <c r="AW131" s="1817"/>
      <c r="AX131" s="1817"/>
      <c r="AY131" s="1817"/>
      <c r="AZ131" s="1817"/>
      <c r="BA131" s="1817"/>
      <c r="BB131" s="1817"/>
      <c r="BC131" s="1817"/>
      <c r="BD131" s="1817"/>
      <c r="BE131" s="1817"/>
      <c r="BF131" s="1817"/>
      <c r="BG131" s="1817"/>
      <c r="BH131" s="1817"/>
      <c r="BI131" s="1817"/>
      <c r="BJ131" s="1817"/>
      <c r="BK131" s="1817"/>
      <c r="BL131" s="1817"/>
      <c r="BM131" s="1817"/>
      <c r="BN131" s="1817"/>
      <c r="BO131" s="1817"/>
      <c r="BP131" s="1817"/>
    </row>
    <row r="132" spans="2:68">
      <c r="B132" s="1732">
        <f>COUNTA(B106:B124)</f>
        <v>19</v>
      </c>
      <c r="C132" s="119"/>
      <c r="D132" s="148"/>
      <c r="E132"/>
      <c r="F132"/>
      <c r="O132" s="1031"/>
      <c r="P132" s="1031"/>
      <c r="Q132" s="1031"/>
      <c r="R132" s="1031"/>
      <c r="Z132" s="1032"/>
      <c r="AA132" s="1032"/>
      <c r="AB132" s="1032"/>
      <c r="AC132" s="1032"/>
      <c r="AD132" s="1032"/>
      <c r="AE132" s="1032"/>
      <c r="AF132" s="1032"/>
      <c r="AG132" s="1032"/>
      <c r="AM132" s="1817"/>
      <c r="AN132" s="1817"/>
      <c r="AO132" s="1817"/>
      <c r="AP132" s="1817"/>
      <c r="AQ132" s="1817"/>
      <c r="AR132" s="1817"/>
      <c r="AS132" s="1817"/>
      <c r="AT132" s="1817"/>
      <c r="AU132" s="1817"/>
      <c r="AV132" s="1817"/>
      <c r="AW132" s="1817"/>
      <c r="AX132" s="1817"/>
      <c r="AY132" s="1817"/>
      <c r="AZ132" s="1817"/>
      <c r="BA132" s="1817"/>
      <c r="BB132" s="1817"/>
      <c r="BC132" s="1817"/>
      <c r="BD132" s="1817"/>
      <c r="BE132" s="1817"/>
      <c r="BF132" s="1817"/>
      <c r="BG132" s="1817"/>
      <c r="BH132" s="1817"/>
      <c r="BI132" s="1817"/>
      <c r="BJ132" s="1817"/>
      <c r="BK132" s="1817"/>
      <c r="BL132" s="1817"/>
      <c r="BM132" s="1817"/>
      <c r="BN132" s="1817"/>
      <c r="BO132" s="1817"/>
      <c r="BP132" s="1817"/>
    </row>
    <row r="133" spans="2:68">
      <c r="C133" s="120"/>
      <c r="E133"/>
      <c r="F133"/>
      <c r="O133" s="1032"/>
      <c r="P133" s="1032"/>
      <c r="Q133" s="1032"/>
      <c r="R133" s="1032"/>
      <c r="Z133" s="1032"/>
      <c r="AA133" s="1032"/>
      <c r="AB133" s="1032"/>
      <c r="AC133" s="1032"/>
      <c r="AD133" s="1032"/>
      <c r="AE133" s="1032"/>
      <c r="AF133" s="1032"/>
      <c r="AG133" s="1032"/>
      <c r="AM133" s="1817"/>
      <c r="AN133" s="1817"/>
      <c r="AO133" s="1817"/>
      <c r="AP133" s="1817"/>
      <c r="AQ133" s="1817"/>
      <c r="AR133" s="1817"/>
      <c r="AS133" s="1817"/>
      <c r="AT133" s="1817"/>
      <c r="AU133" s="1817"/>
      <c r="AV133" s="1817"/>
      <c r="AW133" s="1817"/>
      <c r="AX133" s="1817"/>
      <c r="AY133" s="1817"/>
      <c r="AZ133" s="1817"/>
      <c r="BA133" s="1817"/>
      <c r="BB133" s="1817"/>
      <c r="BC133" s="1817"/>
      <c r="BD133" s="1817"/>
      <c r="BE133" s="1817"/>
      <c r="BF133" s="1817"/>
      <c r="BG133" s="1817"/>
      <c r="BH133" s="1817"/>
      <c r="BI133" s="1817"/>
      <c r="BJ133" s="1817"/>
      <c r="BK133" s="1817"/>
      <c r="BL133" s="1817"/>
      <c r="BM133" s="1817"/>
      <c r="BN133" s="1817"/>
      <c r="BO133" s="1817"/>
      <c r="BP133" s="1817"/>
    </row>
    <row r="134" spans="2:68">
      <c r="C134" s="118"/>
      <c r="E134"/>
      <c r="F134"/>
      <c r="O134" s="1032"/>
      <c r="P134" s="1032"/>
      <c r="Q134" s="1032"/>
      <c r="R134" s="1032"/>
      <c r="W134" s="1031"/>
      <c r="X134" s="1031"/>
      <c r="Y134" s="1031"/>
      <c r="Z134" s="1032"/>
      <c r="AA134" s="1032"/>
      <c r="AB134" s="1032"/>
      <c r="AC134" s="1032"/>
      <c r="AD134" s="1032"/>
      <c r="AE134" s="1032"/>
      <c r="AF134" s="1032"/>
      <c r="AG134" s="1032"/>
      <c r="AM134" s="1817"/>
      <c r="AN134" s="1817"/>
      <c r="AO134" s="1817"/>
      <c r="AP134" s="1817"/>
      <c r="AQ134" s="1817"/>
      <c r="AR134" s="1817"/>
      <c r="AS134" s="1817"/>
      <c r="AT134" s="1817"/>
      <c r="AU134" s="1817"/>
      <c r="AV134" s="1817"/>
      <c r="AW134" s="1817"/>
      <c r="AX134" s="1817"/>
      <c r="AY134" s="1817"/>
      <c r="AZ134" s="1817"/>
      <c r="BA134" s="1817"/>
      <c r="BB134" s="1817"/>
      <c r="BC134" s="1817"/>
      <c r="BD134" s="1817"/>
      <c r="BE134" s="1817"/>
      <c r="BF134" s="1817"/>
      <c r="BG134" s="1817"/>
      <c r="BH134" s="1817"/>
      <c r="BI134" s="1817"/>
      <c r="BJ134" s="1817"/>
      <c r="BK134" s="1817"/>
      <c r="BL134" s="1817"/>
      <c r="BM134" s="1817"/>
      <c r="BN134" s="1817"/>
      <c r="BO134" s="1817"/>
      <c r="BP134" s="1817"/>
    </row>
    <row r="135" spans="2:68">
      <c r="C135" s="118"/>
      <c r="O135" s="1032"/>
      <c r="P135" s="1032"/>
      <c r="Q135" s="1032"/>
      <c r="R135" s="1032"/>
      <c r="W135" s="1032"/>
      <c r="X135" s="1032"/>
      <c r="Y135" s="1032"/>
      <c r="AM135" s="1817"/>
      <c r="AN135" s="1817"/>
      <c r="AO135" s="1817"/>
      <c r="AP135" s="1817"/>
      <c r="AQ135" s="1817"/>
      <c r="AR135" s="1817"/>
      <c r="AS135" s="1817"/>
      <c r="AT135" s="1817"/>
      <c r="AU135" s="1817"/>
      <c r="AV135" s="1817"/>
      <c r="AW135" s="1817"/>
      <c r="AX135" s="1817"/>
      <c r="AY135" s="1817"/>
      <c r="AZ135" s="1817"/>
      <c r="BA135" s="1817"/>
      <c r="BB135" s="1817"/>
      <c r="BC135" s="1817"/>
      <c r="BD135" s="1817"/>
      <c r="BE135" s="1817"/>
      <c r="BF135" s="1817"/>
      <c r="BG135" s="1817"/>
      <c r="BH135" s="1817"/>
      <c r="BI135" s="1817"/>
      <c r="BJ135" s="1817"/>
      <c r="BK135" s="1817"/>
      <c r="BL135" s="1817"/>
      <c r="BM135" s="1817"/>
      <c r="BN135" s="1817"/>
      <c r="BO135" s="1817"/>
      <c r="BP135" s="1817"/>
    </row>
    <row r="136" spans="2:68">
      <c r="C136" s="118"/>
      <c r="O136" s="1032"/>
      <c r="P136" s="1032"/>
      <c r="Q136" s="1032"/>
      <c r="R136" s="1032"/>
      <c r="W136" s="1032"/>
      <c r="X136" s="1032"/>
      <c r="Y136" s="1032"/>
      <c r="AM136" s="1817"/>
      <c r="AN136" s="1817"/>
      <c r="AO136" s="1817"/>
      <c r="AP136" s="1817"/>
      <c r="AQ136" s="1817"/>
      <c r="AR136" s="1817"/>
      <c r="AS136" s="1817"/>
      <c r="AT136" s="1817"/>
      <c r="AU136" s="1817"/>
      <c r="AV136" s="1817"/>
      <c r="AW136" s="1817"/>
      <c r="AX136" s="1817"/>
      <c r="AY136" s="1817"/>
      <c r="AZ136" s="1817"/>
      <c r="BA136" s="1817"/>
      <c r="BB136" s="1817"/>
      <c r="BC136" s="1817"/>
      <c r="BD136" s="1817"/>
      <c r="BE136" s="1817"/>
      <c r="BF136" s="1817"/>
      <c r="BG136" s="1817"/>
      <c r="BH136" s="1817"/>
      <c r="BI136" s="1817"/>
      <c r="BJ136" s="1817"/>
      <c r="BK136" s="1817"/>
      <c r="BL136" s="1817"/>
      <c r="BM136" s="1817"/>
      <c r="BN136" s="1817"/>
      <c r="BO136" s="1817"/>
      <c r="BP136" s="1817"/>
    </row>
    <row r="137" spans="2:68">
      <c r="C137" s="118"/>
      <c r="S137" s="1031"/>
      <c r="T137" s="1031"/>
      <c r="U137" s="1031"/>
      <c r="V137" s="1031"/>
      <c r="W137" s="1032"/>
      <c r="X137" s="1032"/>
      <c r="Y137" s="1032"/>
      <c r="AM137" s="1817"/>
      <c r="AN137" s="1817"/>
      <c r="AO137" s="1817"/>
      <c r="AP137" s="1817"/>
      <c r="AQ137" s="1817"/>
      <c r="AR137" s="1817"/>
      <c r="AS137" s="1817"/>
      <c r="AT137" s="1817"/>
      <c r="AU137" s="1817"/>
      <c r="AV137" s="1817"/>
      <c r="AW137" s="1817"/>
      <c r="AX137" s="1817"/>
      <c r="AY137" s="1817"/>
      <c r="AZ137" s="1817"/>
      <c r="BA137" s="1817"/>
      <c r="BB137" s="1817"/>
      <c r="BC137" s="1817"/>
      <c r="BD137" s="1817"/>
      <c r="BE137" s="1817"/>
      <c r="BF137" s="1817"/>
      <c r="BG137" s="1817"/>
      <c r="BH137" s="1817"/>
      <c r="BI137" s="1817"/>
      <c r="BJ137" s="1817"/>
      <c r="BK137" s="1817"/>
      <c r="BL137" s="1817"/>
      <c r="BM137" s="1817"/>
      <c r="BN137" s="1817"/>
      <c r="BO137" s="1817"/>
      <c r="BP137" s="1817"/>
    </row>
    <row r="138" spans="2:68">
      <c r="C138" s="118"/>
      <c r="S138" s="1032"/>
      <c r="T138" s="1032"/>
      <c r="U138" s="1032"/>
      <c r="V138" s="1032"/>
      <c r="W138" s="1032"/>
      <c r="X138" s="1032"/>
      <c r="Y138" s="1032"/>
      <c r="AM138" s="1817"/>
      <c r="AN138" s="1817"/>
      <c r="AO138" s="1817"/>
      <c r="AP138" s="1817"/>
      <c r="AQ138" s="1817"/>
      <c r="AR138" s="1817"/>
      <c r="AS138" s="1817"/>
      <c r="AT138" s="1817"/>
      <c r="AU138" s="1817"/>
      <c r="AV138" s="1817"/>
      <c r="AW138" s="1817"/>
      <c r="AX138" s="1817"/>
      <c r="AY138" s="1817"/>
      <c r="AZ138" s="1817"/>
      <c r="BA138" s="1817"/>
      <c r="BB138" s="1817"/>
      <c r="BC138" s="1817"/>
      <c r="BD138" s="1817"/>
      <c r="BE138" s="1817"/>
      <c r="BF138" s="1817"/>
      <c r="BG138" s="1817"/>
      <c r="BH138" s="1817"/>
      <c r="BI138" s="1817"/>
      <c r="BJ138" s="1817"/>
      <c r="BK138" s="1817"/>
      <c r="BL138" s="1817"/>
      <c r="BM138" s="1817"/>
      <c r="BN138" s="1817"/>
      <c r="BO138" s="1817"/>
      <c r="BP138" s="1817"/>
    </row>
    <row r="139" spans="2:68">
      <c r="C139" s="118"/>
      <c r="S139" s="1032"/>
      <c r="T139" s="1032"/>
      <c r="U139" s="1032"/>
      <c r="V139" s="1032"/>
      <c r="AM139" s="1817"/>
      <c r="AN139" s="1817"/>
      <c r="AO139" s="1817"/>
      <c r="AP139" s="1817"/>
      <c r="AQ139" s="1817"/>
      <c r="AR139" s="1817"/>
      <c r="AS139" s="1817"/>
      <c r="AT139" s="1817"/>
      <c r="AU139" s="1817"/>
      <c r="AV139" s="1817"/>
      <c r="AW139" s="1817"/>
      <c r="AX139" s="1817"/>
      <c r="AY139" s="1817"/>
      <c r="AZ139" s="1817"/>
      <c r="BA139" s="1817"/>
      <c r="BB139" s="1817"/>
      <c r="BC139" s="1817"/>
      <c r="BD139" s="1817"/>
      <c r="BE139" s="1817"/>
      <c r="BF139" s="1817"/>
      <c r="BG139" s="1817"/>
      <c r="BH139" s="1817"/>
      <c r="BI139" s="1817"/>
      <c r="BJ139" s="1817"/>
      <c r="BK139" s="1817"/>
      <c r="BL139" s="1817"/>
      <c r="BM139" s="1817"/>
      <c r="BN139" s="1817"/>
      <c r="BO139" s="1817"/>
      <c r="BP139" s="1817"/>
    </row>
    <row r="140" spans="2:68">
      <c r="C140" s="118"/>
      <c r="S140" s="1032"/>
      <c r="T140" s="1032"/>
      <c r="U140" s="1032"/>
      <c r="V140" s="1032"/>
      <c r="AM140" s="1817"/>
      <c r="AN140" s="1817"/>
      <c r="AO140" s="1817"/>
      <c r="AP140" s="1817"/>
      <c r="AQ140" s="1817"/>
      <c r="AR140" s="1817"/>
      <c r="AS140" s="1817"/>
      <c r="AT140" s="1817"/>
      <c r="AU140" s="1817"/>
      <c r="AV140" s="1817"/>
      <c r="AW140" s="1817"/>
      <c r="AX140" s="1817"/>
      <c r="AY140" s="1817"/>
      <c r="AZ140" s="1817"/>
      <c r="BA140" s="1817"/>
      <c r="BB140" s="1817"/>
      <c r="BC140" s="1817"/>
      <c r="BD140" s="1817"/>
      <c r="BE140" s="1817"/>
      <c r="BF140" s="1817"/>
      <c r="BG140" s="1817"/>
      <c r="BH140" s="1817"/>
      <c r="BI140" s="1817"/>
      <c r="BJ140" s="1817"/>
      <c r="BK140" s="1817"/>
      <c r="BL140" s="1817"/>
      <c r="BM140" s="1817"/>
      <c r="BN140" s="1817"/>
      <c r="BO140" s="1817"/>
      <c r="BP140" s="1817"/>
    </row>
    <row r="141" spans="2:68">
      <c r="C141" s="118"/>
      <c r="S141" s="1032"/>
      <c r="T141" s="1032"/>
      <c r="U141" s="1032"/>
      <c r="V141" s="1032"/>
      <c r="AM141" s="1817"/>
      <c r="AN141" s="1817"/>
      <c r="AO141" s="1817"/>
      <c r="AP141" s="1817"/>
      <c r="AQ141" s="1817"/>
      <c r="AR141" s="1817"/>
      <c r="AS141" s="1817"/>
      <c r="AT141" s="1817"/>
      <c r="AU141" s="1817"/>
      <c r="AV141" s="1817"/>
      <c r="AW141" s="1817"/>
      <c r="AX141" s="1817"/>
      <c r="AY141" s="1817"/>
      <c r="AZ141" s="1817"/>
      <c r="BA141" s="1817"/>
      <c r="BB141" s="1817"/>
      <c r="BC141" s="1817"/>
      <c r="BD141" s="1817"/>
      <c r="BE141" s="1817"/>
      <c r="BF141" s="1817"/>
      <c r="BG141" s="1817"/>
      <c r="BH141" s="1817"/>
      <c r="BI141" s="1817"/>
      <c r="BJ141" s="1817"/>
      <c r="BK141" s="1817"/>
      <c r="BL141" s="1817"/>
      <c r="BM141" s="1817"/>
      <c r="BN141" s="1817"/>
      <c r="BO141" s="1817"/>
      <c r="BP141" s="1817"/>
    </row>
    <row r="142" spans="2:68">
      <c r="C142" s="118"/>
      <c r="AM142" s="1817"/>
      <c r="AN142" s="1817"/>
      <c r="AO142" s="1817"/>
      <c r="AP142" s="1817"/>
      <c r="AQ142" s="1817"/>
      <c r="AR142" s="1817"/>
      <c r="AS142" s="1817"/>
      <c r="AT142" s="1817"/>
      <c r="AU142" s="1817"/>
      <c r="AV142" s="1817"/>
      <c r="AW142" s="1817"/>
      <c r="AX142" s="1817"/>
      <c r="AY142" s="1817"/>
      <c r="AZ142" s="1817"/>
      <c r="BA142" s="1817"/>
      <c r="BB142" s="1817"/>
      <c r="BC142" s="1817"/>
      <c r="BD142" s="1817"/>
      <c r="BE142" s="1817"/>
      <c r="BF142" s="1817"/>
      <c r="BG142" s="1817"/>
      <c r="BH142" s="1817"/>
      <c r="BI142" s="1817"/>
      <c r="BJ142" s="1817"/>
      <c r="BK142" s="1817"/>
      <c r="BL142" s="1817"/>
      <c r="BM142" s="1817"/>
      <c r="BN142" s="1817"/>
      <c r="BO142" s="1817"/>
      <c r="BP142" s="1817"/>
    </row>
    <row r="143" spans="2:68">
      <c r="C143" s="118"/>
      <c r="AM143" s="1817"/>
      <c r="AN143" s="1817"/>
      <c r="AO143" s="1817"/>
      <c r="AP143" s="1817"/>
      <c r="AQ143" s="1817"/>
      <c r="AR143" s="1817"/>
      <c r="AS143" s="1817"/>
      <c r="AT143" s="1817"/>
      <c r="AU143" s="1817"/>
      <c r="AV143" s="1817"/>
      <c r="AW143" s="1817"/>
      <c r="AX143" s="1817"/>
      <c r="AY143" s="1817"/>
      <c r="AZ143" s="1817"/>
      <c r="BA143" s="1817"/>
      <c r="BB143" s="1817"/>
      <c r="BC143" s="1817"/>
      <c r="BD143" s="1817"/>
      <c r="BE143" s="1817"/>
      <c r="BF143" s="1817"/>
      <c r="BG143" s="1817"/>
      <c r="BH143" s="1817"/>
      <c r="BI143" s="1817"/>
      <c r="BJ143" s="1817"/>
      <c r="BK143" s="1817"/>
      <c r="BL143" s="1817"/>
      <c r="BM143" s="1817"/>
      <c r="BN143" s="1817"/>
      <c r="BO143" s="1817"/>
      <c r="BP143" s="1817"/>
    </row>
    <row r="144" spans="2:68">
      <c r="C144" s="118"/>
      <c r="AM144" s="1817"/>
      <c r="AN144" s="1817"/>
      <c r="AO144" s="1817"/>
      <c r="AP144" s="1817"/>
      <c r="AQ144" s="1817"/>
      <c r="AR144" s="1817"/>
      <c r="AS144" s="1817"/>
      <c r="AT144" s="1817"/>
      <c r="AU144" s="1817"/>
      <c r="AV144" s="1817"/>
      <c r="AW144" s="1817"/>
      <c r="AX144" s="1817"/>
      <c r="AY144" s="1817"/>
      <c r="AZ144" s="1817"/>
      <c r="BA144" s="1817"/>
      <c r="BB144" s="1817"/>
      <c r="BC144" s="1817"/>
      <c r="BD144" s="1817"/>
      <c r="BE144" s="1817"/>
      <c r="BF144" s="1817"/>
      <c r="BG144" s="1817"/>
      <c r="BH144" s="1817"/>
      <c r="BI144" s="1817"/>
      <c r="BJ144" s="1817"/>
      <c r="BK144" s="1817"/>
      <c r="BL144" s="1817"/>
      <c r="BM144" s="1817"/>
      <c r="BN144" s="1817"/>
      <c r="BO144" s="1817"/>
      <c r="BP144" s="1817"/>
    </row>
    <row r="145" spans="3:68">
      <c r="C145" s="118"/>
      <c r="AM145" s="1817"/>
      <c r="AN145" s="1817"/>
      <c r="AO145" s="1817"/>
      <c r="AP145" s="1817"/>
      <c r="AQ145" s="1817"/>
      <c r="AR145" s="1817"/>
      <c r="AS145" s="1817"/>
      <c r="AT145" s="1817"/>
      <c r="AU145" s="1817"/>
      <c r="AV145" s="1817"/>
      <c r="AW145" s="1817"/>
      <c r="AX145" s="1817"/>
      <c r="AY145" s="1817"/>
      <c r="AZ145" s="1817"/>
      <c r="BA145" s="1817"/>
      <c r="BB145" s="1817"/>
      <c r="BC145" s="1817"/>
      <c r="BD145" s="1817"/>
      <c r="BE145" s="1817"/>
      <c r="BF145" s="1817"/>
      <c r="BG145" s="1817"/>
      <c r="BH145" s="1817"/>
      <c r="BI145" s="1817"/>
      <c r="BJ145" s="1817"/>
      <c r="BK145" s="1817"/>
      <c r="BL145" s="1817"/>
      <c r="BM145" s="1817"/>
      <c r="BN145" s="1817"/>
      <c r="BO145" s="1817"/>
      <c r="BP145" s="1817"/>
    </row>
    <row r="146" spans="3:68">
      <c r="C146" s="118"/>
      <c r="AM146" s="1817"/>
      <c r="AN146" s="1817"/>
      <c r="AO146" s="1817"/>
      <c r="AP146" s="1817"/>
      <c r="AQ146" s="1817"/>
      <c r="AR146" s="1817"/>
      <c r="AS146" s="1817"/>
      <c r="AT146" s="1817"/>
      <c r="AU146" s="1817"/>
      <c r="AV146" s="1817"/>
      <c r="AW146" s="1817"/>
      <c r="AX146" s="1817"/>
      <c r="AY146" s="1817"/>
      <c r="AZ146" s="1817"/>
      <c r="BA146" s="1817"/>
      <c r="BB146" s="1817"/>
      <c r="BC146" s="1817"/>
      <c r="BD146" s="1817"/>
      <c r="BE146" s="1817"/>
      <c r="BF146" s="1817"/>
      <c r="BG146" s="1817"/>
      <c r="BH146" s="1817"/>
      <c r="BI146" s="1817"/>
      <c r="BJ146" s="1817"/>
      <c r="BK146" s="1817"/>
      <c r="BL146" s="1817"/>
      <c r="BM146" s="1817"/>
      <c r="BN146" s="1817"/>
      <c r="BO146" s="1817"/>
      <c r="BP146" s="1817"/>
    </row>
    <row r="147" spans="3:68">
      <c r="C147" s="118"/>
      <c r="AM147" s="1817"/>
      <c r="AN147" s="1817"/>
      <c r="AO147" s="1817"/>
      <c r="AP147" s="1817"/>
      <c r="AQ147" s="1817"/>
      <c r="AR147" s="1817"/>
      <c r="AS147" s="1817"/>
      <c r="AT147" s="1817"/>
      <c r="AU147" s="1817"/>
      <c r="AV147" s="1817"/>
      <c r="AW147" s="1817"/>
      <c r="AX147" s="1817"/>
      <c r="AY147" s="1817"/>
      <c r="AZ147" s="1817"/>
      <c r="BA147" s="1817"/>
      <c r="BB147" s="1817"/>
      <c r="BC147" s="1817"/>
      <c r="BD147" s="1817"/>
      <c r="BE147" s="1817"/>
      <c r="BF147" s="1817"/>
      <c r="BG147" s="1817"/>
      <c r="BH147" s="1817"/>
      <c r="BI147" s="1817"/>
      <c r="BJ147" s="1817"/>
      <c r="BK147" s="1817"/>
      <c r="BL147" s="1817"/>
      <c r="BM147" s="1817"/>
      <c r="BN147" s="1817"/>
      <c r="BO147" s="1817"/>
      <c r="BP147" s="1817"/>
    </row>
    <row r="148" spans="3:68">
      <c r="C148" s="118"/>
      <c r="AM148" s="1817"/>
      <c r="AN148" s="1817"/>
      <c r="AO148" s="1817"/>
      <c r="AP148" s="1817"/>
      <c r="AQ148" s="1817"/>
      <c r="AR148" s="1817"/>
      <c r="AS148" s="1817"/>
      <c r="AT148" s="1817"/>
      <c r="AU148" s="1817"/>
      <c r="AV148" s="1817"/>
      <c r="AW148" s="1817"/>
      <c r="AX148" s="1817"/>
      <c r="AY148" s="1817"/>
      <c r="AZ148" s="1817"/>
      <c r="BA148" s="1817"/>
      <c r="BB148" s="1817"/>
      <c r="BC148" s="1817"/>
      <c r="BD148" s="1817"/>
      <c r="BE148" s="1817"/>
      <c r="BF148" s="1817"/>
      <c r="BG148" s="1817"/>
      <c r="BH148" s="1817"/>
      <c r="BI148" s="1817"/>
      <c r="BJ148" s="1817"/>
      <c r="BK148" s="1817"/>
      <c r="BL148" s="1817"/>
      <c r="BM148" s="1817"/>
      <c r="BN148" s="1817"/>
      <c r="BO148" s="1817"/>
      <c r="BP148" s="1817"/>
    </row>
    <row r="149" spans="3:68">
      <c r="C149" s="118"/>
      <c r="AM149" s="1817"/>
      <c r="AN149" s="1817"/>
      <c r="AO149" s="1817"/>
      <c r="AP149" s="1817"/>
      <c r="AQ149" s="1817"/>
      <c r="AR149" s="1817"/>
      <c r="AS149" s="1817"/>
      <c r="AT149" s="1817"/>
      <c r="AU149" s="1817"/>
      <c r="AV149" s="1817"/>
      <c r="AW149" s="1817"/>
      <c r="AX149" s="1817"/>
      <c r="AY149" s="1817"/>
      <c r="AZ149" s="1817"/>
      <c r="BA149" s="1817"/>
      <c r="BB149" s="1817"/>
      <c r="BC149" s="1817"/>
      <c r="BD149" s="1817"/>
      <c r="BE149" s="1817"/>
      <c r="BF149" s="1817"/>
      <c r="BG149" s="1817"/>
      <c r="BH149" s="1817"/>
      <c r="BI149" s="1817"/>
      <c r="BJ149" s="1817"/>
      <c r="BK149" s="1817"/>
      <c r="BL149" s="1817"/>
      <c r="BM149" s="1817"/>
      <c r="BN149" s="1817"/>
      <c r="BO149" s="1817"/>
      <c r="BP149" s="1817"/>
    </row>
    <row r="150" spans="3:68">
      <c r="C150" s="118"/>
      <c r="AM150" s="1817"/>
      <c r="AN150" s="1817"/>
      <c r="AO150" s="1817"/>
      <c r="AP150" s="1817"/>
      <c r="AQ150" s="1817"/>
      <c r="AR150" s="1817"/>
      <c r="AS150" s="1817"/>
      <c r="AT150" s="1817"/>
      <c r="AU150" s="1817"/>
      <c r="AV150" s="1817"/>
      <c r="AW150" s="1817"/>
      <c r="AX150" s="1817"/>
      <c r="AY150" s="1817"/>
      <c r="AZ150" s="1817"/>
      <c r="BA150" s="1817"/>
      <c r="BB150" s="1817"/>
      <c r="BC150" s="1817"/>
      <c r="BD150" s="1817"/>
      <c r="BE150" s="1817"/>
      <c r="BF150" s="1817"/>
      <c r="BG150" s="1817"/>
      <c r="BH150" s="1817"/>
      <c r="BI150" s="1817"/>
      <c r="BJ150" s="1817"/>
      <c r="BK150" s="1817"/>
      <c r="BL150" s="1817"/>
      <c r="BM150" s="1817"/>
      <c r="BN150" s="1817"/>
      <c r="BO150" s="1817"/>
      <c r="BP150" s="1817"/>
    </row>
    <row r="151" spans="3:68">
      <c r="C151" s="118"/>
      <c r="AM151" s="1817"/>
      <c r="AN151" s="1817"/>
      <c r="AO151" s="1817"/>
      <c r="AP151" s="1817"/>
      <c r="AQ151" s="1817"/>
      <c r="AR151" s="1817"/>
      <c r="AS151" s="1817"/>
      <c r="AT151" s="1817"/>
      <c r="AU151" s="1817"/>
      <c r="AV151" s="1817"/>
      <c r="AW151" s="1817"/>
      <c r="AX151" s="1817"/>
      <c r="AY151" s="1817"/>
      <c r="AZ151" s="1817"/>
      <c r="BA151" s="1817"/>
      <c r="BB151" s="1817"/>
      <c r="BC151" s="1817"/>
      <c r="BD151" s="1817"/>
      <c r="BE151" s="1817"/>
      <c r="BF151" s="1817"/>
      <c r="BG151" s="1817"/>
      <c r="BH151" s="1817"/>
      <c r="BI151" s="1817"/>
      <c r="BJ151" s="1817"/>
      <c r="BK151" s="1817"/>
      <c r="BL151" s="1817"/>
      <c r="BM151" s="1817"/>
      <c r="BN151" s="1817"/>
      <c r="BO151" s="1817"/>
      <c r="BP151" s="1817"/>
    </row>
    <row r="152" spans="3:68">
      <c r="C152" s="118"/>
      <c r="AM152" s="1817"/>
      <c r="AN152" s="1817"/>
      <c r="AO152" s="1817"/>
      <c r="AP152" s="1817"/>
      <c r="AQ152" s="1817"/>
      <c r="AR152" s="1817"/>
      <c r="AS152" s="1817"/>
      <c r="AT152" s="1817"/>
      <c r="AU152" s="1817"/>
      <c r="AV152" s="1817"/>
      <c r="AW152" s="1817"/>
      <c r="AX152" s="1817"/>
      <c r="AY152" s="1817"/>
      <c r="AZ152" s="1817"/>
      <c r="BA152" s="1817"/>
      <c r="BB152" s="1817"/>
      <c r="BC152" s="1817"/>
      <c r="BD152" s="1817"/>
      <c r="BE152" s="1817"/>
      <c r="BF152" s="1817"/>
      <c r="BG152" s="1817"/>
      <c r="BH152" s="1817"/>
      <c r="BI152" s="1817"/>
      <c r="BJ152" s="1817"/>
      <c r="BK152" s="1817"/>
      <c r="BL152" s="1817"/>
      <c r="BM152" s="1817"/>
      <c r="BN152" s="1817"/>
      <c r="BO152" s="1817"/>
      <c r="BP152" s="1817"/>
    </row>
    <row r="153" spans="3:68">
      <c r="C153" s="118"/>
      <c r="AM153" s="1817"/>
      <c r="AN153" s="1817"/>
      <c r="AO153" s="1817"/>
      <c r="AP153" s="1817"/>
      <c r="AQ153" s="1817"/>
      <c r="AR153" s="1817"/>
      <c r="AS153" s="1817"/>
      <c r="AT153" s="1817"/>
      <c r="AU153" s="1817"/>
      <c r="AV153" s="1817"/>
      <c r="AW153" s="1817"/>
      <c r="AX153" s="1817"/>
      <c r="AY153" s="1817"/>
      <c r="AZ153" s="1817"/>
      <c r="BA153" s="1817"/>
      <c r="BB153" s="1817"/>
      <c r="BC153" s="1817"/>
      <c r="BD153" s="1817"/>
      <c r="BE153" s="1817"/>
      <c r="BF153" s="1817"/>
      <c r="BG153" s="1817"/>
      <c r="BH153" s="1817"/>
      <c r="BI153" s="1817"/>
      <c r="BJ153" s="1817"/>
      <c r="BK153" s="1817"/>
      <c r="BL153" s="1817"/>
      <c r="BM153" s="1817"/>
      <c r="BN153" s="1817"/>
      <c r="BO153" s="1817"/>
      <c r="BP153" s="1817"/>
    </row>
    <row r="154" spans="3:68">
      <c r="C154" s="118"/>
    </row>
    <row r="155" spans="3:68">
      <c r="C155" s="118"/>
    </row>
    <row r="156" spans="3:68">
      <c r="C156" s="118"/>
    </row>
    <row r="157" spans="3:68">
      <c r="C157" s="118"/>
    </row>
    <row r="158" spans="3:68">
      <c r="C158" s="118"/>
    </row>
    <row r="159" spans="3:68">
      <c r="C159" s="118"/>
    </row>
    <row r="160" spans="3:68">
      <c r="C160" s="118"/>
    </row>
    <row r="161" spans="3:3">
      <c r="C161" s="118"/>
    </row>
    <row r="162" spans="3:3">
      <c r="C162" s="118"/>
    </row>
    <row r="163" spans="3:3">
      <c r="C163" s="118"/>
    </row>
    <row r="164" spans="3:3">
      <c r="C164" s="118"/>
    </row>
    <row r="165" spans="3:3">
      <c r="C165" s="118"/>
    </row>
    <row r="166" spans="3:3">
      <c r="C166" s="118"/>
    </row>
    <row r="167" spans="3:3">
      <c r="C167" s="118"/>
    </row>
    <row r="168" spans="3:3">
      <c r="C168" s="118"/>
    </row>
    <row r="169" spans="3:3">
      <c r="C169" s="118"/>
    </row>
    <row r="170" spans="3:3">
      <c r="C170" s="118"/>
    </row>
    <row r="171" spans="3:3">
      <c r="C171" s="118"/>
    </row>
    <row r="172" spans="3:3">
      <c r="C172" s="118"/>
    </row>
    <row r="173" spans="3:3">
      <c r="C173" s="118"/>
    </row>
    <row r="174" spans="3:3">
      <c r="C174" s="118"/>
    </row>
    <row r="175" spans="3:3">
      <c r="C175" s="118"/>
    </row>
    <row r="176" spans="3:3">
      <c r="C176" s="118"/>
    </row>
    <row r="177" spans="3:3">
      <c r="C177" s="118"/>
    </row>
    <row r="178" spans="3:3">
      <c r="C178" s="118"/>
    </row>
    <row r="179" spans="3:3">
      <c r="C179" s="118"/>
    </row>
    <row r="180" spans="3:3">
      <c r="C180" s="118"/>
    </row>
    <row r="181" spans="3:3">
      <c r="C181" s="118"/>
    </row>
    <row r="182" spans="3:3">
      <c r="C182" s="118"/>
    </row>
    <row r="183" spans="3:3">
      <c r="C183" s="118"/>
    </row>
    <row r="184" spans="3:3">
      <c r="C184" s="118"/>
    </row>
    <row r="185" spans="3:3">
      <c r="C185" s="118"/>
    </row>
    <row r="186" spans="3:3">
      <c r="C186" s="118"/>
    </row>
    <row r="187" spans="3:3">
      <c r="C187" s="118"/>
    </row>
    <row r="188" spans="3:3">
      <c r="C188" s="118"/>
    </row>
    <row r="189" spans="3:3">
      <c r="C189" s="118"/>
    </row>
    <row r="190" spans="3:3">
      <c r="C190" s="118"/>
    </row>
    <row r="191" spans="3:3">
      <c r="C191" s="118"/>
    </row>
    <row r="192" spans="3:3">
      <c r="C192" s="118"/>
    </row>
    <row r="193" spans="3:3">
      <c r="C193" s="118"/>
    </row>
    <row r="194" spans="3:3">
      <c r="C194" s="118"/>
    </row>
    <row r="195" spans="3:3">
      <c r="C195" s="118"/>
    </row>
    <row r="196" spans="3:3">
      <c r="C196" s="118"/>
    </row>
    <row r="197" spans="3:3">
      <c r="C197" s="118"/>
    </row>
    <row r="198" spans="3:3">
      <c r="C198" s="118"/>
    </row>
    <row r="199" spans="3:3">
      <c r="C199" s="118"/>
    </row>
    <row r="200" spans="3:3">
      <c r="C200" s="118"/>
    </row>
    <row r="201" spans="3:3">
      <c r="C201" s="118"/>
    </row>
    <row r="202" spans="3:3">
      <c r="C202" s="118"/>
    </row>
    <row r="203" spans="3:3">
      <c r="C203" s="118"/>
    </row>
    <row r="204" spans="3:3">
      <c r="C204" s="118"/>
    </row>
    <row r="205" spans="3:3">
      <c r="C205" s="118"/>
    </row>
    <row r="206" spans="3:3">
      <c r="C206" s="118"/>
    </row>
    <row r="207" spans="3:3">
      <c r="C207" s="118"/>
    </row>
    <row r="208" spans="3:3">
      <c r="C208" s="118"/>
    </row>
    <row r="209" spans="3:3">
      <c r="C209" s="118"/>
    </row>
    <row r="210" spans="3:3">
      <c r="C210" s="118"/>
    </row>
    <row r="211" spans="3:3">
      <c r="C211" s="118"/>
    </row>
    <row r="212" spans="3:3">
      <c r="C212" s="118"/>
    </row>
    <row r="213" spans="3:3">
      <c r="C213" s="118"/>
    </row>
    <row r="214" spans="3:3">
      <c r="C214" s="118"/>
    </row>
    <row r="215" spans="3:3">
      <c r="C215" s="118"/>
    </row>
    <row r="216" spans="3:3">
      <c r="C216" s="118"/>
    </row>
    <row r="217" spans="3:3">
      <c r="C217" s="118"/>
    </row>
    <row r="218" spans="3:3">
      <c r="C218" s="118"/>
    </row>
    <row r="219" spans="3:3">
      <c r="C219" s="118"/>
    </row>
    <row r="220" spans="3:3">
      <c r="C220" s="118"/>
    </row>
    <row r="221" spans="3:3">
      <c r="C221" s="118"/>
    </row>
    <row r="222" spans="3:3">
      <c r="C222" s="118"/>
    </row>
    <row r="223" spans="3:3">
      <c r="C223" s="118"/>
    </row>
    <row r="224" spans="3:3">
      <c r="C224" s="118"/>
    </row>
    <row r="225" spans="3:3">
      <c r="C225" s="118"/>
    </row>
    <row r="226" spans="3:3">
      <c r="C226" s="118"/>
    </row>
    <row r="227" spans="3:3">
      <c r="C227" s="118"/>
    </row>
    <row r="228" spans="3:3">
      <c r="C228" s="118"/>
    </row>
    <row r="229" spans="3:3">
      <c r="C229" s="118"/>
    </row>
    <row r="230" spans="3:3">
      <c r="C230" s="118"/>
    </row>
    <row r="231" spans="3:3">
      <c r="C231" s="118"/>
    </row>
    <row r="232" spans="3:3">
      <c r="C232" s="118"/>
    </row>
    <row r="233" spans="3:3">
      <c r="C233" s="118"/>
    </row>
    <row r="234" spans="3:3">
      <c r="C234" s="118"/>
    </row>
    <row r="235" spans="3:3">
      <c r="C235" s="118"/>
    </row>
    <row r="236" spans="3:3">
      <c r="C236" s="118"/>
    </row>
    <row r="237" spans="3:3">
      <c r="C237" s="118"/>
    </row>
    <row r="238" spans="3:3">
      <c r="C238" s="118"/>
    </row>
    <row r="239" spans="3:3">
      <c r="C239" s="118"/>
    </row>
    <row r="240" spans="3:3">
      <c r="C240" s="118"/>
    </row>
    <row r="241" spans="3:3">
      <c r="C241" s="118"/>
    </row>
    <row r="242" spans="3:3">
      <c r="C242" s="118"/>
    </row>
    <row r="243" spans="3:3">
      <c r="C243" s="118"/>
    </row>
    <row r="244" spans="3:3">
      <c r="C244" s="118"/>
    </row>
    <row r="245" spans="3:3">
      <c r="C245" s="118"/>
    </row>
    <row r="246" spans="3:3">
      <c r="C246" s="118"/>
    </row>
    <row r="247" spans="3:3">
      <c r="C247" s="118"/>
    </row>
    <row r="248" spans="3:3">
      <c r="C248" s="118"/>
    </row>
    <row r="249" spans="3:3">
      <c r="C249" s="118"/>
    </row>
    <row r="250" spans="3:3">
      <c r="C250" s="118"/>
    </row>
    <row r="251" spans="3:3">
      <c r="C251" s="118"/>
    </row>
    <row r="252" spans="3:3">
      <c r="C252" s="118"/>
    </row>
    <row r="253" spans="3:3">
      <c r="C253" s="118"/>
    </row>
    <row r="254" spans="3:3">
      <c r="C254" s="118"/>
    </row>
    <row r="255" spans="3:3">
      <c r="C255" s="118"/>
    </row>
    <row r="256" spans="3:3">
      <c r="C256" s="118"/>
    </row>
    <row r="257" spans="3:3">
      <c r="C257" s="118"/>
    </row>
    <row r="258" spans="3:3">
      <c r="C258" s="118"/>
    </row>
    <row r="259" spans="3:3">
      <c r="C259" s="118"/>
    </row>
    <row r="260" spans="3:3">
      <c r="C260" s="118"/>
    </row>
    <row r="261" spans="3:3">
      <c r="C261" s="118"/>
    </row>
    <row r="262" spans="3:3">
      <c r="C262" s="118"/>
    </row>
    <row r="263" spans="3:3">
      <c r="C263" s="118"/>
    </row>
    <row r="264" spans="3:3">
      <c r="C264" s="118"/>
    </row>
    <row r="265" spans="3:3">
      <c r="C265" s="118"/>
    </row>
    <row r="266" spans="3:3">
      <c r="C266" s="118"/>
    </row>
    <row r="267" spans="3:3">
      <c r="C267" s="118"/>
    </row>
    <row r="268" spans="3:3">
      <c r="C268" s="118"/>
    </row>
    <row r="269" spans="3:3">
      <c r="C269" s="118"/>
    </row>
    <row r="270" spans="3:3">
      <c r="C270" s="118"/>
    </row>
    <row r="271" spans="3:3">
      <c r="C271" s="118"/>
    </row>
    <row r="272" spans="3:3">
      <c r="C272" s="118"/>
    </row>
    <row r="273" spans="3:3">
      <c r="C273" s="118"/>
    </row>
    <row r="274" spans="3:3">
      <c r="C274" s="118"/>
    </row>
    <row r="275" spans="3:3">
      <c r="C275" s="118"/>
    </row>
    <row r="276" spans="3:3">
      <c r="C276" s="118"/>
    </row>
    <row r="277" spans="3:3">
      <c r="C277" s="118"/>
    </row>
    <row r="278" spans="3:3">
      <c r="C278" s="118"/>
    </row>
    <row r="279" spans="3:3">
      <c r="C279" s="118"/>
    </row>
    <row r="280" spans="3:3">
      <c r="C280" s="118"/>
    </row>
    <row r="281" spans="3:3">
      <c r="C281" s="118"/>
    </row>
    <row r="282" spans="3:3">
      <c r="C282" s="118"/>
    </row>
    <row r="283" spans="3:3">
      <c r="C283" s="118"/>
    </row>
    <row r="284" spans="3:3">
      <c r="C284" s="118"/>
    </row>
    <row r="285" spans="3:3">
      <c r="C285" s="118"/>
    </row>
    <row r="286" spans="3:3">
      <c r="C286" s="118"/>
    </row>
    <row r="287" spans="3:3">
      <c r="C287" s="118"/>
    </row>
    <row r="288" spans="3:3">
      <c r="C288" s="118"/>
    </row>
    <row r="289" spans="3:3">
      <c r="C289" s="118"/>
    </row>
    <row r="290" spans="3:3">
      <c r="C290" s="118"/>
    </row>
    <row r="291" spans="3:3">
      <c r="C291" s="118"/>
    </row>
    <row r="292" spans="3:3">
      <c r="C292" s="118"/>
    </row>
    <row r="293" spans="3:3">
      <c r="C293" s="118"/>
    </row>
    <row r="294" spans="3:3">
      <c r="C294" s="118"/>
    </row>
    <row r="295" spans="3:3">
      <c r="C295" s="118"/>
    </row>
    <row r="296" spans="3:3">
      <c r="C296" s="118"/>
    </row>
    <row r="297" spans="3:3">
      <c r="C297" s="118"/>
    </row>
    <row r="298" spans="3:3">
      <c r="C298" s="118"/>
    </row>
    <row r="299" spans="3:3">
      <c r="C299" s="118"/>
    </row>
    <row r="300" spans="3:3">
      <c r="C300" s="118"/>
    </row>
    <row r="301" spans="3:3">
      <c r="C301" s="118"/>
    </row>
    <row r="302" spans="3:3">
      <c r="C302" s="118"/>
    </row>
    <row r="303" spans="3:3">
      <c r="C303" s="118"/>
    </row>
    <row r="304" spans="3:3">
      <c r="C304" s="118"/>
    </row>
    <row r="305" spans="3:86">
      <c r="C305" s="118"/>
    </row>
    <row r="306" spans="3:86">
      <c r="C306" s="118"/>
      <c r="BV306" s="1929"/>
      <c r="BW306" s="1929"/>
      <c r="BX306" s="1929"/>
      <c r="BY306" s="1929"/>
      <c r="BZ306" s="1929"/>
      <c r="CA306" s="1929"/>
      <c r="CB306" s="1929"/>
      <c r="CC306" s="1929"/>
      <c r="CD306" s="1929"/>
      <c r="CE306" s="1929"/>
      <c r="CF306" s="1929"/>
      <c r="CG306" s="1929"/>
      <c r="CH306" s="1929"/>
    </row>
    <row r="307" spans="3:86">
      <c r="C307" s="118"/>
      <c r="BV307" s="1929"/>
      <c r="BW307" s="1929"/>
      <c r="BX307" s="1929"/>
      <c r="BY307" s="1929"/>
      <c r="BZ307" s="1929"/>
      <c r="CA307" s="1929"/>
      <c r="CB307" s="1929"/>
      <c r="CC307" s="1929"/>
      <c r="CD307" s="1929"/>
      <c r="CE307" s="1929"/>
      <c r="CF307" s="1929"/>
      <c r="CG307" s="1929"/>
      <c r="CH307" s="1929"/>
    </row>
    <row r="308" spans="3:86">
      <c r="C308" s="118"/>
      <c r="BV308" s="1929"/>
      <c r="BW308" s="1929"/>
      <c r="BX308" s="1929"/>
      <c r="BY308" s="1929"/>
      <c r="BZ308" s="1929"/>
      <c r="CA308" s="1929"/>
      <c r="CB308" s="1929"/>
      <c r="CC308" s="1929"/>
      <c r="CD308" s="1929"/>
      <c r="CE308" s="1929"/>
      <c r="CF308" s="1929"/>
      <c r="CG308" s="1929"/>
      <c r="CH308" s="1929"/>
    </row>
    <row r="309" spans="3:86">
      <c r="C309" s="118"/>
      <c r="BV309" s="1929"/>
      <c r="BW309" s="1929"/>
      <c r="BX309" s="1929"/>
      <c r="BY309" s="1929"/>
      <c r="BZ309" s="1929"/>
      <c r="CA309" s="1929"/>
      <c r="CB309" s="1929"/>
      <c r="CC309" s="1929"/>
      <c r="CD309" s="1929"/>
      <c r="CE309" s="1929"/>
      <c r="CF309" s="1929"/>
      <c r="CG309" s="1929"/>
      <c r="CH309" s="1929"/>
    </row>
    <row r="310" spans="3:86">
      <c r="C310" s="118"/>
      <c r="BV310" s="1929"/>
      <c r="BW310" s="1929"/>
      <c r="BX310" s="1929"/>
      <c r="BY310" s="1929"/>
      <c r="BZ310" s="1929"/>
      <c r="CA310" s="1929"/>
      <c r="CB310" s="1929"/>
      <c r="CC310" s="1929"/>
      <c r="CD310" s="1929"/>
      <c r="CE310" s="1929"/>
      <c r="CF310" s="1929"/>
      <c r="CG310" s="1929"/>
      <c r="CH310" s="1929"/>
    </row>
    <row r="311" spans="3:86">
      <c r="C311" s="118"/>
      <c r="BV311" s="1929"/>
      <c r="BW311" s="1929"/>
      <c r="BX311" s="1929"/>
      <c r="BY311" s="1929"/>
      <c r="BZ311" s="1929"/>
      <c r="CA311" s="1929"/>
      <c r="CB311" s="1929"/>
      <c r="CC311" s="1929"/>
      <c r="CD311" s="1929"/>
      <c r="CE311" s="1929"/>
      <c r="CF311" s="1929"/>
      <c r="CG311" s="1929"/>
      <c r="CH311" s="1929"/>
    </row>
    <row r="312" spans="3:86">
      <c r="C312" s="118"/>
      <c r="BV312" s="1929"/>
      <c r="BW312" s="1929"/>
      <c r="BX312" s="1929"/>
      <c r="BY312" s="1929"/>
      <c r="BZ312" s="1929"/>
      <c r="CA312" s="1929"/>
      <c r="CB312" s="1929"/>
      <c r="CC312" s="1929"/>
      <c r="CD312" s="1929"/>
      <c r="CE312" s="1929"/>
      <c r="CF312" s="1929"/>
      <c r="CG312" s="1929"/>
      <c r="CH312" s="1929"/>
    </row>
    <row r="313" spans="3:86">
      <c r="C313" s="118"/>
      <c r="BV313" s="1929"/>
      <c r="BW313" s="1929"/>
      <c r="BX313" s="1929"/>
      <c r="BY313" s="1929"/>
      <c r="BZ313" s="1929"/>
      <c r="CA313" s="1929"/>
      <c r="CB313" s="1929"/>
      <c r="CC313" s="1929"/>
      <c r="CD313" s="1929"/>
      <c r="CE313" s="1929"/>
      <c r="CF313" s="1929"/>
      <c r="CG313" s="1929"/>
      <c r="CH313" s="1929"/>
    </row>
    <row r="314" spans="3:86">
      <c r="C314" s="118"/>
      <c r="BV314" s="1929"/>
      <c r="BW314" s="1929"/>
      <c r="BX314" s="1929"/>
      <c r="BY314" s="1929"/>
      <c r="BZ314" s="1929"/>
      <c r="CA314" s="1929"/>
      <c r="CB314" s="1929"/>
      <c r="CC314" s="1929"/>
      <c r="CD314" s="1929"/>
      <c r="CE314" s="1929"/>
      <c r="CF314" s="1929"/>
      <c r="CG314" s="1929"/>
      <c r="CH314" s="1929"/>
    </row>
    <row r="315" spans="3:86">
      <c r="C315" s="118"/>
      <c r="BV315" s="1929"/>
      <c r="BW315" s="1929"/>
      <c r="BX315" s="1929"/>
      <c r="BY315" s="1929"/>
      <c r="BZ315" s="1929"/>
      <c r="CA315" s="1929"/>
      <c r="CB315" s="1929"/>
      <c r="CC315" s="1929"/>
      <c r="CD315" s="1929"/>
      <c r="CE315" s="1929"/>
      <c r="CF315" s="1929"/>
      <c r="CG315" s="1929"/>
      <c r="CH315" s="1929"/>
    </row>
    <row r="316" spans="3:86">
      <c r="C316" s="118"/>
      <c r="BV316" s="1929"/>
      <c r="BW316" s="1929"/>
      <c r="BX316" s="1929"/>
      <c r="BY316" s="1929"/>
      <c r="BZ316" s="1929"/>
      <c r="CA316" s="1929"/>
      <c r="CB316" s="1929"/>
      <c r="CC316" s="1929"/>
      <c r="CD316" s="1929"/>
      <c r="CE316" s="1929"/>
      <c r="CF316" s="1929"/>
      <c r="CG316" s="1929"/>
      <c r="CH316" s="1929"/>
    </row>
    <row r="317" spans="3:86">
      <c r="C317" s="118"/>
      <c r="BV317" s="1929"/>
      <c r="BW317" s="1929"/>
      <c r="BX317" s="1929"/>
      <c r="BY317" s="1929"/>
      <c r="BZ317" s="1929"/>
      <c r="CA317" s="1929"/>
      <c r="CB317" s="1929"/>
      <c r="CC317" s="1929"/>
      <c r="CD317" s="1929"/>
      <c r="CE317" s="1929"/>
      <c r="CF317" s="1929"/>
      <c r="CG317" s="1929"/>
      <c r="CH317" s="1929"/>
    </row>
    <row r="318" spans="3:86">
      <c r="C318" s="118"/>
      <c r="BV318" s="1929"/>
      <c r="BW318" s="1929"/>
      <c r="BX318" s="1929"/>
      <c r="BY318" s="1929"/>
      <c r="BZ318" s="1929"/>
      <c r="CA318" s="1929"/>
      <c r="CB318" s="1929"/>
      <c r="CC318" s="1929"/>
      <c r="CD318" s="1929"/>
      <c r="CE318" s="1929"/>
      <c r="CF318" s="1929"/>
      <c r="CG318" s="1929"/>
      <c r="CH318" s="1929"/>
    </row>
    <row r="319" spans="3:86">
      <c r="C319" s="118"/>
      <c r="BV319" s="1929"/>
      <c r="BW319" s="1929"/>
      <c r="BX319" s="1929"/>
      <c r="BY319" s="1929"/>
      <c r="BZ319" s="1929"/>
      <c r="CA319" s="1929"/>
      <c r="CB319" s="1929"/>
      <c r="CC319" s="1929"/>
      <c r="CD319" s="1929"/>
      <c r="CE319" s="1929"/>
      <c r="CF319" s="1929"/>
      <c r="CG319" s="1929"/>
      <c r="CH319" s="1929"/>
    </row>
    <row r="320" spans="3:86">
      <c r="C320" s="118"/>
      <c r="BV320" s="1929"/>
      <c r="BW320" s="1929"/>
      <c r="BX320" s="1929"/>
      <c r="BY320" s="1929"/>
      <c r="BZ320" s="1929"/>
      <c r="CA320" s="1929"/>
      <c r="CB320" s="1929"/>
      <c r="CC320" s="1929"/>
      <c r="CD320" s="1929"/>
      <c r="CE320" s="1929"/>
      <c r="CF320" s="1929"/>
      <c r="CG320" s="1929"/>
      <c r="CH320" s="1929"/>
    </row>
    <row r="321" spans="3:86">
      <c r="C321" s="118"/>
      <c r="BV321" s="1929"/>
      <c r="BW321" s="1929"/>
      <c r="BX321" s="1929"/>
      <c r="BY321" s="1929"/>
      <c r="BZ321" s="1929"/>
      <c r="CA321" s="1929"/>
      <c r="CB321" s="1929"/>
      <c r="CC321" s="1929"/>
      <c r="CD321" s="1929"/>
      <c r="CE321" s="1929"/>
      <c r="CF321" s="1929"/>
      <c r="CG321" s="1929"/>
      <c r="CH321" s="1929"/>
    </row>
    <row r="322" spans="3:86">
      <c r="C322" s="118"/>
    </row>
    <row r="323" spans="3:86">
      <c r="C323" s="118"/>
    </row>
    <row r="324" spans="3:86">
      <c r="C324" s="118"/>
    </row>
    <row r="325" spans="3:86">
      <c r="C325" s="118"/>
    </row>
    <row r="326" spans="3:86">
      <c r="C326" s="118"/>
    </row>
    <row r="327" spans="3:86">
      <c r="C327" s="118"/>
    </row>
    <row r="328" spans="3:86">
      <c r="C328" s="118"/>
    </row>
    <row r="329" spans="3:86">
      <c r="C329" s="118"/>
    </row>
    <row r="330" spans="3:86">
      <c r="C330" s="118"/>
    </row>
    <row r="331" spans="3:86">
      <c r="C331" s="118"/>
    </row>
    <row r="332" spans="3:86">
      <c r="C332" s="118"/>
    </row>
    <row r="333" spans="3:86">
      <c r="C333" s="118"/>
    </row>
    <row r="334" spans="3:86">
      <c r="C334" s="118"/>
    </row>
    <row r="335" spans="3:86">
      <c r="C335" s="118"/>
    </row>
    <row r="336" spans="3:86">
      <c r="C336" s="118"/>
    </row>
    <row r="337" spans="3:3">
      <c r="C337" s="118"/>
    </row>
    <row r="338" spans="3:3">
      <c r="C338" s="118"/>
    </row>
    <row r="339" spans="3:3">
      <c r="C339" s="118"/>
    </row>
    <row r="340" spans="3:3">
      <c r="C340" s="118"/>
    </row>
    <row r="341" spans="3:3">
      <c r="C341" s="118"/>
    </row>
    <row r="342" spans="3:3">
      <c r="C342" s="118"/>
    </row>
    <row r="343" spans="3:3">
      <c r="C343" s="118"/>
    </row>
    <row r="344" spans="3:3">
      <c r="C344" s="118"/>
    </row>
    <row r="345" spans="3:3">
      <c r="C345" s="118"/>
    </row>
    <row r="346" spans="3:3">
      <c r="C346" s="118"/>
    </row>
    <row r="347" spans="3:3">
      <c r="C347" s="118"/>
    </row>
    <row r="348" spans="3:3">
      <c r="C348" s="118"/>
    </row>
    <row r="349" spans="3:3">
      <c r="C349" s="118"/>
    </row>
    <row r="350" spans="3:3">
      <c r="C350" s="118"/>
    </row>
    <row r="351" spans="3:3">
      <c r="C351" s="118"/>
    </row>
    <row r="352" spans="3:3">
      <c r="C352" s="118"/>
    </row>
    <row r="353" spans="3:3">
      <c r="C353" s="118"/>
    </row>
    <row r="354" spans="3:3">
      <c r="C354" s="118"/>
    </row>
    <row r="355" spans="3:3">
      <c r="C355" s="118"/>
    </row>
    <row r="356" spans="3:3">
      <c r="C356" s="118"/>
    </row>
    <row r="357" spans="3:3">
      <c r="C357" s="118"/>
    </row>
    <row r="358" spans="3:3">
      <c r="C358" s="118"/>
    </row>
  </sheetData>
  <mergeCells count="69">
    <mergeCell ref="T59:T60"/>
    <mergeCell ref="U59:U60"/>
    <mergeCell ref="K39:K40"/>
    <mergeCell ref="S59:S60"/>
    <mergeCell ref="R56:R57"/>
    <mergeCell ref="O46:O47"/>
    <mergeCell ref="P46:P47"/>
    <mergeCell ref="Q46:Q47"/>
    <mergeCell ref="N51:N52"/>
    <mergeCell ref="O51:O52"/>
    <mergeCell ref="P51:P52"/>
    <mergeCell ref="Q51:Q52"/>
    <mergeCell ref="N46:N47"/>
    <mergeCell ref="S4:V4"/>
    <mergeCell ref="S23:V24"/>
    <mergeCell ref="S26:S27"/>
    <mergeCell ref="S5:V5"/>
    <mergeCell ref="S6:V6"/>
    <mergeCell ref="H7:I7"/>
    <mergeCell ref="J7:K7"/>
    <mergeCell ref="H26:I26"/>
    <mergeCell ref="J26:K26"/>
    <mergeCell ref="L26:M26"/>
    <mergeCell ref="B1:C1"/>
    <mergeCell ref="B13:C13"/>
    <mergeCell ref="G24:M24"/>
    <mergeCell ref="H46:H47"/>
    <mergeCell ref="I46:I47"/>
    <mergeCell ref="J46:J47"/>
    <mergeCell ref="K46:K47"/>
    <mergeCell ref="G5:M5"/>
    <mergeCell ref="B5:C5"/>
    <mergeCell ref="B9:B10"/>
    <mergeCell ref="C9:C10"/>
    <mergeCell ref="L39:L40"/>
    <mergeCell ref="M39:M40"/>
    <mergeCell ref="G27:G28"/>
    <mergeCell ref="G39:G40"/>
    <mergeCell ref="G6:M6"/>
    <mergeCell ref="N7:O7"/>
    <mergeCell ref="P7:Q7"/>
    <mergeCell ref="H73:I73"/>
    <mergeCell ref="J73:K73"/>
    <mergeCell ref="L73:M73"/>
    <mergeCell ref="H51:H52"/>
    <mergeCell ref="I51:I52"/>
    <mergeCell ref="J51:J52"/>
    <mergeCell ref="K51:K52"/>
    <mergeCell ref="N26:O26"/>
    <mergeCell ref="P26:Q26"/>
    <mergeCell ref="N39:N40"/>
    <mergeCell ref="O39:O40"/>
    <mergeCell ref="P39:P40"/>
    <mergeCell ref="L7:M7"/>
    <mergeCell ref="L51:L52"/>
    <mergeCell ref="B35:C35"/>
    <mergeCell ref="B82:C82"/>
    <mergeCell ref="B27:C27"/>
    <mergeCell ref="N73:O73"/>
    <mergeCell ref="P73:Q73"/>
    <mergeCell ref="M51:M52"/>
    <mergeCell ref="L46:L47"/>
    <mergeCell ref="M46:M47"/>
    <mergeCell ref="G46:G47"/>
    <mergeCell ref="G51:G52"/>
    <mergeCell ref="H39:H40"/>
    <mergeCell ref="I39:I40"/>
    <mergeCell ref="J39:J40"/>
    <mergeCell ref="Q39:Q40"/>
  </mergeCells>
  <phoneticPr fontId="77" type="noConversion"/>
  <dataValidations xWindow="418" yWindow="536" count="12">
    <dataValidation type="list" allowBlank="1" showInputMessage="1" showErrorMessage="1" sqref="C37">
      <formula1>$D$106:$D$121</formula1>
    </dataValidation>
    <dataValidation type="list" allowBlank="1" showInputMessage="1" showErrorMessage="1" promptTitle="Study Basis Perspective" sqref="C41">
      <formula1>$J$106:$J$108</formula1>
    </dataValidation>
    <dataValidation type="list" allowBlank="1" showInputMessage="1" showErrorMessage="1" promptTitle="Cost Basis" prompt="Identifies basis of total cost basis: _x000a_Instant - as though constructed in one day with no financing costs_x000a_Installed - end point cost that includes all financing costs" sqref="C42">
      <formula1>$G$128:$G$129</formula1>
    </dataValidation>
    <dataValidation type="list" allowBlank="1" showInputMessage="1" showErrorMessage="1" promptTitle="Cost Scenario" prompt="Chooses between mid-range, higher and lower potential cost scenarios" sqref="C36">
      <formula1>$I$106:$I$108</formula1>
    </dataValidation>
    <dataValidation type="list" allowBlank="1" showInputMessage="1" showErrorMessage="1" promptTitle="Carbon Market Price" prompt="Forecast shown on Fuel Price Forecasts" sqref="C15">
      <formula1>Carbon_Price_List</formula1>
    </dataValidation>
    <dataValidation type="list" allowBlank="1" showInputMessage="1" showErrorMessage="1" promptTitle="Gas Forecast" prompt="Select source and/or coverage of natural gas forecast" sqref="C16">
      <formula1>FuelPriceList</formula1>
    </dataValidation>
    <dataValidation type="list" allowBlank="1" showInputMessage="1" showErrorMessage="1" promptTitle="Regional Location" prompt="Select either statewide or region based on AQMD/APCD and RWQCB boundaries.  (Boundaries are &quot;fuzzy&quot; and approximate.)" sqref="C17">
      <formula1>$H$106:$H$118</formula1>
    </dataValidation>
    <dataValidation type="list" allowBlank="1" showInputMessage="1" showErrorMessage="1" promptTitle="CC Turbine Configuration" prompt="Sets number of combustion turbines in combined cycle plant._x000a_2 turbines is default baseline configuration." sqref="C18">
      <formula1>$H$128:$H$131</formula1>
    </dataValidation>
    <dataValidation type="list" allowBlank="1" showInputMessage="1" showErrorMessage="1" sqref="C11">
      <formula1>$I$128:$I$130</formula1>
    </dataValidation>
    <dataValidation type="list" allowBlank="1" showInputMessage="1" showErrorMessage="1" sqref="C9:C10">
      <formula1>PlantTypes</formula1>
    </dataValidation>
    <dataValidation type="list" allowBlank="1" showInputMessage="1" showErrorMessage="1" sqref="C8">
      <formula1>Years</formula1>
    </dataValidation>
    <dataValidation type="list" allowBlank="1" showInputMessage="1" showErrorMessage="1" sqref="C7">
      <formula1>$C$106:$C$114</formula1>
    </dataValidation>
  </dataValidations>
  <printOptions horizontalCentered="1"/>
  <pageMargins left="0.75" right="0.75" top="1" bottom="1" header="0.5" footer="0.5"/>
  <pageSetup scale="72" fitToWidth="2" orientation="landscape" horizontalDpi="4294967293" r:id="rId1"/>
  <headerFooter alignWithMargins="0">
    <oddHeader>&amp;C&amp;"Arial,Bold"&amp;12Cost of Generation Inputs</oddHeader>
    <oddFooter>&amp;L&amp;9California Energy Commission&amp;R&amp;9&amp;D &amp;T</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rgb="FF92D050"/>
  </sheetPr>
  <dimension ref="A21:Y31"/>
  <sheetViews>
    <sheetView zoomScale="80" zoomScaleNormal="80" workbookViewId="0">
      <selection activeCell="A22" sqref="A22:W25"/>
    </sheetView>
  </sheetViews>
  <sheetFormatPr defaultRowHeight="12.75"/>
  <cols>
    <col min="1" max="1" width="14.42578125" customWidth="1"/>
  </cols>
  <sheetData>
    <row r="21" spans="1:25" ht="13.5" thickBot="1"/>
    <row r="22" spans="1:25">
      <c r="A22" s="4320"/>
      <c r="B22" s="1822" t="s">
        <v>305</v>
      </c>
      <c r="C22" s="1822" t="s">
        <v>1153</v>
      </c>
      <c r="D22" s="1823">
        <f>Income_Rev_Req!F4</f>
        <v>2013</v>
      </c>
      <c r="E22" s="1823">
        <f>Income_Rev_Req!G4</f>
        <v>2014</v>
      </c>
      <c r="F22" s="1823">
        <f>Income_Rev_Req!H4</f>
        <v>2015</v>
      </c>
      <c r="G22" s="1823">
        <f>Income_Rev_Req!I4</f>
        <v>2016</v>
      </c>
      <c r="H22" s="1823">
        <f>Income_Rev_Req!J4</f>
        <v>2017</v>
      </c>
      <c r="I22" s="1823">
        <f>Income_Rev_Req!K4</f>
        <v>2018</v>
      </c>
      <c r="J22" s="1823">
        <f>Income_Rev_Req!L4</f>
        <v>2019</v>
      </c>
      <c r="K22" s="1823">
        <f>Income_Rev_Req!M4</f>
        <v>2020</v>
      </c>
      <c r="L22" s="1823">
        <f>Income_Rev_Req!N4</f>
        <v>2021</v>
      </c>
      <c r="M22" s="1823">
        <f>Income_Rev_Req!O4</f>
        <v>2022</v>
      </c>
      <c r="N22" s="1823">
        <f>Income_Rev_Req!P4</f>
        <v>2023</v>
      </c>
      <c r="O22" s="1823">
        <f>Income_Rev_Req!Q4</f>
        <v>2024</v>
      </c>
      <c r="P22" s="1823">
        <f>Income_Rev_Req!R4</f>
        <v>2025</v>
      </c>
      <c r="Q22" s="1823">
        <f>Income_Rev_Req!S4</f>
        <v>2026</v>
      </c>
      <c r="R22" s="1823">
        <f>Income_Rev_Req!T4</f>
        <v>2027</v>
      </c>
      <c r="S22" s="1823">
        <f>Income_Rev_Req!U4</f>
        <v>2028</v>
      </c>
      <c r="T22" s="1823">
        <f>Income_Rev_Req!V4</f>
        <v>2029</v>
      </c>
      <c r="U22" s="1823">
        <f>Income_Rev_Req!W4</f>
        <v>2030</v>
      </c>
      <c r="V22" s="1823">
        <f>Income_Rev_Req!X4</f>
        <v>2031</v>
      </c>
      <c r="W22" s="1824">
        <f>Income_Rev_Req!Y4</f>
        <v>2032</v>
      </c>
    </row>
    <row r="23" spans="1:25">
      <c r="A23" s="4321" t="s">
        <v>958</v>
      </c>
      <c r="B23" s="1846">
        <f>IF(OwnerType="Merchant",'Income_Cash Flow'!D115,Income_Rev_Req!D119)</f>
        <v>72.918147785218665</v>
      </c>
      <c r="C23" s="1846">
        <f>IF(OwnerType="Merchant",'Income_Cash Flow'!E115,Income_Rev_Req!E119)</f>
        <v>938.62951031828607</v>
      </c>
      <c r="D23" s="1846">
        <f>IF(OwnerType="Merchant",'Income_Cash Flow'!F115,Income_Rev_Req!F119)</f>
        <v>63.526298150391845</v>
      </c>
      <c r="E23" s="1846">
        <f>IF(OwnerType="Merchant",'Income_Cash Flow'!G115,Income_Rev_Req!G119)</f>
        <v>64.751464971289082</v>
      </c>
      <c r="F23" s="1846">
        <f>IF(OwnerType="Merchant",'Income_Cash Flow'!H115,Income_Rev_Req!H119)</f>
        <v>65.818669091417902</v>
      </c>
      <c r="G23" s="1846">
        <f>IF(OwnerType="Merchant",'Income_Cash Flow'!I115,Income_Rev_Req!I119)</f>
        <v>66.869561623755814</v>
      </c>
      <c r="H23" s="1846">
        <f>IF(OwnerType="Merchant",'Income_Cash Flow'!J115,Income_Rev_Req!J119)</f>
        <v>67.799003098658943</v>
      </c>
      <c r="I23" s="1846">
        <f>IF(OwnerType="Merchant",'Income_Cash Flow'!K115,Income_Rev_Req!K119)</f>
        <v>68.630688932252923</v>
      </c>
      <c r="J23" s="1846">
        <f>IF(OwnerType="Merchant",'Income_Cash Flow'!L115,Income_Rev_Req!L119)</f>
        <v>69.430766012414821</v>
      </c>
      <c r="K23" s="1846">
        <f>IF(OwnerType="Merchant",'Income_Cash Flow'!M115,Income_Rev_Req!M119)</f>
        <v>70.218994192675254</v>
      </c>
      <c r="L23" s="1846">
        <f>IF(OwnerType="Merchant",'Income_Cash Flow'!N115,Income_Rev_Req!N119)</f>
        <v>71.026037490210442</v>
      </c>
      <c r="M23" s="1846">
        <f>IF(OwnerType="Merchant",'Income_Cash Flow'!O115,Income_Rev_Req!O119)</f>
        <v>71.851657902596429</v>
      </c>
      <c r="N23" s="1846">
        <f>IF(OwnerType="Merchant",'Income_Cash Flow'!P115,Income_Rev_Req!P119)</f>
        <v>72.717808083114861</v>
      </c>
      <c r="O23" s="1846">
        <f>IF(OwnerType="Merchant",'Income_Cash Flow'!Q115,Income_Rev_Req!Q119)</f>
        <v>73.594399444214361</v>
      </c>
      <c r="P23" s="1846">
        <f>IF(OwnerType="Merchant",'Income_Cash Flow'!R115,Income_Rev_Req!R119)</f>
        <v>74.481557851194509</v>
      </c>
      <c r="Q23" s="1846">
        <f>IF(OwnerType="Merchant",'Income_Cash Flow'!S115,Income_Rev_Req!S119)</f>
        <v>75.379410686623288</v>
      </c>
      <c r="R23" s="1846">
        <f>IF(OwnerType="Merchant",'Income_Cash Flow'!T115,Income_Rev_Req!T119)</f>
        <v>76.28808686862736</v>
      </c>
      <c r="S23" s="1846">
        <f>IF(OwnerType="Merchant",'Income_Cash Flow'!U115,Income_Rev_Req!U119)</f>
        <v>77.207716869402589</v>
      </c>
      <c r="T23" s="1846">
        <f>IF(OwnerType="Merchant",'Income_Cash Flow'!V115,Income_Rev_Req!V119)</f>
        <v>78.13843273394815</v>
      </c>
      <c r="U23" s="1846">
        <f>IF(OwnerType="Merchant",'Income_Cash Flow'!W115,Income_Rev_Req!W119)</f>
        <v>79.080368099026089</v>
      </c>
      <c r="V23" s="1846">
        <f>IF(OwnerType="Merchant",'Income_Cash Flow'!X115,Income_Rev_Req!X119)</f>
        <v>80.03365821234938</v>
      </c>
      <c r="W23" s="4318">
        <f>IF(OwnerType="Merchant",'Income_Cash Flow'!Y115,Income_Rev_Req!Y119)</f>
        <v>80.998439952001789</v>
      </c>
    </row>
    <row r="24" spans="1:25">
      <c r="A24" s="4321" t="s">
        <v>959</v>
      </c>
      <c r="B24" s="1846">
        <f>IF(OwnerType="Merchant",'Income_Cash Flow'!D116,Income_Rev_Req!D120)</f>
        <v>12.202695821312826</v>
      </c>
      <c r="C24" s="1846">
        <f>IF(OwnerType="Merchant",'Income_Cash Flow'!E116,Income_Rev_Req!E120)</f>
        <v>157.07763775156766</v>
      </c>
      <c r="D24" s="1846">
        <f>IF(OwnerType="Merchant",'Income_Cash Flow'!F116,Income_Rev_Req!F120)</f>
        <v>10.15029321716221</v>
      </c>
      <c r="E24" s="1846">
        <f>IF(OwnerType="Merchant",'Income_Cash Flow'!G116,Income_Rev_Req!G120)</f>
        <v>10.329465647060422</v>
      </c>
      <c r="F24" s="1846">
        <f>IF(OwnerType="Merchant",'Income_Cash Flow'!H116,Income_Rev_Req!H120)</f>
        <v>10.511800819053745</v>
      </c>
      <c r="G24" s="1846">
        <f>IF(OwnerType="Merchant",'Income_Cash Flow'!I116,Income_Rev_Req!I120)</f>
        <v>10.697354561695523</v>
      </c>
      <c r="H24" s="1846">
        <f>IF(OwnerType="Merchant",'Income_Cash Flow'!J116,Income_Rev_Req!J120)</f>
        <v>10.886183689021717</v>
      </c>
      <c r="I24" s="1846">
        <f>IF(OwnerType="Merchant",'Income_Cash Flow'!K116,Income_Rev_Req!K120)</f>
        <v>11.078346017946597</v>
      </c>
      <c r="J24" s="1846">
        <f>IF(OwnerType="Merchant",'Income_Cash Flow'!L116,Income_Rev_Req!L120)</f>
        <v>11.273900385965499</v>
      </c>
      <c r="K24" s="1846">
        <f>IF(OwnerType="Merchant",'Income_Cash Flow'!M116,Income_Rev_Req!M120)</f>
        <v>11.472906669170055</v>
      </c>
      <c r="L24" s="1846">
        <f>IF(OwnerType="Merchant",'Income_Cash Flow'!N116,Income_Rev_Req!N120)</f>
        <v>11.675425800581445</v>
      </c>
      <c r="M24" s="1846">
        <f>IF(OwnerType="Merchant",'Income_Cash Flow'!O116,Income_Rev_Req!O120)</f>
        <v>11.881519788807266</v>
      </c>
      <c r="N24" s="1846">
        <f>IF(OwnerType="Merchant",'Income_Cash Flow'!P116,Income_Rev_Req!P120)</f>
        <v>12.091251737027724</v>
      </c>
      <c r="O24" s="1846">
        <f>IF(OwnerType="Merchant",'Income_Cash Flow'!Q116,Income_Rev_Req!Q120)</f>
        <v>12.304685862316953</v>
      </c>
      <c r="P24" s="1846">
        <f>IF(OwnerType="Merchant",'Income_Cash Flow'!R116,Income_Rev_Req!R120)</f>
        <v>12.521887515305451</v>
      </c>
      <c r="Q24" s="1846">
        <f>IF(OwnerType="Merchant",'Income_Cash Flow'!S116,Income_Rev_Req!S120)</f>
        <v>12.742923200189502</v>
      </c>
      <c r="R24" s="1846">
        <f>IF(OwnerType="Merchant",'Income_Cash Flow'!T116,Income_Rev_Req!T120)</f>
        <v>12.967860595093903</v>
      </c>
      <c r="S24" s="1846">
        <f>IF(OwnerType="Merchant",'Income_Cash Flow'!U116,Income_Rev_Req!U120)</f>
        <v>13.196768572794062</v>
      </c>
      <c r="T24" s="1846">
        <f>IF(OwnerType="Merchant",'Income_Cash Flow'!V116,Income_Rev_Req!V120)</f>
        <v>13.429717221803923</v>
      </c>
      <c r="U24" s="1846">
        <f>IF(OwnerType="Merchant",'Income_Cash Flow'!W116,Income_Rev_Req!W120)</f>
        <v>13.6667778678361</v>
      </c>
      <c r="V24" s="1846">
        <f>IF(OwnerType="Merchant",'Income_Cash Flow'!X116,Income_Rev_Req!X120)</f>
        <v>13.908023095640848</v>
      </c>
      <c r="W24" s="1846">
        <f>IF(OwnerType="Merchant",'Income_Cash Flow'!Y116,Income_Rev_Req!Y120)</f>
        <v>14.153526771230542</v>
      </c>
      <c r="X24" s="11"/>
    </row>
    <row r="25" spans="1:25" ht="13.5" thickBot="1">
      <c r="A25" s="1826" t="s">
        <v>120</v>
      </c>
      <c r="B25" s="1850">
        <f>IF(OwnerType="Merchant",'Income_Cash Flow'!D117,Income_Rev_Req!D121)</f>
        <v>85.120843606531508</v>
      </c>
      <c r="C25" s="1850">
        <f>IF(OwnerType="Merchant",'Income_Cash Flow'!E117,Income_Rev_Req!E121)</f>
        <v>1095.7071480698539</v>
      </c>
      <c r="D25" s="1850">
        <f>IF(OwnerType="Merchant",'Income_Cash Flow'!F117,Income_Rev_Req!F121)</f>
        <v>73.676591367554053</v>
      </c>
      <c r="E25" s="1850">
        <f>IF(OwnerType="Merchant",'Income_Cash Flow'!G117,Income_Rev_Req!G121)</f>
        <v>75.080930618349498</v>
      </c>
      <c r="F25" s="1850">
        <f>IF(OwnerType="Merchant",'Income_Cash Flow'!H117,Income_Rev_Req!H121)</f>
        <v>76.330469910471649</v>
      </c>
      <c r="G25" s="1850">
        <f>IF(OwnerType="Merchant",'Income_Cash Flow'!I117,Income_Rev_Req!I121)</f>
        <v>77.566916185451333</v>
      </c>
      <c r="H25" s="1850">
        <f>IF(OwnerType="Merchant",'Income_Cash Flow'!J117,Income_Rev_Req!J121)</f>
        <v>78.685186787680664</v>
      </c>
      <c r="I25" s="1850">
        <f>IF(OwnerType="Merchant",'Income_Cash Flow'!K117,Income_Rev_Req!K121)</f>
        <v>79.709034950199523</v>
      </c>
      <c r="J25" s="1850">
        <f>IF(OwnerType="Merchant",'Income_Cash Flow'!L117,Income_Rev_Req!L121)</f>
        <v>80.704666398380326</v>
      </c>
      <c r="K25" s="1850">
        <f>IF(OwnerType="Merchant",'Income_Cash Flow'!M117,Income_Rev_Req!M121)</f>
        <v>81.691900861845312</v>
      </c>
      <c r="L25" s="1850">
        <f>IF(OwnerType="Merchant",'Income_Cash Flow'!N117,Income_Rev_Req!N121)</f>
        <v>82.701463290791892</v>
      </c>
      <c r="M25" s="1850">
        <f>IF(OwnerType="Merchant",'Income_Cash Flow'!O117,Income_Rev_Req!O121)</f>
        <v>83.733177691403696</v>
      </c>
      <c r="N25" s="1850">
        <f>IF(OwnerType="Merchant",'Income_Cash Flow'!P117,Income_Rev_Req!P121)</f>
        <v>84.809059820142579</v>
      </c>
      <c r="O25" s="1850">
        <f>IF(OwnerType="Merchant",'Income_Cash Flow'!Q117,Income_Rev_Req!Q121)</f>
        <v>85.899085306531319</v>
      </c>
      <c r="P25" s="1850">
        <f>IF(OwnerType="Merchant",'Income_Cash Flow'!R117,Income_Rev_Req!R121)</f>
        <v>87.00344536649996</v>
      </c>
      <c r="Q25" s="1850">
        <f>IF(OwnerType="Merchant",'Income_Cash Flow'!S117,Income_Rev_Req!S121)</f>
        <v>88.122333886812783</v>
      </c>
      <c r="R25" s="1850">
        <f>IF(OwnerType="Merchant",'Income_Cash Flow'!T117,Income_Rev_Req!T121)</f>
        <v>89.25594746372127</v>
      </c>
      <c r="S25" s="1850">
        <f>IF(OwnerType="Merchant",'Income_Cash Flow'!U117,Income_Rev_Req!U121)</f>
        <v>90.404485442196645</v>
      </c>
      <c r="T25" s="1850">
        <f>IF(OwnerType="Merchant",'Income_Cash Flow'!V117,Income_Rev_Req!V121)</f>
        <v>91.568149955752077</v>
      </c>
      <c r="U25" s="1850">
        <f>IF(OwnerType="Merchant",'Income_Cash Flow'!W117,Income_Rev_Req!W121)</f>
        <v>92.747145966862192</v>
      </c>
      <c r="V25" s="1850">
        <f>IF(OwnerType="Merchant",'Income_Cash Flow'!X117,Income_Rev_Req!X121)</f>
        <v>93.941681307990223</v>
      </c>
      <c r="W25" s="4319">
        <f>IF(OwnerType="Merchant",'Income_Cash Flow'!Y117,Income_Rev_Req!Y121)</f>
        <v>95.151966723232334</v>
      </c>
    </row>
    <row r="26" spans="1:25" ht="13.5" thickBot="1">
      <c r="A26" s="1802"/>
      <c r="B26" s="1802"/>
      <c r="C26" s="1802"/>
      <c r="D26" s="1802"/>
      <c r="E26" s="1802"/>
      <c r="F26" s="1802"/>
      <c r="G26" s="1802"/>
      <c r="H26" s="1802"/>
      <c r="I26" s="1802"/>
      <c r="J26" s="1802"/>
      <c r="K26" s="1802"/>
      <c r="L26" s="1802"/>
      <c r="M26" s="1802"/>
      <c r="N26" s="1802"/>
      <c r="O26" s="1802"/>
      <c r="P26" s="1802"/>
      <c r="Q26" s="1802"/>
      <c r="R26" s="1802"/>
      <c r="S26" s="1802"/>
      <c r="T26" s="1802"/>
      <c r="U26" s="1802"/>
      <c r="V26" s="1802"/>
      <c r="W26" s="1802"/>
    </row>
    <row r="27" spans="1:25" ht="13.5" thickBot="1">
      <c r="A27" s="4471" t="s">
        <v>468</v>
      </c>
      <c r="B27" s="4472"/>
      <c r="C27" s="4472"/>
      <c r="D27" s="4472"/>
      <c r="E27" s="4472"/>
      <c r="F27" s="4473"/>
      <c r="G27" s="1802"/>
      <c r="H27" s="1802"/>
      <c r="I27" s="1802"/>
      <c r="J27" s="1802"/>
      <c r="K27" s="1802"/>
      <c r="L27" s="1802"/>
      <c r="M27" s="1802"/>
      <c r="N27" s="1802"/>
      <c r="O27" s="1802"/>
      <c r="P27" s="1802"/>
      <c r="Q27" s="1802"/>
      <c r="R27" s="1802"/>
      <c r="S27" s="1802"/>
      <c r="T27" s="1802"/>
      <c r="U27" s="1802"/>
      <c r="V27" s="1802"/>
      <c r="W27" s="1802"/>
    </row>
    <row r="28" spans="1:25">
      <c r="A28" s="1837"/>
      <c r="B28" s="1838" t="s">
        <v>305</v>
      </c>
      <c r="C28" s="1838" t="s">
        <v>1153</v>
      </c>
      <c r="D28" s="1839">
        <f>Income_Rev_Req!F4</f>
        <v>2013</v>
      </c>
      <c r="E28" s="1839">
        <f>Income_Rev_Req!G4</f>
        <v>2014</v>
      </c>
      <c r="F28" s="1839">
        <f>Income_Rev_Req!H4</f>
        <v>2015</v>
      </c>
      <c r="G28" s="1839">
        <f>Income_Rev_Req!I4</f>
        <v>2016</v>
      </c>
      <c r="H28" s="1839">
        <f>Income_Rev_Req!J4</f>
        <v>2017</v>
      </c>
      <c r="I28" s="1839">
        <f>Income_Rev_Req!K4</f>
        <v>2018</v>
      </c>
      <c r="J28" s="1839">
        <f>Income_Rev_Req!L4</f>
        <v>2019</v>
      </c>
      <c r="K28" s="1839">
        <f>Income_Rev_Req!M4</f>
        <v>2020</v>
      </c>
      <c r="L28" s="1839">
        <f>Income_Rev_Req!N4</f>
        <v>2021</v>
      </c>
      <c r="M28" s="1839">
        <f>Income_Rev_Req!O4</f>
        <v>2022</v>
      </c>
      <c r="N28" s="1839">
        <f>Income_Rev_Req!P4</f>
        <v>2023</v>
      </c>
      <c r="O28" s="1839">
        <f>Income_Rev_Req!Q4</f>
        <v>2024</v>
      </c>
      <c r="P28" s="1839">
        <f>Income_Rev_Req!R4</f>
        <v>2025</v>
      </c>
      <c r="Q28" s="1839">
        <f>Income_Rev_Req!S4</f>
        <v>2026</v>
      </c>
      <c r="R28" s="1839">
        <f>Income_Rev_Req!T4</f>
        <v>2027</v>
      </c>
      <c r="S28" s="1839">
        <f>Income_Rev_Req!U4</f>
        <v>2028</v>
      </c>
      <c r="T28" s="1839">
        <f>Income_Rev_Req!V4</f>
        <v>2029</v>
      </c>
      <c r="U28" s="1839">
        <f>Income_Rev_Req!W4</f>
        <v>2030</v>
      </c>
      <c r="V28" s="1839">
        <f>Income_Rev_Req!X4</f>
        <v>2031</v>
      </c>
      <c r="W28" s="1840">
        <f>Income_Rev_Req!Y4</f>
        <v>2032</v>
      </c>
      <c r="X28" s="2329"/>
      <c r="Y28" s="2329"/>
    </row>
    <row r="29" spans="1:25">
      <c r="A29" s="1845" t="s">
        <v>237</v>
      </c>
      <c r="B29" s="1846">
        <f>Income_Rev_Req!D125</f>
        <v>120.75219369093548</v>
      </c>
      <c r="C29" s="1846">
        <f>Income_Rev_Req!E125</f>
        <v>1554.3671346100377</v>
      </c>
      <c r="D29" s="2112">
        <f>Income_Rev_Req!F125</f>
        <v>102.66534834660004</v>
      </c>
      <c r="E29" s="2112">
        <f>Income_Rev_Req!G125</f>
        <v>104.27061438382614</v>
      </c>
      <c r="F29" s="2112">
        <f>Income_Rev_Req!H125</f>
        <v>105.90098021462204</v>
      </c>
      <c r="G29" s="2112">
        <f>Income_Rev_Req!I125</f>
        <v>107.55683829707422</v>
      </c>
      <c r="H29" s="2112">
        <f>Income_Rev_Req!J125</f>
        <v>109.23858722570803</v>
      </c>
      <c r="I29" s="2112">
        <f>Income_Rev_Req!K125</f>
        <v>110.94663182743656</v>
      </c>
      <c r="J29" s="2112">
        <f>Income_Rev_Req!L125</f>
        <v>112.68138325900965</v>
      </c>
      <c r="K29" s="2112">
        <f>Income_Rev_Req!M125</f>
        <v>114.44325910598654</v>
      </c>
      <c r="L29" s="2112">
        <f>Income_Rev_Req!N125</f>
        <v>116.23268348325639</v>
      </c>
      <c r="M29" s="2112">
        <f>Income_Rev_Req!O125</f>
        <v>118.05008713713005</v>
      </c>
      <c r="N29" s="2112">
        <f>Income_Rev_Req!P125</f>
        <v>119.89590754902846</v>
      </c>
      <c r="O29" s="2112">
        <f>Income_Rev_Req!Q125</f>
        <v>121.77058904079227</v>
      </c>
      <c r="P29" s="2112">
        <f>Income_Rev_Req!R125</f>
        <v>123.67458288163795</v>
      </c>
      <c r="Q29" s="2112">
        <f>Income_Rev_Req!S125</f>
        <v>125.60834739678627</v>
      </c>
      <c r="R29" s="2112">
        <f>Income_Rev_Req!T125</f>
        <v>127.57234807778953</v>
      </c>
      <c r="S29" s="2112">
        <f>Income_Rev_Req!U125</f>
        <v>129.56705769458344</v>
      </c>
      <c r="T29" s="2112">
        <f>Income_Rev_Req!V125</f>
        <v>131.59295640929145</v>
      </c>
      <c r="U29" s="2112">
        <f>Income_Rev_Req!W125</f>
        <v>133.65053189180827</v>
      </c>
      <c r="V29" s="2112">
        <f>Income_Rev_Req!X125</f>
        <v>135.74027943719054</v>
      </c>
      <c r="W29" s="2113">
        <f>Income_Rev_Req!Y125</f>
        <v>137.86270208488341</v>
      </c>
    </row>
    <row r="30" spans="1:25">
      <c r="A30" s="1845" t="s">
        <v>235</v>
      </c>
      <c r="B30" s="1846">
        <f>Income_Rev_Req!D126</f>
        <v>22.221437285627655</v>
      </c>
      <c r="C30" s="1846">
        <f>Income_Rev_Req!E126</f>
        <v>286.04260299389119</v>
      </c>
      <c r="D30" s="2112">
        <f>Income_Rev_Req!F126</f>
        <v>20.708378063895047</v>
      </c>
      <c r="E30" s="2112">
        <f>Income_Rev_Req!G126</f>
        <v>20.881151654492193</v>
      </c>
      <c r="F30" s="2112">
        <f>Income_Rev_Req!H126</f>
        <v>21.163564673153942</v>
      </c>
      <c r="G30" s="2112">
        <f>Income_Rev_Req!I126</f>
        <v>21.335803710978098</v>
      </c>
      <c r="H30" s="2112">
        <f>Income_Rev_Req!J126</f>
        <v>21.506524839752316</v>
      </c>
      <c r="I30" s="2112">
        <f>Income_Rev_Req!K126</f>
        <v>21.793346731107619</v>
      </c>
      <c r="J30" s="2112">
        <f>Income_Rev_Req!L126</f>
        <v>21.962996701798005</v>
      </c>
      <c r="K30" s="2112">
        <f>Income_Rev_Req!M126</f>
        <v>22.130776411495617</v>
      </c>
      <c r="L30" s="2112">
        <f>Income_Rev_Req!N126</f>
        <v>22.296544267933541</v>
      </c>
      <c r="M30" s="2112">
        <f>Income_Rev_Req!O126</f>
        <v>22.460153782289893</v>
      </c>
      <c r="N30" s="2112">
        <f>Income_Rev_Req!P126</f>
        <v>22.621453430299255</v>
      </c>
      <c r="O30" s="2112">
        <f>Income_Rev_Req!Q126</f>
        <v>22.780286509771486</v>
      </c>
      <c r="P30" s="2112">
        <f>Income_Rev_Req!R126</f>
        <v>22.801236403795031</v>
      </c>
      <c r="Q30" s="2112">
        <f>Income_Rev_Req!S126</f>
        <v>22.951939701547317</v>
      </c>
      <c r="R30" s="2112">
        <f>Income_Rev_Req!T126</f>
        <v>23.099619674279253</v>
      </c>
      <c r="S30" s="2112">
        <f>Income_Rev_Req!U126</f>
        <v>23.100563072697781</v>
      </c>
      <c r="T30" s="2112">
        <f>Income_Rev_Req!V126</f>
        <v>23.238779774317223</v>
      </c>
      <c r="U30" s="2112">
        <f>Income_Rev_Req!W126</f>
        <v>23.224025680195339</v>
      </c>
      <c r="V30" s="2112">
        <f>Income_Rev_Req!X126</f>
        <v>23.351778590228335</v>
      </c>
      <c r="W30" s="2113">
        <f>Income_Rev_Req!Y126</f>
        <v>23.320062346460759</v>
      </c>
    </row>
    <row r="31" spans="1:25" ht="13.5" thickBot="1">
      <c r="A31" s="1849" t="s">
        <v>120</v>
      </c>
      <c r="B31" s="1850">
        <f>Income_Rev_Req!D127</f>
        <v>142.97363097656313</v>
      </c>
      <c r="C31" s="1850">
        <f>Income_Rev_Req!E127</f>
        <v>1840.4097376039288</v>
      </c>
      <c r="D31" s="2114">
        <f>Income_Rev_Req!F127</f>
        <v>123.3737264104951</v>
      </c>
      <c r="E31" s="2114">
        <f>Income_Rev_Req!G127</f>
        <v>125.15176603831833</v>
      </c>
      <c r="F31" s="2114">
        <f>Income_Rev_Req!H127</f>
        <v>127.06454488777598</v>
      </c>
      <c r="G31" s="2114">
        <f>Income_Rev_Req!I127</f>
        <v>128.89264200805232</v>
      </c>
      <c r="H31" s="2114">
        <f>Income_Rev_Req!J127</f>
        <v>130.74511206546035</v>
      </c>
      <c r="I31" s="2114">
        <f>Income_Rev_Req!K127</f>
        <v>132.73997855854418</v>
      </c>
      <c r="J31" s="2114">
        <f>Income_Rev_Req!L127</f>
        <v>134.64437996080767</v>
      </c>
      <c r="K31" s="2114">
        <f>Income_Rev_Req!M127</f>
        <v>136.57403551748217</v>
      </c>
      <c r="L31" s="2114">
        <f>Income_Rev_Req!N127</f>
        <v>138.52922775118992</v>
      </c>
      <c r="M31" s="2114">
        <f>Income_Rev_Req!O127</f>
        <v>140.51024091941994</v>
      </c>
      <c r="N31" s="2114">
        <f>Income_Rev_Req!P127</f>
        <v>142.51736097932772</v>
      </c>
      <c r="O31" s="2114">
        <f>Income_Rev_Req!Q127</f>
        <v>144.55087555056377</v>
      </c>
      <c r="P31" s="2114">
        <f>Income_Rev_Req!R127</f>
        <v>146.47581928543298</v>
      </c>
      <c r="Q31" s="2114">
        <f>Income_Rev_Req!S127</f>
        <v>148.56028709833359</v>
      </c>
      <c r="R31" s="2114">
        <f>Income_Rev_Req!T127</f>
        <v>150.67196775206878</v>
      </c>
      <c r="S31" s="2114">
        <f>Income_Rev_Req!U127</f>
        <v>152.66762076728122</v>
      </c>
      <c r="T31" s="2114">
        <f>Income_Rev_Req!V127</f>
        <v>154.83173618360865</v>
      </c>
      <c r="U31" s="2114">
        <f>Income_Rev_Req!W127</f>
        <v>156.8745575720036</v>
      </c>
      <c r="V31" s="2114">
        <f>Income_Rev_Req!X127</f>
        <v>159.09205802741889</v>
      </c>
      <c r="W31" s="2115">
        <f>Income_Rev_Req!Y127</f>
        <v>161.18276443134417</v>
      </c>
    </row>
  </sheetData>
  <mergeCells count="1">
    <mergeCell ref="A27:F27"/>
  </mergeCell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92D050"/>
    <pageSetUpPr fitToPage="1"/>
  </sheetPr>
  <dimension ref="A1:AM817"/>
  <sheetViews>
    <sheetView topLeftCell="G1" zoomScale="70" zoomScaleNormal="70" workbookViewId="0"/>
  </sheetViews>
  <sheetFormatPr defaultRowHeight="12.75"/>
  <cols>
    <col min="3" max="3" width="45.7109375" customWidth="1"/>
    <col min="4" max="4" width="9.28515625" customWidth="1"/>
    <col min="5" max="5" width="8.7109375" customWidth="1"/>
    <col min="6" max="6" width="7" customWidth="1"/>
    <col min="7" max="7" width="8.42578125" customWidth="1"/>
    <col min="8" max="8" width="9.7109375" customWidth="1"/>
    <col min="9" max="9" width="6.5703125" customWidth="1"/>
    <col min="10" max="11" width="9.5703125" bestFit="1" customWidth="1"/>
  </cols>
  <sheetData>
    <row r="1" spans="1:39">
      <c r="A1" s="2308"/>
      <c r="B1" s="2309"/>
      <c r="C1" s="2309"/>
      <c r="D1" s="2309"/>
      <c r="E1" s="2309"/>
      <c r="F1" s="2309"/>
      <c r="G1" s="2309"/>
      <c r="H1" s="2309"/>
      <c r="I1" s="2309"/>
      <c r="J1" s="2309"/>
      <c r="K1" s="2309"/>
      <c r="L1" s="2309"/>
      <c r="M1" s="2309"/>
      <c r="N1" s="2309"/>
      <c r="O1" s="2309"/>
      <c r="P1" s="2309"/>
      <c r="Q1" s="2309"/>
      <c r="R1" s="2309"/>
      <c r="S1" s="2309"/>
      <c r="T1" s="2309"/>
      <c r="U1" s="2309"/>
      <c r="V1" s="2309"/>
      <c r="W1" s="2309"/>
      <c r="X1" s="2309"/>
      <c r="Y1" s="2309"/>
      <c r="Z1" s="2309"/>
      <c r="AA1" s="2309"/>
      <c r="AB1" s="2309"/>
      <c r="AC1" s="2309"/>
      <c r="AD1" s="2309"/>
      <c r="AE1" s="2309"/>
      <c r="AF1" s="2309"/>
      <c r="AG1" s="2309"/>
      <c r="AH1" s="2309"/>
      <c r="AI1" s="2309"/>
      <c r="AJ1" s="2309"/>
      <c r="AK1" s="2309"/>
      <c r="AL1" s="2309"/>
      <c r="AM1" s="2310"/>
    </row>
    <row r="2" spans="1:39">
      <c r="A2" s="2312"/>
      <c r="B2" s="2307"/>
      <c r="C2" s="2307"/>
      <c r="D2" s="2307"/>
      <c r="E2" s="2307"/>
      <c r="F2" s="2307"/>
      <c r="G2" s="2307"/>
      <c r="H2" s="2307"/>
      <c r="I2" s="2307"/>
      <c r="J2" s="2307"/>
      <c r="K2" s="2307"/>
      <c r="L2" s="2307"/>
      <c r="M2" s="2307"/>
      <c r="N2" s="2307"/>
      <c r="O2" s="2307"/>
      <c r="P2" s="2307"/>
      <c r="Q2" s="2307"/>
      <c r="R2" s="2307"/>
      <c r="S2" s="2307"/>
      <c r="T2" s="2307"/>
      <c r="U2" s="2307"/>
      <c r="V2" s="2307"/>
      <c r="W2" s="2307"/>
      <c r="X2" s="2307"/>
      <c r="Y2" s="2307"/>
      <c r="Z2" s="2307"/>
      <c r="AA2" s="2307"/>
      <c r="AB2" s="2307"/>
      <c r="AC2" s="2307"/>
      <c r="AD2" s="2307"/>
      <c r="AE2" s="2307"/>
      <c r="AF2" s="2307"/>
      <c r="AG2" s="2307"/>
      <c r="AH2" s="2307"/>
      <c r="AI2" s="2307"/>
      <c r="AJ2" s="2307"/>
      <c r="AK2" s="2307"/>
      <c r="AL2" s="2307"/>
      <c r="AM2" s="2311"/>
    </row>
    <row r="3" spans="1:39">
      <c r="A3" s="2312"/>
      <c r="B3" s="2307"/>
      <c r="C3" s="2307"/>
      <c r="D3" s="2307"/>
      <c r="E3" s="2307"/>
      <c r="F3" s="2307"/>
      <c r="G3" s="2307"/>
      <c r="H3" s="2307"/>
      <c r="I3" s="2307"/>
      <c r="J3" s="2307"/>
      <c r="K3" s="2307"/>
      <c r="L3" s="2307"/>
      <c r="M3" s="2307"/>
      <c r="N3" s="2307"/>
      <c r="O3" s="2307"/>
      <c r="P3" s="2307"/>
      <c r="Q3" s="2307"/>
      <c r="R3" s="2307"/>
      <c r="S3" s="2307"/>
      <c r="T3" s="2307"/>
      <c r="U3" s="2307"/>
      <c r="V3" s="2307"/>
      <c r="W3" s="2307"/>
      <c r="X3" s="2307"/>
      <c r="Y3" s="2307"/>
      <c r="Z3" s="2307"/>
      <c r="AA3" s="2307"/>
      <c r="AB3" s="2307"/>
      <c r="AC3" s="2307"/>
      <c r="AD3" s="2307"/>
      <c r="AE3" s="2307"/>
      <c r="AF3" s="2307"/>
      <c r="AG3" s="2307"/>
      <c r="AH3" s="2307"/>
      <c r="AI3" s="2307"/>
      <c r="AJ3" s="2307"/>
      <c r="AK3" s="2307"/>
      <c r="AL3" s="2307"/>
      <c r="AM3" s="2311"/>
    </row>
    <row r="4" spans="1:39">
      <c r="A4" s="2312"/>
      <c r="B4" s="2307"/>
      <c r="C4" s="2307"/>
      <c r="D4" s="2307"/>
      <c r="E4" s="2307"/>
      <c r="F4" s="2307"/>
      <c r="G4" s="2307"/>
      <c r="H4" s="2307"/>
      <c r="I4" s="2307"/>
      <c r="J4" s="2307"/>
      <c r="K4" s="2307"/>
      <c r="L4" s="2307"/>
      <c r="M4" s="2307"/>
      <c r="N4" s="2307"/>
      <c r="O4" s="2307"/>
      <c r="P4" s="2307"/>
      <c r="Q4" s="2307"/>
      <c r="R4" s="2307"/>
      <c r="S4" s="2307"/>
      <c r="T4" s="2307"/>
      <c r="U4" s="2307"/>
      <c r="V4" s="2307"/>
      <c r="W4" s="2307"/>
      <c r="X4" s="2307"/>
      <c r="Y4" s="2307"/>
      <c r="Z4" s="2307"/>
      <c r="AA4" s="2307"/>
      <c r="AB4" s="2307"/>
      <c r="AC4" s="2307"/>
      <c r="AD4" s="2307"/>
      <c r="AE4" s="2307"/>
      <c r="AF4" s="2307"/>
      <c r="AG4" s="2307"/>
      <c r="AH4" s="2307"/>
      <c r="AI4" s="2307"/>
      <c r="AJ4" s="2307"/>
      <c r="AK4" s="2307"/>
      <c r="AL4" s="2307"/>
      <c r="AM4" s="2311"/>
    </row>
    <row r="5" spans="1:39">
      <c r="A5" s="2312"/>
      <c r="B5" s="2307"/>
      <c r="C5" s="2307"/>
      <c r="D5" s="2307"/>
      <c r="E5" s="2307"/>
      <c r="F5" s="2307"/>
      <c r="G5" s="2307"/>
      <c r="H5" s="2307"/>
      <c r="I5" s="2307"/>
      <c r="J5" s="2307"/>
      <c r="K5" s="2307"/>
      <c r="L5" s="2307"/>
      <c r="M5" s="2307"/>
      <c r="N5" s="2307"/>
      <c r="O5" s="2307"/>
      <c r="P5" s="2307"/>
      <c r="Q5" s="2307"/>
      <c r="R5" s="2307"/>
      <c r="S5" s="2307"/>
      <c r="T5" s="2307"/>
      <c r="U5" s="2307"/>
      <c r="V5" s="2307"/>
      <c r="W5" s="2307"/>
      <c r="X5" s="2307"/>
      <c r="Y5" s="2307"/>
      <c r="Z5" s="2307"/>
      <c r="AA5" s="2307"/>
      <c r="AB5" s="2307"/>
      <c r="AC5" s="2307"/>
      <c r="AD5" s="2307"/>
      <c r="AE5" s="2307"/>
      <c r="AF5" s="2307"/>
      <c r="AG5" s="2307"/>
      <c r="AH5" s="2307"/>
      <c r="AI5" s="2307"/>
      <c r="AJ5" s="2307"/>
      <c r="AK5" s="2307"/>
      <c r="AL5" s="2307"/>
      <c r="AM5" s="2311"/>
    </row>
    <row r="6" spans="1:39">
      <c r="A6" s="2312"/>
      <c r="B6" s="2307"/>
      <c r="C6" s="2307"/>
      <c r="D6" s="2307"/>
      <c r="E6" s="2307"/>
      <c r="F6" s="2307"/>
      <c r="G6" s="2307"/>
      <c r="H6" s="2307"/>
      <c r="I6" s="2307"/>
      <c r="J6" s="2307"/>
      <c r="K6" s="2307"/>
      <c r="L6" s="2307"/>
      <c r="M6" s="2307"/>
      <c r="N6" s="2307"/>
      <c r="O6" s="2307"/>
      <c r="P6" s="2307"/>
      <c r="Q6" s="2307"/>
      <c r="R6" s="2307"/>
      <c r="S6" s="2307"/>
      <c r="T6" s="2307"/>
      <c r="U6" s="2307"/>
      <c r="V6" s="2307"/>
      <c r="W6" s="2307"/>
      <c r="X6" s="2307"/>
      <c r="Y6" s="2307"/>
      <c r="Z6" s="2307"/>
      <c r="AA6" s="2307"/>
      <c r="AB6" s="2307"/>
      <c r="AC6" s="2307"/>
      <c r="AD6" s="2307"/>
      <c r="AE6" s="2307"/>
      <c r="AF6" s="2307"/>
      <c r="AG6" s="2307"/>
      <c r="AH6" s="2307"/>
      <c r="AI6" s="2307"/>
      <c r="AJ6" s="2307"/>
      <c r="AK6" s="2307"/>
      <c r="AL6" s="2307"/>
      <c r="AM6" s="2311"/>
    </row>
    <row r="7" spans="1:39">
      <c r="A7" s="2312"/>
      <c r="B7" s="2307"/>
      <c r="C7" s="2307"/>
      <c r="D7" s="2307"/>
      <c r="E7" s="2307"/>
      <c r="F7" s="2307"/>
      <c r="G7" s="2307"/>
      <c r="H7" s="2307"/>
      <c r="I7" s="2307"/>
      <c r="J7" s="2307"/>
      <c r="K7" s="2307"/>
      <c r="L7" s="2307"/>
      <c r="M7" s="2307"/>
      <c r="N7" s="2307"/>
      <c r="O7" s="2307"/>
      <c r="P7" s="2307"/>
      <c r="Q7" s="2307"/>
      <c r="R7" s="2307"/>
      <c r="S7" s="2307"/>
      <c r="T7" s="2307"/>
      <c r="U7" s="2307"/>
      <c r="V7" s="2307"/>
      <c r="W7" s="2307"/>
      <c r="X7" s="2307"/>
      <c r="Y7" s="2307"/>
      <c r="Z7" s="2307"/>
      <c r="AA7" s="2307"/>
      <c r="AB7" s="2307"/>
      <c r="AC7" s="2307"/>
      <c r="AD7" s="2307"/>
      <c r="AE7" s="2307"/>
      <c r="AF7" s="2307"/>
      <c r="AG7" s="2307"/>
      <c r="AH7" s="2307"/>
      <c r="AI7" s="2307"/>
      <c r="AJ7" s="2307"/>
      <c r="AK7" s="2307"/>
      <c r="AL7" s="2307"/>
      <c r="AM7" s="2311"/>
    </row>
    <row r="8" spans="1:39">
      <c r="A8" s="2312"/>
      <c r="B8" s="2307"/>
      <c r="C8" s="2307"/>
      <c r="D8" s="2307"/>
      <c r="E8" s="2307"/>
      <c r="F8" s="2307"/>
      <c r="G8" s="2307"/>
      <c r="H8" s="2307"/>
      <c r="I8" s="2307"/>
      <c r="J8" s="2307"/>
      <c r="K8" s="2307"/>
      <c r="L8" s="2307"/>
      <c r="M8" s="2307"/>
      <c r="N8" s="2307"/>
      <c r="O8" s="2307"/>
      <c r="P8" s="2307"/>
      <c r="Q8" s="2307"/>
      <c r="R8" s="2307"/>
      <c r="S8" s="2307"/>
      <c r="T8" s="2307"/>
      <c r="U8" s="2307"/>
      <c r="V8" s="2307"/>
      <c r="W8" s="2307"/>
      <c r="X8" s="2307"/>
      <c r="Y8" s="2307"/>
      <c r="Z8" s="2307"/>
      <c r="AA8" s="2307"/>
      <c r="AB8" s="2307"/>
      <c r="AC8" s="2307"/>
      <c r="AD8" s="2307"/>
      <c r="AE8" s="2307"/>
      <c r="AF8" s="2307"/>
      <c r="AG8" s="2307"/>
      <c r="AH8" s="2307"/>
      <c r="AI8" s="2307"/>
      <c r="AJ8" s="2307"/>
      <c r="AK8" s="2307"/>
      <c r="AL8" s="2307"/>
      <c r="AM8" s="2311"/>
    </row>
    <row r="9" spans="1:39">
      <c r="A9" s="2312"/>
      <c r="B9" s="2307"/>
      <c r="C9" s="2307"/>
      <c r="D9" s="2307"/>
      <c r="E9" s="2307"/>
      <c r="F9" s="2307"/>
      <c r="G9" s="2307"/>
      <c r="H9" s="2307"/>
      <c r="I9" s="2307"/>
      <c r="J9" s="2307"/>
      <c r="K9" s="2307"/>
      <c r="L9" s="2307"/>
      <c r="M9" s="2307"/>
      <c r="N9" s="2307"/>
      <c r="O9" s="2307"/>
      <c r="P9" s="2307"/>
      <c r="Q9" s="2307"/>
      <c r="R9" s="2307"/>
      <c r="S9" s="2307"/>
      <c r="T9" s="2307"/>
      <c r="U9" s="2307"/>
      <c r="V9" s="2307"/>
      <c r="W9" s="2307"/>
      <c r="X9" s="2307"/>
      <c r="Y9" s="2307"/>
      <c r="Z9" s="2307"/>
      <c r="AA9" s="2307"/>
      <c r="AB9" s="2307"/>
      <c r="AC9" s="2307"/>
      <c r="AD9" s="2307"/>
      <c r="AE9" s="2307"/>
      <c r="AF9" s="2307"/>
      <c r="AG9" s="2307"/>
      <c r="AH9" s="2307"/>
      <c r="AI9" s="2307"/>
      <c r="AJ9" s="2307"/>
      <c r="AK9" s="2307"/>
      <c r="AL9" s="2307"/>
      <c r="AM9" s="2311"/>
    </row>
    <row r="10" spans="1:39">
      <c r="A10" s="2312"/>
      <c r="B10" s="2307"/>
      <c r="C10" s="2307"/>
      <c r="D10" s="2307"/>
      <c r="E10" s="2307"/>
      <c r="F10" s="2307"/>
      <c r="G10" s="2307"/>
      <c r="H10" s="2307"/>
      <c r="I10" s="2307"/>
      <c r="J10" s="2307"/>
      <c r="K10" s="2307"/>
      <c r="L10" s="2307"/>
      <c r="M10" s="2307"/>
      <c r="N10" s="2307"/>
      <c r="O10" s="2307"/>
      <c r="P10" s="2307"/>
      <c r="Q10" s="2307"/>
      <c r="R10" s="2307"/>
      <c r="S10" s="2307"/>
      <c r="T10" s="2307"/>
      <c r="U10" s="2307"/>
      <c r="V10" s="2307"/>
      <c r="W10" s="2307"/>
      <c r="X10" s="2307"/>
      <c r="Y10" s="2307"/>
      <c r="Z10" s="2307"/>
      <c r="AA10" s="2307"/>
      <c r="AB10" s="2307"/>
      <c r="AC10" s="2307"/>
      <c r="AD10" s="2307"/>
      <c r="AE10" s="2307"/>
      <c r="AF10" s="2307"/>
      <c r="AG10" s="2307"/>
      <c r="AH10" s="2307"/>
      <c r="AI10" s="2307"/>
      <c r="AJ10" s="2307"/>
      <c r="AK10" s="2307"/>
      <c r="AL10" s="2307"/>
      <c r="AM10" s="2311"/>
    </row>
    <row r="11" spans="1:39">
      <c r="A11" s="2312"/>
      <c r="B11" s="2307"/>
      <c r="C11" s="2307"/>
      <c r="D11" s="2307"/>
      <c r="E11" s="2307"/>
      <c r="F11" s="2307"/>
      <c r="G11" s="2307"/>
      <c r="H11" s="2307"/>
      <c r="I11" s="2307"/>
      <c r="J11" s="2307"/>
      <c r="K11" s="2307"/>
      <c r="L11" s="2307"/>
      <c r="M11" s="2307"/>
      <c r="N11" s="2307"/>
      <c r="O11" s="2307"/>
      <c r="P11" s="2307"/>
      <c r="Q11" s="2307"/>
      <c r="R11" s="2307"/>
      <c r="S11" s="2307"/>
      <c r="T11" s="2307"/>
      <c r="U11" s="2307"/>
      <c r="V11" s="2307"/>
      <c r="W11" s="2307"/>
      <c r="X11" s="2307"/>
      <c r="Y11" s="2307"/>
      <c r="Z11" s="2307"/>
      <c r="AA11" s="2307"/>
      <c r="AB11" s="2307"/>
      <c r="AC11" s="2307"/>
      <c r="AD11" s="2307"/>
      <c r="AE11" s="2307"/>
      <c r="AF11" s="2307"/>
      <c r="AG11" s="2307"/>
      <c r="AH11" s="2307"/>
      <c r="AI11" s="2307"/>
      <c r="AJ11" s="2307"/>
      <c r="AK11" s="2307"/>
      <c r="AL11" s="2307"/>
      <c r="AM11" s="2311"/>
    </row>
    <row r="12" spans="1:39">
      <c r="A12" s="2312"/>
      <c r="B12" s="2307"/>
      <c r="C12" s="2307"/>
      <c r="D12" s="2307"/>
      <c r="E12" s="2307"/>
      <c r="F12" s="2307"/>
      <c r="G12" s="2307"/>
      <c r="H12" s="2307"/>
      <c r="I12" s="2307"/>
      <c r="J12" s="2307"/>
      <c r="K12" s="2307"/>
      <c r="L12" s="2307"/>
      <c r="M12" s="2307"/>
      <c r="N12" s="2307"/>
      <c r="O12" s="2307"/>
      <c r="P12" s="2307"/>
      <c r="Q12" s="2307"/>
      <c r="R12" s="2307"/>
      <c r="S12" s="2307"/>
      <c r="T12" s="2307"/>
      <c r="U12" s="2307"/>
      <c r="V12" s="2307"/>
      <c r="W12" s="2307"/>
      <c r="X12" s="2307"/>
      <c r="Y12" s="2307"/>
      <c r="Z12" s="2307"/>
      <c r="AA12" s="2307"/>
      <c r="AB12" s="2307"/>
      <c r="AC12" s="2307"/>
      <c r="AD12" s="2307"/>
      <c r="AE12" s="2307"/>
      <c r="AF12" s="2307"/>
      <c r="AG12" s="2307"/>
      <c r="AH12" s="2307"/>
      <c r="AI12" s="2307"/>
      <c r="AJ12" s="2307"/>
      <c r="AK12" s="2307"/>
      <c r="AL12" s="2307"/>
      <c r="AM12" s="2311"/>
    </row>
    <row r="13" spans="1:39">
      <c r="A13" s="2312"/>
      <c r="B13" s="2307"/>
      <c r="C13" s="2307"/>
      <c r="D13" s="2307"/>
      <c r="E13" s="2307"/>
      <c r="F13" s="2307"/>
      <c r="G13" s="2307"/>
      <c r="H13" s="2307"/>
      <c r="I13" s="2307"/>
      <c r="J13" s="2307"/>
      <c r="K13" s="2307"/>
      <c r="L13" s="2307"/>
      <c r="M13" s="2307"/>
      <c r="N13" s="2307"/>
      <c r="O13" s="2307"/>
      <c r="P13" s="2307"/>
      <c r="Q13" s="2307"/>
      <c r="R13" s="2307"/>
      <c r="S13" s="2307"/>
      <c r="T13" s="2307"/>
      <c r="U13" s="2307"/>
      <c r="V13" s="2307"/>
      <c r="W13" s="2307"/>
      <c r="X13" s="2307"/>
      <c r="Y13" s="2307"/>
      <c r="Z13" s="2307"/>
      <c r="AA13" s="2307"/>
      <c r="AB13" s="2307"/>
      <c r="AC13" s="2307"/>
      <c r="AD13" s="2307"/>
      <c r="AE13" s="2307"/>
      <c r="AF13" s="2307"/>
      <c r="AG13" s="2307"/>
      <c r="AH13" s="2307"/>
      <c r="AI13" s="2307"/>
      <c r="AJ13" s="2307"/>
      <c r="AK13" s="2307"/>
      <c r="AL13" s="2307"/>
      <c r="AM13" s="2311"/>
    </row>
    <row r="14" spans="1:39">
      <c r="A14" s="2312"/>
      <c r="B14" s="2307"/>
      <c r="C14" s="2307"/>
      <c r="D14" s="2307"/>
      <c r="E14" s="2307"/>
      <c r="F14" s="2307"/>
      <c r="G14" s="2307"/>
      <c r="H14" s="2307"/>
      <c r="I14" s="2307"/>
      <c r="J14" s="2307"/>
      <c r="K14" s="2307"/>
      <c r="L14" s="2307"/>
      <c r="M14" s="2307"/>
      <c r="N14" s="2307"/>
      <c r="O14" s="2307"/>
      <c r="P14" s="2307"/>
      <c r="Q14" s="2307"/>
      <c r="R14" s="2307"/>
      <c r="S14" s="2307"/>
      <c r="T14" s="2307"/>
      <c r="U14" s="2307"/>
      <c r="V14" s="2307"/>
      <c r="W14" s="2307"/>
      <c r="X14" s="2307"/>
      <c r="Y14" s="2307"/>
      <c r="Z14" s="2307"/>
      <c r="AA14" s="2307"/>
      <c r="AB14" s="2307"/>
      <c r="AC14" s="2307"/>
      <c r="AD14" s="2307"/>
      <c r="AE14" s="2307"/>
      <c r="AF14" s="2307"/>
      <c r="AG14" s="2307"/>
      <c r="AH14" s="2307"/>
      <c r="AI14" s="2307"/>
      <c r="AJ14" s="2307"/>
      <c r="AK14" s="2307"/>
      <c r="AL14" s="2307"/>
      <c r="AM14" s="2311"/>
    </row>
    <row r="15" spans="1:39">
      <c r="A15" s="2312"/>
      <c r="B15" s="2307"/>
      <c r="C15" s="2307"/>
      <c r="D15" s="2307"/>
      <c r="E15" s="2307"/>
      <c r="F15" s="2307"/>
      <c r="G15" s="2307"/>
      <c r="H15" s="2307"/>
      <c r="I15" s="2307"/>
      <c r="J15" s="2307"/>
      <c r="K15" s="2307"/>
      <c r="L15" s="2307"/>
      <c r="M15" s="2307"/>
      <c r="N15" s="2307"/>
      <c r="O15" s="2307"/>
      <c r="P15" s="2307"/>
      <c r="Q15" s="2307"/>
      <c r="R15" s="2307"/>
      <c r="S15" s="2307"/>
      <c r="T15" s="2307"/>
      <c r="U15" s="2307"/>
      <c r="V15" s="2307"/>
      <c r="W15" s="2307"/>
      <c r="X15" s="2307"/>
      <c r="Y15" s="2307"/>
      <c r="Z15" s="2307"/>
      <c r="AA15" s="2307"/>
      <c r="AB15" s="2307"/>
      <c r="AC15" s="2307"/>
      <c r="AD15" s="2307"/>
      <c r="AE15" s="2307"/>
      <c r="AF15" s="2307"/>
      <c r="AG15" s="2307"/>
      <c r="AH15" s="2307"/>
      <c r="AI15" s="2307"/>
      <c r="AJ15" s="2307"/>
      <c r="AK15" s="2307"/>
      <c r="AL15" s="2307"/>
      <c r="AM15" s="2311"/>
    </row>
    <row r="16" spans="1:39">
      <c r="A16" s="2312"/>
      <c r="B16" s="2307"/>
      <c r="C16" s="2307"/>
      <c r="D16" s="2307"/>
      <c r="E16" s="2307"/>
      <c r="F16" s="2307"/>
      <c r="G16" s="2307"/>
      <c r="H16" s="2307"/>
      <c r="I16" s="2307"/>
      <c r="J16" s="2307"/>
      <c r="K16" s="2307"/>
      <c r="L16" s="2307"/>
      <c r="M16" s="2307"/>
      <c r="N16" s="2307"/>
      <c r="O16" s="2307"/>
      <c r="P16" s="2307"/>
      <c r="Q16" s="2307"/>
      <c r="R16" s="2307"/>
      <c r="S16" s="2307"/>
      <c r="T16" s="2307"/>
      <c r="U16" s="2307"/>
      <c r="V16" s="2307"/>
      <c r="W16" s="2307"/>
      <c r="X16" s="2307"/>
      <c r="Y16" s="2307"/>
      <c r="Z16" s="2307"/>
      <c r="AA16" s="2307"/>
      <c r="AB16" s="2307"/>
      <c r="AC16" s="2307"/>
      <c r="AD16" s="2307"/>
      <c r="AE16" s="2307"/>
      <c r="AF16" s="2307"/>
      <c r="AG16" s="2307"/>
      <c r="AH16" s="2307"/>
      <c r="AI16" s="2307"/>
      <c r="AJ16" s="2307"/>
      <c r="AK16" s="2307"/>
      <c r="AL16" s="2307"/>
      <c r="AM16" s="2311"/>
    </row>
    <row r="17" spans="1:39">
      <c r="A17" s="2312"/>
      <c r="B17" s="2307"/>
      <c r="C17" s="2307"/>
      <c r="D17" s="2307"/>
      <c r="E17" s="2307"/>
      <c r="F17" s="2307"/>
      <c r="G17" s="2307"/>
      <c r="H17" s="2307"/>
      <c r="I17" s="2307"/>
      <c r="J17" s="2307"/>
      <c r="K17" s="2307"/>
      <c r="L17" s="2307"/>
      <c r="M17" s="2307"/>
      <c r="N17" s="2307"/>
      <c r="O17" s="2307"/>
      <c r="P17" s="2307"/>
      <c r="Q17" s="2307"/>
      <c r="R17" s="2307"/>
      <c r="S17" s="2307"/>
      <c r="T17" s="2307"/>
      <c r="U17" s="2307"/>
      <c r="V17" s="2307"/>
      <c r="W17" s="2307"/>
      <c r="X17" s="2307"/>
      <c r="Y17" s="2307"/>
      <c r="Z17" s="2307"/>
      <c r="AA17" s="2307"/>
      <c r="AB17" s="2307"/>
      <c r="AC17" s="2307"/>
      <c r="AD17" s="2307"/>
      <c r="AE17" s="2307"/>
      <c r="AF17" s="2307"/>
      <c r="AG17" s="2307"/>
      <c r="AH17" s="2307"/>
      <c r="AI17" s="2307"/>
      <c r="AJ17" s="2307"/>
      <c r="AK17" s="2307"/>
      <c r="AL17" s="2307"/>
      <c r="AM17" s="2311"/>
    </row>
    <row r="18" spans="1:39">
      <c r="A18" s="2312"/>
      <c r="B18" s="2307"/>
      <c r="C18" s="2307"/>
      <c r="D18" s="2307"/>
      <c r="E18" s="2307"/>
      <c r="F18" s="2307"/>
      <c r="G18" s="2307"/>
      <c r="H18" s="2307"/>
      <c r="I18" s="2307"/>
      <c r="J18" s="2307"/>
      <c r="K18" s="2307"/>
      <c r="L18" s="2307"/>
      <c r="M18" s="2307"/>
      <c r="N18" s="2307"/>
      <c r="O18" s="2307"/>
      <c r="P18" s="2307"/>
      <c r="Q18" s="2307"/>
      <c r="R18" s="2307"/>
      <c r="S18" s="2307"/>
      <c r="T18" s="2307"/>
      <c r="U18" s="2307"/>
      <c r="V18" s="2307"/>
      <c r="W18" s="2307"/>
      <c r="X18" s="2307"/>
      <c r="Y18" s="2307"/>
      <c r="Z18" s="2307"/>
      <c r="AA18" s="2307"/>
      <c r="AB18" s="2307"/>
      <c r="AC18" s="2307"/>
      <c r="AD18" s="2307"/>
      <c r="AE18" s="2307"/>
      <c r="AF18" s="2307"/>
      <c r="AG18" s="2307"/>
      <c r="AH18" s="2307"/>
      <c r="AI18" s="2307"/>
      <c r="AJ18" s="2307"/>
      <c r="AK18" s="2307"/>
      <c r="AL18" s="2307"/>
      <c r="AM18" s="2311"/>
    </row>
    <row r="19" spans="1:39">
      <c r="A19" s="2312"/>
      <c r="B19" s="2307"/>
      <c r="C19" s="2307"/>
      <c r="D19" s="2307"/>
      <c r="E19" s="2307"/>
      <c r="F19" s="2307"/>
      <c r="G19" s="2307"/>
      <c r="H19" s="2307"/>
      <c r="I19" s="2307"/>
      <c r="J19" s="2307"/>
      <c r="K19" s="2307"/>
      <c r="L19" s="2307"/>
      <c r="M19" s="2307"/>
      <c r="N19" s="2307"/>
      <c r="O19" s="2307"/>
      <c r="P19" s="2307"/>
      <c r="Q19" s="2307"/>
      <c r="R19" s="2307"/>
      <c r="S19" s="2307"/>
      <c r="T19" s="2307"/>
      <c r="U19" s="2307"/>
      <c r="V19" s="2307"/>
      <c r="W19" s="2307"/>
      <c r="X19" s="2307"/>
      <c r="Y19" s="2307"/>
      <c r="Z19" s="2307"/>
      <c r="AA19" s="2307"/>
      <c r="AB19" s="2307"/>
      <c r="AC19" s="2307"/>
      <c r="AD19" s="2307"/>
      <c r="AE19" s="2307"/>
      <c r="AF19" s="2307"/>
      <c r="AG19" s="2307"/>
      <c r="AH19" s="2307"/>
      <c r="AI19" s="2307"/>
      <c r="AJ19" s="2307"/>
      <c r="AK19" s="2307"/>
      <c r="AL19" s="2307"/>
      <c r="AM19" s="2311"/>
    </row>
    <row r="20" spans="1:39">
      <c r="A20" s="2312"/>
      <c r="B20" s="2307"/>
      <c r="C20" s="2307"/>
      <c r="D20" s="2307"/>
      <c r="E20" s="2307"/>
      <c r="F20" s="2307"/>
      <c r="G20" s="2307"/>
      <c r="H20" s="2307"/>
      <c r="I20" s="2307"/>
      <c r="J20" s="2307"/>
      <c r="K20" s="2307"/>
      <c r="L20" s="2307"/>
      <c r="M20" s="2307"/>
      <c r="N20" s="2307"/>
      <c r="O20" s="2307"/>
      <c r="P20" s="2307"/>
      <c r="Q20" s="2307"/>
      <c r="R20" s="2307"/>
      <c r="S20" s="2307"/>
      <c r="T20" s="2307"/>
      <c r="U20" s="2307"/>
      <c r="V20" s="2307"/>
      <c r="W20" s="2307"/>
      <c r="X20" s="2307"/>
      <c r="Y20" s="2307"/>
      <c r="Z20" s="2307"/>
      <c r="AA20" s="2307"/>
      <c r="AB20" s="2307"/>
      <c r="AC20" s="2307"/>
      <c r="AD20" s="2307"/>
      <c r="AE20" s="2307"/>
      <c r="AF20" s="2307"/>
      <c r="AG20" s="2307"/>
      <c r="AH20" s="2307"/>
      <c r="AI20" s="2307"/>
      <c r="AJ20" s="2307"/>
      <c r="AK20" s="2307"/>
      <c r="AL20" s="2307"/>
      <c r="AM20" s="2311"/>
    </row>
    <row r="21" spans="1:39">
      <c r="A21" s="2312"/>
      <c r="B21" s="2307"/>
      <c r="C21" s="2307"/>
      <c r="D21" s="2307"/>
      <c r="E21" s="2307"/>
      <c r="F21" s="2307"/>
      <c r="G21" s="2307"/>
      <c r="H21" s="2307"/>
      <c r="I21" s="2307"/>
      <c r="J21" s="2307"/>
      <c r="K21" s="2307"/>
      <c r="L21" s="2307"/>
      <c r="M21" s="2307"/>
      <c r="N21" s="2307"/>
      <c r="O21" s="2307"/>
      <c r="P21" s="2307"/>
      <c r="Q21" s="2307"/>
      <c r="R21" s="2307"/>
      <c r="S21" s="2307"/>
      <c r="T21" s="2307"/>
      <c r="U21" s="2307"/>
      <c r="V21" s="2307"/>
      <c r="W21" s="2307"/>
      <c r="X21" s="2307"/>
      <c r="Y21" s="2307"/>
      <c r="Z21" s="2307"/>
      <c r="AA21" s="2307"/>
      <c r="AB21" s="2307"/>
      <c r="AC21" s="2307"/>
      <c r="AD21" s="2307"/>
      <c r="AE21" s="2307"/>
      <c r="AF21" s="2307"/>
      <c r="AG21" s="2307"/>
      <c r="AH21" s="2307"/>
      <c r="AI21" s="2307"/>
      <c r="AJ21" s="2307"/>
      <c r="AK21" s="2307"/>
      <c r="AL21" s="2307"/>
      <c r="AM21" s="2311"/>
    </row>
    <row r="22" spans="1:39">
      <c r="A22" s="2312"/>
      <c r="B22" s="2307"/>
      <c r="C22" s="2307"/>
      <c r="D22" s="2307"/>
      <c r="E22" s="2307"/>
      <c r="F22" s="2307"/>
      <c r="G22" s="2307"/>
      <c r="H22" s="2307"/>
      <c r="I22" s="2307"/>
      <c r="J22" s="2307"/>
      <c r="K22" s="2307"/>
      <c r="L22" s="2307"/>
      <c r="M22" s="2307"/>
      <c r="N22" s="2307"/>
      <c r="O22" s="2307"/>
      <c r="P22" s="2307"/>
      <c r="Q22" s="2307"/>
      <c r="R22" s="2307"/>
      <c r="S22" s="2307"/>
      <c r="T22" s="2307"/>
      <c r="U22" s="2307"/>
      <c r="V22" s="2307"/>
      <c r="W22" s="2307"/>
      <c r="X22" s="2307"/>
      <c r="Y22" s="2307"/>
      <c r="Z22" s="2307"/>
      <c r="AA22" s="2307"/>
      <c r="AB22" s="2307"/>
      <c r="AC22" s="2307"/>
      <c r="AD22" s="2307"/>
      <c r="AE22" s="2307"/>
      <c r="AF22" s="2307"/>
      <c r="AG22" s="2307"/>
      <c r="AH22" s="2307"/>
      <c r="AI22" s="2307"/>
      <c r="AJ22" s="2307"/>
      <c r="AK22" s="2307"/>
      <c r="AL22" s="2307"/>
      <c r="AM22" s="2311"/>
    </row>
    <row r="23" spans="1:39">
      <c r="A23" s="2312"/>
      <c r="B23" s="2307"/>
      <c r="C23" s="2307"/>
      <c r="D23" s="2307"/>
      <c r="E23" s="2307"/>
      <c r="F23" s="2307"/>
      <c r="G23" s="2307"/>
      <c r="H23" s="2307"/>
      <c r="I23" s="2307"/>
      <c r="J23" s="2307"/>
      <c r="K23" s="2307"/>
      <c r="L23" s="2307"/>
      <c r="M23" s="2307"/>
      <c r="N23" s="2307"/>
      <c r="O23" s="2307"/>
      <c r="P23" s="2307"/>
      <c r="Q23" s="2307"/>
      <c r="R23" s="2307"/>
      <c r="S23" s="2307"/>
      <c r="T23" s="2307"/>
      <c r="U23" s="2307"/>
      <c r="V23" s="2307"/>
      <c r="W23" s="2307"/>
      <c r="X23" s="2307"/>
      <c r="Y23" s="2307"/>
      <c r="Z23" s="2307"/>
      <c r="AA23" s="2307"/>
      <c r="AB23" s="2307"/>
      <c r="AC23" s="2307"/>
      <c r="AD23" s="2307"/>
      <c r="AE23" s="2307"/>
      <c r="AF23" s="2307"/>
      <c r="AG23" s="2307"/>
      <c r="AH23" s="2307"/>
      <c r="AI23" s="2307"/>
      <c r="AJ23" s="2307"/>
      <c r="AK23" s="2307"/>
      <c r="AL23" s="2307"/>
      <c r="AM23" s="2311"/>
    </row>
    <row r="24" spans="1:39">
      <c r="A24" s="2312"/>
      <c r="B24" s="2307"/>
      <c r="C24" s="2307"/>
      <c r="D24" s="2307"/>
      <c r="E24" s="2307"/>
      <c r="F24" s="2307"/>
      <c r="G24" s="2307"/>
      <c r="H24" s="2307"/>
      <c r="I24" s="2307"/>
      <c r="J24" s="2307"/>
      <c r="K24" s="2307"/>
      <c r="L24" s="2307"/>
      <c r="M24" s="2307"/>
      <c r="N24" s="2307"/>
      <c r="O24" s="2307"/>
      <c r="P24" s="2307"/>
      <c r="Q24" s="2307"/>
      <c r="R24" s="2307"/>
      <c r="S24" s="2307"/>
      <c r="T24" s="2307"/>
      <c r="U24" s="2307"/>
      <c r="V24" s="2307"/>
      <c r="W24" s="2307"/>
      <c r="X24" s="2307"/>
      <c r="Y24" s="2307"/>
      <c r="Z24" s="2307"/>
      <c r="AA24" s="2307"/>
      <c r="AB24" s="2307"/>
      <c r="AC24" s="2307"/>
      <c r="AD24" s="2307"/>
      <c r="AE24" s="2307"/>
      <c r="AF24" s="2307"/>
      <c r="AG24" s="2307"/>
      <c r="AH24" s="2307"/>
      <c r="AI24" s="2307"/>
      <c r="AJ24" s="2307"/>
      <c r="AK24" s="2307"/>
      <c r="AL24" s="2307"/>
      <c r="AM24" s="2311"/>
    </row>
    <row r="25" spans="1:39">
      <c r="A25" s="2312"/>
      <c r="B25" s="2307"/>
      <c r="C25" s="2307"/>
      <c r="D25" s="2307"/>
      <c r="E25" s="2307"/>
      <c r="F25" s="2307"/>
      <c r="G25" s="2307"/>
      <c r="H25" s="2307"/>
      <c r="I25" s="2307"/>
      <c r="J25" s="2307"/>
      <c r="K25" s="2307"/>
      <c r="L25" s="2307"/>
      <c r="M25" s="2307"/>
      <c r="N25" s="2307"/>
      <c r="O25" s="2307"/>
      <c r="P25" s="2307"/>
      <c r="Q25" s="2307"/>
      <c r="R25" s="2307"/>
      <c r="S25" s="2307"/>
      <c r="T25" s="2307"/>
      <c r="U25" s="2307"/>
      <c r="V25" s="2307"/>
      <c r="W25" s="2307"/>
      <c r="X25" s="2307"/>
      <c r="Y25" s="2307"/>
      <c r="Z25" s="2307"/>
      <c r="AA25" s="2307"/>
      <c r="AB25" s="2307"/>
      <c r="AC25" s="2307"/>
      <c r="AD25" s="2307"/>
      <c r="AE25" s="2307"/>
      <c r="AF25" s="2307"/>
      <c r="AG25" s="2307"/>
      <c r="AH25" s="2307"/>
      <c r="AI25" s="2307"/>
      <c r="AJ25" s="2307"/>
      <c r="AK25" s="2307"/>
      <c r="AL25" s="2307"/>
      <c r="AM25" s="2311"/>
    </row>
    <row r="26" spans="1:39">
      <c r="A26" s="2312"/>
      <c r="B26" s="2307"/>
      <c r="C26" s="2307"/>
      <c r="D26" s="2307"/>
      <c r="E26" s="2307"/>
      <c r="F26" s="2307"/>
      <c r="G26" s="2307"/>
      <c r="H26" s="2307"/>
      <c r="I26" s="2307"/>
      <c r="J26" s="2307"/>
      <c r="K26" s="2307"/>
      <c r="L26" s="2307"/>
      <c r="M26" s="2307"/>
      <c r="N26" s="2307"/>
      <c r="O26" s="2307"/>
      <c r="P26" s="2307"/>
      <c r="Q26" s="2307"/>
      <c r="R26" s="2307"/>
      <c r="S26" s="2307"/>
      <c r="T26" s="2307"/>
      <c r="U26" s="2307"/>
      <c r="V26" s="2307"/>
      <c r="W26" s="2307"/>
      <c r="X26" s="2307"/>
      <c r="Y26" s="2307"/>
      <c r="Z26" s="2307"/>
      <c r="AA26" s="2307"/>
      <c r="AB26" s="2307"/>
      <c r="AC26" s="2307"/>
      <c r="AD26" s="2307"/>
      <c r="AE26" s="2307"/>
      <c r="AF26" s="2307"/>
      <c r="AG26" s="2307"/>
      <c r="AH26" s="2307"/>
      <c r="AI26" s="2307"/>
      <c r="AJ26" s="2307"/>
      <c r="AK26" s="2307"/>
      <c r="AL26" s="2307"/>
      <c r="AM26" s="2311"/>
    </row>
    <row r="27" spans="1:39">
      <c r="A27" s="2312"/>
      <c r="B27" s="2307"/>
      <c r="C27" s="2307"/>
      <c r="D27" s="2307"/>
      <c r="E27" s="2307"/>
      <c r="F27" s="2307"/>
      <c r="G27" s="2307"/>
      <c r="H27" s="2307"/>
      <c r="I27" s="2307"/>
      <c r="J27" s="2307"/>
      <c r="K27" s="2307"/>
      <c r="L27" s="2307"/>
      <c r="M27" s="2307"/>
      <c r="N27" s="2307"/>
      <c r="O27" s="2307"/>
      <c r="P27" s="2307"/>
      <c r="Q27" s="2307"/>
      <c r="R27" s="2307"/>
      <c r="S27" s="2307"/>
      <c r="T27" s="2307"/>
      <c r="U27" s="2307"/>
      <c r="V27" s="2307"/>
      <c r="W27" s="2307"/>
      <c r="X27" s="2307"/>
      <c r="Y27" s="2307"/>
      <c r="Z27" s="2307"/>
      <c r="AA27" s="2307"/>
      <c r="AB27" s="2307"/>
      <c r="AC27" s="2307"/>
      <c r="AD27" s="2307"/>
      <c r="AE27" s="2307"/>
      <c r="AF27" s="2307"/>
      <c r="AG27" s="2307"/>
      <c r="AH27" s="2307"/>
      <c r="AI27" s="2307"/>
      <c r="AJ27" s="2307"/>
      <c r="AK27" s="2307"/>
      <c r="AL27" s="2307"/>
      <c r="AM27" s="2311"/>
    </row>
    <row r="28" spans="1:39">
      <c r="A28" s="2312"/>
      <c r="B28" s="2307"/>
      <c r="C28" s="2307"/>
      <c r="D28" s="2307"/>
      <c r="E28" s="2307"/>
      <c r="F28" s="2307"/>
      <c r="G28" s="2307"/>
      <c r="H28" s="2307"/>
      <c r="I28" s="2307"/>
      <c r="J28" s="2307"/>
      <c r="K28" s="2307"/>
      <c r="L28" s="2307"/>
      <c r="M28" s="2307"/>
      <c r="N28" s="2307"/>
      <c r="O28" s="2307"/>
      <c r="P28" s="2307"/>
      <c r="Q28" s="2307"/>
      <c r="R28" s="2307"/>
      <c r="S28" s="2307"/>
      <c r="T28" s="2307"/>
      <c r="U28" s="2307"/>
      <c r="V28" s="2307"/>
      <c r="W28" s="2307"/>
      <c r="X28" s="2307"/>
      <c r="Y28" s="2307"/>
      <c r="Z28" s="2307"/>
      <c r="AA28" s="2307"/>
      <c r="AB28" s="2307"/>
      <c r="AC28" s="2307"/>
      <c r="AD28" s="2307"/>
      <c r="AE28" s="2307"/>
      <c r="AF28" s="2307"/>
      <c r="AG28" s="2307"/>
      <c r="AH28" s="2307"/>
      <c r="AI28" s="2307"/>
      <c r="AJ28" s="2307"/>
      <c r="AK28" s="2307"/>
      <c r="AL28" s="2307"/>
      <c r="AM28" s="2311"/>
    </row>
    <row r="29" spans="1:39">
      <c r="A29" s="2312"/>
      <c r="B29" s="2307"/>
      <c r="C29" s="2307"/>
      <c r="D29" s="2307"/>
      <c r="E29" s="2307"/>
      <c r="F29" s="2307"/>
      <c r="G29" s="2307"/>
      <c r="H29" s="2307"/>
      <c r="I29" s="2307"/>
      <c r="J29" s="2307"/>
      <c r="K29" s="2307"/>
      <c r="L29" s="2307"/>
      <c r="M29" s="2307"/>
      <c r="N29" s="2307"/>
      <c r="O29" s="2307"/>
      <c r="P29" s="2307"/>
      <c r="Q29" s="2307"/>
      <c r="R29" s="2307"/>
      <c r="S29" s="2307"/>
      <c r="T29" s="2307"/>
      <c r="U29" s="2307"/>
      <c r="V29" s="2307"/>
      <c r="W29" s="2307"/>
      <c r="X29" s="2307"/>
      <c r="Y29" s="2307"/>
      <c r="Z29" s="2307"/>
      <c r="AA29" s="2307"/>
      <c r="AB29" s="2307"/>
      <c r="AC29" s="2307"/>
      <c r="AD29" s="2307"/>
      <c r="AE29" s="2307"/>
      <c r="AF29" s="2307"/>
      <c r="AG29" s="2307"/>
      <c r="AH29" s="2307"/>
      <c r="AI29" s="2307"/>
      <c r="AJ29" s="2307"/>
      <c r="AK29" s="2307"/>
      <c r="AL29" s="2307"/>
      <c r="AM29" s="2311"/>
    </row>
    <row r="30" spans="1:39">
      <c r="A30" s="2312"/>
      <c r="B30" s="2307"/>
      <c r="C30" s="2307"/>
      <c r="D30" s="2307"/>
      <c r="E30" s="2307"/>
      <c r="F30" s="2307"/>
      <c r="G30" s="2307"/>
      <c r="H30" s="2307"/>
      <c r="I30" s="2307"/>
      <c r="J30" s="2307"/>
      <c r="K30" s="2307"/>
      <c r="L30" s="2307"/>
      <c r="M30" s="2307"/>
      <c r="N30" s="2307"/>
      <c r="O30" s="2307"/>
      <c r="P30" s="2307"/>
      <c r="Q30" s="2307"/>
      <c r="R30" s="2307"/>
      <c r="S30" s="2307"/>
      <c r="T30" s="2307"/>
      <c r="U30" s="2307"/>
      <c r="V30" s="2307"/>
      <c r="W30" s="2307"/>
      <c r="X30" s="2307"/>
      <c r="Y30" s="2307"/>
      <c r="Z30" s="2307"/>
      <c r="AA30" s="2307"/>
      <c r="AB30" s="2307"/>
      <c r="AC30" s="2307"/>
      <c r="AD30" s="2307"/>
      <c r="AE30" s="2307"/>
      <c r="AF30" s="2307"/>
      <c r="AG30" s="2307"/>
      <c r="AH30" s="2307"/>
      <c r="AI30" s="2307"/>
      <c r="AJ30" s="2307"/>
      <c r="AK30" s="2307"/>
      <c r="AL30" s="2307"/>
      <c r="AM30" s="2311"/>
    </row>
    <row r="31" spans="1:39">
      <c r="A31" s="2312"/>
      <c r="B31" s="2307"/>
      <c r="C31" s="2307"/>
      <c r="D31" s="2307"/>
      <c r="E31" s="2307"/>
      <c r="F31" s="2307"/>
      <c r="G31" s="2307"/>
      <c r="H31" s="2307"/>
      <c r="I31" s="2307"/>
      <c r="J31" s="2307"/>
      <c r="K31" s="2307"/>
      <c r="L31" s="2307"/>
      <c r="M31" s="2307"/>
      <c r="N31" s="2307"/>
      <c r="O31" s="2307"/>
      <c r="P31" s="2307"/>
      <c r="Q31" s="2307"/>
      <c r="R31" s="2307"/>
      <c r="S31" s="2307"/>
      <c r="T31" s="2307"/>
      <c r="U31" s="2307"/>
      <c r="V31" s="2307"/>
      <c r="W31" s="2307"/>
      <c r="X31" s="2307"/>
      <c r="Y31" s="2307"/>
      <c r="Z31" s="2307"/>
      <c r="AA31" s="2307"/>
      <c r="AB31" s="2307"/>
      <c r="AC31" s="2307"/>
      <c r="AD31" s="2307"/>
      <c r="AE31" s="2307"/>
      <c r="AF31" s="2307"/>
      <c r="AG31" s="2307"/>
      <c r="AH31" s="2307"/>
      <c r="AI31" s="2307"/>
      <c r="AJ31" s="2307"/>
      <c r="AK31" s="2307"/>
      <c r="AL31" s="2307"/>
      <c r="AM31" s="2311"/>
    </row>
    <row r="32" spans="1:39">
      <c r="A32" s="2312"/>
      <c r="B32" s="2307"/>
      <c r="C32" s="2307"/>
      <c r="D32" s="2307"/>
      <c r="E32" s="2307"/>
      <c r="F32" s="2307"/>
      <c r="G32" s="2307"/>
      <c r="H32" s="2307"/>
      <c r="I32" s="2307"/>
      <c r="J32" s="2307"/>
      <c r="K32" s="2307"/>
      <c r="L32" s="2307"/>
      <c r="M32" s="2307"/>
      <c r="N32" s="2307"/>
      <c r="O32" s="2307"/>
      <c r="P32" s="2307"/>
      <c r="Q32" s="2307"/>
      <c r="R32" s="2307"/>
      <c r="S32" s="2307"/>
      <c r="T32" s="2307"/>
      <c r="U32" s="2307"/>
      <c r="V32" s="2307"/>
      <c r="W32" s="2307"/>
      <c r="X32" s="2307"/>
      <c r="Y32" s="2307"/>
      <c r="Z32" s="2307"/>
      <c r="AA32" s="2307"/>
      <c r="AB32" s="2307"/>
      <c r="AC32" s="2307"/>
      <c r="AD32" s="2307"/>
      <c r="AE32" s="2307"/>
      <c r="AF32" s="2307"/>
      <c r="AG32" s="2307"/>
      <c r="AH32" s="2307"/>
      <c r="AI32" s="2307"/>
      <c r="AJ32" s="2307"/>
      <c r="AK32" s="2307"/>
      <c r="AL32" s="2307"/>
      <c r="AM32" s="2311"/>
    </row>
    <row r="33" spans="1:39">
      <c r="A33" s="2312"/>
      <c r="B33" s="2307"/>
      <c r="C33" s="2307"/>
      <c r="D33" s="2307"/>
      <c r="E33" s="2307"/>
      <c r="F33" s="2307"/>
      <c r="G33" s="2307"/>
      <c r="H33" s="2307"/>
      <c r="I33" s="2307"/>
      <c r="J33" s="2307"/>
      <c r="K33" s="2307"/>
      <c r="L33" s="2307"/>
      <c r="M33" s="2307"/>
      <c r="N33" s="2307"/>
      <c r="O33" s="2307"/>
      <c r="P33" s="2307"/>
      <c r="Q33" s="2307"/>
      <c r="R33" s="2307"/>
      <c r="S33" s="2307"/>
      <c r="T33" s="2307"/>
      <c r="U33" s="2307"/>
      <c r="V33" s="2307"/>
      <c r="W33" s="2307"/>
      <c r="X33" s="2307"/>
      <c r="Y33" s="2307"/>
      <c r="Z33" s="2307"/>
      <c r="AA33" s="2307"/>
      <c r="AB33" s="2307"/>
      <c r="AC33" s="2307"/>
      <c r="AD33" s="2307"/>
      <c r="AE33" s="2307"/>
      <c r="AF33" s="2307"/>
      <c r="AG33" s="2307"/>
      <c r="AH33" s="2307"/>
      <c r="AI33" s="2307"/>
      <c r="AJ33" s="2307"/>
      <c r="AK33" s="2307"/>
      <c r="AL33" s="2307"/>
      <c r="AM33" s="2311"/>
    </row>
    <row r="34" spans="1:39">
      <c r="A34" s="2312"/>
      <c r="B34" s="2307"/>
      <c r="C34" s="2307"/>
      <c r="D34" s="2307"/>
      <c r="E34" s="2307"/>
      <c r="F34" s="2307"/>
      <c r="G34" s="2307"/>
      <c r="H34" s="2307"/>
      <c r="I34" s="2307"/>
      <c r="J34" s="2307"/>
      <c r="K34" s="2307"/>
      <c r="L34" s="2307"/>
      <c r="M34" s="2307"/>
      <c r="N34" s="2307"/>
      <c r="O34" s="2307"/>
      <c r="P34" s="2307"/>
      <c r="Q34" s="2307"/>
      <c r="R34" s="2307"/>
      <c r="S34" s="2307"/>
      <c r="T34" s="2307"/>
      <c r="U34" s="2307"/>
      <c r="V34" s="2307"/>
      <c r="W34" s="2307"/>
      <c r="X34" s="2307"/>
      <c r="Y34" s="2307"/>
      <c r="Z34" s="2307"/>
      <c r="AA34" s="2307"/>
      <c r="AB34" s="2307"/>
      <c r="AC34" s="2307"/>
      <c r="AD34" s="2307"/>
      <c r="AE34" s="2307"/>
      <c r="AF34" s="2307"/>
      <c r="AG34" s="2307"/>
      <c r="AH34" s="2307"/>
      <c r="AI34" s="2307"/>
      <c r="AJ34" s="2307"/>
      <c r="AK34" s="2307"/>
      <c r="AL34" s="2307"/>
      <c r="AM34" s="2311"/>
    </row>
    <row r="35" spans="1:39">
      <c r="A35" s="2312"/>
      <c r="B35" s="2307"/>
      <c r="C35" s="2307"/>
      <c r="D35" s="2307"/>
      <c r="E35" s="2307"/>
      <c r="F35" s="2307"/>
      <c r="G35" s="2307"/>
      <c r="H35" s="2307"/>
      <c r="I35" s="2307"/>
      <c r="J35" s="2307"/>
      <c r="K35" s="2307"/>
      <c r="L35" s="2307"/>
      <c r="M35" s="2307"/>
      <c r="N35" s="2307"/>
      <c r="O35" s="2307"/>
      <c r="P35" s="2307"/>
      <c r="Q35" s="2307"/>
      <c r="R35" s="2307"/>
      <c r="S35" s="2307"/>
      <c r="T35" s="2307"/>
      <c r="U35" s="2307"/>
      <c r="V35" s="2307"/>
      <c r="W35" s="2307"/>
      <c r="X35" s="2307"/>
      <c r="Y35" s="2307"/>
      <c r="Z35" s="2307"/>
      <c r="AA35" s="2307"/>
      <c r="AB35" s="2307"/>
      <c r="AC35" s="2307"/>
      <c r="AD35" s="2307"/>
      <c r="AE35" s="2307"/>
      <c r="AF35" s="2307"/>
      <c r="AG35" s="2307"/>
      <c r="AH35" s="2307"/>
      <c r="AI35" s="2307"/>
      <c r="AJ35" s="2307"/>
      <c r="AK35" s="2307"/>
      <c r="AL35" s="2307"/>
      <c r="AM35" s="2311"/>
    </row>
    <row r="36" spans="1:39">
      <c r="A36" s="2312"/>
      <c r="B36" s="2307"/>
      <c r="C36" s="2307"/>
      <c r="D36" s="2307"/>
      <c r="E36" s="2307"/>
      <c r="F36" s="2307"/>
      <c r="G36" s="2307"/>
      <c r="H36" s="2307"/>
      <c r="I36" s="2323"/>
      <c r="J36" s="2323"/>
      <c r="K36" s="2323"/>
      <c r="L36" s="2323"/>
      <c r="M36" s="2323"/>
      <c r="N36" s="2323"/>
      <c r="O36" s="2323"/>
      <c r="P36" s="2323"/>
      <c r="Q36" s="2323"/>
      <c r="R36" s="2323"/>
      <c r="S36" s="2323"/>
      <c r="T36" s="2323"/>
      <c r="U36" s="2323"/>
      <c r="V36" s="2323"/>
      <c r="W36" s="2323"/>
      <c r="X36" s="2323"/>
      <c r="Y36" s="2323"/>
      <c r="Z36" s="2323"/>
      <c r="AA36" s="2323"/>
      <c r="AB36" s="2323"/>
      <c r="AC36" s="2323"/>
      <c r="AD36" s="2323"/>
      <c r="AE36" s="2323"/>
      <c r="AF36" s="2323"/>
      <c r="AG36" s="2323"/>
      <c r="AH36" s="2323"/>
      <c r="AI36" s="2323"/>
      <c r="AJ36" s="2323"/>
      <c r="AK36" s="2323"/>
      <c r="AL36" s="2323"/>
      <c r="AM36" s="2324"/>
    </row>
    <row r="37" spans="1:39">
      <c r="A37" s="2312"/>
      <c r="B37" s="2307"/>
      <c r="C37" s="2307"/>
      <c r="D37" s="2307"/>
      <c r="E37" s="2307"/>
      <c r="F37" s="2307"/>
      <c r="G37" s="2307"/>
      <c r="H37" s="2307"/>
      <c r="I37" s="2318"/>
      <c r="J37" s="2318"/>
      <c r="K37" s="2318"/>
      <c r="L37" s="2318"/>
      <c r="M37" s="2318"/>
      <c r="N37" s="2318"/>
      <c r="O37" s="2318"/>
      <c r="P37" s="2318"/>
      <c r="Q37" s="2318"/>
      <c r="R37" s="2318"/>
      <c r="S37" s="2318"/>
      <c r="T37" s="2318"/>
      <c r="U37" s="2318"/>
      <c r="V37" s="2318"/>
      <c r="W37" s="2318"/>
      <c r="X37" s="2318"/>
      <c r="Y37" s="2318"/>
      <c r="Z37" s="2318"/>
      <c r="AA37" s="2318"/>
      <c r="AB37" s="2318"/>
      <c r="AC37" s="2318"/>
      <c r="AD37" s="2318"/>
      <c r="AE37" s="2318"/>
      <c r="AF37" s="2318"/>
      <c r="AG37" s="2318"/>
      <c r="AH37" s="2318"/>
      <c r="AI37" s="2318"/>
      <c r="AJ37" s="2318"/>
      <c r="AK37" s="2318"/>
      <c r="AL37" s="2318"/>
      <c r="AM37" s="2319"/>
    </row>
    <row r="38" spans="1:39">
      <c r="A38" s="2312"/>
      <c r="B38" s="2307"/>
      <c r="C38" s="2307"/>
      <c r="D38" s="2307"/>
      <c r="E38" s="2307"/>
      <c r="F38" s="2307"/>
      <c r="G38" s="2307"/>
      <c r="H38" s="2307"/>
      <c r="I38" s="2318"/>
      <c r="J38" s="2318"/>
      <c r="K38" s="2318"/>
      <c r="L38" s="2318"/>
      <c r="M38" s="2318"/>
      <c r="N38" s="2318"/>
      <c r="O38" s="2318"/>
      <c r="P38" s="2318"/>
      <c r="Q38" s="2318"/>
      <c r="R38" s="2318"/>
      <c r="S38" s="2318"/>
      <c r="T38" s="2318"/>
      <c r="U38" s="2318"/>
      <c r="V38" s="2318"/>
      <c r="W38" s="2318"/>
      <c r="X38" s="2318"/>
      <c r="Y38" s="2318"/>
      <c r="Z38" s="2318"/>
      <c r="AA38" s="2318"/>
      <c r="AB38" s="2318"/>
      <c r="AC38" s="2318"/>
      <c r="AD38" s="2318"/>
      <c r="AE38" s="2318"/>
      <c r="AF38" s="2318"/>
      <c r="AG38" s="2318"/>
      <c r="AH38" s="2318"/>
      <c r="AI38" s="2318"/>
      <c r="AJ38" s="2318"/>
      <c r="AK38" s="2318"/>
      <c r="AL38" s="2318"/>
      <c r="AM38" s="2319"/>
    </row>
    <row r="39" spans="1:39">
      <c r="A39" s="2312"/>
      <c r="B39" s="2307"/>
      <c r="C39" s="2307"/>
      <c r="D39" s="2307"/>
      <c r="E39" s="2307"/>
      <c r="F39" s="2307"/>
      <c r="G39" s="2307"/>
      <c r="H39" s="2307"/>
      <c r="I39" s="2318"/>
      <c r="J39" s="2318"/>
      <c r="K39" s="2318"/>
      <c r="L39" s="2318"/>
      <c r="M39" s="2318"/>
      <c r="N39" s="2318"/>
      <c r="O39" s="2318"/>
      <c r="P39" s="2318"/>
      <c r="Q39" s="2318"/>
      <c r="R39" s="2318"/>
      <c r="S39" s="2318"/>
      <c r="T39" s="2318"/>
      <c r="U39" s="2318"/>
      <c r="V39" s="2318"/>
      <c r="W39" s="2318"/>
      <c r="X39" s="2318"/>
      <c r="Y39" s="2318"/>
      <c r="Z39" s="2318"/>
      <c r="AA39" s="2318"/>
      <c r="AB39" s="2318"/>
      <c r="AC39" s="2318"/>
      <c r="AD39" s="2318"/>
      <c r="AE39" s="2318"/>
      <c r="AF39" s="2318"/>
      <c r="AG39" s="2318"/>
      <c r="AH39" s="2318"/>
      <c r="AI39" s="2318"/>
      <c r="AJ39" s="2318"/>
      <c r="AK39" s="2318"/>
      <c r="AL39" s="2318"/>
      <c r="AM39" s="2319"/>
    </row>
    <row r="40" spans="1:39">
      <c r="A40" s="2312"/>
      <c r="B40" s="2307"/>
      <c r="C40" s="2307"/>
      <c r="D40" s="2307"/>
      <c r="E40" s="2307"/>
      <c r="F40" s="2307"/>
      <c r="G40" s="2307"/>
      <c r="H40" s="2307"/>
      <c r="I40" s="2318"/>
      <c r="J40" s="2318"/>
      <c r="K40" s="2318"/>
      <c r="L40" s="2318"/>
      <c r="M40" s="2318"/>
      <c r="N40" s="2318"/>
      <c r="O40" s="2318"/>
      <c r="P40" s="2318"/>
      <c r="Q40" s="2318"/>
      <c r="R40" s="2318"/>
      <c r="S40" s="2318"/>
      <c r="T40" s="2318"/>
      <c r="U40" s="2318"/>
      <c r="V40" s="2318"/>
      <c r="W40" s="2318"/>
      <c r="X40" s="2318"/>
      <c r="Y40" s="2318"/>
      <c r="Z40" s="2318"/>
      <c r="AA40" s="2318"/>
      <c r="AB40" s="2318"/>
      <c r="AC40" s="2318"/>
      <c r="AD40" s="2318"/>
      <c r="AE40" s="2318"/>
      <c r="AF40" s="2318"/>
      <c r="AG40" s="2318"/>
      <c r="AH40" s="2318"/>
      <c r="AI40" s="2318"/>
      <c r="AJ40" s="2318"/>
      <c r="AK40" s="2318"/>
      <c r="AL40" s="2318"/>
      <c r="AM40" s="2319"/>
    </row>
    <row r="41" spans="1:39">
      <c r="A41" s="2312"/>
      <c r="B41" s="2307"/>
      <c r="C41" s="2307"/>
      <c r="D41" s="2307"/>
      <c r="E41" s="2307"/>
      <c r="F41" s="2307"/>
      <c r="G41" s="2307"/>
      <c r="H41" s="2307"/>
      <c r="I41" s="2318"/>
      <c r="J41" s="2318"/>
      <c r="K41" s="2318"/>
      <c r="L41" s="2318"/>
      <c r="M41" s="2318"/>
      <c r="N41" s="2318"/>
      <c r="O41" s="2318"/>
      <c r="P41" s="2318"/>
      <c r="Q41" s="2318"/>
      <c r="R41" s="2318"/>
      <c r="S41" s="2318"/>
      <c r="T41" s="2318"/>
      <c r="U41" s="2318"/>
      <c r="V41" s="2318"/>
      <c r="W41" s="2318"/>
      <c r="X41" s="2318"/>
      <c r="Y41" s="2318"/>
      <c r="Z41" s="2318"/>
      <c r="AA41" s="2318"/>
      <c r="AB41" s="2318"/>
      <c r="AC41" s="2318"/>
      <c r="AD41" s="3016">
        <v>1.017385165975895</v>
      </c>
      <c r="AE41" s="2318"/>
      <c r="AF41" s="2318"/>
      <c r="AG41" s="2318"/>
      <c r="AH41" s="2318"/>
      <c r="AI41" s="2318"/>
      <c r="AJ41" s="2318"/>
      <c r="AK41" s="2318"/>
      <c r="AL41" s="2318"/>
      <c r="AM41" s="2319"/>
    </row>
    <row r="42" spans="1:39">
      <c r="A42" s="2312"/>
      <c r="B42" s="2307"/>
      <c r="C42" s="2307" t="s">
        <v>1551</v>
      </c>
      <c r="D42" s="2307" t="s">
        <v>1552</v>
      </c>
      <c r="E42" s="2307" t="s">
        <v>1553</v>
      </c>
      <c r="F42" s="2307" t="s">
        <v>1554</v>
      </c>
      <c r="G42" s="2307" t="s">
        <v>1150</v>
      </c>
      <c r="H42" s="2307" t="s">
        <v>1555</v>
      </c>
      <c r="I42" s="2325">
        <v>2013</v>
      </c>
      <c r="J42" s="2325">
        <v>2014</v>
      </c>
      <c r="K42" s="2325">
        <v>2015</v>
      </c>
      <c r="L42" s="2325">
        <v>2016</v>
      </c>
      <c r="M42" s="2325">
        <v>2017</v>
      </c>
      <c r="N42" s="2325">
        <v>2018</v>
      </c>
      <c r="O42" s="2325">
        <v>2019</v>
      </c>
      <c r="P42" s="2325">
        <v>2020</v>
      </c>
      <c r="Q42" s="2325">
        <v>2021</v>
      </c>
      <c r="R42" s="2325">
        <v>2022</v>
      </c>
      <c r="S42" s="2325">
        <v>2023</v>
      </c>
      <c r="T42" s="2325">
        <v>2024</v>
      </c>
      <c r="U42" s="2325"/>
      <c r="V42" s="2325"/>
      <c r="W42" s="2325"/>
      <c r="X42" s="2325"/>
      <c r="Y42" s="2325"/>
      <c r="Z42" s="2325"/>
      <c r="AA42" s="2325"/>
      <c r="AB42" s="2325"/>
      <c r="AC42" s="2325"/>
      <c r="AD42" s="2325"/>
      <c r="AE42" s="2325"/>
      <c r="AF42" s="2325"/>
      <c r="AG42" s="2325"/>
      <c r="AH42" s="2325"/>
      <c r="AI42" s="2325"/>
      <c r="AJ42" s="2325"/>
      <c r="AK42" s="2325"/>
      <c r="AL42" s="2325"/>
      <c r="AM42" s="2326"/>
    </row>
    <row r="43" spans="1:39">
      <c r="A43" s="2312"/>
      <c r="B43" s="2307"/>
      <c r="C43" s="2307" t="s">
        <v>1788</v>
      </c>
      <c r="D43" s="2307" t="s">
        <v>1486</v>
      </c>
      <c r="E43" s="2307" t="s">
        <v>128</v>
      </c>
      <c r="F43" s="2307" t="s">
        <v>305</v>
      </c>
      <c r="G43" s="2307" t="s">
        <v>1739</v>
      </c>
      <c r="H43" s="2307" t="s">
        <v>955</v>
      </c>
      <c r="I43" s="4222">
        <v>62.4788</v>
      </c>
      <c r="J43" s="3015">
        <v>64.764399999999995</v>
      </c>
      <c r="K43" s="3015">
        <v>67.038200000000003</v>
      </c>
      <c r="L43" s="3015">
        <v>69.418499999999995</v>
      </c>
      <c r="M43" s="3015">
        <v>71.818200000000004</v>
      </c>
      <c r="N43" s="3015">
        <v>74.254599999999996</v>
      </c>
      <c r="O43" s="3015">
        <v>76.874300000000005</v>
      </c>
      <c r="P43" s="3015">
        <v>79.621099999999998</v>
      </c>
      <c r="Q43" s="3015">
        <v>82.513199999999998</v>
      </c>
      <c r="R43" s="3015">
        <v>85.589299999999994</v>
      </c>
      <c r="S43" s="3015">
        <v>88.855199999999996</v>
      </c>
      <c r="T43" s="3015">
        <v>92.278000000000006</v>
      </c>
      <c r="U43" s="3015"/>
      <c r="V43" s="3015"/>
      <c r="W43" s="3015"/>
      <c r="X43" s="3015"/>
      <c r="Y43" s="3015"/>
      <c r="Z43" s="3015"/>
      <c r="AA43" s="3015"/>
      <c r="AB43" s="3015"/>
      <c r="AC43" s="3015"/>
      <c r="AD43" s="2318"/>
      <c r="AE43" s="2318"/>
      <c r="AF43" s="2318"/>
      <c r="AG43" s="2318"/>
      <c r="AH43" s="2318"/>
      <c r="AI43" s="2318"/>
      <c r="AJ43" s="2318"/>
      <c r="AK43" s="2318"/>
      <c r="AL43" s="2318"/>
      <c r="AM43" s="2319"/>
    </row>
    <row r="44" spans="1:39">
      <c r="A44" s="2312"/>
      <c r="B44" s="2307"/>
      <c r="C44" s="2307" t="s">
        <v>1788</v>
      </c>
      <c r="D44" s="2307" t="s">
        <v>1484</v>
      </c>
      <c r="E44" s="2307" t="s">
        <v>128</v>
      </c>
      <c r="F44" s="2307" t="s">
        <v>305</v>
      </c>
      <c r="G44" s="2307" t="s">
        <v>1739</v>
      </c>
      <c r="H44" s="2307" t="s">
        <v>955</v>
      </c>
      <c r="I44" s="4223">
        <v>116.50539999999999</v>
      </c>
      <c r="J44" s="3817">
        <v>120.709</v>
      </c>
      <c r="K44" s="3817">
        <v>124.8411</v>
      </c>
      <c r="L44" s="3817">
        <v>129.11070000000001</v>
      </c>
      <c r="M44" s="3817">
        <v>133.31309999999999</v>
      </c>
      <c r="N44" s="3817">
        <v>137.4811</v>
      </c>
      <c r="O44" s="3817">
        <v>141.9453</v>
      </c>
      <c r="P44" s="3817">
        <v>146.56829999999999</v>
      </c>
      <c r="Q44" s="3817">
        <v>151.39269999999999</v>
      </c>
      <c r="R44" s="3817">
        <v>156.4973</v>
      </c>
      <c r="S44" s="3817">
        <v>161.8801</v>
      </c>
      <c r="T44" s="3817">
        <v>167.4555</v>
      </c>
      <c r="U44" s="3817"/>
      <c r="V44" s="3817"/>
      <c r="W44" s="3015"/>
      <c r="X44" s="3015"/>
      <c r="Y44" s="3015"/>
      <c r="Z44" s="3015"/>
      <c r="AA44" s="3015"/>
      <c r="AB44" s="3015"/>
      <c r="AC44" s="3015"/>
      <c r="AD44" s="2318"/>
      <c r="AE44" s="2318"/>
      <c r="AF44" s="2318"/>
      <c r="AG44" s="2318"/>
      <c r="AH44" s="2318"/>
      <c r="AI44" s="2318"/>
      <c r="AJ44" s="2318"/>
      <c r="AK44" s="2318"/>
      <c r="AL44" s="2318"/>
      <c r="AM44" s="2319"/>
    </row>
    <row r="45" spans="1:39">
      <c r="A45" s="2312"/>
      <c r="B45" s="2307"/>
      <c r="C45" s="3042" t="s">
        <v>1788</v>
      </c>
      <c r="D45" s="2307" t="s">
        <v>1485</v>
      </c>
      <c r="E45" s="2307" t="s">
        <v>128</v>
      </c>
      <c r="F45" s="2307" t="s">
        <v>305</v>
      </c>
      <c r="G45" s="2307" t="s">
        <v>1739</v>
      </c>
      <c r="H45" s="2307" t="s">
        <v>955</v>
      </c>
      <c r="I45" s="4222">
        <v>203.42359999999999</v>
      </c>
      <c r="J45" s="3015">
        <v>210.58619999999999</v>
      </c>
      <c r="K45" s="3015">
        <v>217.49770000000001</v>
      </c>
      <c r="L45" s="3015">
        <v>224.6131</v>
      </c>
      <c r="M45" s="3015">
        <v>231.39689999999999</v>
      </c>
      <c r="N45" s="3015">
        <v>237.91659999999999</v>
      </c>
      <c r="O45" s="3015">
        <v>245.00630000000001</v>
      </c>
      <c r="P45" s="3015">
        <v>252.33779999999999</v>
      </c>
      <c r="Q45" s="3015">
        <v>259.96660000000003</v>
      </c>
      <c r="R45" s="3015">
        <v>268.03590000000003</v>
      </c>
      <c r="S45" s="3015">
        <v>276.52370000000002</v>
      </c>
      <c r="T45" s="3015">
        <v>285.18119999999999</v>
      </c>
      <c r="U45" s="3015"/>
      <c r="V45" s="3015"/>
      <c r="W45" s="3015"/>
      <c r="X45" s="3015"/>
      <c r="Y45" s="3015"/>
      <c r="Z45" s="3015"/>
      <c r="AA45" s="3015"/>
      <c r="AB45" s="3015"/>
      <c r="AC45" s="3015"/>
      <c r="AD45" s="2318"/>
      <c r="AE45" s="2318"/>
      <c r="AF45" s="2318"/>
      <c r="AG45" s="2318"/>
      <c r="AH45" s="2318"/>
      <c r="AI45" s="2318"/>
      <c r="AJ45" s="2318"/>
      <c r="AK45" s="2318"/>
      <c r="AL45" s="2318"/>
      <c r="AM45" s="2319"/>
    </row>
    <row r="46" spans="1:39">
      <c r="A46" s="2312"/>
      <c r="B46" s="2307"/>
      <c r="C46" s="3042"/>
      <c r="D46" s="2307"/>
      <c r="E46" s="2307"/>
      <c r="F46" s="2307"/>
      <c r="G46" s="2307"/>
      <c r="H46" s="2307"/>
      <c r="I46" s="4222"/>
      <c r="J46" s="3015"/>
      <c r="K46" s="3015"/>
      <c r="L46" s="3015"/>
      <c r="M46" s="3015"/>
      <c r="N46" s="3015"/>
      <c r="O46" s="3015"/>
      <c r="P46" s="3015"/>
      <c r="Q46" s="3015"/>
      <c r="R46" s="3015"/>
      <c r="S46" s="3015"/>
      <c r="T46" s="3015"/>
      <c r="U46" s="3015">
        <f t="shared" ref="U46:AC46" si="0">U43</f>
        <v>0</v>
      </c>
      <c r="V46" s="3015">
        <f t="shared" si="0"/>
        <v>0</v>
      </c>
      <c r="W46" s="3015">
        <f t="shared" si="0"/>
        <v>0</v>
      </c>
      <c r="X46" s="3015">
        <f t="shared" si="0"/>
        <v>0</v>
      </c>
      <c r="Y46" s="3015">
        <f t="shared" si="0"/>
        <v>0</v>
      </c>
      <c r="Z46" s="3015">
        <f t="shared" si="0"/>
        <v>0</v>
      </c>
      <c r="AA46" s="3015">
        <f t="shared" si="0"/>
        <v>0</v>
      </c>
      <c r="AB46" s="3015">
        <f t="shared" si="0"/>
        <v>0</v>
      </c>
      <c r="AC46" s="3015">
        <f t="shared" si="0"/>
        <v>0</v>
      </c>
      <c r="AD46" s="2318"/>
      <c r="AE46" s="2318"/>
      <c r="AF46" s="2318"/>
      <c r="AG46" s="2318"/>
      <c r="AH46" s="2318"/>
      <c r="AI46" s="2318"/>
      <c r="AJ46" s="2318"/>
      <c r="AK46" s="2318"/>
      <c r="AL46" s="2318"/>
      <c r="AM46" s="2319"/>
    </row>
    <row r="47" spans="1:39">
      <c r="A47" s="2312"/>
      <c r="B47" s="2307"/>
      <c r="C47" s="3042"/>
      <c r="D47" s="2307"/>
      <c r="E47" s="2307"/>
      <c r="F47" s="2307"/>
      <c r="G47" s="2307"/>
      <c r="H47" s="2307"/>
      <c r="I47" s="4222"/>
      <c r="J47" s="3015"/>
      <c r="K47" s="3015"/>
      <c r="L47" s="3015"/>
      <c r="M47" s="3015"/>
      <c r="N47" s="3015"/>
      <c r="O47" s="3015"/>
      <c r="P47" s="3015"/>
      <c r="Q47" s="3015"/>
      <c r="R47" s="3015"/>
      <c r="S47" s="3015"/>
      <c r="T47" s="3015"/>
      <c r="U47" s="3015"/>
      <c r="V47" s="3015"/>
      <c r="W47" s="3015"/>
      <c r="X47" s="3015"/>
      <c r="Y47" s="3015"/>
      <c r="Z47" s="3015"/>
      <c r="AA47" s="3015"/>
      <c r="AB47" s="3015"/>
      <c r="AC47" s="3015"/>
      <c r="AD47" s="2318"/>
      <c r="AE47" s="2318"/>
      <c r="AF47" s="2318"/>
      <c r="AG47" s="2318"/>
      <c r="AH47" s="2318"/>
      <c r="AI47" s="2318"/>
      <c r="AJ47" s="2318"/>
      <c r="AK47" s="2318"/>
      <c r="AL47" s="2318"/>
      <c r="AM47" s="2319"/>
    </row>
    <row r="48" spans="1:39">
      <c r="A48" s="2312"/>
      <c r="B48" s="2307"/>
      <c r="C48" s="3042"/>
      <c r="D48" s="2307"/>
      <c r="E48" s="2307"/>
      <c r="F48" s="2307"/>
      <c r="G48" s="2307"/>
      <c r="H48" s="2307"/>
      <c r="I48" s="4222"/>
      <c r="J48" s="3015"/>
      <c r="K48" s="3015"/>
      <c r="L48" s="3015"/>
      <c r="M48" s="3015"/>
      <c r="N48" s="3015"/>
      <c r="O48" s="3015"/>
      <c r="P48" s="3015"/>
      <c r="Q48" s="3015"/>
      <c r="R48" s="3015"/>
      <c r="S48" s="3015"/>
      <c r="T48" s="3015"/>
      <c r="U48" s="3015"/>
      <c r="V48" s="3015"/>
      <c r="W48" s="3015"/>
      <c r="X48" s="3015"/>
      <c r="Y48" s="3015"/>
      <c r="Z48" s="3015"/>
      <c r="AA48" s="3015"/>
      <c r="AB48" s="3015"/>
      <c r="AC48" s="3015"/>
      <c r="AD48" s="2318"/>
      <c r="AE48" s="2318"/>
      <c r="AF48" s="2318"/>
      <c r="AG48" s="2318"/>
      <c r="AH48" s="2318"/>
      <c r="AI48" s="2318"/>
      <c r="AJ48" s="2318"/>
      <c r="AK48" s="2318"/>
      <c r="AL48" s="2318"/>
      <c r="AM48" s="2319"/>
    </row>
    <row r="49" spans="1:39">
      <c r="A49" s="2312"/>
      <c r="B49" s="2307"/>
      <c r="C49" s="2307"/>
      <c r="D49" s="2307"/>
      <c r="E49" s="2307"/>
      <c r="F49" s="2307"/>
      <c r="G49" s="2307"/>
      <c r="H49" s="2307"/>
      <c r="I49" s="4224"/>
      <c r="J49" s="2325"/>
      <c r="K49" s="2325"/>
      <c r="L49" s="2325"/>
      <c r="M49" s="2325"/>
      <c r="N49" s="2325"/>
      <c r="O49" s="2325"/>
      <c r="P49" s="2325"/>
      <c r="Q49" s="2325"/>
      <c r="R49" s="2325"/>
      <c r="S49" s="2325"/>
      <c r="T49" s="2325"/>
      <c r="U49" s="2318"/>
      <c r="V49" s="2318"/>
      <c r="W49" s="2318"/>
      <c r="X49" s="2318"/>
      <c r="Y49" s="2318"/>
      <c r="Z49" s="2318"/>
      <c r="AA49" s="2318"/>
      <c r="AB49" s="2318"/>
      <c r="AC49" s="2318"/>
      <c r="AD49" s="2318"/>
      <c r="AE49" s="2318"/>
      <c r="AF49" s="2318"/>
      <c r="AG49" s="2318"/>
      <c r="AH49" s="2318"/>
      <c r="AI49" s="2318"/>
      <c r="AJ49" s="2318"/>
      <c r="AK49" s="2318"/>
      <c r="AL49" s="2318"/>
      <c r="AM49" s="2319"/>
    </row>
    <row r="50" spans="1:39">
      <c r="A50" s="2312"/>
      <c r="B50" s="2307"/>
      <c r="C50" s="2307"/>
      <c r="D50" s="2307"/>
      <c r="E50" s="2307"/>
      <c r="F50" s="2307"/>
      <c r="G50" s="2307"/>
      <c r="H50" s="2307"/>
      <c r="I50" s="4224"/>
      <c r="J50" s="2325"/>
      <c r="K50" s="2325"/>
      <c r="L50" s="2325"/>
      <c r="M50" s="2325"/>
      <c r="N50" s="2325"/>
      <c r="O50" s="2325"/>
      <c r="P50" s="2325"/>
      <c r="Q50" s="2325"/>
      <c r="R50" s="2325"/>
      <c r="S50" s="2325"/>
      <c r="T50" s="2325"/>
      <c r="U50" s="2318"/>
      <c r="V50" s="2318"/>
      <c r="W50" s="2318"/>
      <c r="X50" s="2318"/>
      <c r="Y50" s="2318"/>
      <c r="Z50" s="2318"/>
      <c r="AA50" s="2318"/>
      <c r="AB50" s="2318"/>
      <c r="AC50" s="2318"/>
      <c r="AD50" s="2318"/>
      <c r="AE50" s="2318"/>
      <c r="AF50" s="2318"/>
      <c r="AG50" s="2318"/>
      <c r="AH50" s="2318"/>
      <c r="AI50" s="2318"/>
      <c r="AJ50" s="2318"/>
      <c r="AK50" s="2318"/>
      <c r="AL50" s="2318"/>
      <c r="AM50" s="2319"/>
    </row>
    <row r="51" spans="1:39">
      <c r="A51" s="2312"/>
      <c r="B51" s="2307"/>
      <c r="C51" s="2307"/>
      <c r="D51" s="2307"/>
      <c r="E51" s="2307"/>
      <c r="F51" s="2307"/>
      <c r="G51" s="2307"/>
      <c r="H51" s="2307"/>
      <c r="I51" s="4224"/>
      <c r="J51" s="2325"/>
      <c r="K51" s="2325"/>
      <c r="L51" s="2325"/>
      <c r="M51" s="2325"/>
      <c r="N51" s="2325"/>
      <c r="O51" s="2325"/>
      <c r="P51" s="2325"/>
      <c r="Q51" s="2325"/>
      <c r="R51" s="2325"/>
      <c r="S51" s="2325"/>
      <c r="T51" s="2325"/>
      <c r="U51" s="2318"/>
      <c r="V51" s="2318"/>
      <c r="W51" s="2318"/>
      <c r="X51" s="2318"/>
      <c r="Y51" s="2318"/>
      <c r="Z51" s="2318"/>
      <c r="AA51" s="2318"/>
      <c r="AB51" s="2318"/>
      <c r="AC51" s="2318"/>
      <c r="AD51" s="2318"/>
      <c r="AE51" s="2318"/>
      <c r="AF51" s="2318"/>
      <c r="AG51" s="2318"/>
      <c r="AH51" s="2318"/>
      <c r="AI51" s="2318"/>
      <c r="AJ51" s="2318"/>
      <c r="AK51" s="2318"/>
      <c r="AL51" s="2318"/>
      <c r="AM51" s="2319"/>
    </row>
    <row r="52" spans="1:39">
      <c r="A52" s="2312"/>
      <c r="B52" s="2307"/>
      <c r="C52" s="2307"/>
      <c r="D52" s="2307"/>
      <c r="E52" s="2307"/>
      <c r="F52" s="2307"/>
      <c r="G52" s="2307"/>
      <c r="H52" s="2307"/>
      <c r="I52" s="4224"/>
      <c r="J52" s="2318"/>
      <c r="K52" s="2318"/>
      <c r="L52" s="2318"/>
      <c r="M52" s="2318"/>
      <c r="N52" s="2318"/>
      <c r="O52" s="2318"/>
      <c r="P52" s="2318"/>
      <c r="Q52" s="2318"/>
      <c r="R52" s="2318"/>
      <c r="S52" s="2318"/>
      <c r="T52" s="2318"/>
      <c r="U52" s="2318"/>
      <c r="V52" s="2318"/>
      <c r="W52" s="2318"/>
      <c r="X52" s="2318"/>
      <c r="Y52" s="2318"/>
      <c r="Z52" s="2318"/>
      <c r="AA52" s="2318"/>
      <c r="AB52" s="2318"/>
      <c r="AC52" s="2318"/>
      <c r="AD52" s="2318"/>
      <c r="AE52" s="2318"/>
      <c r="AF52" s="2318"/>
      <c r="AG52" s="2318"/>
      <c r="AH52" s="2318"/>
      <c r="AI52" s="2318"/>
      <c r="AJ52" s="2318"/>
      <c r="AK52" s="2318"/>
      <c r="AL52" s="2318"/>
      <c r="AM52" s="2319"/>
    </row>
    <row r="53" spans="1:39">
      <c r="A53" s="2312"/>
      <c r="B53" s="2307"/>
      <c r="C53" s="2307"/>
      <c r="D53" s="2307"/>
      <c r="E53" s="2307"/>
      <c r="F53" s="2307"/>
      <c r="G53" s="2307"/>
      <c r="H53" s="2307"/>
      <c r="I53" s="4224"/>
      <c r="J53" s="2318"/>
      <c r="K53" s="2318"/>
      <c r="L53" s="2318"/>
      <c r="M53" s="2318"/>
      <c r="N53" s="2318"/>
      <c r="O53" s="2318"/>
      <c r="P53" s="2318"/>
      <c r="Q53" s="2318"/>
      <c r="R53" s="2318"/>
      <c r="S53" s="2318"/>
      <c r="T53" s="2318"/>
      <c r="U53" s="2318"/>
      <c r="V53" s="2318"/>
      <c r="W53" s="2318"/>
      <c r="X53" s="2318"/>
      <c r="Y53" s="2318"/>
      <c r="Z53" s="2318"/>
      <c r="AA53" s="2318"/>
      <c r="AB53" s="2318"/>
      <c r="AC53" s="2318"/>
      <c r="AD53" s="2318"/>
      <c r="AE53" s="2318"/>
      <c r="AF53" s="2318"/>
      <c r="AG53" s="2318"/>
      <c r="AH53" s="2318"/>
      <c r="AI53" s="2318"/>
      <c r="AJ53" s="2318"/>
      <c r="AK53" s="2318"/>
      <c r="AL53" s="2318"/>
      <c r="AM53" s="2319"/>
    </row>
    <row r="54" spans="1:39">
      <c r="A54" s="2312"/>
      <c r="B54" s="2307"/>
      <c r="C54" s="2307"/>
      <c r="D54" s="2307"/>
      <c r="E54" s="2307"/>
      <c r="F54" s="2307"/>
      <c r="G54" s="2307"/>
      <c r="H54" s="2307"/>
      <c r="I54" s="4222"/>
      <c r="J54" s="3015"/>
      <c r="K54" s="3015"/>
      <c r="L54" s="3015"/>
      <c r="M54" s="3015"/>
      <c r="N54" s="3015"/>
      <c r="O54" s="3015"/>
      <c r="P54" s="3015"/>
      <c r="Q54" s="3015"/>
      <c r="R54" s="3015"/>
      <c r="S54" s="3015"/>
      <c r="T54" s="3015"/>
      <c r="U54" s="3015"/>
      <c r="V54" s="3015"/>
      <c r="W54" s="3015"/>
      <c r="X54" s="3015"/>
      <c r="Y54" s="3015"/>
      <c r="Z54" s="3015"/>
      <c r="AA54" s="3015"/>
      <c r="AB54" s="3015"/>
      <c r="AC54" s="3015"/>
      <c r="AD54" s="2318"/>
      <c r="AE54" s="2318"/>
      <c r="AF54" s="2318"/>
      <c r="AG54" s="2318"/>
      <c r="AH54" s="2318"/>
      <c r="AI54" s="2318"/>
      <c r="AJ54" s="2318"/>
      <c r="AK54" s="2318"/>
      <c r="AL54" s="2318"/>
      <c r="AM54" s="2319"/>
    </row>
    <row r="55" spans="1:39">
      <c r="A55" s="2312"/>
      <c r="B55" s="2307"/>
      <c r="C55" s="2307"/>
      <c r="D55" s="2307"/>
      <c r="E55" s="2307"/>
      <c r="F55" s="2307"/>
      <c r="G55" s="2307"/>
      <c r="H55" s="2307"/>
      <c r="I55" s="4222"/>
      <c r="J55" s="3015"/>
      <c r="K55" s="3015"/>
      <c r="L55" s="3015"/>
      <c r="M55" s="3015"/>
      <c r="N55" s="3015"/>
      <c r="O55" s="3015"/>
      <c r="P55" s="3015"/>
      <c r="Q55" s="3015"/>
      <c r="R55" s="3015"/>
      <c r="S55" s="3015"/>
      <c r="T55" s="3015"/>
      <c r="U55" s="3015"/>
      <c r="V55" s="3015"/>
      <c r="W55" s="3015"/>
      <c r="X55" s="3015"/>
      <c r="Y55" s="3015"/>
      <c r="Z55" s="3015"/>
      <c r="AA55" s="3015"/>
      <c r="AB55" s="3015"/>
      <c r="AC55" s="3015"/>
      <c r="AD55" s="2318"/>
      <c r="AE55" s="2318"/>
      <c r="AF55" s="2318"/>
      <c r="AG55" s="2318"/>
      <c r="AH55" s="2318"/>
      <c r="AI55" s="2318"/>
      <c r="AJ55" s="2318"/>
      <c r="AK55" s="2318"/>
      <c r="AL55" s="2318"/>
      <c r="AM55" s="2319"/>
    </row>
    <row r="56" spans="1:39">
      <c r="A56" s="2312"/>
      <c r="B56" s="2307"/>
      <c r="C56" s="2307"/>
      <c r="D56" s="2307"/>
      <c r="E56" s="2307"/>
      <c r="F56" s="2307"/>
      <c r="G56" s="2307"/>
      <c r="H56" s="2307"/>
      <c r="I56" s="4222"/>
      <c r="J56" s="3015"/>
      <c r="K56" s="3015"/>
      <c r="L56" s="3015"/>
      <c r="M56" s="3015"/>
      <c r="N56" s="3015"/>
      <c r="O56" s="3015"/>
      <c r="P56" s="3015"/>
      <c r="Q56" s="3015"/>
      <c r="R56" s="3015"/>
      <c r="S56" s="3015"/>
      <c r="T56" s="3015"/>
      <c r="U56" s="3015"/>
      <c r="V56" s="3015"/>
      <c r="W56" s="3015"/>
      <c r="X56" s="3015"/>
      <c r="Y56" s="3015"/>
      <c r="Z56" s="3015"/>
      <c r="AA56" s="3015"/>
      <c r="AB56" s="3015"/>
      <c r="AC56" s="3015"/>
      <c r="AD56" s="2318"/>
      <c r="AE56" s="2318"/>
      <c r="AF56" s="2318"/>
      <c r="AG56" s="2318"/>
      <c r="AH56" s="2318"/>
      <c r="AI56" s="2318"/>
      <c r="AJ56" s="2318"/>
      <c r="AK56" s="2318"/>
      <c r="AL56" s="2318"/>
      <c r="AM56" s="2319"/>
    </row>
    <row r="57" spans="1:39">
      <c r="A57" s="2312"/>
      <c r="B57" s="2307"/>
      <c r="C57" s="2307"/>
      <c r="D57" s="2307"/>
      <c r="E57" s="2307"/>
      <c r="F57" s="2307"/>
      <c r="G57" s="2307"/>
      <c r="H57" s="2307"/>
      <c r="I57" s="4224"/>
      <c r="J57" s="2318"/>
      <c r="K57" s="2318"/>
      <c r="L57" s="2318"/>
      <c r="M57" s="2318"/>
      <c r="N57" s="2318"/>
      <c r="O57" s="2318"/>
      <c r="P57" s="2318"/>
      <c r="Q57" s="2318"/>
      <c r="R57" s="2318"/>
      <c r="S57" s="2318"/>
      <c r="T57" s="2318"/>
      <c r="U57" s="2318"/>
      <c r="V57" s="2318"/>
      <c r="W57" s="2318"/>
      <c r="X57" s="2318"/>
      <c r="Y57" s="2318"/>
      <c r="Z57" s="2318"/>
      <c r="AA57" s="2318"/>
      <c r="AB57" s="2318"/>
      <c r="AC57" s="2318"/>
      <c r="AD57" s="2318"/>
      <c r="AE57" s="2318"/>
      <c r="AF57" s="2318"/>
      <c r="AG57" s="2318"/>
      <c r="AH57" s="2318"/>
      <c r="AI57" s="2318"/>
      <c r="AJ57" s="2318"/>
      <c r="AK57" s="2318"/>
      <c r="AL57" s="2318"/>
      <c r="AM57" s="2319"/>
    </row>
    <row r="58" spans="1:39">
      <c r="A58" s="2312"/>
      <c r="B58" s="2307"/>
      <c r="C58" s="2307"/>
      <c r="D58" s="2307"/>
      <c r="E58" s="2307"/>
      <c r="F58" s="2307"/>
      <c r="G58" s="2307"/>
      <c r="H58" s="2307"/>
      <c r="I58" s="4224"/>
      <c r="J58" s="2318"/>
      <c r="K58" s="2318"/>
      <c r="L58" s="2318"/>
      <c r="M58" s="2318"/>
      <c r="N58" s="2318"/>
      <c r="O58" s="2318"/>
      <c r="P58" s="2318"/>
      <c r="Q58" s="2318"/>
      <c r="R58" s="2318"/>
      <c r="S58" s="2318"/>
      <c r="T58" s="2318"/>
      <c r="U58" s="2318"/>
      <c r="V58" s="2318"/>
      <c r="W58" s="2318"/>
      <c r="X58" s="2318"/>
      <c r="Y58" s="2318"/>
      <c r="Z58" s="2318"/>
      <c r="AA58" s="2318"/>
      <c r="AB58" s="2318"/>
      <c r="AC58" s="2318"/>
      <c r="AD58" s="2318"/>
      <c r="AE58" s="2318"/>
      <c r="AF58" s="2318"/>
      <c r="AG58" s="2318"/>
      <c r="AH58" s="2318"/>
      <c r="AI58" s="2318"/>
      <c r="AJ58" s="2318"/>
      <c r="AK58" s="2318"/>
      <c r="AL58" s="2318"/>
      <c r="AM58" s="2319"/>
    </row>
    <row r="59" spans="1:39">
      <c r="A59" s="2312"/>
      <c r="B59" s="2307"/>
      <c r="C59" s="2307"/>
      <c r="D59" s="2307"/>
      <c r="E59" s="2307"/>
      <c r="F59" s="2307"/>
      <c r="G59" s="2307"/>
      <c r="H59" s="2307"/>
      <c r="I59" s="4224"/>
      <c r="J59" s="2318"/>
      <c r="K59" s="2318"/>
      <c r="L59" s="2318"/>
      <c r="M59" s="2318"/>
      <c r="N59" s="2318"/>
      <c r="O59" s="2318"/>
      <c r="P59" s="2318"/>
      <c r="Q59" s="2318"/>
      <c r="R59" s="2318"/>
      <c r="S59" s="2318"/>
      <c r="T59" s="2318"/>
      <c r="U59" s="2318"/>
      <c r="V59" s="2318"/>
      <c r="W59" s="2318"/>
      <c r="X59" s="2318"/>
      <c r="Y59" s="2318"/>
      <c r="Z59" s="2318"/>
      <c r="AA59" s="2318"/>
      <c r="AB59" s="2318"/>
      <c r="AC59" s="2318"/>
      <c r="AD59" s="2318"/>
      <c r="AE59" s="2318"/>
      <c r="AF59" s="2318"/>
      <c r="AG59" s="2318"/>
      <c r="AH59" s="2318"/>
      <c r="AI59" s="2318"/>
      <c r="AJ59" s="2318"/>
      <c r="AK59" s="2318"/>
      <c r="AL59" s="2318"/>
      <c r="AM59" s="2319"/>
    </row>
    <row r="60" spans="1:39">
      <c r="A60" s="2312"/>
      <c r="B60" s="2307"/>
      <c r="C60" s="2307"/>
      <c r="D60" s="2307"/>
      <c r="E60" s="2307"/>
      <c r="F60" s="2307"/>
      <c r="G60" s="2307"/>
      <c r="H60" s="2307"/>
      <c r="I60" s="4224"/>
      <c r="J60" s="2318"/>
      <c r="K60" s="2318"/>
      <c r="L60" s="2318"/>
      <c r="M60" s="2318"/>
      <c r="N60" s="2318"/>
      <c r="O60" s="2318"/>
      <c r="P60" s="2318"/>
      <c r="Q60" s="2318"/>
      <c r="R60" s="2318"/>
      <c r="S60" s="2318"/>
      <c r="T60" s="2318"/>
      <c r="U60" s="2318"/>
      <c r="V60" s="2318"/>
      <c r="W60" s="2318"/>
      <c r="X60" s="2318"/>
      <c r="Y60" s="2318"/>
      <c r="Z60" s="2318"/>
      <c r="AA60" s="2318"/>
      <c r="AB60" s="2318"/>
      <c r="AC60" s="2318"/>
      <c r="AD60" s="2318"/>
      <c r="AE60" s="2318"/>
      <c r="AF60" s="2318"/>
      <c r="AG60" s="2318"/>
      <c r="AH60" s="2318"/>
      <c r="AI60" s="2318"/>
      <c r="AJ60" s="2318"/>
      <c r="AK60" s="2318"/>
      <c r="AL60" s="2318"/>
      <c r="AM60" s="2319"/>
    </row>
    <row r="61" spans="1:39">
      <c r="A61" s="2312"/>
      <c r="B61" s="2307"/>
      <c r="C61" s="2307"/>
      <c r="D61" s="2307"/>
      <c r="E61" s="2307"/>
      <c r="F61" s="2307"/>
      <c r="G61" s="2307"/>
      <c r="H61" s="2307"/>
      <c r="I61" s="4224"/>
      <c r="J61" s="2318"/>
      <c r="K61" s="2318"/>
      <c r="L61" s="2318"/>
      <c r="M61" s="2318"/>
      <c r="N61" s="2318"/>
      <c r="O61" s="2318"/>
      <c r="P61" s="2318"/>
      <c r="Q61" s="2318"/>
      <c r="R61" s="2318"/>
      <c r="S61" s="2318"/>
      <c r="T61" s="2318"/>
      <c r="U61" s="2318"/>
      <c r="V61" s="2318"/>
      <c r="W61" s="2318"/>
      <c r="X61" s="2318"/>
      <c r="Y61" s="2318"/>
      <c r="Z61" s="2318"/>
      <c r="AA61" s="2318"/>
      <c r="AB61" s="2318"/>
      <c r="AC61" s="2318"/>
      <c r="AD61" s="2318"/>
      <c r="AE61" s="2318"/>
      <c r="AF61" s="2318"/>
      <c r="AG61" s="2318"/>
      <c r="AH61" s="2318"/>
      <c r="AI61" s="2318"/>
      <c r="AJ61" s="2318"/>
      <c r="AK61" s="2318"/>
      <c r="AL61" s="2318"/>
      <c r="AM61" s="2319"/>
    </row>
    <row r="62" spans="1:39">
      <c r="A62" s="2312"/>
      <c r="B62" s="2307"/>
      <c r="C62" s="2307"/>
      <c r="D62" s="2307"/>
      <c r="E62" s="2307"/>
      <c r="F62" s="2307"/>
      <c r="G62" s="2307"/>
      <c r="H62" s="2307"/>
      <c r="I62" s="3906"/>
      <c r="J62" s="2318"/>
      <c r="K62" s="2318"/>
      <c r="L62" s="2318"/>
      <c r="M62" s="2318"/>
      <c r="N62" s="2318"/>
      <c r="O62" s="2318"/>
      <c r="P62" s="2318"/>
      <c r="Q62" s="2318"/>
      <c r="R62" s="2318"/>
      <c r="S62" s="2318"/>
      <c r="T62" s="2318"/>
      <c r="U62" s="2318"/>
      <c r="V62" s="2318"/>
      <c r="W62" s="2318"/>
      <c r="X62" s="2318"/>
      <c r="Y62" s="2318"/>
      <c r="Z62" s="2318"/>
      <c r="AA62" s="2318"/>
      <c r="AB62" s="2318"/>
      <c r="AC62" s="2318"/>
      <c r="AD62" s="2318"/>
      <c r="AE62" s="2318"/>
      <c r="AF62" s="2318"/>
      <c r="AG62" s="2318"/>
      <c r="AH62" s="2318"/>
      <c r="AI62" s="2318"/>
      <c r="AJ62" s="2318"/>
      <c r="AK62" s="2318"/>
      <c r="AL62" s="2318"/>
      <c r="AM62" s="2319"/>
    </row>
    <row r="63" spans="1:39">
      <c r="A63" s="2312"/>
      <c r="B63" s="2307"/>
      <c r="C63" s="2307"/>
      <c r="D63" s="2307"/>
      <c r="E63" s="2307"/>
      <c r="F63" s="2307"/>
      <c r="G63" s="2307"/>
      <c r="H63" s="2307"/>
      <c r="I63" s="2318"/>
      <c r="J63" s="2318"/>
      <c r="K63" s="2318"/>
      <c r="L63" s="2318"/>
      <c r="M63" s="2318"/>
      <c r="N63" s="2318"/>
      <c r="O63" s="2318"/>
      <c r="P63" s="2318"/>
      <c r="Q63" s="2318"/>
      <c r="R63" s="2318"/>
      <c r="S63" s="2318"/>
      <c r="T63" s="2318"/>
      <c r="U63" s="2318"/>
      <c r="V63" s="2318"/>
      <c r="W63" s="2318"/>
      <c r="X63" s="2318"/>
      <c r="Y63" s="2318"/>
      <c r="Z63" s="2318"/>
      <c r="AA63" s="2318"/>
      <c r="AB63" s="2318"/>
      <c r="AC63" s="2318"/>
      <c r="AD63" s="2318"/>
      <c r="AE63" s="2318"/>
      <c r="AF63" s="2318"/>
      <c r="AG63" s="2318"/>
      <c r="AH63" s="2318"/>
      <c r="AI63" s="2318"/>
      <c r="AJ63" s="2318"/>
      <c r="AK63" s="2318"/>
      <c r="AL63" s="2318"/>
      <c r="AM63" s="2319"/>
    </row>
    <row r="64" spans="1:39">
      <c r="A64" s="2312"/>
      <c r="B64" s="2307"/>
      <c r="C64" s="2307"/>
      <c r="D64" s="2307"/>
      <c r="E64" s="2307"/>
      <c r="F64" s="2307"/>
      <c r="G64" s="2307"/>
      <c r="H64" s="2307"/>
      <c r="I64" s="2318"/>
      <c r="J64" s="2318"/>
      <c r="K64" s="2318"/>
      <c r="L64" s="2318"/>
      <c r="M64" s="2318"/>
      <c r="N64" s="2318"/>
      <c r="O64" s="2318"/>
      <c r="P64" s="2318"/>
      <c r="Q64" s="2318"/>
      <c r="R64" s="2318"/>
      <c r="S64" s="2318"/>
      <c r="T64" s="2318"/>
      <c r="U64" s="2318"/>
      <c r="V64" s="2318"/>
      <c r="W64" s="2318"/>
      <c r="X64" s="2318"/>
      <c r="Y64" s="2318"/>
      <c r="Z64" s="2318"/>
      <c r="AA64" s="2318"/>
      <c r="AB64" s="2318"/>
      <c r="AC64" s="2318"/>
      <c r="AD64" s="2318"/>
      <c r="AE64" s="2318"/>
      <c r="AF64" s="2318"/>
      <c r="AG64" s="2318"/>
      <c r="AH64" s="2318"/>
      <c r="AI64" s="2318"/>
      <c r="AJ64" s="2318"/>
      <c r="AK64" s="2318"/>
      <c r="AL64" s="2318"/>
      <c r="AM64" s="2319"/>
    </row>
    <row r="65" spans="1:39">
      <c r="A65" s="2312"/>
      <c r="B65" s="2307"/>
      <c r="C65" s="2307"/>
      <c r="D65" s="2307"/>
      <c r="E65" s="2307"/>
      <c r="F65" s="2307"/>
      <c r="G65" s="2307"/>
      <c r="H65" s="2307"/>
      <c r="I65" s="2318"/>
      <c r="J65" s="2318"/>
      <c r="K65" s="2318"/>
      <c r="L65" s="2318"/>
      <c r="M65" s="2318"/>
      <c r="N65" s="2318"/>
      <c r="O65" s="2318"/>
      <c r="P65" s="2318"/>
      <c r="Q65" s="2318"/>
      <c r="R65" s="2318"/>
      <c r="S65" s="2318"/>
      <c r="T65" s="2318"/>
      <c r="U65" s="2318"/>
      <c r="V65" s="2318"/>
      <c r="W65" s="2318"/>
      <c r="X65" s="2318"/>
      <c r="Y65" s="2318"/>
      <c r="Z65" s="2318"/>
      <c r="AA65" s="2318"/>
      <c r="AB65" s="2318"/>
      <c r="AC65" s="2318"/>
      <c r="AD65" s="2318"/>
      <c r="AE65" s="2318"/>
      <c r="AF65" s="2318"/>
      <c r="AG65" s="2318"/>
      <c r="AH65" s="2318"/>
      <c r="AI65" s="2318"/>
      <c r="AJ65" s="2318"/>
      <c r="AK65" s="2318"/>
      <c r="AL65" s="2318"/>
      <c r="AM65" s="2319"/>
    </row>
    <row r="66" spans="1:39">
      <c r="A66" s="2312"/>
      <c r="B66" s="2307"/>
      <c r="C66" s="2307"/>
      <c r="D66" s="2307"/>
      <c r="E66" s="2307"/>
      <c r="F66" s="2307"/>
      <c r="G66" s="2307"/>
      <c r="H66" s="2307"/>
      <c r="I66" s="2318"/>
      <c r="J66" s="2318"/>
      <c r="K66" s="2318"/>
      <c r="L66" s="2318"/>
      <c r="M66" s="2318"/>
      <c r="N66" s="2318"/>
      <c r="O66" s="2318"/>
      <c r="P66" s="2318"/>
      <c r="Q66" s="2318"/>
      <c r="R66" s="2318"/>
      <c r="S66" s="2318"/>
      <c r="T66" s="2318"/>
      <c r="U66" s="2318"/>
      <c r="V66" s="2318"/>
      <c r="W66" s="2318"/>
      <c r="X66" s="2318"/>
      <c r="Y66" s="2318"/>
      <c r="Z66" s="2318"/>
      <c r="AA66" s="2318"/>
      <c r="AB66" s="2318"/>
      <c r="AC66" s="2318"/>
      <c r="AD66" s="2318"/>
      <c r="AE66" s="2318"/>
      <c r="AF66" s="2318"/>
      <c r="AG66" s="2318"/>
      <c r="AH66" s="2318"/>
      <c r="AI66" s="2318"/>
      <c r="AJ66" s="2318"/>
      <c r="AK66" s="2318"/>
      <c r="AL66" s="2318"/>
      <c r="AM66" s="2319"/>
    </row>
    <row r="67" spans="1:39" ht="13.5" thickBot="1">
      <c r="A67" s="2313"/>
      <c r="B67" s="2314"/>
      <c r="C67" s="2314"/>
      <c r="D67" s="2314"/>
      <c r="E67" s="2314"/>
      <c r="F67" s="2314"/>
      <c r="G67" s="2314"/>
      <c r="H67" s="2314"/>
      <c r="I67" s="2320"/>
      <c r="J67" s="2320"/>
      <c r="K67" s="2320"/>
      <c r="L67" s="2320"/>
      <c r="M67" s="2320"/>
      <c r="N67" s="2320"/>
      <c r="O67" s="2320"/>
      <c r="P67" s="2320"/>
      <c r="Q67" s="2320"/>
      <c r="R67" s="2320"/>
      <c r="S67" s="2320"/>
      <c r="T67" s="2320"/>
      <c r="U67" s="2320"/>
      <c r="V67" s="2320"/>
      <c r="W67" s="2320"/>
      <c r="X67" s="2320"/>
      <c r="Y67" s="2320"/>
      <c r="Z67" s="2320"/>
      <c r="AA67" s="2320"/>
      <c r="AB67" s="2320"/>
      <c r="AC67" s="2320"/>
      <c r="AD67" s="2320"/>
      <c r="AE67" s="2320"/>
      <c r="AF67" s="2320"/>
      <c r="AG67" s="2320"/>
      <c r="AH67" s="2320"/>
      <c r="AI67" s="2320"/>
      <c r="AJ67" s="2320"/>
      <c r="AK67" s="2320"/>
      <c r="AL67" s="2320"/>
      <c r="AM67" s="2321"/>
    </row>
    <row r="68" spans="1:39">
      <c r="C68" s="2329"/>
      <c r="D68" s="2329"/>
      <c r="E68" s="2329"/>
      <c r="F68" s="2329"/>
      <c r="G68" s="2329"/>
      <c r="H68" s="2329"/>
      <c r="I68" s="2322"/>
      <c r="J68" s="2322"/>
      <c r="K68" s="2322"/>
      <c r="L68" s="2322"/>
      <c r="M68" s="2322"/>
      <c r="N68" s="2322"/>
      <c r="O68" s="2322"/>
      <c r="P68" s="2322"/>
      <c r="Q68" s="2322"/>
      <c r="R68" s="2322"/>
      <c r="S68" s="2322"/>
      <c r="T68" s="2322"/>
      <c r="U68" s="2322"/>
      <c r="V68" s="2322"/>
      <c r="W68" s="2322"/>
      <c r="X68" s="2322"/>
      <c r="Y68" s="2322"/>
      <c r="Z68" s="2322"/>
      <c r="AA68" s="2322"/>
      <c r="AB68" s="2322"/>
      <c r="AC68" s="2322"/>
      <c r="AD68" s="2322"/>
      <c r="AE68" s="2322"/>
      <c r="AF68" s="2322"/>
      <c r="AG68" s="2322"/>
      <c r="AH68" s="2322"/>
      <c r="AI68" s="2322"/>
      <c r="AJ68" s="2322"/>
      <c r="AK68" s="2322"/>
      <c r="AL68" s="2322"/>
      <c r="AM68" s="2322"/>
    </row>
    <row r="69" spans="1:39" s="2329" customFormat="1">
      <c r="I69" s="2322"/>
      <c r="J69" s="2322"/>
      <c r="K69" s="2322"/>
      <c r="L69" s="2322"/>
      <c r="M69" s="2322"/>
      <c r="N69" s="2322"/>
      <c r="O69" s="2322"/>
      <c r="P69" s="2322"/>
      <c r="Q69" s="2322"/>
      <c r="R69" s="2322"/>
      <c r="S69" s="2322"/>
      <c r="T69" s="2322"/>
      <c r="U69" s="2322"/>
      <c r="V69" s="2322"/>
      <c r="W69" s="2322"/>
      <c r="X69" s="2322"/>
      <c r="Y69" s="2322"/>
      <c r="Z69" s="2322"/>
      <c r="AA69" s="2322"/>
      <c r="AB69" s="2322"/>
      <c r="AC69" s="2322"/>
      <c r="AD69" s="2322"/>
      <c r="AE69" s="2322"/>
      <c r="AF69" s="2322"/>
      <c r="AG69" s="2322"/>
      <c r="AH69" s="2322"/>
      <c r="AI69" s="2322"/>
      <c r="AJ69" s="2322"/>
      <c r="AK69" s="2322"/>
      <c r="AL69" s="2322"/>
      <c r="AM69" s="2322"/>
    </row>
    <row r="70" spans="1:39" s="2329" customFormat="1">
      <c r="I70" s="2322"/>
      <c r="J70" s="2322"/>
      <c r="K70" s="2322"/>
      <c r="L70" s="2322"/>
      <c r="M70" s="2322"/>
      <c r="N70" s="2322"/>
      <c r="O70" s="2322"/>
      <c r="P70" s="2322"/>
      <c r="Q70" s="2322"/>
      <c r="R70" s="2322"/>
      <c r="S70" s="2322"/>
      <c r="T70" s="2322"/>
      <c r="U70" s="2322"/>
      <c r="V70" s="2322"/>
      <c r="W70" s="2322"/>
      <c r="X70" s="2322"/>
      <c r="Y70" s="2322"/>
      <c r="Z70" s="2322"/>
      <c r="AA70" s="2322"/>
      <c r="AB70" s="2322"/>
      <c r="AC70" s="2322"/>
      <c r="AD70" s="2322"/>
      <c r="AE70" s="2322"/>
      <c r="AF70" s="2322"/>
      <c r="AG70" s="2322"/>
      <c r="AH70" s="2322"/>
      <c r="AI70" s="2322"/>
      <c r="AJ70" s="2322"/>
      <c r="AK70" s="2322"/>
      <c r="AL70" s="2322"/>
      <c r="AM70" s="2322"/>
    </row>
    <row r="71" spans="1:39" s="2329" customFormat="1">
      <c r="I71" s="2322"/>
      <c r="J71" s="2322"/>
      <c r="K71" s="2322"/>
      <c r="L71" s="2322"/>
      <c r="M71" s="2322"/>
      <c r="N71" s="2322"/>
      <c r="O71" s="2322"/>
      <c r="P71" s="2322"/>
      <c r="Q71" s="2322"/>
      <c r="R71" s="2322"/>
      <c r="S71" s="2322"/>
      <c r="T71" s="2322"/>
      <c r="U71" s="2322"/>
      <c r="V71" s="2322"/>
      <c r="W71" s="2322"/>
      <c r="X71" s="2322"/>
      <c r="Y71" s="2322"/>
      <c r="Z71" s="2322"/>
      <c r="AA71" s="2322"/>
      <c r="AB71" s="2322"/>
      <c r="AC71" s="2322"/>
      <c r="AD71" s="2322"/>
      <c r="AE71" s="2322"/>
      <c r="AF71" s="2322"/>
      <c r="AG71" s="2322"/>
      <c r="AH71" s="2322"/>
      <c r="AI71" s="2322"/>
      <c r="AJ71" s="2322"/>
      <c r="AK71" s="2322"/>
      <c r="AL71" s="2322"/>
      <c r="AM71" s="2322"/>
    </row>
    <row r="72" spans="1:39" s="2329" customFormat="1">
      <c r="I72" s="2322"/>
      <c r="J72" s="2322"/>
      <c r="K72" s="2322"/>
      <c r="L72" s="2322"/>
      <c r="M72" s="2322"/>
      <c r="N72" s="2322"/>
      <c r="O72" s="2322"/>
      <c r="P72" s="2322"/>
      <c r="Q72" s="2322"/>
      <c r="R72" s="2322"/>
      <c r="S72" s="2322"/>
      <c r="T72" s="2322"/>
      <c r="U72" s="2322"/>
      <c r="V72" s="2322"/>
      <c r="W72" s="2322"/>
      <c r="X72" s="2322"/>
      <c r="Y72" s="2322"/>
      <c r="Z72" s="2322"/>
      <c r="AA72" s="2322"/>
      <c r="AB72" s="2322"/>
      <c r="AC72" s="2322"/>
      <c r="AD72" s="2322"/>
      <c r="AE72" s="2322"/>
      <c r="AF72" s="2322"/>
      <c r="AG72" s="2322"/>
      <c r="AH72" s="2322"/>
      <c r="AI72" s="2322"/>
      <c r="AJ72" s="2322"/>
      <c r="AK72" s="2322"/>
      <c r="AL72" s="2322"/>
      <c r="AM72" s="2322"/>
    </row>
    <row r="73" spans="1:39" s="2329" customFormat="1">
      <c r="I73" s="2322"/>
      <c r="J73" s="2322"/>
      <c r="K73" s="2322"/>
      <c r="L73" s="2322"/>
      <c r="M73" s="2322"/>
      <c r="N73" s="2322"/>
      <c r="O73" s="2322"/>
      <c r="P73" s="2322"/>
      <c r="Q73" s="2322"/>
      <c r="R73" s="2322"/>
      <c r="S73" s="2322"/>
      <c r="T73" s="2322"/>
      <c r="U73" s="2322"/>
      <c r="V73" s="2322"/>
      <c r="W73" s="2322"/>
      <c r="X73" s="2322"/>
      <c r="Y73" s="2322"/>
      <c r="Z73" s="2322"/>
      <c r="AA73" s="2322"/>
      <c r="AB73" s="2322"/>
      <c r="AC73" s="2322"/>
      <c r="AD73" s="2322"/>
      <c r="AE73" s="2322"/>
      <c r="AF73" s="2322"/>
      <c r="AG73" s="2322"/>
      <c r="AH73" s="2322"/>
      <c r="AI73" s="2322"/>
      <c r="AJ73" s="2322"/>
      <c r="AK73" s="2322"/>
      <c r="AL73" s="2322"/>
      <c r="AM73" s="2322"/>
    </row>
    <row r="74" spans="1:39" s="2329" customFormat="1">
      <c r="I74" s="2322"/>
      <c r="J74" s="2322"/>
      <c r="K74" s="2322"/>
      <c r="L74" s="2322"/>
      <c r="M74" s="2322"/>
      <c r="N74" s="2322"/>
      <c r="O74" s="2322"/>
      <c r="P74" s="2322"/>
      <c r="Q74" s="2322"/>
      <c r="R74" s="2322"/>
      <c r="S74" s="2322"/>
      <c r="T74" s="2322"/>
      <c r="U74" s="2322"/>
      <c r="V74" s="2322"/>
      <c r="W74" s="2322"/>
      <c r="X74" s="2322"/>
      <c r="Y74" s="2322"/>
      <c r="Z74" s="2322"/>
      <c r="AA74" s="2322"/>
      <c r="AB74" s="2322"/>
      <c r="AC74" s="2322"/>
      <c r="AD74" s="2322"/>
      <c r="AE74" s="2322"/>
      <c r="AF74" s="2322"/>
      <c r="AG74" s="2322"/>
      <c r="AH74" s="2322"/>
      <c r="AI74" s="2322"/>
      <c r="AJ74" s="2322"/>
      <c r="AK74" s="2322"/>
      <c r="AL74" s="2322"/>
      <c r="AM74" s="2322"/>
    </row>
    <row r="75" spans="1:39" s="2329" customFormat="1">
      <c r="I75" s="2322"/>
      <c r="J75" s="2322"/>
      <c r="K75" s="2322"/>
      <c r="L75" s="2322"/>
      <c r="M75" s="2322"/>
      <c r="N75" s="2322"/>
      <c r="O75" s="2322"/>
      <c r="P75" s="2322"/>
      <c r="Q75" s="2322"/>
      <c r="R75" s="2322"/>
      <c r="S75" s="2322"/>
      <c r="T75" s="2322"/>
      <c r="U75" s="2322"/>
      <c r="V75" s="2322"/>
      <c r="W75" s="2322"/>
      <c r="X75" s="2322"/>
      <c r="Y75" s="2322"/>
      <c r="Z75" s="2322"/>
      <c r="AA75" s="2322"/>
      <c r="AB75" s="2322"/>
      <c r="AC75" s="2322"/>
      <c r="AD75" s="2322"/>
      <c r="AE75" s="2322"/>
      <c r="AF75" s="2322"/>
      <c r="AG75" s="2322"/>
      <c r="AH75" s="2322"/>
      <c r="AI75" s="2322"/>
      <c r="AJ75" s="2322"/>
      <c r="AK75" s="2322"/>
      <c r="AL75" s="2322"/>
      <c r="AM75" s="2322"/>
    </row>
    <row r="76" spans="1:39" s="2329" customFormat="1">
      <c r="I76" s="2322"/>
      <c r="J76" s="2322"/>
      <c r="K76" s="2322"/>
      <c r="L76" s="2322"/>
      <c r="M76" s="2322"/>
      <c r="N76" s="2322"/>
      <c r="O76" s="2322"/>
      <c r="P76" s="2322"/>
      <c r="Q76" s="2322"/>
      <c r="R76" s="2322"/>
      <c r="S76" s="2322"/>
      <c r="T76" s="2322"/>
      <c r="U76" s="2322"/>
      <c r="V76" s="2322"/>
      <c r="W76" s="2322"/>
      <c r="X76" s="2322"/>
      <c r="Y76" s="2322"/>
      <c r="Z76" s="2322"/>
      <c r="AA76" s="2322"/>
      <c r="AB76" s="2322"/>
      <c r="AC76" s="2322"/>
      <c r="AD76" s="2322"/>
      <c r="AE76" s="2322"/>
      <c r="AF76" s="2322"/>
      <c r="AG76" s="2322"/>
      <c r="AH76" s="2322"/>
      <c r="AI76" s="2322"/>
      <c r="AJ76" s="2322"/>
      <c r="AK76" s="2322"/>
      <c r="AL76" s="2322"/>
      <c r="AM76" s="2322"/>
    </row>
    <row r="77" spans="1:39" s="2329" customFormat="1">
      <c r="I77" s="2322"/>
      <c r="J77" s="2322"/>
      <c r="K77" s="2322"/>
      <c r="L77" s="2322"/>
      <c r="M77" s="2322"/>
      <c r="N77" s="2322"/>
      <c r="O77" s="2322"/>
      <c r="P77" s="2322"/>
      <c r="Q77" s="2322"/>
      <c r="R77" s="2322"/>
      <c r="S77" s="2322"/>
      <c r="T77" s="2322"/>
      <c r="U77" s="2322"/>
      <c r="V77" s="2322"/>
      <c r="W77" s="2322"/>
      <c r="X77" s="2322"/>
      <c r="Y77" s="2322"/>
      <c r="Z77" s="2322"/>
      <c r="AA77" s="2322"/>
      <c r="AB77" s="2322"/>
      <c r="AC77" s="2322"/>
      <c r="AD77" s="2322"/>
      <c r="AE77" s="2322"/>
      <c r="AF77" s="2322"/>
      <c r="AG77" s="2322"/>
      <c r="AH77" s="2322"/>
      <c r="AI77" s="2322"/>
      <c r="AJ77" s="2322"/>
      <c r="AK77" s="2322"/>
      <c r="AL77" s="2322"/>
      <c r="AM77" s="2322"/>
    </row>
    <row r="78" spans="1:39" s="2329" customFormat="1">
      <c r="I78" s="2322"/>
      <c r="J78" s="2322"/>
      <c r="K78" s="2322"/>
      <c r="L78" s="2322"/>
      <c r="M78" s="2322"/>
      <c r="N78" s="2322"/>
      <c r="O78" s="2322"/>
      <c r="P78" s="2322"/>
      <c r="Q78" s="2322"/>
      <c r="R78" s="2322"/>
      <c r="S78" s="2322"/>
      <c r="T78" s="2322"/>
      <c r="U78" s="2322"/>
      <c r="V78" s="2322"/>
      <c r="W78" s="2322"/>
      <c r="X78" s="2322"/>
      <c r="Y78" s="2322"/>
      <c r="Z78" s="2322"/>
      <c r="AA78" s="2322"/>
      <c r="AB78" s="2322"/>
      <c r="AC78" s="2322"/>
      <c r="AD78" s="2322"/>
      <c r="AE78" s="2322"/>
      <c r="AF78" s="2322"/>
      <c r="AG78" s="2322"/>
      <c r="AH78" s="2322"/>
      <c r="AI78" s="2322"/>
      <c r="AJ78" s="2322"/>
      <c r="AK78" s="2322"/>
      <c r="AL78" s="2322"/>
      <c r="AM78" s="2322"/>
    </row>
    <row r="79" spans="1:39" s="2329" customFormat="1">
      <c r="I79" s="2322"/>
      <c r="J79" s="2322"/>
      <c r="K79" s="2322"/>
      <c r="L79" s="2322"/>
      <c r="M79" s="2322"/>
      <c r="N79" s="2322"/>
      <c r="O79" s="2322"/>
      <c r="P79" s="2322"/>
      <c r="Q79" s="2322"/>
      <c r="R79" s="2322"/>
      <c r="S79" s="2322"/>
      <c r="T79" s="2322"/>
      <c r="U79" s="2322"/>
      <c r="V79" s="2322"/>
      <c r="W79" s="2322"/>
      <c r="X79" s="2322"/>
      <c r="Y79" s="2322"/>
      <c r="Z79" s="2322"/>
      <c r="AA79" s="2322"/>
      <c r="AB79" s="2322"/>
      <c r="AC79" s="2322"/>
      <c r="AD79" s="2322"/>
      <c r="AE79" s="2322"/>
      <c r="AF79" s="2322"/>
      <c r="AG79" s="2322"/>
      <c r="AH79" s="2322"/>
      <c r="AI79" s="2322"/>
      <c r="AJ79" s="2322"/>
      <c r="AK79" s="2322"/>
      <c r="AL79" s="2322"/>
      <c r="AM79" s="2322"/>
    </row>
    <row r="80" spans="1:39" s="2329" customFormat="1">
      <c r="I80" s="2322"/>
      <c r="J80" s="2322"/>
      <c r="K80" s="2322"/>
      <c r="L80" s="2322"/>
      <c r="M80" s="2322"/>
      <c r="N80" s="2322"/>
      <c r="O80" s="2322"/>
      <c r="P80" s="2322"/>
      <c r="Q80" s="2322"/>
      <c r="R80" s="2322"/>
      <c r="S80" s="2322"/>
      <c r="T80" s="2322"/>
      <c r="U80" s="2322"/>
      <c r="V80" s="2322"/>
      <c r="W80" s="2322"/>
      <c r="X80" s="2322"/>
      <c r="Y80" s="2322"/>
      <c r="Z80" s="2322"/>
      <c r="AA80" s="2322"/>
      <c r="AB80" s="2322"/>
      <c r="AC80" s="2322"/>
      <c r="AD80" s="2322"/>
      <c r="AE80" s="2322"/>
      <c r="AF80" s="2322"/>
      <c r="AG80" s="2322"/>
      <c r="AH80" s="2322"/>
      <c r="AI80" s="2322"/>
      <c r="AJ80" s="2322"/>
      <c r="AK80" s="2322"/>
      <c r="AL80" s="2322"/>
      <c r="AM80" s="2322"/>
    </row>
    <row r="81" spans="1:39" s="2329" customFormat="1">
      <c r="I81" s="2322"/>
      <c r="J81" s="2322"/>
      <c r="K81" s="2322"/>
      <c r="L81" s="2322"/>
      <c r="M81" s="2322"/>
      <c r="N81" s="2322"/>
      <c r="O81" s="2322"/>
      <c r="P81" s="2322"/>
      <c r="Q81" s="2322"/>
      <c r="R81" s="2322"/>
      <c r="S81" s="2322"/>
      <c r="T81" s="2322"/>
      <c r="U81" s="2322"/>
      <c r="V81" s="2322"/>
      <c r="W81" s="2322"/>
      <c r="X81" s="2322"/>
      <c r="Y81" s="2322"/>
      <c r="Z81" s="2322"/>
      <c r="AA81" s="2322"/>
      <c r="AB81" s="2322"/>
      <c r="AC81" s="2322"/>
      <c r="AD81" s="2322"/>
      <c r="AE81" s="2322"/>
      <c r="AF81" s="2322"/>
      <c r="AG81" s="2322"/>
      <c r="AH81" s="2322"/>
      <c r="AI81" s="2322"/>
      <c r="AJ81" s="2322"/>
      <c r="AK81" s="2322"/>
      <c r="AL81" s="2322"/>
      <c r="AM81" s="2322"/>
    </row>
    <row r="82" spans="1:39" s="2329" customFormat="1">
      <c r="I82" s="2322"/>
      <c r="J82" s="2322"/>
      <c r="K82" s="2322"/>
      <c r="L82" s="2322"/>
      <c r="M82" s="2322"/>
      <c r="N82" s="2322"/>
      <c r="O82" s="2322"/>
      <c r="P82" s="2322"/>
      <c r="Q82" s="2322"/>
      <c r="R82" s="2322"/>
      <c r="S82" s="2322"/>
      <c r="T82" s="2322"/>
      <c r="U82" s="2322"/>
      <c r="V82" s="2322"/>
      <c r="W82" s="2322"/>
      <c r="X82" s="2322"/>
      <c r="Y82" s="2322"/>
      <c r="Z82" s="2322"/>
      <c r="AA82" s="2322"/>
      <c r="AB82" s="2322"/>
      <c r="AC82" s="2322"/>
      <c r="AD82" s="2322"/>
      <c r="AE82" s="2322"/>
      <c r="AF82" s="2322"/>
      <c r="AG82" s="2322"/>
      <c r="AH82" s="2322"/>
      <c r="AI82" s="2322"/>
      <c r="AJ82" s="2322"/>
      <c r="AK82" s="2322"/>
      <c r="AL82" s="2322"/>
      <c r="AM82" s="2322"/>
    </row>
    <row r="83" spans="1:39" s="2329" customFormat="1">
      <c r="I83" s="2322"/>
      <c r="J83" s="2322"/>
      <c r="K83" s="2322"/>
      <c r="L83" s="2322"/>
      <c r="M83" s="2322"/>
      <c r="N83" s="2322"/>
      <c r="O83" s="2322"/>
      <c r="P83" s="2322"/>
      <c r="Q83" s="2322"/>
      <c r="R83" s="2322"/>
      <c r="S83" s="2322"/>
      <c r="T83" s="2322"/>
      <c r="U83" s="2322"/>
      <c r="V83" s="2322"/>
      <c r="W83" s="2322"/>
      <c r="X83" s="2322"/>
      <c r="Y83" s="2322"/>
      <c r="Z83" s="2322"/>
      <c r="AA83" s="2322"/>
      <c r="AB83" s="2322"/>
      <c r="AC83" s="2322"/>
      <c r="AD83" s="2322"/>
      <c r="AE83" s="2322"/>
      <c r="AF83" s="2322"/>
      <c r="AG83" s="2322"/>
      <c r="AH83" s="2322"/>
      <c r="AI83" s="2322"/>
      <c r="AJ83" s="2322"/>
      <c r="AK83" s="2322"/>
      <c r="AL83" s="2322"/>
      <c r="AM83" s="2322"/>
    </row>
    <row r="84" spans="1:39" s="2329" customFormat="1">
      <c r="I84" s="2322"/>
      <c r="J84" s="2322"/>
      <c r="K84" s="2322"/>
      <c r="L84" s="2322"/>
      <c r="M84" s="2322"/>
      <c r="N84" s="2322"/>
      <c r="O84" s="2322"/>
      <c r="P84" s="2322"/>
      <c r="Q84" s="2322"/>
      <c r="R84" s="2322"/>
      <c r="S84" s="2322"/>
      <c r="T84" s="2322"/>
      <c r="U84" s="2322"/>
      <c r="V84" s="2322"/>
      <c r="W84" s="2322"/>
      <c r="X84" s="2322"/>
      <c r="Y84" s="2322"/>
      <c r="Z84" s="2322"/>
      <c r="AA84" s="2322"/>
      <c r="AB84" s="2322"/>
      <c r="AC84" s="2322"/>
      <c r="AD84" s="2322"/>
      <c r="AE84" s="2322"/>
      <c r="AF84" s="2322"/>
      <c r="AG84" s="2322"/>
      <c r="AH84" s="2322"/>
      <c r="AI84" s="2322"/>
      <c r="AJ84" s="2322"/>
      <c r="AK84" s="2322"/>
      <c r="AL84" s="2322"/>
      <c r="AM84" s="2322"/>
    </row>
    <row r="85" spans="1:39" s="2329" customFormat="1">
      <c r="I85" s="2322"/>
      <c r="J85" s="2322"/>
      <c r="K85" s="2322"/>
      <c r="L85" s="2322"/>
      <c r="M85" s="2322"/>
      <c r="N85" s="2322"/>
      <c r="O85" s="2322"/>
      <c r="P85" s="2322"/>
      <c r="Q85" s="2322"/>
      <c r="R85" s="2322"/>
      <c r="S85" s="2322"/>
      <c r="T85" s="2322"/>
      <c r="U85" s="2322"/>
      <c r="V85" s="2322"/>
      <c r="W85" s="2322"/>
      <c r="X85" s="2322"/>
      <c r="Y85" s="2322"/>
      <c r="Z85" s="2322"/>
      <c r="AA85" s="2322"/>
      <c r="AB85" s="2322"/>
      <c r="AC85" s="2322"/>
      <c r="AD85" s="2322"/>
      <c r="AE85" s="2322"/>
      <c r="AF85" s="2322"/>
      <c r="AG85" s="2322"/>
      <c r="AH85" s="2322"/>
      <c r="AI85" s="2322"/>
      <c r="AJ85" s="2322"/>
      <c r="AK85" s="2322"/>
      <c r="AL85" s="2322"/>
      <c r="AM85" s="2322"/>
    </row>
    <row r="86" spans="1:39" s="2329" customFormat="1">
      <c r="I86" s="2322"/>
      <c r="J86" s="2322"/>
      <c r="K86" s="2322"/>
      <c r="L86" s="2322"/>
      <c r="M86" s="2322"/>
      <c r="N86" s="2322"/>
      <c r="O86" s="2322"/>
      <c r="P86" s="2322"/>
      <c r="Q86" s="2322"/>
      <c r="R86" s="2322"/>
      <c r="S86" s="2322"/>
      <c r="T86" s="2322"/>
      <c r="U86" s="2322"/>
      <c r="V86" s="2322"/>
      <c r="W86" s="2322"/>
      <c r="X86" s="2322"/>
      <c r="Y86" s="2322"/>
      <c r="Z86" s="2322"/>
      <c r="AA86" s="2322"/>
      <c r="AB86" s="2322"/>
      <c r="AC86" s="2322"/>
      <c r="AD86" s="2322"/>
      <c r="AE86" s="2322"/>
      <c r="AF86" s="2322"/>
      <c r="AG86" s="2322"/>
      <c r="AH86" s="2322"/>
      <c r="AI86" s="2322"/>
      <c r="AJ86" s="2322"/>
      <c r="AK86" s="2322"/>
      <c r="AL86" s="2322"/>
      <c r="AM86" s="2322"/>
    </row>
    <row r="87" spans="1:39" s="2329" customFormat="1">
      <c r="I87" s="2322"/>
      <c r="J87" s="2322"/>
      <c r="K87" s="2322"/>
      <c r="L87" s="2322"/>
      <c r="M87" s="2322"/>
      <c r="N87" s="2322"/>
      <c r="O87" s="2322"/>
      <c r="P87" s="2322"/>
      <c r="Q87" s="2322"/>
      <c r="R87" s="2322"/>
      <c r="S87" s="2322"/>
      <c r="T87" s="2322"/>
      <c r="U87" s="2322"/>
      <c r="V87" s="2322"/>
      <c r="W87" s="2322"/>
      <c r="X87" s="2322"/>
      <c r="Y87" s="2322"/>
      <c r="Z87" s="2322"/>
      <c r="AA87" s="2322"/>
      <c r="AB87" s="2322"/>
      <c r="AC87" s="2322"/>
      <c r="AD87" s="2322"/>
      <c r="AE87" s="2322"/>
      <c r="AF87" s="2322"/>
      <c r="AG87" s="2322"/>
      <c r="AH87" s="2322"/>
      <c r="AI87" s="2322"/>
      <c r="AJ87" s="2322"/>
      <c r="AK87" s="2322"/>
      <c r="AL87" s="2322"/>
      <c r="AM87" s="2322"/>
    </row>
    <row r="88" spans="1:39" s="2329" customFormat="1">
      <c r="A88" s="89"/>
      <c r="B88" s="89"/>
      <c r="C88" s="89"/>
      <c r="D88" s="89"/>
      <c r="E88" s="89"/>
      <c r="F88" s="89"/>
      <c r="G88" s="89"/>
      <c r="H88" s="89"/>
      <c r="I88" s="3847"/>
      <c r="J88" s="3847"/>
      <c r="K88" s="3847"/>
      <c r="L88" s="3847"/>
      <c r="M88" s="3847"/>
      <c r="N88" s="3847"/>
      <c r="O88" s="3847"/>
      <c r="P88" s="3847"/>
      <c r="Q88" s="3847"/>
      <c r="R88" s="3847"/>
      <c r="S88" s="3847"/>
      <c r="T88" s="3847"/>
      <c r="U88" s="3847"/>
      <c r="V88" s="2322"/>
      <c r="W88" s="2322"/>
      <c r="X88" s="2322"/>
      <c r="Y88" s="2322"/>
      <c r="Z88" s="2322"/>
      <c r="AA88" s="2322"/>
      <c r="AB88" s="2322"/>
      <c r="AC88" s="2322"/>
      <c r="AD88" s="2322"/>
      <c r="AE88" s="2322"/>
      <c r="AF88" s="2322"/>
      <c r="AG88" s="2322"/>
      <c r="AH88" s="2322"/>
      <c r="AI88" s="2322"/>
      <c r="AJ88" s="2322"/>
      <c r="AK88" s="2322"/>
      <c r="AL88" s="2322"/>
      <c r="AM88" s="2322"/>
    </row>
    <row r="89" spans="1:39" s="2329" customFormat="1">
      <c r="A89" s="89"/>
      <c r="B89" s="89"/>
      <c r="C89" s="89"/>
      <c r="D89" s="89"/>
      <c r="E89" s="89"/>
      <c r="F89" s="89"/>
      <c r="G89" s="89"/>
      <c r="H89" s="89"/>
      <c r="I89" s="3847"/>
      <c r="J89" s="3847"/>
      <c r="K89" s="3847"/>
      <c r="L89" s="3847"/>
      <c r="M89" s="3847"/>
      <c r="N89" s="3847"/>
      <c r="O89" s="3847"/>
      <c r="P89" s="3847"/>
      <c r="Q89" s="3847"/>
      <c r="R89" s="3847"/>
      <c r="S89" s="3847"/>
      <c r="T89" s="3847"/>
      <c r="U89" s="3847"/>
      <c r="V89" s="2322"/>
      <c r="W89" s="2322"/>
      <c r="X89" s="2322"/>
      <c r="Y89" s="2322"/>
      <c r="Z89" s="2322"/>
      <c r="AA89" s="2322"/>
      <c r="AB89" s="2322"/>
      <c r="AC89" s="2322"/>
      <c r="AD89" s="2322"/>
      <c r="AE89" s="2322"/>
      <c r="AF89" s="2322"/>
      <c r="AG89" s="2322"/>
      <c r="AH89" s="2322"/>
      <c r="AI89" s="2322"/>
      <c r="AJ89" s="2322"/>
      <c r="AK89" s="2322"/>
      <c r="AL89" s="2322"/>
      <c r="AM89" s="2322"/>
    </row>
    <row r="90" spans="1:39" s="2329" customFormat="1">
      <c r="A90" s="89"/>
      <c r="B90" s="89"/>
      <c r="C90" s="89"/>
      <c r="D90" s="89"/>
      <c r="E90" s="89"/>
      <c r="F90" s="89"/>
      <c r="G90" s="89"/>
      <c r="H90" s="89"/>
      <c r="I90" s="3847"/>
      <c r="J90" s="3847"/>
      <c r="K90" s="3847"/>
      <c r="L90" s="3847"/>
      <c r="M90" s="3847"/>
      <c r="N90" s="3847"/>
      <c r="O90" s="3847"/>
      <c r="P90" s="3847"/>
      <c r="Q90" s="3847"/>
      <c r="R90" s="3847"/>
      <c r="S90" s="3847"/>
      <c r="T90" s="3847"/>
      <c r="U90" s="3847"/>
      <c r="V90" s="2322"/>
      <c r="W90" s="2322"/>
      <c r="X90" s="2322"/>
      <c r="Y90" s="2322"/>
      <c r="Z90" s="2322"/>
      <c r="AA90" s="2322"/>
      <c r="AB90" s="2322"/>
      <c r="AC90" s="2322"/>
      <c r="AD90" s="2322"/>
      <c r="AE90" s="2322"/>
      <c r="AF90" s="2322"/>
      <c r="AG90" s="2322"/>
      <c r="AH90" s="2322"/>
      <c r="AI90" s="2322"/>
      <c r="AJ90" s="2322"/>
      <c r="AK90" s="2322"/>
      <c r="AL90" s="2322"/>
      <c r="AM90" s="2322"/>
    </row>
    <row r="91" spans="1:39" s="2329" customFormat="1">
      <c r="A91" s="89"/>
      <c r="B91" s="89"/>
      <c r="C91" s="89"/>
      <c r="D91" s="89"/>
      <c r="E91" s="89"/>
      <c r="F91" s="89"/>
      <c r="G91" s="89"/>
      <c r="H91" s="89"/>
      <c r="I91" s="3847"/>
      <c r="J91" s="3847"/>
      <c r="K91" s="3847"/>
      <c r="L91" s="3847"/>
      <c r="M91" s="3847"/>
      <c r="N91" s="3847"/>
      <c r="O91" s="3847"/>
      <c r="P91" s="3847"/>
      <c r="Q91" s="3847"/>
      <c r="R91" s="3847"/>
      <c r="S91" s="3847"/>
      <c r="T91" s="3847"/>
      <c r="U91" s="3847"/>
      <c r="V91" s="2322"/>
      <c r="W91" s="2322"/>
      <c r="X91" s="2322"/>
      <c r="Y91" s="2322"/>
      <c r="Z91" s="2322"/>
      <c r="AA91" s="2322"/>
      <c r="AB91" s="2322"/>
      <c r="AC91" s="2322"/>
      <c r="AD91" s="2322"/>
      <c r="AE91" s="2322"/>
      <c r="AF91" s="2322"/>
      <c r="AG91" s="2322"/>
      <c r="AH91" s="2322"/>
      <c r="AI91" s="2322"/>
      <c r="AJ91" s="2322"/>
      <c r="AK91" s="2322"/>
      <c r="AL91" s="2322"/>
      <c r="AM91" s="2322"/>
    </row>
    <row r="92" spans="1:39" s="2329" customFormat="1">
      <c r="A92" s="89"/>
      <c r="B92" s="89"/>
      <c r="C92" s="89"/>
      <c r="D92" s="89"/>
      <c r="E92" s="89"/>
      <c r="F92" s="89"/>
      <c r="G92" s="89"/>
      <c r="H92" s="89"/>
      <c r="I92" s="3847"/>
      <c r="J92" s="3847"/>
      <c r="K92" s="3847"/>
      <c r="L92" s="3847"/>
      <c r="M92" s="3847"/>
      <c r="N92" s="3847"/>
      <c r="O92" s="3847"/>
      <c r="P92" s="3847"/>
      <c r="Q92" s="3847"/>
      <c r="R92" s="3847"/>
      <c r="S92" s="3847"/>
      <c r="T92" s="3847"/>
      <c r="U92" s="3847"/>
      <c r="V92" s="2322"/>
      <c r="W92" s="2322"/>
      <c r="X92" s="2322"/>
      <c r="Y92" s="2322"/>
      <c r="Z92" s="2322"/>
      <c r="AA92" s="2322"/>
      <c r="AB92" s="2322"/>
      <c r="AC92" s="2322"/>
      <c r="AD92" s="2322"/>
      <c r="AE92" s="2322"/>
      <c r="AF92" s="2322"/>
      <c r="AG92" s="2322"/>
      <c r="AH92" s="2322"/>
      <c r="AI92" s="2322"/>
      <c r="AJ92" s="2322"/>
      <c r="AK92" s="2322"/>
      <c r="AL92" s="2322"/>
      <c r="AM92" s="2322"/>
    </row>
    <row r="93" spans="1:39" s="2329" customFormat="1">
      <c r="A93" s="89"/>
      <c r="B93" s="89"/>
      <c r="C93" s="89"/>
      <c r="D93" s="89"/>
      <c r="E93" s="89"/>
      <c r="F93" s="89"/>
      <c r="G93" s="89"/>
      <c r="H93" s="89"/>
      <c r="I93" s="3847"/>
      <c r="J93" s="3847"/>
      <c r="K93" s="3847"/>
      <c r="L93" s="3847"/>
      <c r="M93" s="3847"/>
      <c r="N93" s="3847"/>
      <c r="O93" s="3847"/>
      <c r="P93" s="3847"/>
      <c r="Q93" s="3847"/>
      <c r="R93" s="3847"/>
      <c r="S93" s="3847"/>
      <c r="T93" s="3847"/>
      <c r="U93" s="3847"/>
      <c r="V93" s="2322"/>
      <c r="W93" s="2322"/>
      <c r="X93" s="2322"/>
      <c r="Y93" s="2322"/>
      <c r="Z93" s="2322"/>
      <c r="AA93" s="2322"/>
      <c r="AB93" s="2322"/>
      <c r="AC93" s="2322"/>
      <c r="AD93" s="2322"/>
      <c r="AE93" s="2322"/>
      <c r="AF93" s="2322"/>
      <c r="AG93" s="2322"/>
      <c r="AH93" s="2322"/>
      <c r="AI93" s="2322"/>
      <c r="AJ93" s="2322"/>
      <c r="AK93" s="2322"/>
      <c r="AL93" s="2322"/>
      <c r="AM93" s="2322"/>
    </row>
    <row r="94" spans="1:39" s="2329" customFormat="1">
      <c r="A94" s="89"/>
      <c r="B94" s="89"/>
      <c r="C94" s="89"/>
      <c r="D94" s="89"/>
      <c r="E94" s="89"/>
      <c r="F94" s="89"/>
      <c r="G94" s="89"/>
      <c r="H94" s="89"/>
      <c r="I94" s="3847"/>
      <c r="J94" s="3847"/>
      <c r="K94" s="3847"/>
      <c r="L94" s="3847"/>
      <c r="M94" s="3847"/>
      <c r="N94" s="3847"/>
      <c r="O94" s="3847"/>
      <c r="P94" s="3847"/>
      <c r="Q94" s="3847"/>
      <c r="R94" s="3847"/>
      <c r="S94" s="3847"/>
      <c r="T94" s="3847"/>
      <c r="U94" s="3847"/>
      <c r="V94" s="2322"/>
      <c r="W94" s="2322"/>
      <c r="X94" s="2322"/>
      <c r="Y94" s="2322"/>
      <c r="Z94" s="2322"/>
      <c r="AA94" s="2322"/>
      <c r="AB94" s="2322"/>
      <c r="AC94" s="2322"/>
      <c r="AD94" s="2322"/>
      <c r="AE94" s="2322"/>
      <c r="AF94" s="2322"/>
      <c r="AG94" s="2322"/>
      <c r="AH94" s="2322"/>
      <c r="AI94" s="2322"/>
      <c r="AJ94" s="2322"/>
      <c r="AK94" s="2322"/>
      <c r="AL94" s="2322"/>
      <c r="AM94" s="2322"/>
    </row>
    <row r="95" spans="1:39" s="2329" customFormat="1">
      <c r="A95" s="89"/>
      <c r="B95" s="89"/>
      <c r="C95" s="89"/>
      <c r="D95" s="89"/>
      <c r="E95" s="89"/>
      <c r="F95" s="89"/>
      <c r="G95" s="89"/>
      <c r="H95" s="89"/>
      <c r="I95" s="3847"/>
      <c r="J95" s="3847"/>
      <c r="K95" s="3847"/>
      <c r="L95" s="3847"/>
      <c r="M95" s="3847"/>
      <c r="N95" s="3847"/>
      <c r="O95" s="3847"/>
      <c r="P95" s="3847"/>
      <c r="Q95" s="3847"/>
      <c r="R95" s="3847"/>
      <c r="S95" s="3847"/>
      <c r="T95" s="3847"/>
      <c r="U95" s="3847"/>
      <c r="V95" s="2322"/>
      <c r="W95" s="2322"/>
      <c r="X95" s="2322"/>
      <c r="Y95" s="2322"/>
      <c r="Z95" s="2322"/>
      <c r="AA95" s="2322"/>
      <c r="AB95" s="2322"/>
      <c r="AC95" s="2322"/>
      <c r="AD95" s="2322"/>
      <c r="AE95" s="2322"/>
      <c r="AF95" s="2322"/>
      <c r="AG95" s="2322"/>
      <c r="AH95" s="2322"/>
      <c r="AI95" s="2322"/>
      <c r="AJ95" s="2322"/>
      <c r="AK95" s="2322"/>
      <c r="AL95" s="2322"/>
      <c r="AM95" s="2322"/>
    </row>
    <row r="96" spans="1:39" s="2329" customFormat="1">
      <c r="A96" s="89"/>
      <c r="B96" s="89"/>
      <c r="C96" s="89"/>
      <c r="D96" s="89"/>
      <c r="E96" s="89"/>
      <c r="F96" s="89"/>
      <c r="G96" s="89"/>
      <c r="H96" s="89"/>
      <c r="I96" s="3847"/>
      <c r="J96" s="3847"/>
      <c r="K96" s="3847"/>
      <c r="L96" s="3847"/>
      <c r="M96" s="3847"/>
      <c r="N96" s="3847"/>
      <c r="O96" s="3847"/>
      <c r="P96" s="3847"/>
      <c r="Q96" s="3847"/>
      <c r="R96" s="3847"/>
      <c r="S96" s="3847"/>
      <c r="T96" s="3847"/>
      <c r="U96" s="3847"/>
      <c r="V96" s="2322"/>
      <c r="W96" s="2322"/>
      <c r="X96" s="2322"/>
      <c r="Y96" s="2322"/>
      <c r="Z96" s="2322"/>
      <c r="AA96" s="2322"/>
      <c r="AB96" s="2322"/>
      <c r="AC96" s="2322"/>
      <c r="AD96" s="2322"/>
      <c r="AE96" s="2322"/>
      <c r="AF96" s="2322"/>
      <c r="AG96" s="2322"/>
      <c r="AH96" s="2322"/>
      <c r="AI96" s="2322"/>
      <c r="AJ96" s="2322"/>
      <c r="AK96" s="2322"/>
      <c r="AL96" s="2322"/>
      <c r="AM96" s="2322"/>
    </row>
    <row r="97" spans="1:39" s="2329" customFormat="1">
      <c r="A97" s="89"/>
      <c r="B97" s="89"/>
      <c r="C97" s="89"/>
      <c r="D97" s="89"/>
      <c r="E97" s="89"/>
      <c r="F97" s="89"/>
      <c r="G97" s="89"/>
      <c r="H97" s="89"/>
      <c r="I97" s="3847"/>
      <c r="J97" s="3847"/>
      <c r="K97" s="3847"/>
      <c r="L97" s="3847"/>
      <c r="M97" s="3847"/>
      <c r="N97" s="3847"/>
      <c r="O97" s="3847"/>
      <c r="P97" s="3847"/>
      <c r="Q97" s="3847"/>
      <c r="R97" s="3847"/>
      <c r="S97" s="3847"/>
      <c r="T97" s="3847"/>
      <c r="U97" s="3847"/>
      <c r="V97" s="2322"/>
      <c r="W97" s="2322"/>
      <c r="X97" s="2322"/>
      <c r="Y97" s="2322"/>
      <c r="Z97" s="2322"/>
      <c r="AA97" s="2322"/>
      <c r="AB97" s="2322"/>
      <c r="AC97" s="2322"/>
      <c r="AD97" s="2322"/>
      <c r="AE97" s="2322"/>
      <c r="AF97" s="2322"/>
      <c r="AG97" s="2322"/>
      <c r="AH97" s="2322"/>
      <c r="AI97" s="2322"/>
      <c r="AJ97" s="2322"/>
      <c r="AK97" s="2322"/>
      <c r="AL97" s="2322"/>
      <c r="AM97" s="2322"/>
    </row>
    <row r="98" spans="1:39" s="2329" customFormat="1">
      <c r="A98" s="89"/>
      <c r="B98" s="89"/>
      <c r="C98" s="89"/>
      <c r="D98" s="89"/>
      <c r="E98" s="89"/>
      <c r="F98" s="89"/>
      <c r="G98" s="89"/>
      <c r="H98" s="89"/>
      <c r="I98" s="3847"/>
      <c r="J98" s="3847"/>
      <c r="K98" s="3847"/>
      <c r="L98" s="3847"/>
      <c r="M98" s="3847"/>
      <c r="N98" s="3847"/>
      <c r="O98" s="3847"/>
      <c r="P98" s="3847"/>
      <c r="Q98" s="3847"/>
      <c r="R98" s="3847"/>
      <c r="S98" s="3847"/>
      <c r="T98" s="3847"/>
      <c r="U98" s="3847"/>
      <c r="V98" s="2322"/>
      <c r="W98" s="2322"/>
      <c r="X98" s="2322"/>
      <c r="Y98" s="2322"/>
      <c r="Z98" s="2322"/>
      <c r="AA98" s="2322"/>
      <c r="AB98" s="2322"/>
      <c r="AC98" s="2322"/>
      <c r="AD98" s="2322"/>
      <c r="AE98" s="2322"/>
      <c r="AF98" s="2322"/>
      <c r="AG98" s="2322"/>
      <c r="AH98" s="2322"/>
      <c r="AI98" s="2322"/>
      <c r="AJ98" s="2322"/>
      <c r="AK98" s="2322"/>
      <c r="AL98" s="2322"/>
      <c r="AM98" s="2322"/>
    </row>
    <row r="99" spans="1:39" s="2329" customFormat="1">
      <c r="A99" s="89"/>
      <c r="B99" s="89"/>
      <c r="C99" s="89"/>
      <c r="D99" s="89"/>
      <c r="E99" s="89"/>
      <c r="F99" s="89"/>
      <c r="G99" s="89"/>
      <c r="H99" s="89"/>
      <c r="I99" s="3847"/>
      <c r="J99" s="3847"/>
      <c r="K99" s="3847"/>
      <c r="L99" s="3847"/>
      <c r="M99" s="3847"/>
      <c r="N99" s="3847"/>
      <c r="O99" s="3847"/>
      <c r="P99" s="3847"/>
      <c r="Q99" s="3847"/>
      <c r="R99" s="3847"/>
      <c r="S99" s="3847"/>
      <c r="T99" s="3847"/>
      <c r="U99" s="3847"/>
      <c r="V99" s="2322"/>
      <c r="W99" s="2322"/>
      <c r="X99" s="2322"/>
      <c r="Y99" s="2322"/>
      <c r="Z99" s="2322"/>
      <c r="AA99" s="2322"/>
      <c r="AB99" s="2322"/>
      <c r="AC99" s="2322"/>
      <c r="AD99" s="2322"/>
      <c r="AE99" s="2322"/>
      <c r="AF99" s="2322"/>
      <c r="AG99" s="2322"/>
      <c r="AH99" s="2322"/>
      <c r="AI99" s="2322"/>
      <c r="AJ99" s="2322"/>
      <c r="AK99" s="2322"/>
      <c r="AL99" s="2322"/>
      <c r="AM99" s="2322"/>
    </row>
    <row r="100" spans="1:39" s="2329" customFormat="1">
      <c r="A100" s="89"/>
      <c r="B100" s="89"/>
      <c r="C100" s="89"/>
      <c r="D100" s="89"/>
      <c r="E100" s="89"/>
      <c r="F100" s="89"/>
      <c r="G100" s="89"/>
      <c r="H100" s="89"/>
      <c r="I100" s="3847"/>
      <c r="J100" s="3847"/>
      <c r="K100" s="3847"/>
      <c r="L100" s="3847"/>
      <c r="M100" s="3847"/>
      <c r="N100" s="3847"/>
      <c r="O100" s="3847"/>
      <c r="P100" s="3847"/>
      <c r="Q100" s="3847"/>
      <c r="R100" s="3847"/>
      <c r="S100" s="3847"/>
      <c r="T100" s="3847"/>
      <c r="U100" s="3847"/>
      <c r="V100" s="2322"/>
      <c r="W100" s="2322"/>
      <c r="X100" s="2322"/>
      <c r="Y100" s="2322"/>
      <c r="Z100" s="2322"/>
      <c r="AA100" s="2322"/>
      <c r="AB100" s="2322"/>
      <c r="AC100" s="2322"/>
      <c r="AD100" s="2322"/>
      <c r="AE100" s="2322"/>
      <c r="AF100" s="2322"/>
      <c r="AG100" s="2322"/>
      <c r="AH100" s="2322"/>
      <c r="AI100" s="2322"/>
      <c r="AJ100" s="2322"/>
      <c r="AK100" s="2322"/>
      <c r="AL100" s="2322"/>
      <c r="AM100" s="2322"/>
    </row>
    <row r="101" spans="1:39" s="2329" customFormat="1">
      <c r="A101" s="89"/>
      <c r="B101" s="89"/>
      <c r="C101" s="89"/>
      <c r="D101" s="89"/>
      <c r="E101" s="89"/>
      <c r="F101" s="89"/>
      <c r="G101" s="89"/>
      <c r="H101" s="89"/>
      <c r="I101" s="3847"/>
      <c r="J101" s="3847"/>
      <c r="K101" s="3847"/>
      <c r="L101" s="3847"/>
      <c r="M101" s="3847"/>
      <c r="N101" s="3847"/>
      <c r="O101" s="3847"/>
      <c r="P101" s="3847"/>
      <c r="Q101" s="3847"/>
      <c r="R101" s="3847"/>
      <c r="S101" s="3847"/>
      <c r="T101" s="3847"/>
      <c r="U101" s="3847"/>
      <c r="V101" s="2322"/>
      <c r="W101" s="2322"/>
      <c r="X101" s="2322"/>
      <c r="Y101" s="2322"/>
      <c r="Z101" s="2322"/>
      <c r="AA101" s="2322"/>
      <c r="AB101" s="2322"/>
      <c r="AC101" s="2322"/>
      <c r="AD101" s="2322"/>
      <c r="AE101" s="2322"/>
      <c r="AF101" s="2322"/>
      <c r="AG101" s="2322"/>
      <c r="AH101" s="2322"/>
      <c r="AI101" s="2322"/>
      <c r="AJ101" s="2322"/>
      <c r="AK101" s="2322"/>
      <c r="AL101" s="2322"/>
      <c r="AM101" s="2322"/>
    </row>
    <row r="102" spans="1:39" s="2329" customFormat="1">
      <c r="A102" s="89"/>
      <c r="B102" s="89"/>
      <c r="C102" s="2332"/>
      <c r="D102" s="2332"/>
      <c r="E102" s="2332"/>
      <c r="F102" s="2332"/>
      <c r="G102" s="2332"/>
      <c r="H102" s="2332"/>
      <c r="I102" s="3074"/>
      <c r="J102" s="3074"/>
      <c r="K102" s="3074"/>
      <c r="L102" s="3074"/>
      <c r="M102" s="3074"/>
      <c r="N102" s="3074"/>
      <c r="O102" s="3074"/>
      <c r="P102" s="3074"/>
      <c r="Q102" s="3074"/>
      <c r="R102" s="3074"/>
      <c r="S102" s="3074"/>
      <c r="T102" s="3074"/>
      <c r="U102" s="3847"/>
      <c r="V102" s="2322"/>
      <c r="W102" s="2322"/>
      <c r="X102" s="2322"/>
      <c r="Y102" s="2322"/>
      <c r="Z102" s="2322"/>
      <c r="AA102" s="2322"/>
      <c r="AB102" s="2322"/>
      <c r="AC102" s="2322"/>
      <c r="AD102" s="2322"/>
      <c r="AE102" s="2322"/>
      <c r="AF102" s="2322"/>
      <c r="AG102" s="2322"/>
      <c r="AH102" s="2322"/>
      <c r="AI102" s="2322"/>
      <c r="AJ102" s="2322"/>
      <c r="AK102" s="2322"/>
      <c r="AL102" s="2322"/>
      <c r="AM102" s="2322"/>
    </row>
    <row r="103" spans="1:39" s="2329" customFormat="1">
      <c r="A103" s="89"/>
      <c r="B103" s="89"/>
      <c r="C103" s="3076"/>
      <c r="D103" s="2332"/>
      <c r="E103" s="2332"/>
      <c r="F103" s="2332"/>
      <c r="G103" s="2332"/>
      <c r="H103" s="2332"/>
      <c r="I103" s="3907"/>
      <c r="J103" s="3075"/>
      <c r="K103" s="3075"/>
      <c r="L103" s="3075"/>
      <c r="M103" s="3075"/>
      <c r="N103" s="3075"/>
      <c r="O103" s="3075"/>
      <c r="P103" s="3075"/>
      <c r="Q103" s="3075"/>
      <c r="R103" s="3075"/>
      <c r="S103" s="3075"/>
      <c r="T103" s="3075"/>
      <c r="U103" s="3847"/>
      <c r="V103" s="2322"/>
      <c r="W103" s="2322"/>
      <c r="X103" s="2322"/>
      <c r="Y103" s="2322"/>
      <c r="Z103" s="2322"/>
      <c r="AA103" s="2322"/>
      <c r="AB103" s="2322"/>
      <c r="AC103" s="2322"/>
      <c r="AD103" s="2322"/>
      <c r="AE103" s="2322"/>
      <c r="AF103" s="2322"/>
      <c r="AG103" s="2322"/>
      <c r="AH103" s="2322"/>
      <c r="AI103" s="2322"/>
      <c r="AJ103" s="2322"/>
      <c r="AK103" s="2322"/>
      <c r="AL103" s="2322"/>
      <c r="AM103" s="2322"/>
    </row>
    <row r="104" spans="1:39" s="2329" customFormat="1">
      <c r="A104" s="89"/>
      <c r="B104" s="89"/>
      <c r="C104" s="2332"/>
      <c r="D104" s="2332"/>
      <c r="E104" s="2332"/>
      <c r="F104" s="2332"/>
      <c r="G104" s="2332"/>
      <c r="H104" s="2332"/>
      <c r="I104" s="4021"/>
      <c r="J104" s="4021"/>
      <c r="K104" s="4021"/>
      <c r="L104" s="4021"/>
      <c r="M104" s="4021"/>
      <c r="N104" s="4021"/>
      <c r="O104" s="4021"/>
      <c r="P104" s="4021"/>
      <c r="Q104" s="4021"/>
      <c r="R104" s="4021"/>
      <c r="S104" s="4021"/>
      <c r="T104" s="4021"/>
      <c r="U104" s="3847"/>
      <c r="V104" s="2322"/>
      <c r="W104" s="2322"/>
      <c r="X104" s="2322"/>
      <c r="Y104" s="2322"/>
      <c r="Z104" s="2322"/>
      <c r="AA104" s="2322"/>
      <c r="AB104" s="2322"/>
      <c r="AC104" s="2322"/>
      <c r="AD104" s="2322"/>
      <c r="AE104" s="2322"/>
      <c r="AF104" s="2322"/>
      <c r="AG104" s="2322"/>
      <c r="AH104" s="2322"/>
      <c r="AI104" s="2322"/>
      <c r="AJ104" s="2322"/>
      <c r="AK104" s="2322"/>
      <c r="AL104" s="2322"/>
      <c r="AM104" s="2322"/>
    </row>
    <row r="105" spans="1:39" s="2329" customFormat="1">
      <c r="A105" s="89"/>
      <c r="B105" s="89"/>
      <c r="C105" s="2332"/>
      <c r="D105" s="2332"/>
      <c r="E105" s="2332"/>
      <c r="F105" s="2332"/>
      <c r="G105" s="2332"/>
      <c r="H105" s="2332"/>
      <c r="I105" s="3075"/>
      <c r="J105" s="3075"/>
      <c r="K105" s="3075"/>
      <c r="L105" s="3075"/>
      <c r="M105" s="3075"/>
      <c r="N105" s="3075"/>
      <c r="O105" s="3075"/>
      <c r="P105" s="3075"/>
      <c r="Q105" s="3075"/>
      <c r="R105" s="3075"/>
      <c r="S105" s="3075"/>
      <c r="T105" s="3075"/>
      <c r="U105" s="3847"/>
      <c r="V105" s="2322"/>
      <c r="W105" s="2322"/>
      <c r="X105" s="2322"/>
      <c r="Y105" s="2322"/>
      <c r="Z105" s="2322"/>
      <c r="AA105" s="2322"/>
      <c r="AB105" s="2322"/>
      <c r="AC105" s="2322"/>
      <c r="AD105" s="2322"/>
      <c r="AE105" s="2322"/>
      <c r="AF105" s="2322"/>
      <c r="AG105" s="2322"/>
      <c r="AH105" s="2322"/>
      <c r="AI105" s="2322"/>
      <c r="AJ105" s="2322"/>
      <c r="AK105" s="2322"/>
      <c r="AL105" s="2322"/>
      <c r="AM105" s="2322"/>
    </row>
    <row r="106" spans="1:39" s="2329" customFormat="1">
      <c r="A106" s="89"/>
      <c r="B106" s="89"/>
      <c r="C106" s="89"/>
      <c r="D106" s="89"/>
      <c r="E106" s="89"/>
      <c r="F106" s="89"/>
      <c r="G106" s="89"/>
      <c r="H106" s="89"/>
      <c r="I106" s="3847"/>
      <c r="J106" s="3847"/>
      <c r="K106" s="3847"/>
      <c r="L106" s="3847"/>
      <c r="M106" s="3847"/>
      <c r="N106" s="3847"/>
      <c r="O106" s="3847"/>
      <c r="P106" s="3847"/>
      <c r="Q106" s="3847"/>
      <c r="R106" s="3847"/>
      <c r="S106" s="3847"/>
      <c r="T106" s="3847"/>
      <c r="U106" s="3847"/>
      <c r="V106" s="2322"/>
      <c r="W106" s="2322"/>
      <c r="X106" s="2322"/>
      <c r="Y106" s="2322"/>
      <c r="Z106" s="2322"/>
      <c r="AA106" s="2322"/>
      <c r="AB106" s="2322"/>
      <c r="AC106" s="2322"/>
      <c r="AD106" s="2322"/>
      <c r="AE106" s="2322"/>
      <c r="AF106" s="2322"/>
      <c r="AG106" s="2322"/>
      <c r="AH106" s="2322"/>
      <c r="AI106" s="2322"/>
      <c r="AJ106" s="2322"/>
      <c r="AK106" s="2322"/>
      <c r="AL106" s="2322"/>
      <c r="AM106" s="2322"/>
    </row>
    <row r="107" spans="1:39" s="2329" customFormat="1">
      <c r="A107" s="89"/>
      <c r="B107" s="89"/>
      <c r="C107" s="89"/>
      <c r="D107" s="89"/>
      <c r="E107" s="89"/>
      <c r="F107" s="89"/>
      <c r="G107" s="89"/>
      <c r="H107" s="89"/>
      <c r="I107" s="3847"/>
      <c r="J107" s="3847"/>
      <c r="K107" s="3847"/>
      <c r="L107" s="3847"/>
      <c r="M107" s="3847"/>
      <c r="N107" s="3847"/>
      <c r="O107" s="3847"/>
      <c r="P107" s="3847"/>
      <c r="Q107" s="3847"/>
      <c r="R107" s="3847"/>
      <c r="S107" s="3847"/>
      <c r="T107" s="3847"/>
      <c r="U107" s="3847"/>
      <c r="V107" s="2322"/>
      <c r="W107" s="2322"/>
      <c r="X107" s="2322"/>
      <c r="Y107" s="2322"/>
      <c r="Z107" s="2322"/>
      <c r="AA107" s="2322"/>
      <c r="AB107" s="2322"/>
      <c r="AC107" s="2322"/>
      <c r="AD107" s="2322"/>
      <c r="AE107" s="2322"/>
      <c r="AF107" s="2322"/>
      <c r="AG107" s="2322"/>
      <c r="AH107" s="2322"/>
      <c r="AI107" s="2322"/>
      <c r="AJ107" s="2322"/>
      <c r="AK107" s="2322"/>
      <c r="AL107" s="2322"/>
      <c r="AM107" s="2322"/>
    </row>
    <row r="108" spans="1:39" s="2329" customFormat="1">
      <c r="A108" s="89"/>
      <c r="B108" s="89"/>
      <c r="C108" s="89"/>
      <c r="D108" s="89"/>
      <c r="E108" s="89"/>
      <c r="F108" s="89"/>
      <c r="G108" s="89"/>
      <c r="H108" s="89"/>
      <c r="I108" s="3847"/>
      <c r="J108" s="3847"/>
      <c r="K108" s="3847"/>
      <c r="L108" s="3847"/>
      <c r="M108" s="3847"/>
      <c r="N108" s="3847"/>
      <c r="O108" s="3847"/>
      <c r="P108" s="3847"/>
      <c r="Q108" s="3847"/>
      <c r="R108" s="3847"/>
      <c r="S108" s="3847"/>
      <c r="T108" s="3847"/>
      <c r="U108" s="3847"/>
      <c r="V108" s="2322"/>
      <c r="W108" s="2322"/>
      <c r="X108" s="2322"/>
      <c r="Y108" s="2322"/>
      <c r="Z108" s="2322"/>
      <c r="AA108" s="2322"/>
      <c r="AB108" s="2322"/>
      <c r="AC108" s="2322"/>
      <c r="AD108" s="2322"/>
      <c r="AE108" s="2322"/>
      <c r="AF108" s="2322"/>
      <c r="AG108" s="2322"/>
      <c r="AH108" s="2322"/>
      <c r="AI108" s="2322"/>
      <c r="AJ108" s="2322"/>
      <c r="AK108" s="2322"/>
      <c r="AL108" s="2322"/>
      <c r="AM108" s="2322"/>
    </row>
    <row r="109" spans="1:39" s="2329" customFormat="1">
      <c r="A109" s="89"/>
      <c r="B109" s="89"/>
      <c r="C109" s="89"/>
      <c r="D109" s="89"/>
      <c r="E109" s="89"/>
      <c r="F109" s="89"/>
      <c r="G109" s="89"/>
      <c r="H109" s="89"/>
      <c r="I109" s="3847"/>
      <c r="J109" s="3847"/>
      <c r="K109" s="3847"/>
      <c r="L109" s="3847"/>
      <c r="M109" s="3847"/>
      <c r="N109" s="3847"/>
      <c r="O109" s="3847"/>
      <c r="P109" s="3847"/>
      <c r="Q109" s="3847"/>
      <c r="R109" s="3847"/>
      <c r="S109" s="3847"/>
      <c r="T109" s="3847"/>
      <c r="U109" s="3847"/>
      <c r="V109" s="2322"/>
      <c r="W109" s="2322"/>
      <c r="X109" s="2322"/>
      <c r="Y109" s="2322"/>
      <c r="Z109" s="2322"/>
      <c r="AA109" s="2322"/>
      <c r="AB109" s="2322"/>
      <c r="AC109" s="2322"/>
      <c r="AD109" s="2322"/>
      <c r="AE109" s="2322"/>
      <c r="AF109" s="2322"/>
      <c r="AG109" s="2322"/>
      <c r="AH109" s="2322"/>
      <c r="AI109" s="2322"/>
      <c r="AJ109" s="2322"/>
      <c r="AK109" s="2322"/>
      <c r="AL109" s="2322"/>
      <c r="AM109" s="2322"/>
    </row>
    <row r="110" spans="1:39" s="2329" customFormat="1">
      <c r="A110" s="89"/>
      <c r="B110" s="89"/>
      <c r="C110" s="89"/>
      <c r="D110" s="89"/>
      <c r="E110" s="89"/>
      <c r="F110" s="89"/>
      <c r="G110" s="89"/>
      <c r="H110" s="89"/>
      <c r="I110" s="3847"/>
      <c r="J110" s="3847"/>
      <c r="K110" s="3847"/>
      <c r="L110" s="3847"/>
      <c r="M110" s="3847"/>
      <c r="N110" s="3847"/>
      <c r="O110" s="3847"/>
      <c r="P110" s="3847"/>
      <c r="Q110" s="3847"/>
      <c r="R110" s="3847"/>
      <c r="S110" s="3847"/>
      <c r="T110" s="3847"/>
      <c r="U110" s="3847"/>
      <c r="V110" s="2322"/>
      <c r="W110" s="2322"/>
      <c r="X110" s="2322"/>
      <c r="Y110" s="2322"/>
      <c r="Z110" s="2322"/>
      <c r="AA110" s="2322"/>
      <c r="AB110" s="2322"/>
      <c r="AC110" s="2322"/>
      <c r="AD110" s="2322"/>
      <c r="AE110" s="2322"/>
      <c r="AF110" s="2322"/>
      <c r="AG110" s="2322"/>
      <c r="AH110" s="2322"/>
      <c r="AI110" s="2322"/>
      <c r="AJ110" s="2322"/>
      <c r="AK110" s="2322"/>
      <c r="AL110" s="2322"/>
      <c r="AM110" s="2322"/>
    </row>
    <row r="111" spans="1:39" s="2329" customFormat="1">
      <c r="A111" s="89"/>
      <c r="B111" s="89"/>
      <c r="C111" s="89"/>
      <c r="D111" s="89"/>
      <c r="E111" s="89"/>
      <c r="F111" s="89"/>
      <c r="G111" s="89"/>
      <c r="H111" s="89"/>
      <c r="I111" s="3847"/>
      <c r="J111" s="3847"/>
      <c r="K111" s="3847"/>
      <c r="L111" s="3847"/>
      <c r="M111" s="3847"/>
      <c r="N111" s="3847"/>
      <c r="O111" s="3847"/>
      <c r="P111" s="3847"/>
      <c r="Q111" s="3847"/>
      <c r="R111" s="3847"/>
      <c r="S111" s="3847"/>
      <c r="T111" s="3847"/>
      <c r="U111" s="3847"/>
      <c r="V111" s="2322"/>
      <c r="W111" s="2322"/>
      <c r="X111" s="2322"/>
      <c r="Y111" s="2322"/>
      <c r="Z111" s="2322"/>
      <c r="AA111" s="2322"/>
      <c r="AB111" s="2322"/>
      <c r="AC111" s="2322"/>
      <c r="AD111" s="2322"/>
      <c r="AE111" s="2322"/>
      <c r="AF111" s="2322"/>
      <c r="AG111" s="2322"/>
      <c r="AH111" s="2322"/>
      <c r="AI111" s="2322"/>
      <c r="AJ111" s="2322"/>
      <c r="AK111" s="2322"/>
      <c r="AL111" s="2322"/>
      <c r="AM111" s="2322"/>
    </row>
    <row r="112" spans="1:39" s="2329" customFormat="1">
      <c r="A112" s="89"/>
      <c r="B112" s="89"/>
      <c r="C112" s="89"/>
      <c r="D112" s="89"/>
      <c r="E112" s="89"/>
      <c r="F112" s="89"/>
      <c r="G112" s="89"/>
      <c r="H112" s="89"/>
      <c r="I112" s="3847"/>
      <c r="J112" s="3847"/>
      <c r="K112" s="3847"/>
      <c r="L112" s="3847"/>
      <c r="M112" s="3847"/>
      <c r="N112" s="3847"/>
      <c r="O112" s="3847"/>
      <c r="P112" s="3847"/>
      <c r="Q112" s="3847"/>
      <c r="R112" s="3847"/>
      <c r="S112" s="3847"/>
      <c r="T112" s="3847"/>
      <c r="U112" s="3847"/>
      <c r="V112" s="2322"/>
      <c r="W112" s="2322"/>
      <c r="X112" s="2322"/>
      <c r="Y112" s="2322"/>
      <c r="Z112" s="2322"/>
      <c r="AA112" s="2322"/>
      <c r="AB112" s="2322"/>
      <c r="AC112" s="2322"/>
      <c r="AD112" s="2322"/>
      <c r="AE112" s="2322"/>
      <c r="AF112" s="2322"/>
      <c r="AG112" s="2322"/>
      <c r="AH112" s="2322"/>
      <c r="AI112" s="2322"/>
      <c r="AJ112" s="2322"/>
      <c r="AK112" s="2322"/>
      <c r="AL112" s="2322"/>
      <c r="AM112" s="2322"/>
    </row>
    <row r="113" spans="1:39" s="2329" customFormat="1">
      <c r="A113" s="89"/>
      <c r="B113" s="89"/>
      <c r="C113" s="89"/>
      <c r="D113" s="89"/>
      <c r="E113" s="89"/>
      <c r="F113" s="89"/>
      <c r="G113" s="89"/>
      <c r="H113" s="89"/>
      <c r="I113" s="3847"/>
      <c r="J113" s="3847"/>
      <c r="K113" s="3847"/>
      <c r="L113" s="3847"/>
      <c r="M113" s="3847"/>
      <c r="N113" s="3847"/>
      <c r="O113" s="3847"/>
      <c r="P113" s="3847"/>
      <c r="Q113" s="3847"/>
      <c r="R113" s="3847"/>
      <c r="S113" s="3847"/>
      <c r="T113" s="3847"/>
      <c r="U113" s="3847"/>
      <c r="V113" s="2322"/>
      <c r="W113" s="2322"/>
      <c r="X113" s="2322"/>
      <c r="Y113" s="2322"/>
      <c r="Z113" s="2322"/>
      <c r="AA113" s="2322"/>
      <c r="AB113" s="2322"/>
      <c r="AC113" s="2322"/>
      <c r="AD113" s="2322"/>
      <c r="AE113" s="2322"/>
      <c r="AF113" s="2322"/>
      <c r="AG113" s="2322"/>
      <c r="AH113" s="2322"/>
      <c r="AI113" s="2322"/>
      <c r="AJ113" s="2322"/>
      <c r="AK113" s="2322"/>
      <c r="AL113" s="2322"/>
      <c r="AM113" s="2322"/>
    </row>
    <row r="114" spans="1:39" s="2329" customFormat="1">
      <c r="A114" s="89"/>
      <c r="B114" s="89"/>
      <c r="C114" s="89"/>
      <c r="D114" s="89"/>
      <c r="E114" s="89"/>
      <c r="F114" s="89"/>
      <c r="G114" s="89"/>
      <c r="H114" s="89"/>
      <c r="I114" s="3847"/>
      <c r="J114" s="3847"/>
      <c r="K114" s="3847"/>
      <c r="L114" s="3847"/>
      <c r="M114" s="3847"/>
      <c r="N114" s="3847"/>
      <c r="O114" s="3847"/>
      <c r="P114" s="3847"/>
      <c r="Q114" s="3847"/>
      <c r="R114" s="3847"/>
      <c r="S114" s="3847"/>
      <c r="T114" s="3847"/>
      <c r="U114" s="3847"/>
      <c r="V114" s="2322"/>
      <c r="W114" s="2322"/>
      <c r="X114" s="2322"/>
      <c r="Y114" s="2322"/>
      <c r="Z114" s="2322"/>
      <c r="AA114" s="2322"/>
      <c r="AB114" s="2322"/>
      <c r="AC114" s="2322"/>
      <c r="AD114" s="2322"/>
      <c r="AE114" s="2322"/>
      <c r="AF114" s="2322"/>
      <c r="AG114" s="2322"/>
      <c r="AH114" s="2322"/>
      <c r="AI114" s="2322"/>
      <c r="AJ114" s="2322"/>
      <c r="AK114" s="2322"/>
      <c r="AL114" s="2322"/>
      <c r="AM114" s="2322"/>
    </row>
    <row r="115" spans="1:39" s="2329" customFormat="1">
      <c r="A115" s="89"/>
      <c r="B115" s="89"/>
      <c r="C115" s="2332"/>
      <c r="D115" s="2332"/>
      <c r="E115" s="2332"/>
      <c r="F115" s="2332"/>
      <c r="G115" s="2332"/>
      <c r="H115" s="2332"/>
      <c r="I115" s="3074"/>
      <c r="J115" s="3847"/>
      <c r="K115" s="3847"/>
      <c r="L115" s="3847"/>
      <c r="M115" s="3847"/>
      <c r="N115" s="3847"/>
      <c r="O115" s="3847"/>
      <c r="P115" s="3847"/>
      <c r="Q115" s="3847"/>
      <c r="R115" s="3847"/>
      <c r="S115" s="3847"/>
      <c r="T115" s="3847"/>
      <c r="U115" s="3847"/>
      <c r="V115" s="2322"/>
      <c r="W115" s="2322"/>
      <c r="X115" s="2322"/>
      <c r="Y115" s="2322"/>
      <c r="Z115" s="2322"/>
      <c r="AA115" s="2322"/>
      <c r="AB115" s="2322"/>
      <c r="AC115" s="2322"/>
      <c r="AD115" s="2322"/>
      <c r="AE115" s="2322"/>
      <c r="AF115" s="2322"/>
      <c r="AG115" s="2322"/>
      <c r="AH115" s="2322"/>
      <c r="AI115" s="2322"/>
      <c r="AJ115" s="2322"/>
      <c r="AK115" s="2322"/>
      <c r="AL115" s="2322"/>
      <c r="AM115" s="2322"/>
    </row>
    <row r="116" spans="1:39" s="2329" customFormat="1">
      <c r="A116" s="89"/>
      <c r="B116" s="89"/>
      <c r="C116" s="2332"/>
      <c r="D116" s="2332"/>
      <c r="E116" s="2332"/>
      <c r="F116" s="2332"/>
      <c r="G116" s="2332"/>
      <c r="H116" s="2332"/>
      <c r="I116" s="3075"/>
      <c r="J116" s="3847"/>
      <c r="K116" s="3847"/>
      <c r="L116" s="3847"/>
      <c r="M116" s="3847"/>
      <c r="N116" s="3847"/>
      <c r="O116" s="3847"/>
      <c r="P116" s="3847"/>
      <c r="Q116" s="3847"/>
      <c r="R116" s="3847"/>
      <c r="S116" s="3847"/>
      <c r="T116" s="3847"/>
      <c r="U116" s="3847"/>
      <c r="V116" s="2322"/>
      <c r="W116" s="2322"/>
      <c r="X116" s="2322"/>
      <c r="Y116" s="2322"/>
      <c r="Z116" s="2322"/>
      <c r="AA116" s="2322"/>
      <c r="AB116" s="2322"/>
      <c r="AC116" s="2322"/>
      <c r="AD116" s="2322"/>
      <c r="AE116" s="2322"/>
      <c r="AF116" s="2322"/>
      <c r="AG116" s="2322"/>
      <c r="AH116" s="2322"/>
      <c r="AI116" s="2322"/>
      <c r="AJ116" s="2322"/>
      <c r="AK116" s="2322"/>
      <c r="AL116" s="2322"/>
      <c r="AM116" s="2322"/>
    </row>
    <row r="117" spans="1:39" s="2329" customFormat="1">
      <c r="A117" s="89"/>
      <c r="B117" s="89"/>
      <c r="C117" s="2332"/>
      <c r="D117" s="2332"/>
      <c r="E117" s="2332"/>
      <c r="F117" s="2332"/>
      <c r="G117" s="2332"/>
      <c r="H117" s="2332"/>
      <c r="I117" s="4021"/>
      <c r="J117" s="3847"/>
      <c r="K117" s="3847"/>
      <c r="L117" s="3847"/>
      <c r="M117" s="3847"/>
      <c r="N117" s="3847"/>
      <c r="O117" s="3847"/>
      <c r="P117" s="3847"/>
      <c r="Q117" s="3847"/>
      <c r="R117" s="3847"/>
      <c r="S117" s="3847"/>
      <c r="T117" s="3847"/>
      <c r="U117" s="3847"/>
      <c r="V117" s="2322"/>
      <c r="W117" s="2322"/>
      <c r="X117" s="2322"/>
      <c r="Y117" s="2322"/>
      <c r="Z117" s="2322"/>
      <c r="AA117" s="2322"/>
      <c r="AB117" s="2322"/>
      <c r="AC117" s="2322"/>
      <c r="AD117" s="2322"/>
      <c r="AE117" s="2322"/>
      <c r="AF117" s="2322"/>
      <c r="AG117" s="2322"/>
      <c r="AH117" s="2322"/>
      <c r="AI117" s="2322"/>
      <c r="AJ117" s="2322"/>
      <c r="AK117" s="2322"/>
      <c r="AL117" s="2322"/>
      <c r="AM117" s="2322"/>
    </row>
    <row r="118" spans="1:39" s="2329" customFormat="1">
      <c r="A118" s="89"/>
      <c r="B118" s="89"/>
      <c r="C118" s="3076"/>
      <c r="D118" s="2332"/>
      <c r="E118" s="2332"/>
      <c r="F118" s="2332"/>
      <c r="G118" s="2332"/>
      <c r="H118" s="2332"/>
      <c r="I118" s="3907"/>
      <c r="J118" s="3847"/>
      <c r="K118" s="3847"/>
      <c r="L118" s="3847"/>
      <c r="M118" s="3847"/>
      <c r="N118" s="3847"/>
      <c r="O118" s="3847"/>
      <c r="P118" s="3847"/>
      <c r="Q118" s="3847"/>
      <c r="R118" s="3847"/>
      <c r="S118" s="3847"/>
      <c r="T118" s="3847"/>
      <c r="U118" s="3847"/>
      <c r="V118" s="2322"/>
      <c r="W118" s="2322"/>
      <c r="X118" s="2322"/>
      <c r="Y118" s="2322"/>
      <c r="Z118" s="2322"/>
      <c r="AA118" s="2322"/>
      <c r="AB118" s="2322"/>
      <c r="AC118" s="2322"/>
      <c r="AD118" s="2322"/>
      <c r="AE118" s="2322"/>
      <c r="AF118" s="2322"/>
      <c r="AG118" s="2322"/>
      <c r="AH118" s="2322"/>
      <c r="AI118" s="2322"/>
      <c r="AJ118" s="2322"/>
      <c r="AK118" s="2322"/>
      <c r="AL118" s="2322"/>
      <c r="AM118" s="2322"/>
    </row>
    <row r="119" spans="1:39" s="2329" customFormat="1">
      <c r="A119" s="89"/>
      <c r="B119" s="89"/>
      <c r="C119" s="3076"/>
      <c r="D119" s="2332"/>
      <c r="E119" s="2332"/>
      <c r="F119" s="2332"/>
      <c r="G119" s="2332"/>
      <c r="H119" s="2332"/>
      <c r="I119" s="3907"/>
      <c r="J119" s="3847"/>
      <c r="K119" s="3847"/>
      <c r="L119" s="3847"/>
      <c r="M119" s="3847"/>
      <c r="N119" s="3847"/>
      <c r="O119" s="3847"/>
      <c r="P119" s="3847"/>
      <c r="Q119" s="3847"/>
      <c r="R119" s="3847"/>
      <c r="S119" s="3847"/>
      <c r="T119" s="3847"/>
      <c r="U119" s="3847"/>
      <c r="V119" s="2322"/>
      <c r="W119" s="2322"/>
      <c r="X119" s="2322"/>
      <c r="Y119" s="2322"/>
      <c r="Z119" s="2322"/>
      <c r="AA119" s="2322"/>
      <c r="AB119" s="2322"/>
      <c r="AC119" s="2322"/>
      <c r="AD119" s="2322"/>
      <c r="AE119" s="2322"/>
      <c r="AF119" s="2322"/>
      <c r="AG119" s="2322"/>
      <c r="AH119" s="2322"/>
      <c r="AI119" s="2322"/>
      <c r="AJ119" s="2322"/>
      <c r="AK119" s="2322"/>
      <c r="AL119" s="2322"/>
      <c r="AM119" s="2322"/>
    </row>
    <row r="120" spans="1:39" s="2329" customFormat="1">
      <c r="A120" s="89"/>
      <c r="B120" s="89"/>
      <c r="C120" s="3076"/>
      <c r="D120" s="2332"/>
      <c r="E120" s="2332"/>
      <c r="F120" s="2332"/>
      <c r="G120" s="2332"/>
      <c r="H120" s="2332"/>
      <c r="I120" s="3907"/>
      <c r="J120" s="3847"/>
      <c r="K120" s="3847"/>
      <c r="L120" s="3847"/>
      <c r="M120" s="3847"/>
      <c r="N120" s="3847"/>
      <c r="O120" s="3847"/>
      <c r="P120" s="3847"/>
      <c r="Q120" s="3847"/>
      <c r="R120" s="3847"/>
      <c r="S120" s="3847"/>
      <c r="T120" s="3847"/>
      <c r="U120" s="3847"/>
      <c r="V120" s="2322"/>
      <c r="W120" s="2322"/>
      <c r="X120" s="2322"/>
      <c r="Y120" s="2322"/>
      <c r="Z120" s="2322"/>
      <c r="AA120" s="2322"/>
      <c r="AB120" s="2322"/>
      <c r="AC120" s="2322"/>
      <c r="AD120" s="2322"/>
      <c r="AE120" s="2322"/>
      <c r="AF120" s="2322"/>
      <c r="AG120" s="2322"/>
      <c r="AH120" s="2322"/>
      <c r="AI120" s="2322"/>
      <c r="AJ120" s="2322"/>
      <c r="AK120" s="2322"/>
      <c r="AL120" s="2322"/>
      <c r="AM120" s="2322"/>
    </row>
    <row r="121" spans="1:39" s="2329" customFormat="1">
      <c r="A121" s="89"/>
      <c r="B121" s="89"/>
      <c r="C121" s="3076"/>
      <c r="D121" s="2332"/>
      <c r="E121" s="2332"/>
      <c r="F121" s="2332"/>
      <c r="G121" s="2332"/>
      <c r="H121" s="2332"/>
      <c r="I121" s="3907"/>
      <c r="J121" s="3847"/>
      <c r="K121" s="3847"/>
      <c r="L121" s="3847"/>
      <c r="M121" s="3847"/>
      <c r="N121" s="3847"/>
      <c r="O121" s="3847"/>
      <c r="P121" s="3847"/>
      <c r="Q121" s="3847"/>
      <c r="R121" s="3847"/>
      <c r="S121" s="3847"/>
      <c r="T121" s="3847"/>
      <c r="U121" s="3847"/>
      <c r="V121" s="2322"/>
      <c r="W121" s="2322"/>
      <c r="X121" s="2322"/>
      <c r="Y121" s="2322"/>
      <c r="Z121" s="2322"/>
      <c r="AA121" s="2322"/>
      <c r="AB121" s="2322"/>
      <c r="AC121" s="2322"/>
      <c r="AD121" s="2322"/>
      <c r="AE121" s="2322"/>
      <c r="AF121" s="2322"/>
      <c r="AG121" s="2322"/>
      <c r="AH121" s="2322"/>
      <c r="AI121" s="2322"/>
      <c r="AJ121" s="2322"/>
      <c r="AK121" s="2322"/>
      <c r="AL121" s="2322"/>
      <c r="AM121" s="2322"/>
    </row>
    <row r="122" spans="1:39" s="2329" customFormat="1">
      <c r="A122" s="89"/>
      <c r="B122" s="89"/>
      <c r="C122" s="2332"/>
      <c r="D122" s="2332"/>
      <c r="E122" s="2332"/>
      <c r="F122" s="2332"/>
      <c r="G122" s="2332"/>
      <c r="H122" s="2332"/>
      <c r="I122" s="3909"/>
      <c r="J122" s="3847"/>
      <c r="K122" s="3847"/>
      <c r="L122" s="3847"/>
      <c r="M122" s="3847"/>
      <c r="N122" s="3847"/>
      <c r="O122" s="3847"/>
      <c r="P122" s="3847"/>
      <c r="Q122" s="3847"/>
      <c r="R122" s="3847"/>
      <c r="S122" s="3847"/>
      <c r="T122" s="3847"/>
      <c r="U122" s="3847"/>
      <c r="V122" s="2322"/>
      <c r="W122" s="2322"/>
      <c r="X122" s="2322"/>
      <c r="Y122" s="2322"/>
      <c r="Z122" s="2322"/>
      <c r="AA122" s="2322"/>
      <c r="AB122" s="2322"/>
      <c r="AC122" s="2322"/>
      <c r="AD122" s="2322"/>
      <c r="AE122" s="2322"/>
      <c r="AF122" s="2322"/>
      <c r="AG122" s="2322"/>
      <c r="AH122" s="2322"/>
      <c r="AI122" s="2322"/>
      <c r="AJ122" s="2322"/>
      <c r="AK122" s="2322"/>
      <c r="AL122" s="2322"/>
      <c r="AM122" s="2322"/>
    </row>
    <row r="123" spans="1:39" s="2329" customFormat="1">
      <c r="A123" s="89"/>
      <c r="B123" s="89"/>
      <c r="C123" s="2332"/>
      <c r="D123" s="2332"/>
      <c r="E123" s="2332"/>
      <c r="F123" s="2332"/>
      <c r="G123" s="2332"/>
      <c r="H123" s="2332"/>
      <c r="I123" s="3909"/>
      <c r="J123" s="3847"/>
      <c r="K123" s="3847"/>
      <c r="L123" s="3847"/>
      <c r="M123" s="3847"/>
      <c r="N123" s="3847"/>
      <c r="O123" s="3847"/>
      <c r="P123" s="3847"/>
      <c r="Q123" s="3847"/>
      <c r="R123" s="3847"/>
      <c r="S123" s="3847"/>
      <c r="T123" s="3847"/>
      <c r="U123" s="3847"/>
      <c r="V123" s="2322"/>
      <c r="W123" s="2322"/>
      <c r="X123" s="2322"/>
      <c r="Y123" s="2322"/>
      <c r="Z123" s="2322"/>
      <c r="AA123" s="2322"/>
      <c r="AB123" s="2322"/>
      <c r="AC123" s="2322"/>
      <c r="AD123" s="2322"/>
      <c r="AE123" s="2322"/>
      <c r="AF123" s="2322"/>
      <c r="AG123" s="2322"/>
      <c r="AH123" s="2322"/>
      <c r="AI123" s="2322"/>
      <c r="AJ123" s="2322"/>
      <c r="AK123" s="2322"/>
      <c r="AL123" s="2322"/>
      <c r="AM123" s="2322"/>
    </row>
    <row r="124" spans="1:39" s="2329" customFormat="1">
      <c r="A124" s="89"/>
      <c r="B124" s="89"/>
      <c r="C124" s="2332"/>
      <c r="D124" s="2332"/>
      <c r="E124" s="2332"/>
      <c r="F124" s="2332"/>
      <c r="G124" s="2332"/>
      <c r="H124" s="2332"/>
      <c r="I124" s="3909"/>
      <c r="J124" s="3847"/>
      <c r="K124" s="3847"/>
      <c r="L124" s="3847"/>
      <c r="M124" s="3847"/>
      <c r="N124" s="3847"/>
      <c r="O124" s="3847"/>
      <c r="P124" s="3847"/>
      <c r="Q124" s="3847"/>
      <c r="R124" s="3847"/>
      <c r="S124" s="3847"/>
      <c r="T124" s="3847"/>
      <c r="U124" s="3847"/>
      <c r="V124" s="2322"/>
      <c r="W124" s="2322"/>
      <c r="X124" s="2322"/>
      <c r="Y124" s="2322"/>
      <c r="Z124" s="2322"/>
      <c r="AA124" s="2322"/>
      <c r="AB124" s="2322"/>
      <c r="AC124" s="2322"/>
      <c r="AD124" s="2322"/>
      <c r="AE124" s="2322"/>
      <c r="AF124" s="2322"/>
      <c r="AG124" s="2322"/>
      <c r="AH124" s="2322"/>
      <c r="AI124" s="2322"/>
      <c r="AJ124" s="2322"/>
      <c r="AK124" s="2322"/>
      <c r="AL124" s="2322"/>
      <c r="AM124" s="2322"/>
    </row>
    <row r="125" spans="1:39" s="2329" customFormat="1">
      <c r="A125" s="89"/>
      <c r="B125" s="89"/>
      <c r="C125" s="89"/>
      <c r="D125" s="89"/>
      <c r="E125" s="89"/>
      <c r="F125" s="89"/>
      <c r="G125" s="89"/>
      <c r="H125" s="89"/>
      <c r="I125" s="3847"/>
      <c r="J125" s="3847"/>
      <c r="K125" s="3847"/>
      <c r="L125" s="3847"/>
      <c r="M125" s="3847"/>
      <c r="N125" s="3847"/>
      <c r="O125" s="3847"/>
      <c r="P125" s="3847"/>
      <c r="Q125" s="3847"/>
      <c r="R125" s="3847"/>
      <c r="S125" s="3847"/>
      <c r="T125" s="3847"/>
      <c r="U125" s="3847"/>
      <c r="V125" s="2322"/>
      <c r="W125" s="2322"/>
      <c r="X125" s="2322"/>
      <c r="Y125" s="2322"/>
      <c r="Z125" s="2322"/>
      <c r="AA125" s="2322"/>
      <c r="AB125" s="2322"/>
      <c r="AC125" s="2322"/>
      <c r="AD125" s="2322"/>
      <c r="AE125" s="2322"/>
      <c r="AF125" s="2322"/>
      <c r="AG125" s="2322"/>
      <c r="AH125" s="2322"/>
      <c r="AI125" s="2322"/>
      <c r="AJ125" s="2322"/>
      <c r="AK125" s="2322"/>
      <c r="AL125" s="2322"/>
      <c r="AM125" s="2322"/>
    </row>
    <row r="126" spans="1:39" s="2329" customFormat="1">
      <c r="A126" s="89"/>
      <c r="B126" s="89"/>
      <c r="C126" s="89"/>
      <c r="D126" s="89"/>
      <c r="E126" s="89"/>
      <c r="F126" s="89"/>
      <c r="G126" s="89"/>
      <c r="H126" s="89"/>
      <c r="I126" s="3847"/>
      <c r="J126" s="3847"/>
      <c r="K126" s="3847"/>
      <c r="L126" s="3847"/>
      <c r="M126" s="3847"/>
      <c r="N126" s="3847"/>
      <c r="O126" s="3847"/>
      <c r="P126" s="3847"/>
      <c r="Q126" s="3847"/>
      <c r="R126" s="3847"/>
      <c r="S126" s="3847"/>
      <c r="T126" s="3847"/>
      <c r="U126" s="3847"/>
      <c r="V126" s="2322"/>
      <c r="W126" s="2322"/>
      <c r="X126" s="2322"/>
      <c r="Y126" s="2322"/>
      <c r="Z126" s="2322"/>
      <c r="AA126" s="2322"/>
      <c r="AB126" s="2322"/>
      <c r="AC126" s="2322"/>
      <c r="AD126" s="2322"/>
      <c r="AE126" s="2322"/>
      <c r="AF126" s="2322"/>
      <c r="AG126" s="2322"/>
      <c r="AH126" s="2322"/>
      <c r="AI126" s="2322"/>
      <c r="AJ126" s="2322"/>
      <c r="AK126" s="2322"/>
      <c r="AL126" s="2322"/>
      <c r="AM126" s="2322"/>
    </row>
    <row r="127" spans="1:39" s="2329" customFormat="1">
      <c r="A127" s="89"/>
      <c r="B127" s="89"/>
      <c r="C127" s="89"/>
      <c r="D127" s="89"/>
      <c r="E127" s="89"/>
      <c r="F127" s="89"/>
      <c r="G127" s="89"/>
      <c r="H127" s="89"/>
      <c r="I127" s="3847"/>
      <c r="J127" s="3847"/>
      <c r="K127" s="3847"/>
      <c r="L127" s="3847"/>
      <c r="M127" s="3847"/>
      <c r="N127" s="3847"/>
      <c r="O127" s="3847"/>
      <c r="P127" s="3847"/>
      <c r="Q127" s="3847"/>
      <c r="R127" s="3847"/>
      <c r="S127" s="3847"/>
      <c r="T127" s="3847"/>
      <c r="U127" s="3847"/>
      <c r="V127" s="2322"/>
      <c r="W127" s="2322"/>
      <c r="X127" s="2322"/>
      <c r="Y127" s="2322"/>
      <c r="Z127" s="2322"/>
      <c r="AA127" s="2322"/>
      <c r="AB127" s="2322"/>
      <c r="AC127" s="2322"/>
      <c r="AD127" s="2322"/>
      <c r="AE127" s="2322"/>
      <c r="AF127" s="2322"/>
      <c r="AG127" s="2322"/>
      <c r="AH127" s="2322"/>
      <c r="AI127" s="2322"/>
      <c r="AJ127" s="2322"/>
      <c r="AK127" s="2322"/>
      <c r="AL127" s="2322"/>
      <c r="AM127" s="2322"/>
    </row>
    <row r="128" spans="1:39" s="2329" customFormat="1">
      <c r="A128" s="89"/>
      <c r="B128" s="89"/>
      <c r="C128" s="89"/>
      <c r="D128" s="89"/>
      <c r="E128" s="89"/>
      <c r="F128" s="89"/>
      <c r="G128" s="89"/>
      <c r="H128" s="89"/>
      <c r="I128" s="3847"/>
      <c r="J128" s="3847"/>
      <c r="K128" s="3847"/>
      <c r="L128" s="3847"/>
      <c r="M128" s="3847"/>
      <c r="N128" s="3847"/>
      <c r="O128" s="3847"/>
      <c r="P128" s="3847"/>
      <c r="Q128" s="3847"/>
      <c r="R128" s="3847"/>
      <c r="S128" s="3847"/>
      <c r="T128" s="3847"/>
      <c r="U128" s="3847"/>
      <c r="V128" s="2322"/>
      <c r="W128" s="2322"/>
      <c r="X128" s="2322"/>
      <c r="Y128" s="2322"/>
      <c r="Z128" s="2322"/>
      <c r="AA128" s="2322"/>
      <c r="AB128" s="2322"/>
      <c r="AC128" s="2322"/>
      <c r="AD128" s="2322"/>
      <c r="AE128" s="2322"/>
      <c r="AF128" s="2322"/>
      <c r="AG128" s="2322"/>
      <c r="AH128" s="2322"/>
      <c r="AI128" s="2322"/>
      <c r="AJ128" s="2322"/>
      <c r="AK128" s="2322"/>
      <c r="AL128" s="2322"/>
      <c r="AM128" s="2322"/>
    </row>
    <row r="129" spans="1:39" s="2329" customFormat="1">
      <c r="A129" s="89"/>
      <c r="B129" s="89"/>
      <c r="C129" s="89"/>
      <c r="D129" s="89"/>
      <c r="E129" s="89"/>
      <c r="F129" s="89"/>
      <c r="G129" s="89"/>
      <c r="H129" s="89"/>
      <c r="I129" s="3847"/>
      <c r="J129" s="3847"/>
      <c r="K129" s="3847"/>
      <c r="L129" s="3847"/>
      <c r="M129" s="3847"/>
      <c r="N129" s="3847"/>
      <c r="O129" s="3847"/>
      <c r="P129" s="3847"/>
      <c r="Q129" s="3847"/>
      <c r="R129" s="3847"/>
      <c r="S129" s="3847"/>
      <c r="T129" s="3847"/>
      <c r="U129" s="3847"/>
      <c r="V129" s="2322"/>
      <c r="W129" s="2322"/>
      <c r="X129" s="2322"/>
      <c r="Y129" s="2322"/>
      <c r="Z129" s="2322"/>
      <c r="AA129" s="2322"/>
      <c r="AB129" s="2322"/>
      <c r="AC129" s="2322"/>
      <c r="AD129" s="2322"/>
      <c r="AE129" s="2322"/>
      <c r="AF129" s="2322"/>
      <c r="AG129" s="2322"/>
      <c r="AH129" s="2322"/>
      <c r="AI129" s="2322"/>
      <c r="AJ129" s="2322"/>
      <c r="AK129" s="2322"/>
      <c r="AL129" s="2322"/>
      <c r="AM129" s="2322"/>
    </row>
    <row r="130" spans="1:39" s="2329" customFormat="1">
      <c r="A130" s="89"/>
      <c r="B130" s="89"/>
      <c r="C130" s="89"/>
      <c r="D130" s="89"/>
      <c r="E130" s="89"/>
      <c r="F130" s="89"/>
      <c r="G130" s="89"/>
      <c r="H130" s="89"/>
      <c r="I130" s="3847"/>
      <c r="J130" s="3847"/>
      <c r="K130" s="3847"/>
      <c r="L130" s="3847"/>
      <c r="M130" s="3847"/>
      <c r="N130" s="3847"/>
      <c r="O130" s="3847"/>
      <c r="P130" s="3847"/>
      <c r="Q130" s="3847"/>
      <c r="R130" s="3847"/>
      <c r="S130" s="3847"/>
      <c r="T130" s="3847"/>
      <c r="U130" s="3847"/>
      <c r="V130" s="2322"/>
      <c r="W130" s="2322"/>
      <c r="X130" s="2322"/>
      <c r="Y130" s="2322"/>
      <c r="Z130" s="2322"/>
      <c r="AA130" s="2322"/>
      <c r="AB130" s="2322"/>
      <c r="AC130" s="2322"/>
      <c r="AD130" s="2322"/>
      <c r="AE130" s="2322"/>
      <c r="AF130" s="2322"/>
      <c r="AG130" s="2322"/>
      <c r="AH130" s="2322"/>
      <c r="AI130" s="2322"/>
      <c r="AJ130" s="2322"/>
      <c r="AK130" s="2322"/>
      <c r="AL130" s="2322"/>
      <c r="AM130" s="2322"/>
    </row>
    <row r="131" spans="1:39" s="2329" customFormat="1">
      <c r="A131" s="89"/>
      <c r="B131" s="89"/>
      <c r="C131" s="89"/>
      <c r="D131" s="89"/>
      <c r="E131" s="89"/>
      <c r="F131" s="89"/>
      <c r="G131" s="89"/>
      <c r="H131" s="89"/>
      <c r="I131" s="3847"/>
      <c r="J131" s="3847"/>
      <c r="K131" s="3847"/>
      <c r="L131" s="3847"/>
      <c r="M131" s="3847"/>
      <c r="N131" s="3847"/>
      <c r="O131" s="3847"/>
      <c r="P131" s="3847"/>
      <c r="Q131" s="3847"/>
      <c r="R131" s="3847"/>
      <c r="S131" s="3847"/>
      <c r="T131" s="3847"/>
      <c r="U131" s="3847"/>
      <c r="V131" s="2322"/>
      <c r="W131" s="2322"/>
      <c r="X131" s="2322"/>
      <c r="Y131" s="2322"/>
      <c r="Z131" s="2322"/>
      <c r="AA131" s="2322"/>
      <c r="AB131" s="2322"/>
      <c r="AC131" s="2322"/>
      <c r="AD131" s="2322"/>
      <c r="AE131" s="2322"/>
      <c r="AF131" s="2322"/>
      <c r="AG131" s="2322"/>
      <c r="AH131" s="2322"/>
      <c r="AI131" s="2322"/>
      <c r="AJ131" s="2322"/>
      <c r="AK131" s="2322"/>
      <c r="AL131" s="2322"/>
      <c r="AM131" s="2322"/>
    </row>
    <row r="132" spans="1:39" s="2329" customFormat="1">
      <c r="A132" s="89"/>
      <c r="B132" s="89"/>
      <c r="C132" s="89"/>
      <c r="D132" s="89"/>
      <c r="E132" s="89"/>
      <c r="F132" s="89"/>
      <c r="G132" s="89"/>
      <c r="H132" s="89"/>
      <c r="I132" s="3847"/>
      <c r="J132" s="3847"/>
      <c r="K132" s="3847"/>
      <c r="L132" s="3847"/>
      <c r="M132" s="3847"/>
      <c r="N132" s="3847"/>
      <c r="O132" s="3847"/>
      <c r="P132" s="3847"/>
      <c r="Q132" s="3847"/>
      <c r="R132" s="3847"/>
      <c r="S132" s="3847"/>
      <c r="T132" s="3847"/>
      <c r="U132" s="3847"/>
      <c r="V132" s="2322"/>
      <c r="W132" s="2322"/>
      <c r="X132" s="2322"/>
      <c r="Y132" s="2322"/>
      <c r="Z132" s="2322"/>
      <c r="AA132" s="2322"/>
      <c r="AB132" s="2322"/>
      <c r="AC132" s="2322"/>
      <c r="AD132" s="2322"/>
      <c r="AE132" s="2322"/>
      <c r="AF132" s="2322"/>
      <c r="AG132" s="2322"/>
      <c r="AH132" s="2322"/>
      <c r="AI132" s="2322"/>
      <c r="AJ132" s="2322"/>
      <c r="AK132" s="2322"/>
      <c r="AL132" s="2322"/>
      <c r="AM132" s="2322"/>
    </row>
    <row r="133" spans="1:39" s="2329" customFormat="1">
      <c r="A133" s="89"/>
      <c r="B133" s="89"/>
      <c r="C133" s="89"/>
      <c r="D133" s="89"/>
      <c r="E133" s="89"/>
      <c r="F133" s="89"/>
      <c r="G133" s="89"/>
      <c r="H133" s="89"/>
      <c r="I133" s="3847"/>
      <c r="J133" s="3847"/>
      <c r="K133" s="3847"/>
      <c r="L133" s="3847"/>
      <c r="M133" s="3847"/>
      <c r="N133" s="3847"/>
      <c r="O133" s="3847"/>
      <c r="P133" s="3847"/>
      <c r="Q133" s="3847"/>
      <c r="R133" s="3847"/>
      <c r="S133" s="3847"/>
      <c r="T133" s="3847"/>
      <c r="U133" s="3847"/>
      <c r="V133" s="2322"/>
      <c r="W133" s="2322"/>
      <c r="X133" s="2322"/>
      <c r="Y133" s="2322"/>
      <c r="Z133" s="2322"/>
      <c r="AA133" s="2322"/>
      <c r="AB133" s="2322"/>
      <c r="AC133" s="2322"/>
      <c r="AD133" s="2322"/>
      <c r="AE133" s="2322"/>
      <c r="AF133" s="2322"/>
      <c r="AG133" s="2322"/>
      <c r="AH133" s="2322"/>
      <c r="AI133" s="2322"/>
      <c r="AJ133" s="2322"/>
      <c r="AK133" s="2322"/>
      <c r="AL133" s="2322"/>
      <c r="AM133" s="2322"/>
    </row>
    <row r="134" spans="1:39" s="2329" customFormat="1">
      <c r="A134" s="89"/>
      <c r="B134" s="89"/>
      <c r="C134" s="89"/>
      <c r="D134" s="89"/>
      <c r="E134" s="89"/>
      <c r="F134" s="89"/>
      <c r="G134" s="89"/>
      <c r="H134" s="89"/>
      <c r="I134" s="3847"/>
      <c r="J134" s="3847"/>
      <c r="K134" s="3847"/>
      <c r="L134" s="3847"/>
      <c r="M134" s="3847"/>
      <c r="N134" s="3847"/>
      <c r="O134" s="3847"/>
      <c r="P134" s="3847"/>
      <c r="Q134" s="3847"/>
      <c r="R134" s="3847"/>
      <c r="S134" s="3847"/>
      <c r="T134" s="3847"/>
      <c r="U134" s="3847"/>
      <c r="V134" s="2322"/>
      <c r="W134" s="2322"/>
      <c r="X134" s="2322"/>
      <c r="Y134" s="2322"/>
      <c r="Z134" s="2322"/>
      <c r="AA134" s="2322"/>
      <c r="AB134" s="2322"/>
      <c r="AC134" s="2322"/>
      <c r="AD134" s="2322"/>
      <c r="AE134" s="2322"/>
      <c r="AF134" s="2322"/>
      <c r="AG134" s="2322"/>
      <c r="AH134" s="2322"/>
      <c r="AI134" s="2322"/>
      <c r="AJ134" s="2322"/>
      <c r="AK134" s="2322"/>
      <c r="AL134" s="2322"/>
      <c r="AM134" s="2322"/>
    </row>
    <row r="135" spans="1:39" s="2329" customFormat="1">
      <c r="A135" s="89"/>
      <c r="B135" s="89"/>
      <c r="C135" s="89"/>
      <c r="D135" s="89"/>
      <c r="E135" s="89"/>
      <c r="F135" s="89"/>
      <c r="G135" s="89"/>
      <c r="H135" s="89"/>
      <c r="I135" s="3847"/>
      <c r="J135" s="3847"/>
      <c r="K135" s="3847"/>
      <c r="L135" s="3847"/>
      <c r="M135" s="3847"/>
      <c r="N135" s="3847"/>
      <c r="O135" s="3847"/>
      <c r="P135" s="3847"/>
      <c r="Q135" s="3847"/>
      <c r="R135" s="3847"/>
      <c r="S135" s="3847"/>
      <c r="T135" s="3847"/>
      <c r="U135" s="3847"/>
      <c r="V135" s="2322"/>
      <c r="W135" s="2322"/>
      <c r="X135" s="2322"/>
      <c r="Y135" s="2322"/>
      <c r="Z135" s="2322"/>
      <c r="AA135" s="2322"/>
      <c r="AB135" s="2322"/>
      <c r="AC135" s="2322"/>
      <c r="AD135" s="2322"/>
      <c r="AE135" s="2322"/>
      <c r="AF135" s="2322"/>
      <c r="AG135" s="2322"/>
      <c r="AH135" s="2322"/>
      <c r="AI135" s="2322"/>
      <c r="AJ135" s="2322"/>
      <c r="AK135" s="2322"/>
      <c r="AL135" s="2322"/>
      <c r="AM135" s="2322"/>
    </row>
    <row r="136" spans="1:39" s="2329" customFormat="1">
      <c r="A136" s="89"/>
      <c r="B136" s="89"/>
      <c r="C136" s="89"/>
      <c r="D136" s="89"/>
      <c r="E136" s="89"/>
      <c r="F136" s="89"/>
      <c r="G136" s="89"/>
      <c r="H136" s="89"/>
      <c r="I136" s="3847"/>
      <c r="J136" s="3847"/>
      <c r="K136" s="3847"/>
      <c r="L136" s="3847"/>
      <c r="M136" s="3847"/>
      <c r="N136" s="3847"/>
      <c r="O136" s="3847"/>
      <c r="P136" s="3847"/>
      <c r="Q136" s="3847"/>
      <c r="R136" s="3847"/>
      <c r="S136" s="3847"/>
      <c r="T136" s="3847"/>
      <c r="U136" s="3847"/>
      <c r="V136" s="2322"/>
      <c r="W136" s="2322"/>
      <c r="X136" s="2322"/>
      <c r="Y136" s="2322"/>
      <c r="Z136" s="2322"/>
      <c r="AA136" s="2322"/>
      <c r="AB136" s="2322"/>
      <c r="AC136" s="2322"/>
      <c r="AD136" s="2322"/>
      <c r="AE136" s="2322"/>
      <c r="AF136" s="2322"/>
      <c r="AG136" s="2322"/>
      <c r="AH136" s="2322"/>
      <c r="AI136" s="2322"/>
      <c r="AJ136" s="2322"/>
      <c r="AK136" s="2322"/>
      <c r="AL136" s="2322"/>
      <c r="AM136" s="2322"/>
    </row>
    <row r="137" spans="1:39" ht="13.5" thickBot="1">
      <c r="A137" s="89"/>
      <c r="B137" s="89"/>
      <c r="C137" s="2332"/>
      <c r="D137" s="2332"/>
      <c r="E137" s="2332"/>
      <c r="F137" s="2332"/>
      <c r="G137" s="2332"/>
      <c r="H137" s="2332"/>
      <c r="I137" s="3074"/>
      <c r="J137" s="3074"/>
      <c r="K137" s="3074"/>
      <c r="L137" s="3074"/>
      <c r="M137" s="3074"/>
      <c r="N137" s="3074"/>
      <c r="O137" s="3074"/>
      <c r="P137" s="3074"/>
      <c r="Q137" s="3074"/>
      <c r="R137" s="3074"/>
      <c r="S137" s="3074"/>
      <c r="T137" s="3074"/>
      <c r="U137" s="3074"/>
      <c r="V137" s="3074"/>
      <c r="W137" s="3074"/>
      <c r="X137" s="3074"/>
      <c r="Y137" s="3074"/>
      <c r="Z137" s="3074"/>
      <c r="AA137" s="3074"/>
      <c r="AB137" s="3074"/>
      <c r="AC137" s="3074"/>
      <c r="AD137" s="2322"/>
      <c r="AE137" s="2322"/>
      <c r="AF137" s="2322"/>
      <c r="AG137" s="2322"/>
      <c r="AH137" s="2322"/>
      <c r="AI137" s="2322"/>
      <c r="AJ137" s="2322"/>
      <c r="AK137" s="2322"/>
      <c r="AL137" s="2322"/>
      <c r="AM137" s="2322"/>
    </row>
    <row r="138" spans="1:39" s="2329" customFormat="1">
      <c r="A138" s="89"/>
      <c r="B138" s="89"/>
      <c r="C138" s="2332"/>
      <c r="D138" s="4014"/>
      <c r="E138" s="3930"/>
      <c r="F138" s="4015"/>
      <c r="G138" s="4014"/>
      <c r="H138" s="3930"/>
      <c r="I138" s="4015"/>
      <c r="J138" s="4014"/>
      <c r="K138" s="3930"/>
      <c r="L138" s="4015"/>
      <c r="M138" s="4014"/>
      <c r="N138" s="3930"/>
      <c r="O138" s="4015"/>
      <c r="P138" s="4014"/>
      <c r="Q138" s="3930"/>
      <c r="R138" s="4015"/>
      <c r="S138" s="3074"/>
      <c r="T138" s="3074"/>
      <c r="U138" s="3074"/>
      <c r="V138" s="3074"/>
      <c r="W138" s="3074"/>
      <c r="X138" s="3074"/>
      <c r="Y138" s="3074"/>
      <c r="Z138" s="3074"/>
      <c r="AA138" s="3074"/>
      <c r="AB138" s="3074"/>
      <c r="AC138" s="3074"/>
      <c r="AD138" s="2322"/>
      <c r="AE138" s="2322"/>
      <c r="AF138" s="2322"/>
      <c r="AG138" s="2322"/>
      <c r="AH138" s="2322"/>
      <c r="AI138" s="2322"/>
      <c r="AJ138" s="2322"/>
      <c r="AK138" s="2322"/>
      <c r="AL138" s="2322"/>
      <c r="AM138" s="2322"/>
    </row>
    <row r="139" spans="1:39" s="2329" customFormat="1">
      <c r="A139" s="89"/>
      <c r="B139" s="89"/>
      <c r="C139" s="2332"/>
      <c r="D139" s="3915"/>
      <c r="E139" s="3912"/>
      <c r="F139" s="3916"/>
      <c r="G139" s="3915"/>
      <c r="H139" s="3913"/>
      <c r="I139" s="3920"/>
      <c r="J139" s="3919"/>
      <c r="K139" s="3914"/>
      <c r="L139" s="3921"/>
      <c r="M139" s="3931"/>
      <c r="N139" s="3931"/>
      <c r="O139" s="3931"/>
      <c r="P139" s="3931"/>
      <c r="Q139" s="3911"/>
      <c r="R139" s="3932"/>
      <c r="S139" s="3074"/>
      <c r="T139" s="3074"/>
      <c r="U139" s="3074"/>
      <c r="V139" s="3074"/>
      <c r="W139" s="3074"/>
      <c r="X139" s="3074"/>
      <c r="Y139" s="3074"/>
      <c r="Z139" s="3074"/>
      <c r="AA139" s="3074"/>
      <c r="AB139" s="3074"/>
      <c r="AC139" s="3074"/>
      <c r="AD139" s="2322"/>
      <c r="AE139" s="2322"/>
      <c r="AF139" s="2322"/>
      <c r="AG139" s="2322"/>
      <c r="AH139" s="2322"/>
      <c r="AI139" s="2322"/>
      <c r="AJ139" s="2322"/>
      <c r="AK139" s="2322"/>
      <c r="AL139" s="2322"/>
      <c r="AM139" s="2322"/>
    </row>
    <row r="140" spans="1:39" s="2329" customFormat="1" hidden="1">
      <c r="A140" s="89"/>
      <c r="B140" s="89"/>
      <c r="C140" s="2332"/>
      <c r="D140" s="3917"/>
      <c r="E140" s="605"/>
      <c r="F140" s="3918"/>
      <c r="G140" s="3915"/>
      <c r="H140" s="605"/>
      <c r="I140" s="3916"/>
      <c r="J140" s="3915"/>
      <c r="K140" s="3912"/>
      <c r="L140" s="3920"/>
      <c r="M140" s="3931"/>
      <c r="N140" s="3931"/>
      <c r="O140" s="3931"/>
      <c r="P140" s="3933"/>
      <c r="Q140" s="3907"/>
      <c r="R140" s="3934"/>
      <c r="S140" s="3074"/>
      <c r="T140" s="3074"/>
      <c r="U140" s="3074"/>
      <c r="V140" s="3074"/>
      <c r="W140" s="3074"/>
      <c r="X140" s="3074"/>
      <c r="Y140" s="3074"/>
      <c r="Z140" s="3074"/>
      <c r="AA140" s="3074"/>
      <c r="AB140" s="3074"/>
      <c r="AC140" s="3074"/>
      <c r="AD140" s="2322"/>
      <c r="AE140" s="2322"/>
      <c r="AF140" s="2322"/>
      <c r="AG140" s="2322"/>
      <c r="AH140" s="2322"/>
      <c r="AI140" s="2322"/>
      <c r="AJ140" s="2322"/>
      <c r="AK140" s="2322"/>
      <c r="AL140" s="2322"/>
      <c r="AM140" s="2322"/>
    </row>
    <row r="141" spans="1:39" s="2329" customFormat="1" hidden="1">
      <c r="A141" s="89"/>
      <c r="B141" s="89"/>
      <c r="C141" s="3076"/>
      <c r="D141" s="3915"/>
      <c r="E141" s="605"/>
      <c r="F141" s="3918"/>
      <c r="G141" s="3915"/>
      <c r="H141" s="3912"/>
      <c r="I141" s="3920"/>
      <c r="J141" s="3915"/>
      <c r="K141" s="3912"/>
      <c r="L141" s="3920"/>
      <c r="M141" s="3931"/>
      <c r="N141" s="3931"/>
      <c r="O141" s="3931"/>
      <c r="P141" s="3933"/>
      <c r="Q141" s="3907"/>
      <c r="R141" s="3934"/>
      <c r="S141" s="3074"/>
      <c r="T141" s="3074"/>
      <c r="U141" s="3074"/>
      <c r="V141" s="3074"/>
      <c r="W141" s="3074"/>
      <c r="X141" s="3074"/>
      <c r="Y141" s="3074"/>
      <c r="Z141" s="3074"/>
      <c r="AA141" s="3074"/>
      <c r="AB141" s="3074"/>
      <c r="AC141" s="3074"/>
      <c r="AD141" s="2322"/>
      <c r="AE141" s="2322"/>
      <c r="AF141" s="2322"/>
      <c r="AG141" s="2322"/>
      <c r="AH141" s="2322"/>
      <c r="AI141" s="2322"/>
      <c r="AJ141" s="2322"/>
      <c r="AK141" s="2322"/>
      <c r="AL141" s="2322"/>
      <c r="AM141" s="2322"/>
    </row>
    <row r="142" spans="1:39" s="2329" customFormat="1" hidden="1">
      <c r="A142" s="89"/>
      <c r="B142" s="89"/>
      <c r="C142" s="3076"/>
      <c r="D142" s="3915"/>
      <c r="E142" s="605"/>
      <c r="F142" s="3918"/>
      <c r="G142" s="3915"/>
      <c r="H142" s="3912"/>
      <c r="I142" s="3920"/>
      <c r="J142" s="3915"/>
      <c r="K142" s="3912"/>
      <c r="L142" s="3920"/>
      <c r="M142" s="3931"/>
      <c r="N142" s="3931"/>
      <c r="O142" s="3931"/>
      <c r="P142" s="3933"/>
      <c r="Q142" s="3907"/>
      <c r="R142" s="3934"/>
      <c r="S142" s="3074"/>
      <c r="T142" s="3074"/>
      <c r="U142" s="3074"/>
      <c r="V142" s="3074"/>
      <c r="W142" s="3074"/>
      <c r="X142" s="3074"/>
      <c r="Y142" s="3074"/>
      <c r="Z142" s="3074"/>
      <c r="AA142" s="3074"/>
      <c r="AB142" s="3074"/>
      <c r="AC142" s="3074"/>
      <c r="AD142" s="2322"/>
      <c r="AE142" s="2322"/>
      <c r="AF142" s="2322"/>
      <c r="AG142" s="2322"/>
      <c r="AH142" s="2322"/>
      <c r="AI142" s="2322"/>
      <c r="AJ142" s="2322"/>
      <c r="AK142" s="2322"/>
      <c r="AL142" s="2322"/>
      <c r="AM142" s="2322"/>
    </row>
    <row r="143" spans="1:39" s="2329" customFormat="1" hidden="1">
      <c r="A143" s="89"/>
      <c r="B143" s="89"/>
      <c r="C143" s="3076"/>
      <c r="D143" s="3915"/>
      <c r="E143" s="605"/>
      <c r="F143" s="3918"/>
      <c r="G143" s="3917"/>
      <c r="H143" s="3912"/>
      <c r="I143" s="3920"/>
      <c r="J143" s="3917"/>
      <c r="K143" s="3913"/>
      <c r="L143" s="3916"/>
      <c r="M143" s="3931"/>
      <c r="N143" s="3931"/>
      <c r="O143" s="3931"/>
      <c r="P143" s="3935"/>
      <c r="Q143" s="3908"/>
      <c r="R143" s="3936"/>
      <c r="S143" s="3074"/>
      <c r="T143" s="3074"/>
      <c r="U143" s="3074"/>
      <c r="V143" s="3074"/>
      <c r="W143" s="3074"/>
      <c r="X143" s="3074"/>
      <c r="Y143" s="3074"/>
      <c r="Z143" s="3074"/>
      <c r="AA143" s="3074"/>
      <c r="AB143" s="3074"/>
      <c r="AC143" s="3074"/>
      <c r="AD143" s="2322"/>
      <c r="AE143" s="2322"/>
      <c r="AF143" s="2322"/>
      <c r="AG143" s="2322"/>
      <c r="AH143" s="2322"/>
      <c r="AI143" s="2322"/>
      <c r="AJ143" s="2322"/>
      <c r="AK143" s="2322"/>
      <c r="AL143" s="2322"/>
      <c r="AM143" s="2322"/>
    </row>
    <row r="144" spans="1:39" s="2329" customFormat="1" hidden="1">
      <c r="A144" s="89"/>
      <c r="B144" s="89"/>
      <c r="C144" s="3076"/>
      <c r="D144" s="3915"/>
      <c r="E144" s="605"/>
      <c r="F144" s="3918"/>
      <c r="G144" s="3919"/>
      <c r="H144" s="3914"/>
      <c r="I144" s="3920"/>
      <c r="J144" s="3919"/>
      <c r="K144" s="3914"/>
      <c r="L144" s="3921"/>
      <c r="M144" s="3931"/>
      <c r="N144" s="3931"/>
      <c r="O144" s="3931"/>
      <c r="P144" s="3937"/>
      <c r="Q144" s="3909"/>
      <c r="R144" s="3938"/>
      <c r="S144" s="3074"/>
      <c r="T144" s="3074"/>
      <c r="U144" s="3074"/>
      <c r="V144" s="3074"/>
      <c r="W144" s="3074"/>
      <c r="X144" s="3074"/>
      <c r="Y144" s="3074"/>
      <c r="Z144" s="3074"/>
      <c r="AA144" s="3074"/>
      <c r="AB144" s="3074"/>
      <c r="AC144" s="3074"/>
      <c r="AD144" s="2322"/>
      <c r="AE144" s="2322"/>
      <c r="AF144" s="2322"/>
      <c r="AG144" s="2322"/>
      <c r="AH144" s="2322"/>
      <c r="AI144" s="2322"/>
      <c r="AJ144" s="2322"/>
      <c r="AK144" s="2322"/>
      <c r="AL144" s="2322"/>
      <c r="AM144" s="2322"/>
    </row>
    <row r="145" spans="1:39" s="2329" customFormat="1">
      <c r="A145" s="89"/>
      <c r="B145" s="89"/>
      <c r="C145" s="2332"/>
      <c r="D145" s="3919"/>
      <c r="E145" s="3912"/>
      <c r="F145" s="3920"/>
      <c r="G145" s="3915"/>
      <c r="H145" s="3914"/>
      <c r="I145" s="3920"/>
      <c r="J145" s="3919"/>
      <c r="K145" s="3914"/>
      <c r="L145" s="3921"/>
      <c r="M145" s="3931"/>
      <c r="N145" s="3931"/>
      <c r="O145" s="3931"/>
      <c r="P145" s="3931"/>
      <c r="Q145" s="3911"/>
      <c r="R145" s="3932"/>
      <c r="S145" s="3074"/>
      <c r="T145" s="3074"/>
      <c r="U145" s="3074"/>
      <c r="V145" s="3074"/>
      <c r="W145" s="3074"/>
      <c r="X145" s="3074"/>
      <c r="Y145" s="3074"/>
      <c r="Z145" s="3074"/>
      <c r="AA145" s="3074"/>
      <c r="AB145" s="3074"/>
      <c r="AC145" s="3074"/>
      <c r="AD145" s="2322"/>
      <c r="AE145" s="2322"/>
      <c r="AF145" s="2322"/>
      <c r="AG145" s="2322"/>
      <c r="AH145" s="2322"/>
      <c r="AI145" s="2322"/>
      <c r="AJ145" s="2322"/>
      <c r="AK145" s="2322"/>
      <c r="AL145" s="2322"/>
      <c r="AM145" s="2322"/>
    </row>
    <row r="146" spans="1:39" s="2329" customFormat="1" hidden="1">
      <c r="A146" s="89"/>
      <c r="B146" s="89"/>
      <c r="C146" s="2332"/>
      <c r="D146" s="3919"/>
      <c r="E146" s="605"/>
      <c r="F146" s="3921"/>
      <c r="G146" s="3919"/>
      <c r="H146" s="3914"/>
      <c r="I146" s="3921"/>
      <c r="J146" s="3919"/>
      <c r="K146" s="3914"/>
      <c r="L146" s="3921"/>
      <c r="M146" s="3931"/>
      <c r="N146" s="3931"/>
      <c r="O146" s="3931"/>
      <c r="P146" s="3931"/>
      <c r="Q146" s="3911"/>
      <c r="R146" s="3932"/>
      <c r="S146" s="3074"/>
      <c r="T146" s="3074"/>
      <c r="U146" s="3074"/>
      <c r="V146" s="3074"/>
      <c r="W146" s="3074"/>
      <c r="X146" s="3074"/>
      <c r="Y146" s="3074"/>
      <c r="Z146" s="3074"/>
      <c r="AA146" s="3074"/>
      <c r="AB146" s="3074"/>
      <c r="AC146" s="3074"/>
      <c r="AD146" s="2322"/>
      <c r="AE146" s="2322"/>
      <c r="AF146" s="2322"/>
      <c r="AG146" s="2322"/>
      <c r="AH146" s="2322"/>
      <c r="AI146" s="2322"/>
      <c r="AJ146" s="2322"/>
      <c r="AK146" s="2322"/>
      <c r="AL146" s="2322"/>
      <c r="AM146" s="2322"/>
    </row>
    <row r="147" spans="1:39" s="2329" customFormat="1" hidden="1">
      <c r="A147" s="89"/>
      <c r="B147" s="89"/>
      <c r="C147" s="2332"/>
      <c r="D147" s="3919"/>
      <c r="E147" s="605"/>
      <c r="F147" s="3921"/>
      <c r="G147" s="3919"/>
      <c r="H147" s="3914"/>
      <c r="I147" s="3921"/>
      <c r="J147" s="3919"/>
      <c r="K147" s="3914"/>
      <c r="L147" s="3921"/>
      <c r="M147" s="3931"/>
      <c r="N147" s="3931"/>
      <c r="O147" s="3931"/>
      <c r="P147" s="3931"/>
      <c r="Q147" s="3911"/>
      <c r="R147" s="3932"/>
      <c r="S147" s="3074"/>
      <c r="T147" s="3074"/>
      <c r="U147" s="3074"/>
      <c r="V147" s="3074"/>
      <c r="W147" s="3074"/>
      <c r="X147" s="3074"/>
      <c r="Y147" s="3074"/>
      <c r="Z147" s="3074"/>
      <c r="AA147" s="3074"/>
      <c r="AB147" s="3074"/>
      <c r="AC147" s="3074"/>
      <c r="AD147" s="2322"/>
      <c r="AE147" s="2322"/>
      <c r="AF147" s="2322"/>
      <c r="AG147" s="2322"/>
      <c r="AH147" s="2322"/>
      <c r="AI147" s="2322"/>
      <c r="AJ147" s="2322"/>
      <c r="AK147" s="2322"/>
      <c r="AL147" s="2322"/>
      <c r="AM147" s="2322"/>
    </row>
    <row r="148" spans="1:39" s="2329" customFormat="1" hidden="1">
      <c r="A148" s="89"/>
      <c r="B148" s="89"/>
      <c r="C148" s="2332"/>
      <c r="D148" s="3919"/>
      <c r="E148" s="605"/>
      <c r="F148" s="3920"/>
      <c r="G148" s="3915"/>
      <c r="H148" s="3912"/>
      <c r="I148" s="3920"/>
      <c r="J148" s="3919"/>
      <c r="K148" s="3914"/>
      <c r="L148" s="3921"/>
      <c r="M148" s="3931"/>
      <c r="N148" s="3931"/>
      <c r="O148" s="3931"/>
      <c r="P148" s="3931"/>
      <c r="Q148" s="3911"/>
      <c r="R148" s="3932"/>
      <c r="S148" s="3074"/>
      <c r="T148" s="3074"/>
      <c r="U148" s="3074"/>
      <c r="V148" s="3074"/>
      <c r="W148" s="3074"/>
      <c r="X148" s="3074"/>
      <c r="Y148" s="3074"/>
      <c r="Z148" s="3074"/>
      <c r="AA148" s="3074"/>
      <c r="AB148" s="3074"/>
      <c r="AC148" s="3074"/>
      <c r="AD148" s="2322"/>
      <c r="AE148" s="2322"/>
      <c r="AF148" s="2322"/>
      <c r="AG148" s="2322"/>
      <c r="AH148" s="2322"/>
      <c r="AI148" s="2322"/>
      <c r="AJ148" s="2322"/>
      <c r="AK148" s="2322"/>
      <c r="AL148" s="2322"/>
      <c r="AM148" s="2322"/>
    </row>
    <row r="149" spans="1:39" s="2329" customFormat="1" hidden="1">
      <c r="A149" s="89"/>
      <c r="B149" s="89"/>
      <c r="C149" s="2332"/>
      <c r="D149" s="3919"/>
      <c r="E149" s="605"/>
      <c r="F149" s="3918"/>
      <c r="G149" s="3925"/>
      <c r="H149" s="605"/>
      <c r="I149" s="3921"/>
      <c r="J149" s="3919"/>
      <c r="K149" s="3914"/>
      <c r="L149" s="3921"/>
      <c r="M149" s="3931"/>
      <c r="N149" s="3931"/>
      <c r="O149" s="3931"/>
      <c r="P149" s="3931"/>
      <c r="Q149" s="3911"/>
      <c r="R149" s="3932"/>
      <c r="S149" s="3074"/>
      <c r="T149" s="3074"/>
      <c r="U149" s="3074"/>
      <c r="V149" s="3074"/>
      <c r="W149" s="3074"/>
      <c r="X149" s="3074"/>
      <c r="Y149" s="3074"/>
      <c r="Z149" s="3074"/>
      <c r="AA149" s="3074"/>
      <c r="AB149" s="3074"/>
      <c r="AC149" s="3074"/>
      <c r="AD149" s="2322"/>
      <c r="AE149" s="2322"/>
      <c r="AF149" s="2322"/>
      <c r="AG149" s="2322"/>
      <c r="AH149" s="2322"/>
      <c r="AI149" s="2322"/>
      <c r="AJ149" s="2322"/>
      <c r="AK149" s="2322"/>
      <c r="AL149" s="2322"/>
      <c r="AM149" s="2322"/>
    </row>
    <row r="150" spans="1:39" s="2329" customFormat="1" hidden="1">
      <c r="A150" s="89"/>
      <c r="B150" s="89"/>
      <c r="C150" s="2332"/>
      <c r="D150" s="3915"/>
      <c r="E150" s="605"/>
      <c r="F150" s="3918"/>
      <c r="G150" s="3925"/>
      <c r="H150" s="605"/>
      <c r="I150" s="3921"/>
      <c r="J150" s="3919"/>
      <c r="K150" s="3914"/>
      <c r="L150" s="3921"/>
      <c r="M150" s="3931"/>
      <c r="N150" s="3931"/>
      <c r="O150" s="3931"/>
      <c r="P150" s="3931"/>
      <c r="Q150" s="3911"/>
      <c r="R150" s="3932"/>
      <c r="S150" s="3074"/>
      <c r="T150" s="3074"/>
      <c r="U150" s="3074"/>
      <c r="V150" s="3074"/>
      <c r="W150" s="3074"/>
      <c r="X150" s="3074"/>
      <c r="Y150" s="3074"/>
      <c r="Z150" s="3074"/>
      <c r="AA150" s="3074"/>
      <c r="AB150" s="3074"/>
      <c r="AC150" s="3074"/>
      <c r="AD150" s="2322"/>
      <c r="AE150" s="2322"/>
      <c r="AF150" s="2322"/>
      <c r="AG150" s="2322"/>
      <c r="AH150" s="2322"/>
      <c r="AI150" s="2322"/>
      <c r="AJ150" s="2322"/>
      <c r="AK150" s="2322"/>
      <c r="AL150" s="2322"/>
      <c r="AM150" s="2322"/>
    </row>
    <row r="151" spans="1:39" s="2329" customFormat="1" hidden="1">
      <c r="A151" s="89"/>
      <c r="B151" s="89"/>
      <c r="C151" s="2332"/>
      <c r="D151" s="3915"/>
      <c r="E151" s="605"/>
      <c r="F151" s="3918"/>
      <c r="G151" s="3925"/>
      <c r="H151" s="605"/>
      <c r="I151" s="3921"/>
      <c r="J151" s="3919"/>
      <c r="K151" s="3914"/>
      <c r="L151" s="3921"/>
      <c r="M151" s="3931"/>
      <c r="N151" s="3931"/>
      <c r="O151" s="3931"/>
      <c r="P151" s="3931"/>
      <c r="Q151" s="3911"/>
      <c r="R151" s="3932"/>
      <c r="S151" s="3074"/>
      <c r="T151" s="3074"/>
      <c r="U151" s="3074"/>
      <c r="V151" s="3074"/>
      <c r="W151" s="3074"/>
      <c r="X151" s="3074"/>
      <c r="Y151" s="3074"/>
      <c r="Z151" s="3074"/>
      <c r="AA151" s="3074"/>
      <c r="AB151" s="3074"/>
      <c r="AC151" s="3074"/>
      <c r="AD151" s="2322"/>
      <c r="AE151" s="2322"/>
      <c r="AF151" s="2322"/>
      <c r="AG151" s="2322"/>
      <c r="AH151" s="2322"/>
      <c r="AI151" s="2322"/>
      <c r="AJ151" s="2322"/>
      <c r="AK151" s="2322"/>
      <c r="AL151" s="2322"/>
      <c r="AM151" s="2322"/>
    </row>
    <row r="152" spans="1:39" s="2329" customFormat="1" hidden="1">
      <c r="A152" s="89"/>
      <c r="B152" s="89"/>
      <c r="C152" s="2332"/>
      <c r="D152" s="3915"/>
      <c r="E152" s="605"/>
      <c r="F152" s="3918"/>
      <c r="G152" s="3925"/>
      <c r="H152" s="605"/>
      <c r="I152" s="3921"/>
      <c r="J152" s="3919"/>
      <c r="K152" s="3914"/>
      <c r="L152" s="3921"/>
      <c r="M152" s="3931"/>
      <c r="N152" s="3931"/>
      <c r="O152" s="3931"/>
      <c r="P152" s="3931"/>
      <c r="Q152" s="3911"/>
      <c r="R152" s="3932"/>
      <c r="S152" s="3074"/>
      <c r="T152" s="3074"/>
      <c r="U152" s="3074"/>
      <c r="V152" s="3074"/>
      <c r="W152" s="3074"/>
      <c r="X152" s="3074"/>
      <c r="Y152" s="3074"/>
      <c r="Z152" s="3074"/>
      <c r="AA152" s="3074"/>
      <c r="AB152" s="3074"/>
      <c r="AC152" s="3074"/>
      <c r="AD152" s="2322"/>
      <c r="AE152" s="2322"/>
      <c r="AF152" s="2322"/>
      <c r="AG152" s="2322"/>
      <c r="AH152" s="2322"/>
      <c r="AI152" s="2322"/>
      <c r="AJ152" s="2322"/>
      <c r="AK152" s="2322"/>
      <c r="AL152" s="2322"/>
      <c r="AM152" s="2322"/>
    </row>
    <row r="153" spans="1:39" s="2329" customFormat="1" hidden="1">
      <c r="A153" s="89"/>
      <c r="B153" s="89"/>
      <c r="C153" s="2332"/>
      <c r="D153" s="3919"/>
      <c r="E153" s="605"/>
      <c r="F153" s="3918"/>
      <c r="G153" s="3925"/>
      <c r="H153" s="605"/>
      <c r="I153" s="3921"/>
      <c r="J153" s="3919"/>
      <c r="K153" s="3914"/>
      <c r="L153" s="3921"/>
      <c r="M153" s="3931"/>
      <c r="N153" s="3931"/>
      <c r="O153" s="3931"/>
      <c r="P153" s="3931"/>
      <c r="Q153" s="3911"/>
      <c r="R153" s="3932"/>
      <c r="S153" s="3074"/>
      <c r="T153" s="3074"/>
      <c r="U153" s="3074"/>
      <c r="V153" s="3074"/>
      <c r="W153" s="3074"/>
      <c r="X153" s="3074"/>
      <c r="Y153" s="3074"/>
      <c r="Z153" s="3074"/>
      <c r="AA153" s="3074"/>
      <c r="AB153" s="3074"/>
      <c r="AC153" s="3074"/>
      <c r="AD153" s="2322"/>
      <c r="AE153" s="2322"/>
      <c r="AF153" s="2322"/>
      <c r="AG153" s="2322"/>
      <c r="AH153" s="2322"/>
      <c r="AI153" s="2322"/>
      <c r="AJ153" s="2322"/>
      <c r="AK153" s="2322"/>
      <c r="AL153" s="2322"/>
      <c r="AM153" s="2322"/>
    </row>
    <row r="154" spans="1:39" s="2329" customFormat="1" hidden="1">
      <c r="A154" s="89"/>
      <c r="B154" s="89"/>
      <c r="C154" s="2332"/>
      <c r="D154" s="3919"/>
      <c r="E154" s="605"/>
      <c r="F154" s="3918"/>
      <c r="G154" s="3925"/>
      <c r="H154" s="605"/>
      <c r="I154" s="3921"/>
      <c r="J154" s="3919"/>
      <c r="K154" s="3914"/>
      <c r="L154" s="3921"/>
      <c r="M154" s="3931"/>
      <c r="N154" s="3931"/>
      <c r="O154" s="3931"/>
      <c r="P154" s="3931"/>
      <c r="Q154" s="3911"/>
      <c r="R154" s="3932"/>
      <c r="S154" s="3074"/>
      <c r="T154" s="3074"/>
      <c r="U154" s="3074"/>
      <c r="V154" s="3074"/>
      <c r="W154" s="3074"/>
      <c r="X154" s="3074"/>
      <c r="Y154" s="3074"/>
      <c r="Z154" s="3074"/>
      <c r="AA154" s="3074"/>
      <c r="AB154" s="3074"/>
      <c r="AC154" s="3074"/>
      <c r="AD154" s="2322"/>
      <c r="AE154" s="2322"/>
      <c r="AF154" s="2322"/>
      <c r="AG154" s="2322"/>
      <c r="AH154" s="2322"/>
      <c r="AI154" s="2322"/>
      <c r="AJ154" s="2322"/>
      <c r="AK154" s="2322"/>
      <c r="AL154" s="2322"/>
      <c r="AM154" s="2322"/>
    </row>
    <row r="155" spans="1:39" s="2329" customFormat="1" hidden="1">
      <c r="A155" s="89"/>
      <c r="B155" s="89"/>
      <c r="C155" s="2332"/>
      <c r="D155" s="3919"/>
      <c r="E155" s="605"/>
      <c r="F155" s="3918"/>
      <c r="G155" s="3925"/>
      <c r="H155" s="605"/>
      <c r="I155" s="3921"/>
      <c r="J155" s="3919"/>
      <c r="K155" s="3914"/>
      <c r="L155" s="3921"/>
      <c r="M155" s="3931"/>
      <c r="N155" s="3931"/>
      <c r="O155" s="3931"/>
      <c r="P155" s="3931"/>
      <c r="Q155" s="3911"/>
      <c r="R155" s="3932"/>
      <c r="S155" s="3074"/>
      <c r="T155" s="3074"/>
      <c r="U155" s="3074"/>
      <c r="V155" s="3074"/>
      <c r="W155" s="3074"/>
      <c r="X155" s="3074"/>
      <c r="Y155" s="3074"/>
      <c r="Z155" s="3074"/>
      <c r="AA155" s="3074"/>
      <c r="AB155" s="3074"/>
      <c r="AC155" s="3074"/>
      <c r="AD155" s="2322"/>
      <c r="AE155" s="2322"/>
      <c r="AF155" s="2322"/>
      <c r="AG155" s="2322"/>
      <c r="AH155" s="2322"/>
      <c r="AI155" s="2322"/>
      <c r="AJ155" s="2322"/>
      <c r="AK155" s="2322"/>
      <c r="AL155" s="2322"/>
      <c r="AM155" s="2322"/>
    </row>
    <row r="156" spans="1:39" s="2329" customFormat="1" hidden="1">
      <c r="A156" s="89"/>
      <c r="B156" s="89"/>
      <c r="C156" s="2332"/>
      <c r="D156" s="3919"/>
      <c r="E156" s="605"/>
      <c r="F156" s="3918"/>
      <c r="G156" s="3925"/>
      <c r="H156" s="605"/>
      <c r="I156" s="3921"/>
      <c r="J156" s="3919"/>
      <c r="K156" s="3914"/>
      <c r="L156" s="3921"/>
      <c r="M156" s="3931"/>
      <c r="N156" s="3931"/>
      <c r="O156" s="3931"/>
      <c r="P156" s="3931"/>
      <c r="Q156" s="3911"/>
      <c r="R156" s="3932"/>
      <c r="S156" s="3074"/>
      <c r="T156" s="3074"/>
      <c r="U156" s="3074"/>
      <c r="V156" s="3074"/>
      <c r="W156" s="3074"/>
      <c r="X156" s="3074"/>
      <c r="Y156" s="3074"/>
      <c r="Z156" s="3074"/>
      <c r="AA156" s="3074"/>
      <c r="AB156" s="3074"/>
      <c r="AC156" s="3074"/>
      <c r="AD156" s="2322"/>
      <c r="AE156" s="2322"/>
      <c r="AF156" s="2322"/>
      <c r="AG156" s="2322"/>
      <c r="AH156" s="2322"/>
      <c r="AI156" s="2322"/>
      <c r="AJ156" s="2322"/>
      <c r="AK156" s="2322"/>
      <c r="AL156" s="2322"/>
      <c r="AM156" s="2322"/>
    </row>
    <row r="157" spans="1:39" s="2329" customFormat="1" hidden="1">
      <c r="A157" s="89"/>
      <c r="B157" s="89"/>
      <c r="C157" s="2332"/>
      <c r="D157" s="3919"/>
      <c r="E157" s="605"/>
      <c r="F157" s="3918"/>
      <c r="G157" s="3925"/>
      <c r="H157" s="605"/>
      <c r="I157" s="3921"/>
      <c r="J157" s="3919"/>
      <c r="K157" s="3914"/>
      <c r="L157" s="3921"/>
      <c r="M157" s="3931"/>
      <c r="N157" s="3931"/>
      <c r="O157" s="3931"/>
      <c r="P157" s="3931"/>
      <c r="Q157" s="3911"/>
      <c r="R157" s="3932"/>
      <c r="S157" s="3074"/>
      <c r="T157" s="3074"/>
      <c r="U157" s="3074"/>
      <c r="V157" s="3074"/>
      <c r="W157" s="3074"/>
      <c r="X157" s="3074"/>
      <c r="Y157" s="3074"/>
      <c r="Z157" s="3074"/>
      <c r="AA157" s="3074"/>
      <c r="AB157" s="3074"/>
      <c r="AC157" s="3074"/>
      <c r="AD157" s="2322"/>
      <c r="AE157" s="2322"/>
      <c r="AF157" s="2322"/>
      <c r="AG157" s="2322"/>
      <c r="AH157" s="2322"/>
      <c r="AI157" s="2322"/>
      <c r="AJ157" s="2322"/>
      <c r="AK157" s="2322"/>
      <c r="AL157" s="2322"/>
      <c r="AM157" s="2322"/>
    </row>
    <row r="158" spans="1:39" s="2329" customFormat="1" ht="13.5" thickBot="1">
      <c r="A158" s="89"/>
      <c r="B158" s="89"/>
      <c r="C158" s="2332"/>
      <c r="D158" s="3922"/>
      <c r="E158" s="3923"/>
      <c r="F158" s="3924"/>
      <c r="G158" s="3926"/>
      <c r="H158" s="3927"/>
      <c r="I158" s="3928"/>
      <c r="J158" s="3922"/>
      <c r="K158" s="3929"/>
      <c r="L158" s="3928"/>
      <c r="M158" s="3931"/>
      <c r="N158" s="3931"/>
      <c r="O158" s="3931"/>
      <c r="P158" s="3939"/>
      <c r="Q158" s="3940"/>
      <c r="R158" s="3941"/>
      <c r="S158" s="3074"/>
      <c r="T158" s="3074"/>
      <c r="U158" s="3074"/>
      <c r="V158" s="3074"/>
      <c r="W158" s="3074"/>
      <c r="X158" s="3074"/>
      <c r="Y158" s="3074"/>
      <c r="Z158" s="3074"/>
      <c r="AA158" s="3074"/>
      <c r="AB158" s="3074"/>
      <c r="AC158" s="3074"/>
      <c r="AD158" s="2322"/>
      <c r="AE158" s="2322"/>
      <c r="AF158" s="2322"/>
      <c r="AG158" s="2322"/>
      <c r="AH158" s="2322"/>
      <c r="AI158" s="2322"/>
      <c r="AJ158" s="2322"/>
      <c r="AK158" s="2322"/>
      <c r="AL158" s="2322"/>
      <c r="AM158" s="2322"/>
    </row>
    <row r="159" spans="1:39" s="2329" customFormat="1">
      <c r="A159" s="89"/>
      <c r="B159" s="89"/>
      <c r="C159" s="2332"/>
      <c r="D159" s="2332"/>
      <c r="E159" s="2332"/>
      <c r="F159" s="2332"/>
      <c r="G159" s="2332"/>
      <c r="H159" s="2332"/>
      <c r="I159" s="3074"/>
      <c r="J159" s="3074"/>
      <c r="K159" s="3074"/>
      <c r="L159" s="3074"/>
      <c r="M159" s="3074"/>
      <c r="N159" s="3074"/>
      <c r="O159" s="3074"/>
      <c r="P159" s="3074"/>
      <c r="Q159" s="3074"/>
      <c r="R159" s="3074"/>
      <c r="S159" s="3074"/>
      <c r="T159" s="3074"/>
      <c r="U159" s="3074"/>
      <c r="V159" s="3074"/>
      <c r="W159" s="3074"/>
      <c r="X159" s="3074"/>
      <c r="Y159" s="3074"/>
      <c r="Z159" s="3074"/>
      <c r="AA159" s="3074"/>
      <c r="AB159" s="3074"/>
      <c r="AC159" s="3074"/>
      <c r="AD159" s="2322"/>
      <c r="AE159" s="2322"/>
      <c r="AF159" s="2322"/>
      <c r="AG159" s="2322"/>
      <c r="AH159" s="2322"/>
      <c r="AI159" s="2322"/>
      <c r="AJ159" s="2322"/>
      <c r="AK159" s="2322"/>
      <c r="AL159" s="2322"/>
      <c r="AM159" s="2322"/>
    </row>
    <row r="160" spans="1:39" s="2329" customFormat="1">
      <c r="A160" s="89"/>
      <c r="B160" s="89"/>
      <c r="C160" s="2332"/>
      <c r="D160" s="2332"/>
      <c r="E160" s="2332"/>
      <c r="F160" s="2332"/>
      <c r="G160" s="2332"/>
      <c r="H160" s="2332"/>
      <c r="I160" s="3074"/>
      <c r="J160" s="3074"/>
      <c r="K160" s="3074"/>
      <c r="L160" s="3074"/>
      <c r="M160" s="3074"/>
      <c r="N160" s="3074"/>
      <c r="O160" s="3074"/>
      <c r="P160" s="3074"/>
      <c r="Q160" s="3074"/>
      <c r="R160" s="3074"/>
      <c r="S160" s="3074"/>
      <c r="T160" s="3074"/>
      <c r="U160" s="3074"/>
      <c r="V160" s="3074"/>
      <c r="W160" s="3074"/>
      <c r="X160" s="3074"/>
      <c r="Y160" s="3074"/>
      <c r="Z160" s="3074"/>
      <c r="AA160" s="3074"/>
      <c r="AB160" s="3074"/>
      <c r="AC160" s="3074"/>
      <c r="AD160" s="2322"/>
      <c r="AE160" s="2322"/>
      <c r="AF160" s="2322"/>
      <c r="AG160" s="2322"/>
      <c r="AH160" s="2322"/>
      <c r="AI160" s="2322"/>
      <c r="AJ160" s="2322"/>
      <c r="AK160" s="2322"/>
      <c r="AL160" s="2322"/>
      <c r="AM160" s="2322"/>
    </row>
    <row r="161" spans="1:39" s="2329" customFormat="1">
      <c r="A161" s="89"/>
      <c r="B161" s="89"/>
      <c r="C161" s="2332"/>
      <c r="D161" s="2332"/>
      <c r="E161" s="2332"/>
      <c r="F161" s="2332"/>
      <c r="G161" s="2332"/>
      <c r="H161" s="2332"/>
      <c r="I161" s="3074"/>
      <c r="J161" s="3074"/>
      <c r="K161" s="3074"/>
      <c r="L161" s="3074"/>
      <c r="M161" s="3074"/>
      <c r="N161" s="3074"/>
      <c r="O161" s="3074"/>
      <c r="P161" s="3074"/>
      <c r="Q161" s="3074"/>
      <c r="R161" s="3074"/>
      <c r="S161" s="3074"/>
      <c r="T161" s="3074"/>
      <c r="U161" s="3074"/>
      <c r="V161" s="3074"/>
      <c r="W161" s="3074"/>
      <c r="X161" s="3074"/>
      <c r="Y161" s="3074"/>
      <c r="Z161" s="3074"/>
      <c r="AA161" s="3074"/>
      <c r="AB161" s="3074"/>
      <c r="AC161" s="3074"/>
      <c r="AD161" s="2322"/>
      <c r="AE161" s="2322"/>
      <c r="AF161" s="2322"/>
      <c r="AG161" s="2322"/>
      <c r="AH161" s="2322"/>
      <c r="AI161" s="2322"/>
      <c r="AJ161" s="2322"/>
      <c r="AK161" s="2322"/>
      <c r="AL161" s="2322"/>
      <c r="AM161" s="2322"/>
    </row>
    <row r="162" spans="1:39" s="2329" customFormat="1">
      <c r="A162" s="89"/>
      <c r="B162" s="89"/>
      <c r="C162" s="2332"/>
      <c r="D162" s="2332"/>
      <c r="E162" s="2332"/>
      <c r="F162" s="2332"/>
      <c r="G162" s="2332"/>
      <c r="H162" s="2332"/>
      <c r="I162" s="3074"/>
      <c r="J162" s="3074"/>
      <c r="K162" s="3074"/>
      <c r="L162" s="3074"/>
      <c r="M162" s="3074"/>
      <c r="N162" s="3074"/>
      <c r="O162" s="3074"/>
      <c r="P162" s="3074"/>
      <c r="Q162" s="3074"/>
      <c r="R162" s="3074"/>
      <c r="S162" s="3074"/>
      <c r="T162" s="3074"/>
      <c r="U162" s="3074"/>
      <c r="V162" s="3074"/>
      <c r="W162" s="3074"/>
      <c r="X162" s="3074"/>
      <c r="Y162" s="3074"/>
      <c r="Z162" s="3074"/>
      <c r="AA162" s="3074"/>
      <c r="AB162" s="3074"/>
      <c r="AC162" s="3074"/>
      <c r="AD162" s="2322"/>
      <c r="AE162" s="2322"/>
      <c r="AF162" s="2322"/>
      <c r="AG162" s="2322"/>
      <c r="AH162" s="2322"/>
      <c r="AI162" s="2322"/>
      <c r="AJ162" s="2322"/>
      <c r="AK162" s="2322"/>
      <c r="AL162" s="2322"/>
      <c r="AM162" s="2322"/>
    </row>
    <row r="163" spans="1:39" s="2329" customFormat="1">
      <c r="A163" s="89"/>
      <c r="B163" s="89"/>
      <c r="C163" s="2332"/>
      <c r="D163" s="2332"/>
      <c r="E163" s="2332"/>
      <c r="F163" s="2332"/>
      <c r="G163" s="2332"/>
      <c r="H163" s="2332"/>
      <c r="I163" s="3074"/>
      <c r="J163" s="3074"/>
      <c r="K163" s="3074"/>
      <c r="L163" s="3074"/>
      <c r="M163" s="3074"/>
      <c r="N163" s="3074"/>
      <c r="O163" s="3074"/>
      <c r="P163" s="3074"/>
      <c r="Q163" s="3074"/>
      <c r="R163" s="3074"/>
      <c r="S163" s="3074"/>
      <c r="T163" s="3074"/>
      <c r="U163" s="3074"/>
      <c r="V163" s="3074"/>
      <c r="W163" s="3074"/>
      <c r="X163" s="3074"/>
      <c r="Y163" s="3074"/>
      <c r="Z163" s="3074"/>
      <c r="AA163" s="3074"/>
      <c r="AB163" s="3074"/>
      <c r="AC163" s="3074"/>
      <c r="AD163" s="2322"/>
      <c r="AE163" s="2322"/>
      <c r="AF163" s="2322"/>
      <c r="AG163" s="2322"/>
      <c r="AH163" s="2322"/>
      <c r="AI163" s="2322"/>
      <c r="AJ163" s="2322"/>
      <c r="AK163" s="2322"/>
      <c r="AL163" s="2322"/>
      <c r="AM163" s="2322"/>
    </row>
    <row r="164" spans="1:39" s="2329" customFormat="1">
      <c r="A164" s="89"/>
      <c r="B164" s="89"/>
      <c r="C164" s="2332"/>
      <c r="D164" s="2332"/>
      <c r="E164" s="2332"/>
      <c r="F164" s="2332"/>
      <c r="G164" s="2332"/>
      <c r="H164" s="2332"/>
      <c r="I164" s="3074"/>
      <c r="J164" s="3074"/>
      <c r="K164" s="3074"/>
      <c r="L164" s="3074"/>
      <c r="M164" s="3074"/>
      <c r="N164" s="3074"/>
      <c r="O164" s="3074"/>
      <c r="P164" s="3074"/>
      <c r="Q164" s="3074"/>
      <c r="R164" s="3074"/>
      <c r="S164" s="3074"/>
      <c r="T164" s="3074"/>
      <c r="U164" s="3074"/>
      <c r="V164" s="3074"/>
      <c r="W164" s="3074"/>
      <c r="X164" s="3074"/>
      <c r="Y164" s="3074"/>
      <c r="Z164" s="3074"/>
      <c r="AA164" s="3074"/>
      <c r="AB164" s="3074"/>
      <c r="AC164" s="3074"/>
      <c r="AD164" s="2322"/>
      <c r="AE164" s="2322"/>
      <c r="AF164" s="2322"/>
      <c r="AG164" s="2322"/>
      <c r="AH164" s="2322"/>
      <c r="AI164" s="2322"/>
      <c r="AJ164" s="2322"/>
      <c r="AK164" s="2322"/>
      <c r="AL164" s="2322"/>
      <c r="AM164" s="2322"/>
    </row>
    <row r="165" spans="1:39" s="2329" customFormat="1">
      <c r="A165" s="89"/>
      <c r="B165" s="89"/>
      <c r="C165" s="2332"/>
      <c r="D165" s="2332"/>
      <c r="E165" s="2332"/>
      <c r="F165" s="2332"/>
      <c r="G165" s="2332"/>
      <c r="H165" s="2332"/>
      <c r="I165" s="3074"/>
      <c r="J165" s="3074"/>
      <c r="K165" s="3074"/>
      <c r="L165" s="3074"/>
      <c r="M165" s="3074"/>
      <c r="N165" s="3074"/>
      <c r="O165" s="3074"/>
      <c r="P165" s="3074"/>
      <c r="Q165" s="3074"/>
      <c r="R165" s="3074"/>
      <c r="S165" s="3074"/>
      <c r="T165" s="3074"/>
      <c r="U165" s="3074"/>
      <c r="V165" s="3074"/>
      <c r="W165" s="3074"/>
      <c r="X165" s="3074"/>
      <c r="Y165" s="3074"/>
      <c r="Z165" s="3074"/>
      <c r="AA165" s="3074"/>
      <c r="AB165" s="3074"/>
      <c r="AC165" s="3074"/>
      <c r="AD165" s="2322"/>
      <c r="AE165" s="2322"/>
      <c r="AF165" s="2322"/>
      <c r="AG165" s="2322"/>
      <c r="AH165" s="2322"/>
      <c r="AI165" s="2322"/>
      <c r="AJ165" s="2322"/>
      <c r="AK165" s="2322"/>
      <c r="AL165" s="2322"/>
      <c r="AM165" s="2322"/>
    </row>
    <row r="166" spans="1:39" s="2329" customFormat="1">
      <c r="A166" s="89"/>
      <c r="B166" s="89"/>
      <c r="C166" s="2332"/>
      <c r="D166" s="2332"/>
      <c r="E166" s="2332"/>
      <c r="F166" s="2332"/>
      <c r="G166" s="2332"/>
      <c r="H166" s="2332"/>
      <c r="I166" s="3074"/>
      <c r="J166" s="3074"/>
      <c r="K166" s="3074"/>
      <c r="L166" s="3074"/>
      <c r="M166" s="3074"/>
      <c r="N166" s="3074"/>
      <c r="O166" s="3074"/>
      <c r="P166" s="3074"/>
      <c r="Q166" s="3074"/>
      <c r="R166" s="3074"/>
      <c r="S166" s="3074"/>
      <c r="T166" s="3074"/>
      <c r="U166" s="3074"/>
      <c r="V166" s="3074"/>
      <c r="W166" s="3074"/>
      <c r="X166" s="3074"/>
      <c r="Y166" s="3074"/>
      <c r="Z166" s="3074"/>
      <c r="AA166" s="3074"/>
      <c r="AB166" s="3074"/>
      <c r="AC166" s="3074"/>
      <c r="AD166" s="2322"/>
      <c r="AE166" s="2322"/>
      <c r="AF166" s="2322"/>
      <c r="AG166" s="2322"/>
      <c r="AH166" s="2322"/>
      <c r="AI166" s="2322"/>
      <c r="AJ166" s="2322"/>
      <c r="AK166" s="2322"/>
      <c r="AL166" s="2322"/>
      <c r="AM166" s="2322"/>
    </row>
    <row r="167" spans="1:39" s="2329" customFormat="1">
      <c r="A167" s="89"/>
      <c r="B167" s="89"/>
      <c r="C167" s="2332"/>
      <c r="D167" s="2332"/>
      <c r="E167" s="2332"/>
      <c r="F167" s="2332"/>
      <c r="G167" s="2332"/>
      <c r="H167" s="2332"/>
      <c r="I167" s="3074"/>
      <c r="J167" s="3074"/>
      <c r="K167" s="3074"/>
      <c r="L167" s="3074"/>
      <c r="M167" s="3074"/>
      <c r="N167" s="3074"/>
      <c r="O167" s="3074"/>
      <c r="P167" s="3074"/>
      <c r="Q167" s="3074"/>
      <c r="R167" s="3074"/>
      <c r="S167" s="3074"/>
      <c r="T167" s="3074"/>
      <c r="U167" s="3074"/>
      <c r="V167" s="3074"/>
      <c r="W167" s="3074"/>
      <c r="X167" s="3074"/>
      <c r="Y167" s="3074"/>
      <c r="Z167" s="3074"/>
      <c r="AA167" s="3074"/>
      <c r="AB167" s="3074"/>
      <c r="AC167" s="3074"/>
      <c r="AD167" s="2322"/>
      <c r="AE167" s="2322"/>
      <c r="AF167" s="2322"/>
      <c r="AG167" s="2322"/>
      <c r="AH167" s="2322"/>
      <c r="AI167" s="2322"/>
      <c r="AJ167" s="2322"/>
      <c r="AK167" s="2322"/>
      <c r="AL167" s="2322"/>
      <c r="AM167" s="2322"/>
    </row>
    <row r="168" spans="1:39" s="2329" customFormat="1">
      <c r="A168" s="89"/>
      <c r="B168" s="89"/>
      <c r="C168" s="2332"/>
      <c r="D168" s="2332"/>
      <c r="E168" s="2332"/>
      <c r="F168" s="2332"/>
      <c r="G168" s="2332"/>
      <c r="H168" s="2332"/>
      <c r="I168" s="3074"/>
      <c r="J168" s="3074"/>
      <c r="K168" s="3074"/>
      <c r="L168" s="3074"/>
      <c r="M168" s="3074"/>
      <c r="N168" s="3074"/>
      <c r="O168" s="3074"/>
      <c r="P168" s="3074"/>
      <c r="Q168" s="3074"/>
      <c r="R168" s="3074"/>
      <c r="S168" s="3074"/>
      <c r="T168" s="3074"/>
      <c r="U168" s="3074"/>
      <c r="V168" s="3074"/>
      <c r="W168" s="3074"/>
      <c r="X168" s="3074"/>
      <c r="Y168" s="3074"/>
      <c r="Z168" s="3074"/>
      <c r="AA168" s="3074"/>
      <c r="AB168" s="3074"/>
      <c r="AC168" s="3074"/>
      <c r="AD168" s="2322"/>
      <c r="AE168" s="2322"/>
      <c r="AF168" s="2322"/>
      <c r="AG168" s="2322"/>
      <c r="AH168" s="2322"/>
      <c r="AI168" s="2322"/>
      <c r="AJ168" s="2322"/>
      <c r="AK168" s="2322"/>
      <c r="AL168" s="2322"/>
      <c r="AM168" s="2322"/>
    </row>
    <row r="169" spans="1:39" s="2329" customFormat="1">
      <c r="A169" s="89"/>
      <c r="B169" s="89"/>
      <c r="C169" s="2332"/>
      <c r="D169" s="2332"/>
      <c r="E169" s="2332"/>
      <c r="F169" s="2332"/>
      <c r="G169" s="2332"/>
      <c r="H169" s="2332"/>
      <c r="I169" s="3074"/>
      <c r="J169" s="3074"/>
      <c r="K169" s="3074"/>
      <c r="L169" s="3074"/>
      <c r="M169" s="3074"/>
      <c r="N169" s="3074"/>
      <c r="O169" s="3074"/>
      <c r="P169" s="3074"/>
      <c r="Q169" s="3074"/>
      <c r="R169" s="3074"/>
      <c r="S169" s="3074"/>
      <c r="T169" s="3074"/>
      <c r="U169" s="3074"/>
      <c r="V169" s="3074"/>
      <c r="W169" s="3074"/>
      <c r="X169" s="3074"/>
      <c r="Y169" s="3074"/>
      <c r="Z169" s="3074"/>
      <c r="AA169" s="3074"/>
      <c r="AB169" s="3074"/>
      <c r="AC169" s="3074"/>
      <c r="AD169" s="2322"/>
      <c r="AE169" s="2322"/>
      <c r="AF169" s="2322"/>
      <c r="AG169" s="2322"/>
      <c r="AH169" s="2322"/>
      <c r="AI169" s="2322"/>
      <c r="AJ169" s="2322"/>
      <c r="AK169" s="2322"/>
      <c r="AL169" s="2322"/>
      <c r="AM169" s="2322"/>
    </row>
    <row r="170" spans="1:39" s="2329" customFormat="1">
      <c r="A170" s="89"/>
      <c r="B170" s="89"/>
      <c r="C170" s="2332"/>
      <c r="D170" s="2332"/>
      <c r="E170" s="2332"/>
      <c r="F170" s="2332"/>
      <c r="G170" s="2332"/>
      <c r="H170" s="2332"/>
      <c r="I170" s="3074"/>
      <c r="J170" s="3074"/>
      <c r="K170" s="3074"/>
      <c r="L170" s="3074"/>
      <c r="M170" s="3074"/>
      <c r="N170" s="3074"/>
      <c r="O170" s="3074"/>
      <c r="P170" s="3074"/>
      <c r="Q170" s="3074"/>
      <c r="R170" s="3074"/>
      <c r="S170" s="3074"/>
      <c r="T170" s="3074"/>
      <c r="U170" s="3074"/>
      <c r="V170" s="3074"/>
      <c r="W170" s="3074"/>
      <c r="X170" s="3074"/>
      <c r="Y170" s="3074"/>
      <c r="Z170" s="3074"/>
      <c r="AA170" s="3074"/>
      <c r="AB170" s="3074"/>
      <c r="AC170" s="3074"/>
      <c r="AD170" s="2322"/>
      <c r="AE170" s="2322"/>
      <c r="AF170" s="2322"/>
      <c r="AG170" s="2322"/>
      <c r="AH170" s="2322"/>
      <c r="AI170" s="2322"/>
      <c r="AJ170" s="2322"/>
      <c r="AK170" s="2322"/>
      <c r="AL170" s="2322"/>
      <c r="AM170" s="2322"/>
    </row>
    <row r="171" spans="1:39" s="2329" customFormat="1">
      <c r="A171" s="89"/>
      <c r="B171" s="89"/>
      <c r="C171" s="2332"/>
      <c r="D171" s="2332"/>
      <c r="E171" s="2332"/>
      <c r="F171" s="2332"/>
      <c r="G171" s="2332"/>
      <c r="H171" s="2332"/>
      <c r="I171" s="3074"/>
      <c r="J171" s="3074"/>
      <c r="K171" s="3074"/>
      <c r="L171" s="3074"/>
      <c r="M171" s="3074"/>
      <c r="N171" s="3074"/>
      <c r="O171" s="3074"/>
      <c r="P171" s="3074"/>
      <c r="Q171" s="3074"/>
      <c r="R171" s="3074"/>
      <c r="S171" s="3074"/>
      <c r="T171" s="3074"/>
      <c r="U171" s="3074"/>
      <c r="V171" s="3074"/>
      <c r="W171" s="3074"/>
      <c r="X171" s="3074"/>
      <c r="Y171" s="3074"/>
      <c r="Z171" s="3074"/>
      <c r="AA171" s="3074"/>
      <c r="AB171" s="3074"/>
      <c r="AC171" s="3074"/>
      <c r="AD171" s="2322"/>
      <c r="AE171" s="2322"/>
      <c r="AF171" s="2322"/>
      <c r="AG171" s="2322"/>
      <c r="AH171" s="2322"/>
      <c r="AI171" s="2322"/>
      <c r="AJ171" s="2322"/>
      <c r="AK171" s="2322"/>
      <c r="AL171" s="2322"/>
      <c r="AM171" s="2322"/>
    </row>
    <row r="172" spans="1:39" s="2329" customFormat="1">
      <c r="A172" s="89"/>
      <c r="B172" s="89"/>
      <c r="C172" s="2332"/>
      <c r="D172" s="2332"/>
      <c r="E172" s="2332"/>
      <c r="F172" s="2332"/>
      <c r="G172" s="2332"/>
      <c r="H172" s="2332"/>
      <c r="I172" s="3074"/>
      <c r="J172" s="3074"/>
      <c r="K172" s="3074"/>
      <c r="L172" s="3074"/>
      <c r="M172" s="3074"/>
      <c r="N172" s="3074"/>
      <c r="O172" s="3074"/>
      <c r="P172" s="3074"/>
      <c r="Q172" s="3074"/>
      <c r="R172" s="3074"/>
      <c r="S172" s="3074"/>
      <c r="T172" s="3074"/>
      <c r="U172" s="3074"/>
      <c r="V172" s="3074"/>
      <c r="W172" s="3074"/>
      <c r="X172" s="3074"/>
      <c r="Y172" s="3074"/>
      <c r="Z172" s="3074"/>
      <c r="AA172" s="3074"/>
      <c r="AB172" s="3074"/>
      <c r="AC172" s="3074"/>
      <c r="AD172" s="2322"/>
      <c r="AE172" s="2322"/>
      <c r="AF172" s="2322"/>
      <c r="AG172" s="2322"/>
      <c r="AH172" s="2322"/>
      <c r="AI172" s="2322"/>
      <c r="AJ172" s="2322"/>
      <c r="AK172" s="2322"/>
      <c r="AL172" s="2322"/>
      <c r="AM172" s="2322"/>
    </row>
    <row r="173" spans="1:39" s="2329" customFormat="1">
      <c r="A173" s="89"/>
      <c r="B173" s="89"/>
      <c r="C173" s="2332"/>
      <c r="D173" s="2332"/>
      <c r="E173" s="2332"/>
      <c r="F173" s="2332"/>
      <c r="G173" s="2332"/>
      <c r="H173" s="2332"/>
      <c r="I173" s="3074"/>
      <c r="J173" s="3074"/>
      <c r="K173" s="3074"/>
      <c r="L173" s="3074"/>
      <c r="M173" s="3074"/>
      <c r="N173" s="3074"/>
      <c r="O173" s="3074"/>
      <c r="P173" s="3074"/>
      <c r="Q173" s="3074"/>
      <c r="R173" s="3074"/>
      <c r="S173" s="3074"/>
      <c r="T173" s="3074"/>
      <c r="U173" s="3074"/>
      <c r="V173" s="3074"/>
      <c r="W173" s="3074"/>
      <c r="X173" s="3074"/>
      <c r="Y173" s="3074"/>
      <c r="Z173" s="3074"/>
      <c r="AA173" s="3074"/>
      <c r="AB173" s="3074"/>
      <c r="AC173" s="3074"/>
      <c r="AD173" s="2322"/>
      <c r="AE173" s="2322"/>
      <c r="AF173" s="2322"/>
      <c r="AG173" s="2322"/>
      <c r="AH173" s="2322"/>
      <c r="AI173" s="2322"/>
      <c r="AJ173" s="2322"/>
      <c r="AK173" s="2322"/>
      <c r="AL173" s="2322"/>
      <c r="AM173" s="2322"/>
    </row>
    <row r="174" spans="1:39" s="2329" customFormat="1">
      <c r="A174" s="89"/>
      <c r="B174" s="89"/>
      <c r="C174" s="2332"/>
      <c r="D174" s="2332"/>
      <c r="E174" s="2332"/>
      <c r="F174" s="2332"/>
      <c r="G174" s="2332"/>
      <c r="H174" s="2332"/>
      <c r="I174" s="3074"/>
      <c r="J174" s="3074"/>
      <c r="K174" s="3074"/>
      <c r="L174" s="3074"/>
      <c r="M174" s="3074"/>
      <c r="N174" s="3074"/>
      <c r="O174" s="3074"/>
      <c r="P174" s="3074"/>
      <c r="Q174" s="3074"/>
      <c r="R174" s="3074"/>
      <c r="S174" s="3074"/>
      <c r="T174" s="3074"/>
      <c r="U174" s="3074"/>
      <c r="V174" s="3074"/>
      <c r="W174" s="3074"/>
      <c r="X174" s="3074"/>
      <c r="Y174" s="3074"/>
      <c r="Z174" s="3074"/>
      <c r="AA174" s="3074"/>
      <c r="AB174" s="3074"/>
      <c r="AC174" s="3074"/>
      <c r="AD174" s="2322"/>
      <c r="AE174" s="2322"/>
      <c r="AF174" s="2322"/>
      <c r="AG174" s="2322"/>
      <c r="AH174" s="2322"/>
      <c r="AI174" s="2322"/>
      <c r="AJ174" s="2322"/>
      <c r="AK174" s="2322"/>
      <c r="AL174" s="2322"/>
      <c r="AM174" s="2322"/>
    </row>
    <row r="175" spans="1:39" s="2329" customFormat="1">
      <c r="A175" s="89"/>
      <c r="B175" s="89"/>
      <c r="C175" s="2332"/>
      <c r="D175" s="2332"/>
      <c r="E175" s="2332"/>
      <c r="F175" s="2332"/>
      <c r="G175" s="2332"/>
      <c r="H175" s="2332"/>
      <c r="I175" s="3074"/>
      <c r="J175" s="3074"/>
      <c r="K175" s="3074"/>
      <c r="L175" s="3074"/>
      <c r="M175" s="3074"/>
      <c r="N175" s="3074"/>
      <c r="O175" s="3074"/>
      <c r="P175" s="3074"/>
      <c r="Q175" s="3074"/>
      <c r="R175" s="3074"/>
      <c r="S175" s="3074"/>
      <c r="T175" s="3074"/>
      <c r="U175" s="3074"/>
      <c r="V175" s="3074"/>
      <c r="W175" s="3074"/>
      <c r="X175" s="3074"/>
      <c r="Y175" s="3074"/>
      <c r="Z175" s="3074"/>
      <c r="AA175" s="3074"/>
      <c r="AB175" s="3074"/>
      <c r="AC175" s="3074"/>
      <c r="AD175" s="2322"/>
      <c r="AE175" s="2322"/>
      <c r="AF175" s="2322"/>
      <c r="AG175" s="2322"/>
      <c r="AH175" s="2322"/>
      <c r="AI175" s="2322"/>
      <c r="AJ175" s="2322"/>
      <c r="AK175" s="2322"/>
      <c r="AL175" s="2322"/>
      <c r="AM175" s="2322"/>
    </row>
    <row r="176" spans="1:39" s="2329" customFormat="1">
      <c r="A176" s="89"/>
      <c r="B176" s="89"/>
      <c r="C176" s="2332"/>
      <c r="D176" s="2332"/>
      <c r="E176" s="2332"/>
      <c r="F176" s="2332"/>
      <c r="G176" s="2332"/>
      <c r="H176" s="2332"/>
      <c r="I176" s="3074"/>
      <c r="J176" s="3074"/>
      <c r="K176" s="3074"/>
      <c r="L176" s="3074"/>
      <c r="M176" s="3074"/>
      <c r="N176" s="3074"/>
      <c r="O176" s="3074"/>
      <c r="P176" s="3074"/>
      <c r="Q176" s="3074"/>
      <c r="R176" s="3074"/>
      <c r="S176" s="3074"/>
      <c r="T176" s="3074"/>
      <c r="U176" s="3074"/>
      <c r="V176" s="3074"/>
      <c r="W176" s="3074"/>
      <c r="X176" s="3074"/>
      <c r="Y176" s="3074"/>
      <c r="Z176" s="3074"/>
      <c r="AA176" s="3074"/>
      <c r="AB176" s="3074"/>
      <c r="AC176" s="3074"/>
      <c r="AD176" s="2322"/>
      <c r="AE176" s="2322"/>
      <c r="AF176" s="2322"/>
      <c r="AG176" s="2322"/>
      <c r="AH176" s="2322"/>
      <c r="AI176" s="2322"/>
      <c r="AJ176" s="2322"/>
      <c r="AK176" s="2322"/>
      <c r="AL176" s="2322"/>
      <c r="AM176" s="2322"/>
    </row>
    <row r="177" spans="1:39" s="2329" customFormat="1">
      <c r="A177" s="89"/>
      <c r="B177" s="89"/>
      <c r="C177" s="2332"/>
      <c r="D177" s="2332"/>
      <c r="E177" s="2332"/>
      <c r="F177" s="2332"/>
      <c r="G177" s="2332"/>
      <c r="H177" s="2332"/>
      <c r="I177" s="3074"/>
      <c r="J177" s="3074"/>
      <c r="K177" s="3074"/>
      <c r="L177" s="3074"/>
      <c r="M177" s="3074"/>
      <c r="N177" s="3074"/>
      <c r="O177" s="3074"/>
      <c r="P177" s="3074"/>
      <c r="Q177" s="3074"/>
      <c r="R177" s="3074"/>
      <c r="S177" s="3074"/>
      <c r="T177" s="3074"/>
      <c r="U177" s="3074"/>
      <c r="V177" s="3074"/>
      <c r="W177" s="3074"/>
      <c r="X177" s="3074"/>
      <c r="Y177" s="3074"/>
      <c r="Z177" s="3074"/>
      <c r="AA177" s="3074"/>
      <c r="AB177" s="3074"/>
      <c r="AC177" s="3074"/>
      <c r="AD177" s="2322"/>
      <c r="AE177" s="2322"/>
      <c r="AF177" s="2322"/>
      <c r="AG177" s="2322"/>
      <c r="AH177" s="2322"/>
      <c r="AI177" s="2322"/>
      <c r="AJ177" s="2322"/>
      <c r="AK177" s="2322"/>
      <c r="AL177" s="2322"/>
      <c r="AM177" s="2322"/>
    </row>
    <row r="178" spans="1:39" s="2329" customFormat="1">
      <c r="A178" s="89"/>
      <c r="B178" s="89"/>
      <c r="C178" s="2332"/>
      <c r="D178" s="2332"/>
      <c r="E178" s="2332"/>
      <c r="F178" s="2332"/>
      <c r="G178" s="2332"/>
      <c r="H178" s="2332"/>
      <c r="I178" s="3074"/>
      <c r="J178" s="3074"/>
      <c r="K178" s="3074"/>
      <c r="L178" s="3074"/>
      <c r="M178" s="3074"/>
      <c r="N178" s="3074"/>
      <c r="O178" s="3074"/>
      <c r="P178" s="3074"/>
      <c r="Q178" s="3074"/>
      <c r="R178" s="3074"/>
      <c r="S178" s="3074"/>
      <c r="T178" s="3074"/>
      <c r="U178" s="3074"/>
      <c r="V178" s="3074"/>
      <c r="W178" s="3074"/>
      <c r="X178" s="3074"/>
      <c r="Y178" s="3074"/>
      <c r="Z178" s="3074"/>
      <c r="AA178" s="3074"/>
      <c r="AB178" s="3074"/>
      <c r="AC178" s="3074"/>
      <c r="AD178" s="2322"/>
      <c r="AE178" s="2322"/>
      <c r="AF178" s="2322"/>
      <c r="AG178" s="2322"/>
      <c r="AH178" s="2322"/>
      <c r="AI178" s="2322"/>
      <c r="AJ178" s="2322"/>
      <c r="AK178" s="2322"/>
      <c r="AL178" s="2322"/>
      <c r="AM178" s="2322"/>
    </row>
    <row r="179" spans="1:39" s="2329" customFormat="1">
      <c r="A179" s="89"/>
      <c r="B179" s="89"/>
      <c r="C179" s="2332"/>
      <c r="D179" s="2332"/>
      <c r="E179" s="2332"/>
      <c r="F179" s="2332"/>
      <c r="G179" s="2332"/>
      <c r="H179" s="2332"/>
      <c r="I179" s="3074"/>
      <c r="J179" s="3074"/>
      <c r="K179" s="3074"/>
      <c r="L179" s="3074"/>
      <c r="M179" s="3074"/>
      <c r="N179" s="3074"/>
      <c r="O179" s="3074"/>
      <c r="P179" s="3074"/>
      <c r="Q179" s="3074"/>
      <c r="R179" s="3074"/>
      <c r="S179" s="3074"/>
      <c r="T179" s="3074"/>
      <c r="U179" s="3074"/>
      <c r="V179" s="3074"/>
      <c r="W179" s="3074"/>
      <c r="X179" s="3074"/>
      <c r="Y179" s="3074"/>
      <c r="Z179" s="3074"/>
      <c r="AA179" s="3074"/>
      <c r="AB179" s="3074"/>
      <c r="AC179" s="3074"/>
      <c r="AD179" s="2322"/>
      <c r="AE179" s="2322"/>
      <c r="AF179" s="2322"/>
      <c r="AG179" s="2322"/>
      <c r="AH179" s="2322"/>
      <c r="AI179" s="2322"/>
      <c r="AJ179" s="2322"/>
      <c r="AK179" s="2322"/>
      <c r="AL179" s="2322"/>
      <c r="AM179" s="2322"/>
    </row>
    <row r="180" spans="1:39" s="2329" customFormat="1">
      <c r="A180" s="89"/>
      <c r="B180" s="89"/>
      <c r="C180" s="2332"/>
      <c r="D180" s="2332"/>
      <c r="E180" s="2332"/>
      <c r="F180" s="2332"/>
      <c r="G180" s="2332"/>
      <c r="H180" s="2332"/>
      <c r="I180" s="3074"/>
      <c r="J180" s="3074"/>
      <c r="K180" s="3074"/>
      <c r="L180" s="3074"/>
      <c r="M180" s="3074"/>
      <c r="N180" s="3074"/>
      <c r="O180" s="3074"/>
      <c r="P180" s="3074"/>
      <c r="Q180" s="3074"/>
      <c r="R180" s="3074"/>
      <c r="S180" s="3074"/>
      <c r="T180" s="3074"/>
      <c r="U180" s="3074"/>
      <c r="V180" s="3074"/>
      <c r="W180" s="3074"/>
      <c r="X180" s="3074"/>
      <c r="Y180" s="3074"/>
      <c r="Z180" s="3074"/>
      <c r="AA180" s="3074"/>
      <c r="AB180" s="3074"/>
      <c r="AC180" s="3074"/>
      <c r="AD180" s="2322"/>
      <c r="AE180" s="2322"/>
      <c r="AF180" s="2322"/>
      <c r="AG180" s="2322"/>
      <c r="AH180" s="2322"/>
      <c r="AI180" s="2322"/>
      <c r="AJ180" s="2322"/>
      <c r="AK180" s="2322"/>
      <c r="AL180" s="2322"/>
      <c r="AM180" s="2322"/>
    </row>
    <row r="181" spans="1:39" s="2329" customFormat="1">
      <c r="A181" s="89"/>
      <c r="B181" s="89"/>
      <c r="C181" s="2332"/>
      <c r="D181" s="2332"/>
      <c r="E181" s="2332"/>
      <c r="F181" s="2332"/>
      <c r="G181" s="2332"/>
      <c r="H181" s="2332"/>
      <c r="I181" s="3074"/>
      <c r="J181" s="3074"/>
      <c r="K181" s="3074"/>
      <c r="L181" s="3074"/>
      <c r="M181" s="3074"/>
      <c r="N181" s="3074"/>
      <c r="O181" s="3074"/>
      <c r="P181" s="3074"/>
      <c r="Q181" s="3074"/>
      <c r="R181" s="3074"/>
      <c r="S181" s="3074"/>
      <c r="T181" s="3074"/>
      <c r="U181" s="3074"/>
      <c r="V181" s="3074"/>
      <c r="W181" s="3074"/>
      <c r="X181" s="3074"/>
      <c r="Y181" s="3074"/>
      <c r="Z181" s="3074"/>
      <c r="AA181" s="3074"/>
      <c r="AB181" s="3074"/>
      <c r="AC181" s="3074"/>
      <c r="AD181" s="2322"/>
      <c r="AE181" s="2322"/>
      <c r="AF181" s="2322"/>
      <c r="AG181" s="2322"/>
      <c r="AH181" s="2322"/>
      <c r="AI181" s="2322"/>
      <c r="AJ181" s="2322"/>
      <c r="AK181" s="2322"/>
      <c r="AL181" s="2322"/>
      <c r="AM181" s="2322"/>
    </row>
    <row r="182" spans="1:39" s="2329" customFormat="1">
      <c r="A182" s="89"/>
      <c r="B182" s="89"/>
      <c r="C182" s="2332"/>
      <c r="D182" s="2332"/>
      <c r="E182" s="2332"/>
      <c r="F182" s="2332"/>
      <c r="G182" s="2332"/>
      <c r="H182" s="2332"/>
      <c r="I182" s="3074"/>
      <c r="J182" s="3074"/>
      <c r="K182" s="3074"/>
      <c r="L182" s="3074"/>
      <c r="M182" s="3074"/>
      <c r="N182" s="3074"/>
      <c r="O182" s="3074"/>
      <c r="P182" s="3074"/>
      <c r="Q182" s="3074"/>
      <c r="R182" s="3074"/>
      <c r="S182" s="3074"/>
      <c r="T182" s="3074"/>
      <c r="U182" s="3074"/>
      <c r="V182" s="3074"/>
      <c r="W182" s="3074"/>
      <c r="X182" s="3074"/>
      <c r="Y182" s="3074"/>
      <c r="Z182" s="3074"/>
      <c r="AA182" s="3074"/>
      <c r="AB182" s="3074"/>
      <c r="AC182" s="3074"/>
      <c r="AD182" s="2322"/>
      <c r="AE182" s="2322"/>
      <c r="AF182" s="2322"/>
      <c r="AG182" s="2322"/>
      <c r="AH182" s="2322"/>
      <c r="AI182" s="2322"/>
      <c r="AJ182" s="2322"/>
      <c r="AK182" s="2322"/>
      <c r="AL182" s="2322"/>
      <c r="AM182" s="2322"/>
    </row>
    <row r="183" spans="1:39" s="2329" customFormat="1">
      <c r="A183" s="89"/>
      <c r="B183" s="89"/>
      <c r="C183" s="2332"/>
      <c r="D183" s="2332"/>
      <c r="E183" s="2332"/>
      <c r="F183" s="2332"/>
      <c r="G183" s="2332"/>
      <c r="H183" s="2332"/>
      <c r="I183" s="3074"/>
      <c r="J183" s="3074"/>
      <c r="K183" s="3074"/>
      <c r="L183" s="3074"/>
      <c r="M183" s="3074"/>
      <c r="N183" s="3074"/>
      <c r="O183" s="3074"/>
      <c r="P183" s="3074"/>
      <c r="Q183" s="3074"/>
      <c r="R183" s="3074"/>
      <c r="S183" s="3074"/>
      <c r="T183" s="3074"/>
      <c r="U183" s="3074"/>
      <c r="V183" s="3074"/>
      <c r="W183" s="3074"/>
      <c r="X183" s="3074"/>
      <c r="Y183" s="3074"/>
      <c r="Z183" s="3074"/>
      <c r="AA183" s="3074"/>
      <c r="AB183" s="3074"/>
      <c r="AC183" s="3074"/>
      <c r="AD183" s="2322"/>
      <c r="AE183" s="2322"/>
      <c r="AF183" s="2322"/>
      <c r="AG183" s="2322"/>
      <c r="AH183" s="2322"/>
      <c r="AI183" s="2322"/>
      <c r="AJ183" s="2322"/>
      <c r="AK183" s="2322"/>
      <c r="AL183" s="2322"/>
      <c r="AM183" s="2322"/>
    </row>
    <row r="184" spans="1:39" s="2329" customFormat="1">
      <c r="A184" s="89"/>
      <c r="B184" s="89"/>
      <c r="C184" s="2332"/>
      <c r="D184" s="2332"/>
      <c r="E184" s="2332"/>
      <c r="F184" s="2332"/>
      <c r="G184" s="2332"/>
      <c r="H184" s="2332"/>
      <c r="I184" s="3074"/>
      <c r="J184" s="3074"/>
      <c r="K184" s="3074"/>
      <c r="L184" s="3074"/>
      <c r="M184" s="3074"/>
      <c r="N184" s="3074"/>
      <c r="O184" s="3074"/>
      <c r="P184" s="3074"/>
      <c r="Q184" s="3074"/>
      <c r="R184" s="3074"/>
      <c r="S184" s="3074"/>
      <c r="T184" s="3074"/>
      <c r="U184" s="3074"/>
      <c r="V184" s="3074"/>
      <c r="W184" s="3074"/>
      <c r="X184" s="3074"/>
      <c r="Y184" s="3074"/>
      <c r="Z184" s="3074"/>
      <c r="AA184" s="3074"/>
      <c r="AB184" s="3074"/>
      <c r="AC184" s="3074"/>
      <c r="AD184" s="2322"/>
      <c r="AE184" s="2322"/>
      <c r="AF184" s="2322"/>
      <c r="AG184" s="2322"/>
      <c r="AH184" s="2322"/>
      <c r="AI184" s="2322"/>
      <c r="AJ184" s="2322"/>
      <c r="AK184" s="2322"/>
      <c r="AL184" s="2322"/>
      <c r="AM184" s="2322"/>
    </row>
    <row r="185" spans="1:39" s="2329" customFormat="1">
      <c r="A185" s="89"/>
      <c r="B185" s="89"/>
      <c r="C185" s="2332"/>
      <c r="D185" s="2332"/>
      <c r="E185" s="2332"/>
      <c r="F185" s="2332"/>
      <c r="G185" s="2332"/>
      <c r="H185" s="2332"/>
      <c r="I185" s="3074"/>
      <c r="J185" s="3074"/>
      <c r="K185" s="3074"/>
      <c r="L185" s="3074"/>
      <c r="M185" s="3074"/>
      <c r="N185" s="3074"/>
      <c r="O185" s="3074"/>
      <c r="P185" s="3074"/>
      <c r="Q185" s="3074"/>
      <c r="R185" s="3074"/>
      <c r="S185" s="3074"/>
      <c r="T185" s="3074"/>
      <c r="U185" s="3074"/>
      <c r="V185" s="3074"/>
      <c r="W185" s="3074"/>
      <c r="X185" s="3074"/>
      <c r="Y185" s="3074"/>
      <c r="Z185" s="3074"/>
      <c r="AA185" s="3074"/>
      <c r="AB185" s="3074"/>
      <c r="AC185" s="3074"/>
      <c r="AD185" s="2322"/>
      <c r="AE185" s="2322"/>
      <c r="AF185" s="2322"/>
      <c r="AG185" s="2322"/>
      <c r="AH185" s="2322"/>
      <c r="AI185" s="2322"/>
      <c r="AJ185" s="2322"/>
      <c r="AK185" s="2322"/>
      <c r="AL185" s="2322"/>
      <c r="AM185" s="2322"/>
    </row>
    <row r="186" spans="1:39" s="2329" customFormat="1">
      <c r="A186" s="89"/>
      <c r="B186" s="89"/>
      <c r="C186" s="2332"/>
      <c r="D186" s="2332"/>
      <c r="E186" s="2332"/>
      <c r="F186" s="2332"/>
      <c r="G186" s="2332"/>
      <c r="H186" s="2332"/>
      <c r="I186" s="3074"/>
      <c r="J186" s="3074"/>
      <c r="K186" s="3074"/>
      <c r="L186" s="3074"/>
      <c r="M186" s="3074"/>
      <c r="N186" s="3074"/>
      <c r="O186" s="3074"/>
      <c r="P186" s="3074"/>
      <c r="Q186" s="3074"/>
      <c r="R186" s="3074"/>
      <c r="S186" s="3074"/>
      <c r="T186" s="3074"/>
      <c r="U186" s="3074"/>
      <c r="V186" s="3074"/>
      <c r="W186" s="3074"/>
      <c r="X186" s="3074"/>
      <c r="Y186" s="3074"/>
      <c r="Z186" s="3074"/>
      <c r="AA186" s="3074"/>
      <c r="AB186" s="3074"/>
      <c r="AC186" s="3074"/>
      <c r="AD186" s="2322"/>
      <c r="AE186" s="2322"/>
      <c r="AF186" s="2322"/>
      <c r="AG186" s="2322"/>
      <c r="AH186" s="2322"/>
      <c r="AI186" s="2322"/>
      <c r="AJ186" s="2322"/>
      <c r="AK186" s="2322"/>
      <c r="AL186" s="2322"/>
      <c r="AM186" s="2322"/>
    </row>
    <row r="187" spans="1:39" s="2329" customFormat="1">
      <c r="A187" s="89"/>
      <c r="B187" s="89"/>
      <c r="C187" s="2332"/>
      <c r="D187" s="2332"/>
      <c r="E187" s="2332"/>
      <c r="F187" s="2332"/>
      <c r="G187" s="2332"/>
      <c r="H187" s="2332"/>
      <c r="I187" s="3074"/>
      <c r="J187" s="3074"/>
      <c r="K187" s="3074"/>
      <c r="L187" s="3074"/>
      <c r="M187" s="3074"/>
      <c r="N187" s="3074"/>
      <c r="O187" s="3074"/>
      <c r="P187" s="3074"/>
      <c r="Q187" s="3074"/>
      <c r="R187" s="3074"/>
      <c r="S187" s="3074"/>
      <c r="T187" s="3074"/>
      <c r="U187" s="3074"/>
      <c r="V187" s="3074"/>
      <c r="W187" s="3074"/>
      <c r="X187" s="3074"/>
      <c r="Y187" s="3074"/>
      <c r="Z187" s="3074"/>
      <c r="AA187" s="3074"/>
      <c r="AB187" s="3074"/>
      <c r="AC187" s="3074"/>
      <c r="AD187" s="2322"/>
      <c r="AE187" s="2322"/>
      <c r="AF187" s="2322"/>
      <c r="AG187" s="2322"/>
      <c r="AH187" s="2322"/>
      <c r="AI187" s="2322"/>
      <c r="AJ187" s="2322"/>
      <c r="AK187" s="2322"/>
      <c r="AL187" s="2322"/>
      <c r="AM187" s="2322"/>
    </row>
    <row r="188" spans="1:39" s="2329" customFormat="1">
      <c r="A188" s="89"/>
      <c r="B188" s="89"/>
      <c r="C188" s="2332"/>
      <c r="D188" s="2332"/>
      <c r="E188" s="2332"/>
      <c r="F188" s="2332"/>
      <c r="G188" s="2332"/>
      <c r="H188" s="2332"/>
      <c r="I188" s="3074"/>
      <c r="J188" s="3074"/>
      <c r="K188" s="3074"/>
      <c r="L188" s="3074"/>
      <c r="M188" s="3074"/>
      <c r="N188" s="3074"/>
      <c r="O188" s="3074"/>
      <c r="P188" s="3074"/>
      <c r="Q188" s="3074"/>
      <c r="R188" s="3074"/>
      <c r="S188" s="3074"/>
      <c r="T188" s="3074"/>
      <c r="U188" s="3074"/>
      <c r="V188" s="3074"/>
      <c r="W188" s="3074"/>
      <c r="X188" s="3074"/>
      <c r="Y188" s="3074"/>
      <c r="Z188" s="3074"/>
      <c r="AA188" s="3074"/>
      <c r="AB188" s="3074"/>
      <c r="AC188" s="3074"/>
      <c r="AD188" s="2322"/>
      <c r="AE188" s="2322"/>
      <c r="AF188" s="2322"/>
      <c r="AG188" s="2322"/>
      <c r="AH188" s="2322"/>
      <c r="AI188" s="2322"/>
      <c r="AJ188" s="2322"/>
      <c r="AK188" s="2322"/>
      <c r="AL188" s="2322"/>
      <c r="AM188" s="2322"/>
    </row>
    <row r="189" spans="1:39" s="2329" customFormat="1">
      <c r="A189" s="89"/>
      <c r="B189" s="89"/>
      <c r="C189" s="2332"/>
      <c r="D189" s="2332"/>
      <c r="E189" s="2332"/>
      <c r="F189" s="2332"/>
      <c r="G189" s="2332"/>
      <c r="H189" s="2332"/>
      <c r="I189" s="3074"/>
      <c r="J189" s="3074"/>
      <c r="K189" s="3074"/>
      <c r="L189" s="3074"/>
      <c r="M189" s="3074"/>
      <c r="N189" s="3074"/>
      <c r="O189" s="3074"/>
      <c r="P189" s="3074"/>
      <c r="Q189" s="3074"/>
      <c r="R189" s="3074"/>
      <c r="S189" s="3074"/>
      <c r="T189" s="3074"/>
      <c r="U189" s="3074"/>
      <c r="V189" s="3074"/>
      <c r="W189" s="3074"/>
      <c r="X189" s="3074"/>
      <c r="Y189" s="3074"/>
      <c r="Z189" s="3074"/>
      <c r="AA189" s="3074"/>
      <c r="AB189" s="3074"/>
      <c r="AC189" s="3074"/>
      <c r="AD189" s="2322"/>
      <c r="AE189" s="2322"/>
      <c r="AF189" s="2322"/>
      <c r="AG189" s="2322"/>
      <c r="AH189" s="2322"/>
      <c r="AI189" s="2322"/>
      <c r="AJ189" s="2322"/>
      <c r="AK189" s="2322"/>
      <c r="AL189" s="2322"/>
      <c r="AM189" s="2322"/>
    </row>
    <row r="190" spans="1:39" s="2329" customFormat="1">
      <c r="A190" s="89"/>
      <c r="B190" s="89"/>
      <c r="C190" s="2332"/>
      <c r="D190" s="2332"/>
      <c r="E190" s="2332"/>
      <c r="F190" s="2332"/>
      <c r="G190" s="2332"/>
      <c r="H190" s="2332"/>
      <c r="I190" s="3074"/>
      <c r="J190" s="3074"/>
      <c r="K190" s="3074"/>
      <c r="L190" s="3074"/>
      <c r="M190" s="3074"/>
      <c r="N190" s="3074"/>
      <c r="O190" s="3074"/>
      <c r="P190" s="3074"/>
      <c r="Q190" s="3074"/>
      <c r="R190" s="3074"/>
      <c r="S190" s="3074"/>
      <c r="T190" s="3074"/>
      <c r="U190" s="3074"/>
      <c r="V190" s="3074"/>
      <c r="W190" s="3074"/>
      <c r="X190" s="3074"/>
      <c r="Y190" s="3074"/>
      <c r="Z190" s="3074"/>
      <c r="AA190" s="3074"/>
      <c r="AB190" s="3074"/>
      <c r="AC190" s="3074"/>
      <c r="AD190" s="2322"/>
      <c r="AE190" s="2322"/>
      <c r="AF190" s="2322"/>
      <c r="AG190" s="2322"/>
      <c r="AH190" s="2322"/>
      <c r="AI190" s="2322"/>
      <c r="AJ190" s="2322"/>
      <c r="AK190" s="2322"/>
      <c r="AL190" s="2322"/>
      <c r="AM190" s="2322"/>
    </row>
    <row r="191" spans="1:39" s="2329" customFormat="1">
      <c r="A191" s="89"/>
      <c r="B191" s="89"/>
      <c r="C191" s="2332"/>
      <c r="D191" s="2332"/>
      <c r="E191" s="2332"/>
      <c r="F191" s="2332"/>
      <c r="G191" s="2332"/>
      <c r="H191" s="2332"/>
      <c r="I191" s="3074"/>
      <c r="J191" s="3074"/>
      <c r="K191" s="3074"/>
      <c r="L191" s="3074"/>
      <c r="M191" s="3074"/>
      <c r="N191" s="3074"/>
      <c r="O191" s="3074"/>
      <c r="P191" s="3074"/>
      <c r="Q191" s="3074"/>
      <c r="R191" s="3074"/>
      <c r="S191" s="3074"/>
      <c r="T191" s="3074"/>
      <c r="U191" s="3074"/>
      <c r="V191" s="3074"/>
      <c r="W191" s="3074"/>
      <c r="X191" s="3074"/>
      <c r="Y191" s="3074"/>
      <c r="Z191" s="3074"/>
      <c r="AA191" s="3074"/>
      <c r="AB191" s="3074"/>
      <c r="AC191" s="3074"/>
      <c r="AD191" s="2322"/>
      <c r="AE191" s="2322"/>
      <c r="AF191" s="2322"/>
      <c r="AG191" s="2322"/>
      <c r="AH191" s="2322"/>
      <c r="AI191" s="2322"/>
      <c r="AJ191" s="2322"/>
      <c r="AK191" s="2322"/>
      <c r="AL191" s="2322"/>
      <c r="AM191" s="2322"/>
    </row>
    <row r="192" spans="1:39" s="2329" customFormat="1">
      <c r="A192" s="89"/>
      <c r="B192" s="89"/>
      <c r="C192" s="2332"/>
      <c r="D192" s="2332"/>
      <c r="E192" s="2332"/>
      <c r="F192" s="2332"/>
      <c r="G192" s="2332"/>
      <c r="H192" s="2332"/>
      <c r="I192" s="3074"/>
      <c r="J192" s="3074"/>
      <c r="K192" s="3074"/>
      <c r="L192" s="3074"/>
      <c r="M192" s="3074"/>
      <c r="N192" s="3074"/>
      <c r="O192" s="3074"/>
      <c r="P192" s="3074"/>
      <c r="Q192" s="3074"/>
      <c r="R192" s="3074"/>
      <c r="S192" s="3074"/>
      <c r="T192" s="3074"/>
      <c r="U192" s="3074"/>
      <c r="V192" s="3074"/>
      <c r="W192" s="3074"/>
      <c r="X192" s="3074"/>
      <c r="Y192" s="3074"/>
      <c r="Z192" s="3074"/>
      <c r="AA192" s="3074"/>
      <c r="AB192" s="3074"/>
      <c r="AC192" s="3074"/>
      <c r="AD192" s="2322"/>
      <c r="AE192" s="2322"/>
      <c r="AF192" s="2322"/>
      <c r="AG192" s="2322"/>
      <c r="AH192" s="2322"/>
      <c r="AI192" s="2322"/>
      <c r="AJ192" s="2322"/>
      <c r="AK192" s="2322"/>
      <c r="AL192" s="2322"/>
      <c r="AM192" s="2322"/>
    </row>
    <row r="193" spans="1:39">
      <c r="A193" s="89"/>
      <c r="B193" s="89"/>
      <c r="C193" s="2332"/>
      <c r="D193" s="2332"/>
      <c r="E193" s="2332"/>
      <c r="F193" s="2332"/>
      <c r="G193" s="2332"/>
      <c r="H193" s="2332"/>
      <c r="I193" s="2332"/>
      <c r="J193" s="2332"/>
      <c r="K193" s="2332"/>
      <c r="L193" s="2332"/>
      <c r="M193" s="2332"/>
      <c r="N193" s="2332"/>
      <c r="O193" s="2332"/>
      <c r="P193" s="2332"/>
      <c r="Q193" s="2332"/>
      <c r="R193" s="2332"/>
      <c r="S193" s="2332"/>
      <c r="T193" s="2332"/>
      <c r="U193" s="2332"/>
      <c r="V193" s="2332"/>
      <c r="W193" s="2332"/>
      <c r="X193" s="2332"/>
      <c r="Y193" s="2332"/>
      <c r="Z193" s="2332"/>
      <c r="AA193" s="2332"/>
      <c r="AB193" s="2332"/>
      <c r="AC193" s="2332"/>
      <c r="AD193" s="2332"/>
      <c r="AE193" s="2332"/>
      <c r="AF193" s="2332"/>
      <c r="AG193" s="2332"/>
      <c r="AH193" s="2322"/>
      <c r="AI193" s="2322"/>
      <c r="AJ193" s="2322"/>
      <c r="AK193" s="2322"/>
      <c r="AL193" s="2322"/>
      <c r="AM193" s="2322"/>
    </row>
    <row r="194" spans="1:39">
      <c r="A194" s="89"/>
      <c r="B194" s="89"/>
      <c r="C194" s="2332"/>
      <c r="D194" s="2332"/>
      <c r="E194" s="2332"/>
      <c r="F194" s="2332"/>
      <c r="G194" s="2332"/>
      <c r="H194" s="2332"/>
      <c r="I194" s="2332"/>
      <c r="J194" s="2332"/>
      <c r="K194" s="2332"/>
      <c r="L194" s="2332"/>
      <c r="M194" s="2332"/>
      <c r="N194" s="2332"/>
      <c r="O194" s="2332"/>
      <c r="P194" s="2332"/>
      <c r="Q194" s="2332"/>
      <c r="R194" s="2332"/>
      <c r="S194" s="2332"/>
      <c r="T194" s="2332"/>
      <c r="U194" s="2332"/>
      <c r="V194" s="2332"/>
      <c r="W194" s="2332"/>
      <c r="X194" s="2332"/>
      <c r="Y194" s="2332"/>
      <c r="Z194" s="2332"/>
      <c r="AA194" s="2332"/>
      <c r="AB194" s="2332"/>
      <c r="AC194" s="2332"/>
      <c r="AD194" s="2332"/>
      <c r="AE194" s="2332"/>
      <c r="AF194" s="2332"/>
      <c r="AG194" s="2332"/>
      <c r="AH194" s="2322"/>
      <c r="AI194" s="2322"/>
      <c r="AJ194" s="2322"/>
      <c r="AK194" s="2322"/>
      <c r="AL194" s="2322"/>
      <c r="AM194" s="2322"/>
    </row>
    <row r="195" spans="1:39">
      <c r="A195" s="89"/>
      <c r="B195" s="89"/>
      <c r="C195" s="3076"/>
      <c r="D195" s="2332"/>
      <c r="E195" s="2332"/>
      <c r="F195" s="2332"/>
      <c r="G195" s="2332"/>
      <c r="H195" s="2332"/>
      <c r="I195" s="2332"/>
      <c r="J195" s="2332"/>
      <c r="K195" s="2332"/>
      <c r="L195" s="2332"/>
      <c r="M195" s="2332"/>
      <c r="N195" s="2332"/>
      <c r="O195" s="2332"/>
      <c r="P195" s="2332"/>
      <c r="Q195" s="2332"/>
      <c r="R195" s="2332"/>
      <c r="S195" s="2332"/>
      <c r="T195" s="2332"/>
      <c r="U195" s="2332"/>
      <c r="V195" s="2332"/>
      <c r="W195" s="2332"/>
      <c r="X195" s="2332"/>
      <c r="Y195" s="2332"/>
      <c r="Z195" s="2332"/>
      <c r="AA195" s="2332"/>
      <c r="AB195" s="2332"/>
      <c r="AC195" s="2332"/>
      <c r="AD195" s="2332"/>
      <c r="AE195" s="2332"/>
      <c r="AF195" s="2332"/>
      <c r="AG195" s="2332"/>
      <c r="AH195" s="2322"/>
      <c r="AI195" s="2322"/>
      <c r="AJ195" s="2322"/>
      <c r="AK195" s="2322"/>
      <c r="AL195" s="2322"/>
      <c r="AM195" s="2322"/>
    </row>
    <row r="196" spans="1:39">
      <c r="A196" s="89"/>
      <c r="B196" s="89"/>
      <c r="C196" s="3076"/>
      <c r="D196" s="89"/>
      <c r="E196" s="89"/>
      <c r="F196" s="89"/>
      <c r="G196" s="89"/>
      <c r="H196" s="89"/>
      <c r="I196" s="89"/>
      <c r="J196" s="89"/>
      <c r="K196" s="89"/>
      <c r="L196" s="89"/>
      <c r="M196" s="89"/>
      <c r="N196" s="89"/>
      <c r="O196" s="89"/>
      <c r="P196" s="89"/>
      <c r="Q196" s="89"/>
      <c r="R196" s="89"/>
      <c r="S196" s="89"/>
      <c r="T196" s="89"/>
      <c r="U196" s="89"/>
      <c r="V196" s="89"/>
      <c r="W196" s="89"/>
      <c r="X196" s="89"/>
      <c r="Y196" s="89"/>
      <c r="Z196" s="89"/>
      <c r="AA196" s="89"/>
      <c r="AB196" s="89"/>
      <c r="AC196" s="89"/>
      <c r="AD196" s="89"/>
      <c r="AE196" s="89"/>
      <c r="AF196" s="89"/>
      <c r="AG196" s="89"/>
      <c r="AH196" s="2322"/>
      <c r="AI196" s="2322"/>
      <c r="AJ196" s="2322"/>
      <c r="AK196" s="2322"/>
      <c r="AL196" s="2322"/>
      <c r="AM196" s="2322"/>
    </row>
    <row r="197" spans="1:39">
      <c r="A197" s="89"/>
      <c r="B197" s="89"/>
      <c r="C197" s="2332"/>
      <c r="D197" s="2332"/>
      <c r="E197" s="2332"/>
      <c r="F197" s="2332"/>
      <c r="G197" s="2332"/>
      <c r="H197" s="2332"/>
      <c r="I197" s="3075"/>
      <c r="J197" s="3075"/>
      <c r="K197" s="3075"/>
      <c r="L197" s="3075"/>
      <c r="M197" s="3075"/>
      <c r="N197" s="3075"/>
      <c r="O197" s="3075"/>
      <c r="P197" s="3075"/>
      <c r="Q197" s="3075"/>
      <c r="R197" s="3075"/>
      <c r="S197" s="3075"/>
      <c r="T197" s="3075"/>
      <c r="U197" s="3075"/>
      <c r="V197" s="3075"/>
      <c r="W197" s="3075"/>
      <c r="X197" s="3075"/>
      <c r="Y197" s="3075"/>
      <c r="Z197" s="3075"/>
      <c r="AA197" s="3075"/>
      <c r="AB197" s="3075"/>
      <c r="AC197" s="3075"/>
      <c r="AD197" s="2322"/>
      <c r="AE197" s="2322"/>
      <c r="AF197" s="2322"/>
      <c r="AG197" s="2322"/>
      <c r="AH197" s="2322"/>
      <c r="AI197" s="2322"/>
      <c r="AJ197" s="2322"/>
      <c r="AK197" s="2322"/>
      <c r="AL197" s="2322"/>
      <c r="AM197" s="2322"/>
    </row>
    <row r="198" spans="1:39">
      <c r="A198" s="89"/>
      <c r="B198" s="89"/>
      <c r="C198" s="2332"/>
      <c r="D198" s="2332"/>
      <c r="E198" s="2332"/>
      <c r="F198" s="2332"/>
      <c r="G198" s="2332"/>
      <c r="H198" s="2332"/>
      <c r="I198" s="3075"/>
      <c r="J198" s="3075"/>
      <c r="K198" s="3075"/>
      <c r="L198" s="3075"/>
      <c r="M198" s="3075"/>
      <c r="N198" s="3075"/>
      <c r="O198" s="3075"/>
      <c r="P198" s="3075"/>
      <c r="Q198" s="3075"/>
      <c r="R198" s="3075"/>
      <c r="S198" s="3075"/>
      <c r="T198" s="3075"/>
      <c r="U198" s="3847"/>
      <c r="V198" s="2322"/>
      <c r="W198" s="2322"/>
      <c r="X198" s="2322"/>
      <c r="Y198" s="2322"/>
      <c r="Z198" s="2322"/>
      <c r="AA198" s="2322"/>
      <c r="AB198" s="2322"/>
      <c r="AC198" s="2322"/>
      <c r="AD198" s="2322"/>
      <c r="AE198" s="2322"/>
      <c r="AF198" s="2322"/>
      <c r="AG198" s="2322"/>
      <c r="AH198" s="2322"/>
      <c r="AI198" s="2322"/>
      <c r="AJ198" s="2322"/>
      <c r="AK198" s="2322"/>
      <c r="AL198" s="2322"/>
      <c r="AM198" s="2322"/>
    </row>
    <row r="199" spans="1:39">
      <c r="A199" s="89"/>
      <c r="B199" s="89"/>
      <c r="C199" s="89"/>
      <c r="D199" s="89"/>
      <c r="E199" s="89"/>
      <c r="F199" s="89"/>
      <c r="G199" s="89"/>
      <c r="H199" s="89"/>
      <c r="I199" s="3847"/>
      <c r="J199" s="3847"/>
      <c r="K199" s="3847"/>
      <c r="L199" s="3847"/>
      <c r="M199" s="3847"/>
      <c r="N199" s="3847"/>
      <c r="O199" s="3847"/>
      <c r="P199" s="3847"/>
      <c r="Q199" s="3847"/>
      <c r="R199" s="3847"/>
      <c r="S199" s="3847"/>
      <c r="T199" s="3847"/>
      <c r="U199" s="3847"/>
      <c r="V199" s="2322"/>
      <c r="W199" s="2322"/>
      <c r="X199" s="2322"/>
      <c r="Y199" s="2322"/>
      <c r="Z199" s="2322"/>
      <c r="AA199" s="2322"/>
      <c r="AB199" s="2322"/>
      <c r="AC199" s="2322"/>
      <c r="AD199" s="2322"/>
      <c r="AE199" s="2322"/>
      <c r="AF199" s="2322"/>
      <c r="AG199" s="2322"/>
      <c r="AH199" s="2322"/>
      <c r="AI199" s="2322"/>
      <c r="AJ199" s="2322"/>
      <c r="AK199" s="2322"/>
      <c r="AL199" s="2322"/>
      <c r="AM199" s="2322"/>
    </row>
    <row r="200" spans="1:39">
      <c r="A200" s="89"/>
      <c r="B200" s="89"/>
      <c r="C200" s="89"/>
      <c r="D200" s="89"/>
      <c r="E200" s="89"/>
      <c r="F200" s="89"/>
      <c r="G200" s="89"/>
      <c r="H200" s="89"/>
      <c r="I200" s="4022"/>
      <c r="J200" s="4022"/>
      <c r="K200" s="4022"/>
      <c r="L200" s="4022"/>
      <c r="M200" s="4022"/>
      <c r="N200" s="4022"/>
      <c r="O200" s="4022"/>
      <c r="P200" s="4022"/>
      <c r="Q200" s="4022"/>
      <c r="R200" s="4022"/>
      <c r="S200" s="4022"/>
      <c r="T200" s="4022"/>
      <c r="U200" s="3847"/>
      <c r="V200" s="2322"/>
      <c r="W200" s="2322"/>
      <c r="X200" s="2322"/>
      <c r="Y200" s="2322"/>
      <c r="Z200" s="2322"/>
      <c r="AA200" s="2322"/>
      <c r="AB200" s="2322"/>
      <c r="AC200" s="2322"/>
      <c r="AD200" s="2322"/>
      <c r="AE200" s="2322"/>
      <c r="AF200" s="2322"/>
      <c r="AG200" s="2322"/>
      <c r="AH200" s="2322"/>
      <c r="AI200" s="2322"/>
      <c r="AJ200" s="2322"/>
      <c r="AK200" s="2322"/>
      <c r="AL200" s="2322"/>
      <c r="AM200" s="2322"/>
    </row>
    <row r="201" spans="1:39">
      <c r="A201" s="89"/>
      <c r="B201" s="89"/>
      <c r="C201" s="89"/>
      <c r="D201" s="89"/>
      <c r="E201" s="89"/>
      <c r="F201" s="89"/>
      <c r="G201" s="89"/>
      <c r="H201" s="89"/>
      <c r="I201" s="3847"/>
      <c r="J201" s="3847"/>
      <c r="K201" s="3847"/>
      <c r="L201" s="3847"/>
      <c r="M201" s="3847"/>
      <c r="N201" s="3847"/>
      <c r="O201" s="3847"/>
      <c r="P201" s="3847"/>
      <c r="Q201" s="3847"/>
      <c r="R201" s="3847"/>
      <c r="S201" s="3847"/>
      <c r="T201" s="3847"/>
      <c r="U201" s="3847"/>
      <c r="V201" s="2322"/>
      <c r="W201" s="2322"/>
      <c r="X201" s="2322"/>
      <c r="Y201" s="2322"/>
      <c r="Z201" s="2322"/>
      <c r="AA201" s="2322"/>
      <c r="AB201" s="2322"/>
      <c r="AC201" s="2322"/>
      <c r="AD201" s="2322"/>
      <c r="AE201" s="2322"/>
      <c r="AF201" s="2322"/>
      <c r="AG201" s="2322"/>
      <c r="AH201" s="2322"/>
      <c r="AI201" s="2322"/>
      <c r="AJ201" s="2322"/>
      <c r="AK201" s="2322"/>
      <c r="AL201" s="2322"/>
      <c r="AM201" s="2322"/>
    </row>
    <row r="202" spans="1:39">
      <c r="A202" s="89"/>
      <c r="B202" s="89"/>
      <c r="C202" s="89"/>
      <c r="D202" s="89"/>
      <c r="E202" s="89"/>
      <c r="F202" s="89"/>
      <c r="G202" s="89"/>
      <c r="H202" s="89"/>
      <c r="I202" s="3847"/>
      <c r="J202" s="3847"/>
      <c r="K202" s="3847"/>
      <c r="L202" s="3847"/>
      <c r="M202" s="3847"/>
      <c r="N202" s="3847"/>
      <c r="O202" s="3847"/>
      <c r="P202" s="3847"/>
      <c r="Q202" s="3847"/>
      <c r="R202" s="3847"/>
      <c r="S202" s="3847"/>
      <c r="T202" s="3847"/>
      <c r="U202" s="3847"/>
      <c r="V202" s="2322"/>
      <c r="W202" s="2322"/>
      <c r="X202" s="2322"/>
      <c r="Y202" s="2322"/>
      <c r="Z202" s="2322"/>
      <c r="AA202" s="2322"/>
      <c r="AB202" s="2322"/>
      <c r="AC202" s="2322"/>
      <c r="AD202" s="2322"/>
      <c r="AE202" s="2322"/>
      <c r="AF202" s="2322"/>
      <c r="AG202" s="2322"/>
      <c r="AH202" s="2322"/>
      <c r="AI202" s="2322"/>
      <c r="AJ202" s="2322"/>
      <c r="AK202" s="2322"/>
      <c r="AL202" s="2322"/>
      <c r="AM202" s="2322"/>
    </row>
    <row r="203" spans="1:39">
      <c r="A203" s="89"/>
      <c r="B203" s="89"/>
      <c r="C203" s="89"/>
      <c r="D203" s="89"/>
      <c r="E203" s="89"/>
      <c r="F203" s="89"/>
      <c r="G203" s="89"/>
      <c r="H203" s="89"/>
      <c r="I203" s="3847"/>
      <c r="J203" s="3847"/>
      <c r="K203" s="3847"/>
      <c r="L203" s="3847"/>
      <c r="M203" s="3847"/>
      <c r="N203" s="3847"/>
      <c r="O203" s="3847"/>
      <c r="P203" s="3847"/>
      <c r="Q203" s="3847"/>
      <c r="R203" s="3847"/>
      <c r="S203" s="3847"/>
      <c r="T203" s="3847"/>
      <c r="U203" s="3847"/>
      <c r="V203" s="2322"/>
      <c r="W203" s="2322"/>
      <c r="X203" s="2322"/>
      <c r="Y203" s="2322"/>
      <c r="Z203" s="2322"/>
      <c r="AA203" s="2322"/>
      <c r="AB203" s="2322"/>
      <c r="AC203" s="2322"/>
      <c r="AD203" s="2322"/>
      <c r="AE203" s="2322"/>
      <c r="AF203" s="2322"/>
      <c r="AG203" s="2322"/>
      <c r="AH203" s="2322"/>
      <c r="AI203" s="2322"/>
      <c r="AJ203" s="2322"/>
      <c r="AK203" s="2322"/>
      <c r="AL203" s="2322"/>
      <c r="AM203" s="2322"/>
    </row>
    <row r="204" spans="1:39">
      <c r="A204" s="89"/>
      <c r="B204" s="89"/>
      <c r="C204" s="89"/>
      <c r="D204" s="89"/>
      <c r="E204" s="89"/>
      <c r="F204" s="89"/>
      <c r="G204" s="89"/>
      <c r="H204" s="89"/>
      <c r="I204" s="3847"/>
      <c r="J204" s="3847"/>
      <c r="K204" s="3847"/>
      <c r="L204" s="3847"/>
      <c r="M204" s="3847"/>
      <c r="N204" s="3847"/>
      <c r="O204" s="3847"/>
      <c r="P204" s="3847"/>
      <c r="Q204" s="3847"/>
      <c r="R204" s="3847"/>
      <c r="S204" s="3847"/>
      <c r="T204" s="3847"/>
      <c r="U204" s="3847"/>
      <c r="V204" s="2322"/>
      <c r="W204" s="2322"/>
      <c r="X204" s="2322"/>
      <c r="Y204" s="2322"/>
      <c r="Z204" s="2322"/>
      <c r="AA204" s="2322"/>
      <c r="AB204" s="2322"/>
      <c r="AC204" s="2322"/>
      <c r="AD204" s="2322"/>
      <c r="AE204" s="2322"/>
      <c r="AF204" s="2322"/>
      <c r="AG204" s="2322"/>
      <c r="AH204" s="2322"/>
      <c r="AI204" s="2322"/>
      <c r="AJ204" s="2322"/>
      <c r="AK204" s="2322"/>
      <c r="AL204" s="2322"/>
      <c r="AM204" s="2322"/>
    </row>
    <row r="205" spans="1:39">
      <c r="A205" s="89"/>
      <c r="B205" s="89"/>
      <c r="C205" s="89"/>
      <c r="D205" s="89"/>
      <c r="E205" s="89"/>
      <c r="F205" s="89"/>
      <c r="G205" s="89"/>
      <c r="H205" s="89"/>
      <c r="I205" s="3847"/>
      <c r="J205" s="3847"/>
      <c r="K205" s="3847"/>
      <c r="L205" s="3847"/>
      <c r="M205" s="3847"/>
      <c r="N205" s="3847"/>
      <c r="O205" s="3847"/>
      <c r="P205" s="3847"/>
      <c r="Q205" s="3847"/>
      <c r="R205" s="3847"/>
      <c r="S205" s="3847"/>
      <c r="T205" s="3847"/>
      <c r="U205" s="3847"/>
      <c r="V205" s="2322"/>
      <c r="W205" s="2322"/>
      <c r="X205" s="2322"/>
      <c r="Y205" s="2322"/>
      <c r="Z205" s="2322"/>
      <c r="AA205" s="2322"/>
      <c r="AB205" s="2322"/>
      <c r="AC205" s="2322"/>
      <c r="AD205" s="2322"/>
      <c r="AE205" s="2322"/>
      <c r="AF205" s="2322"/>
      <c r="AG205" s="2322"/>
      <c r="AH205" s="2322"/>
      <c r="AI205" s="2322"/>
      <c r="AJ205" s="2322"/>
      <c r="AK205" s="2322"/>
      <c r="AL205" s="2322"/>
      <c r="AM205" s="2322"/>
    </row>
    <row r="206" spans="1:39">
      <c r="A206" s="89"/>
      <c r="B206" s="89"/>
      <c r="C206" s="2332"/>
      <c r="D206" s="2332"/>
      <c r="E206" s="2332"/>
      <c r="F206" s="2332"/>
      <c r="G206" s="2332"/>
      <c r="H206" s="2332"/>
      <c r="I206" s="3075"/>
      <c r="J206" s="3075"/>
      <c r="K206" s="3075"/>
      <c r="L206" s="3847"/>
      <c r="M206" s="3847"/>
      <c r="N206" s="3847"/>
      <c r="O206" s="3847"/>
      <c r="P206" s="3847"/>
      <c r="Q206" s="3847"/>
      <c r="R206" s="3847"/>
      <c r="S206" s="3847"/>
      <c r="T206" s="3847"/>
      <c r="U206" s="3847"/>
      <c r="V206" s="2322"/>
      <c r="W206" s="2322"/>
      <c r="X206" s="2322"/>
      <c r="Y206" s="2322"/>
      <c r="Z206" s="2322"/>
      <c r="AA206" s="2322"/>
      <c r="AB206" s="2322"/>
      <c r="AC206" s="2322"/>
      <c r="AD206" s="2322"/>
      <c r="AE206" s="2322"/>
      <c r="AF206" s="2322"/>
      <c r="AG206" s="2322"/>
      <c r="AH206" s="2322"/>
      <c r="AI206" s="2322"/>
      <c r="AJ206" s="2322"/>
      <c r="AK206" s="2322"/>
      <c r="AL206" s="2322"/>
      <c r="AM206" s="2322"/>
    </row>
    <row r="207" spans="1:39">
      <c r="A207" s="89"/>
      <c r="B207" s="89"/>
      <c r="C207" s="89"/>
      <c r="D207" s="89"/>
      <c r="E207" s="89"/>
      <c r="F207" s="89"/>
      <c r="G207" s="89"/>
      <c r="H207" s="89"/>
      <c r="I207" s="3847"/>
      <c r="J207" s="3847"/>
      <c r="K207" s="3847"/>
      <c r="L207" s="3847"/>
      <c r="M207" s="3847"/>
      <c r="N207" s="3847"/>
      <c r="O207" s="3847"/>
      <c r="P207" s="3847"/>
      <c r="Q207" s="3847"/>
      <c r="R207" s="3847"/>
      <c r="S207" s="3847"/>
      <c r="T207" s="3847"/>
      <c r="U207" s="3847"/>
      <c r="V207" s="2322"/>
      <c r="W207" s="2322"/>
      <c r="X207" s="2322"/>
      <c r="Y207" s="2322"/>
      <c r="Z207" s="2322"/>
      <c r="AA207" s="2322"/>
      <c r="AB207" s="2322"/>
      <c r="AC207" s="2322"/>
      <c r="AD207" s="2322"/>
      <c r="AE207" s="2322"/>
      <c r="AF207" s="2322"/>
      <c r="AG207" s="2322"/>
      <c r="AH207" s="2322"/>
      <c r="AI207" s="2322"/>
      <c r="AJ207" s="2322"/>
      <c r="AK207" s="2322"/>
      <c r="AL207" s="2322"/>
      <c r="AM207" s="2322"/>
    </row>
    <row r="208" spans="1:39">
      <c r="A208" s="89"/>
      <c r="B208" s="89"/>
      <c r="C208" s="2332"/>
      <c r="D208" s="2332"/>
      <c r="E208" s="2332"/>
      <c r="F208" s="2332"/>
      <c r="G208" s="2332"/>
      <c r="H208" s="2332"/>
      <c r="I208" s="3075"/>
      <c r="J208" s="3075"/>
      <c r="K208" s="3075"/>
      <c r="L208" s="3075"/>
      <c r="M208" s="3075"/>
      <c r="N208" s="3075"/>
      <c r="O208" s="3075"/>
      <c r="P208" s="3075"/>
      <c r="Q208" s="3075"/>
      <c r="R208" s="3075"/>
      <c r="S208" s="3075"/>
      <c r="T208" s="3075"/>
      <c r="U208" s="3075"/>
      <c r="V208" s="3015">
        <v>2598.6565690118591</v>
      </c>
      <c r="W208" s="2322"/>
      <c r="X208" s="2322"/>
      <c r="Y208" s="2322"/>
      <c r="Z208" s="2322"/>
      <c r="AA208" s="2322"/>
      <c r="AB208" s="2322"/>
      <c r="AC208" s="2322"/>
      <c r="AD208" s="2322"/>
      <c r="AE208" s="2322"/>
      <c r="AF208" s="2322"/>
      <c r="AG208" s="2322"/>
      <c r="AH208" s="2322"/>
      <c r="AI208" s="2322"/>
      <c r="AJ208" s="2322"/>
      <c r="AK208" s="2322"/>
      <c r="AL208" s="2322"/>
      <c r="AM208" s="2322"/>
    </row>
    <row r="209" spans="1:39">
      <c r="A209" s="89"/>
      <c r="B209" s="89"/>
      <c r="C209" s="89"/>
      <c r="D209" s="89"/>
      <c r="E209" s="89"/>
      <c r="F209" s="89"/>
      <c r="G209" s="89"/>
      <c r="H209" s="89"/>
      <c r="I209" s="3847"/>
      <c r="J209" s="3847"/>
      <c r="K209" s="3847"/>
      <c r="L209" s="3847"/>
      <c r="M209" s="3847"/>
      <c r="N209" s="3847"/>
      <c r="O209" s="3847"/>
      <c r="P209" s="3847"/>
      <c r="Q209" s="3847"/>
      <c r="R209" s="3847"/>
      <c r="S209" s="3847"/>
      <c r="T209" s="3847"/>
      <c r="U209" s="3847"/>
      <c r="V209" s="2322"/>
      <c r="W209" s="2322"/>
      <c r="X209" s="2322"/>
      <c r="Y209" s="2322"/>
      <c r="Z209" s="2322"/>
      <c r="AA209" s="2322"/>
      <c r="AB209" s="2322"/>
      <c r="AC209" s="2322"/>
      <c r="AD209" s="2322"/>
      <c r="AE209" s="2322"/>
      <c r="AF209" s="2322"/>
      <c r="AG209" s="2322"/>
      <c r="AH209" s="2322"/>
      <c r="AI209" s="2322"/>
      <c r="AJ209" s="2322"/>
      <c r="AK209" s="2322"/>
      <c r="AL209" s="2322"/>
      <c r="AM209" s="2322"/>
    </row>
    <row r="210" spans="1:39">
      <c r="A210" s="89"/>
      <c r="B210" s="89"/>
      <c r="C210" s="89"/>
      <c r="D210" s="89"/>
      <c r="E210" s="89"/>
      <c r="F210" s="89"/>
      <c r="G210" s="89"/>
      <c r="H210" s="89"/>
      <c r="I210" s="3847"/>
      <c r="J210" s="3847"/>
      <c r="K210" s="3847"/>
      <c r="L210" s="3847"/>
      <c r="M210" s="3847"/>
      <c r="N210" s="3847"/>
      <c r="O210" s="3847"/>
      <c r="P210" s="3847"/>
      <c r="Q210" s="3847"/>
      <c r="R210" s="3847"/>
      <c r="S210" s="3847"/>
      <c r="T210" s="3847"/>
      <c r="U210" s="3847"/>
      <c r="V210" s="2322"/>
      <c r="W210" s="2322"/>
      <c r="X210" s="2322"/>
      <c r="Y210" s="2322"/>
      <c r="Z210" s="2322"/>
      <c r="AA210" s="2322"/>
      <c r="AB210" s="2322"/>
      <c r="AC210" s="2322"/>
      <c r="AD210" s="2322"/>
      <c r="AE210" s="2322"/>
      <c r="AF210" s="2322"/>
      <c r="AG210" s="2322"/>
      <c r="AH210" s="2322"/>
      <c r="AI210" s="2322"/>
      <c r="AJ210" s="2322"/>
      <c r="AK210" s="2322"/>
      <c r="AL210" s="2322"/>
      <c r="AM210" s="2322"/>
    </row>
    <row r="211" spans="1:39" s="2329" customFormat="1">
      <c r="A211" s="89"/>
      <c r="B211" s="89"/>
      <c r="C211" s="89"/>
      <c r="D211" s="89"/>
      <c r="E211" s="89"/>
      <c r="F211" s="89"/>
      <c r="G211" s="89"/>
      <c r="H211" s="89"/>
      <c r="I211" s="3847"/>
      <c r="J211" s="3847"/>
      <c r="K211" s="3847"/>
      <c r="L211" s="3847"/>
      <c r="M211" s="3847"/>
      <c r="N211" s="3847"/>
      <c r="O211" s="3847"/>
      <c r="P211" s="3847"/>
      <c r="Q211" s="3847"/>
      <c r="R211" s="3847"/>
      <c r="S211" s="3847"/>
      <c r="T211" s="3847"/>
      <c r="U211" s="3847"/>
      <c r="V211" s="2322"/>
      <c r="W211" s="2322"/>
      <c r="X211" s="2322"/>
      <c r="Y211" s="2322"/>
      <c r="Z211" s="2322"/>
      <c r="AA211" s="2322"/>
      <c r="AB211" s="2322"/>
      <c r="AC211" s="2322"/>
      <c r="AD211" s="2322"/>
      <c r="AE211" s="2322"/>
      <c r="AF211" s="2322"/>
      <c r="AG211" s="2322"/>
      <c r="AH211" s="2322"/>
      <c r="AI211" s="2322"/>
      <c r="AJ211" s="2322"/>
      <c r="AK211" s="2322"/>
      <c r="AL211" s="2322"/>
      <c r="AM211" s="2322"/>
    </row>
    <row r="212" spans="1:39" s="2329" customFormat="1">
      <c r="A212" s="89"/>
      <c r="B212" s="89"/>
      <c r="C212" s="89"/>
      <c r="D212" s="89"/>
      <c r="E212" s="89"/>
      <c r="F212" s="89"/>
      <c r="G212" s="89"/>
      <c r="H212" s="89"/>
      <c r="I212" s="3847"/>
      <c r="J212" s="3847"/>
      <c r="K212" s="3847"/>
      <c r="L212" s="3847"/>
      <c r="M212" s="3847"/>
      <c r="N212" s="3847"/>
      <c r="O212" s="3847"/>
      <c r="P212" s="3847"/>
      <c r="Q212" s="3847"/>
      <c r="R212" s="3847"/>
      <c r="S212" s="3847"/>
      <c r="T212" s="3847"/>
      <c r="U212" s="3847"/>
      <c r="V212" s="2322"/>
      <c r="W212" s="2322"/>
      <c r="X212" s="2322"/>
      <c r="Y212" s="2322"/>
      <c r="Z212" s="2322"/>
      <c r="AA212" s="2322"/>
      <c r="AB212" s="2322"/>
      <c r="AC212" s="2322"/>
      <c r="AD212" s="2322"/>
      <c r="AE212" s="2322"/>
      <c r="AF212" s="2322"/>
      <c r="AG212" s="2322"/>
      <c r="AH212" s="2322"/>
      <c r="AI212" s="2322"/>
      <c r="AJ212" s="2322"/>
      <c r="AK212" s="2322"/>
      <c r="AL212" s="2322"/>
      <c r="AM212" s="2322"/>
    </row>
    <row r="213" spans="1:39" s="2329" customFormat="1">
      <c r="A213" s="89"/>
      <c r="B213" s="89"/>
      <c r="C213" s="89"/>
      <c r="D213" s="89"/>
      <c r="E213" s="89"/>
      <c r="F213" s="89"/>
      <c r="G213" s="89"/>
      <c r="H213" s="89"/>
      <c r="I213" s="3847"/>
      <c r="J213" s="3847"/>
      <c r="K213" s="3847"/>
      <c r="L213" s="3847"/>
      <c r="M213" s="3847"/>
      <c r="N213" s="3847"/>
      <c r="O213" s="3847"/>
      <c r="P213" s="3847"/>
      <c r="Q213" s="3847"/>
      <c r="R213" s="3847"/>
      <c r="S213" s="3847"/>
      <c r="T213" s="3847"/>
      <c r="U213" s="3847"/>
      <c r="V213" s="2322"/>
      <c r="W213" s="2322"/>
      <c r="X213" s="2322"/>
      <c r="Y213" s="2322"/>
      <c r="Z213" s="2322"/>
      <c r="AA213" s="2322"/>
      <c r="AB213" s="2322"/>
      <c r="AC213" s="2322"/>
      <c r="AD213" s="2322"/>
      <c r="AE213" s="2322"/>
      <c r="AF213" s="2322"/>
      <c r="AG213" s="2322"/>
      <c r="AH213" s="2322"/>
      <c r="AI213" s="2322"/>
      <c r="AJ213" s="2322"/>
      <c r="AK213" s="2322"/>
      <c r="AL213" s="2322"/>
      <c r="AM213" s="2322"/>
    </row>
    <row r="214" spans="1:39" s="2329" customFormat="1">
      <c r="A214" s="2336"/>
      <c r="B214" s="89"/>
      <c r="C214" s="2332"/>
      <c r="D214" s="2332"/>
      <c r="E214" s="2332"/>
      <c r="F214" s="2332"/>
      <c r="G214" s="2332"/>
      <c r="H214" s="2332"/>
      <c r="I214" s="3074"/>
      <c r="J214" s="3074"/>
      <c r="K214" s="3074"/>
      <c r="L214" s="3074"/>
      <c r="M214" s="3074"/>
      <c r="N214" s="3074"/>
      <c r="O214" s="3074"/>
      <c r="P214" s="3074"/>
      <c r="Q214" s="3074"/>
      <c r="R214" s="3074"/>
      <c r="S214" s="3074"/>
      <c r="T214" s="3074"/>
      <c r="U214" s="3847"/>
      <c r="V214" s="2322"/>
      <c r="W214" s="2322"/>
      <c r="X214" s="2322"/>
      <c r="Y214" s="2322"/>
      <c r="Z214" s="2322"/>
      <c r="AA214" s="2322"/>
      <c r="AB214" s="2322"/>
      <c r="AC214" s="2322"/>
      <c r="AD214" s="2322"/>
      <c r="AE214" s="2322"/>
      <c r="AF214" s="2322"/>
      <c r="AG214" s="2322"/>
      <c r="AH214" s="2322"/>
      <c r="AI214" s="2322"/>
      <c r="AJ214" s="2322"/>
      <c r="AK214" s="2322"/>
      <c r="AL214" s="2322"/>
      <c r="AM214" s="2322"/>
    </row>
    <row r="215" spans="1:39" s="2329" customFormat="1">
      <c r="A215" s="89"/>
      <c r="B215" s="89"/>
      <c r="C215" s="3076"/>
      <c r="D215" s="2332"/>
      <c r="E215" s="2332"/>
      <c r="F215" s="2332"/>
      <c r="G215" s="2332"/>
      <c r="H215" s="2332"/>
      <c r="I215" s="3075"/>
      <c r="J215" s="3075"/>
      <c r="K215" s="3075"/>
      <c r="L215" s="3075"/>
      <c r="M215" s="3075"/>
      <c r="N215" s="3075"/>
      <c r="O215" s="3075"/>
      <c r="P215" s="3075"/>
      <c r="Q215" s="3075"/>
      <c r="R215" s="3075"/>
      <c r="S215" s="3075"/>
      <c r="T215" s="3075"/>
      <c r="U215" s="3847"/>
      <c r="V215" s="2322"/>
      <c r="W215" s="2322"/>
      <c r="X215" s="2322"/>
      <c r="Y215" s="2322"/>
      <c r="Z215" s="2322"/>
      <c r="AA215" s="2322"/>
      <c r="AB215" s="2322"/>
      <c r="AC215" s="2322"/>
      <c r="AD215" s="2322"/>
      <c r="AE215" s="2322"/>
      <c r="AF215" s="2322"/>
      <c r="AG215" s="2322"/>
      <c r="AH215" s="2322"/>
      <c r="AI215" s="2322"/>
      <c r="AJ215" s="2322"/>
      <c r="AK215" s="2322"/>
      <c r="AL215" s="2322"/>
      <c r="AM215" s="2322"/>
    </row>
    <row r="216" spans="1:39" s="2329" customFormat="1">
      <c r="A216" s="89"/>
      <c r="B216" s="89"/>
      <c r="C216" s="3076"/>
      <c r="D216" s="2332"/>
      <c r="E216" s="2332"/>
      <c r="F216" s="2332"/>
      <c r="G216" s="2332"/>
      <c r="H216" s="2332"/>
      <c r="I216" s="3075"/>
      <c r="J216" s="3075"/>
      <c r="K216" s="3075"/>
      <c r="L216" s="3075"/>
      <c r="M216" s="3075"/>
      <c r="N216" s="3075"/>
      <c r="O216" s="3075"/>
      <c r="P216" s="3075"/>
      <c r="Q216" s="3075"/>
      <c r="R216" s="3075"/>
      <c r="S216" s="3075"/>
      <c r="T216" s="3075"/>
      <c r="U216" s="3847"/>
      <c r="V216" s="2322"/>
      <c r="W216" s="2322"/>
      <c r="X216" s="2322"/>
      <c r="Y216" s="2322"/>
      <c r="Z216" s="2322"/>
      <c r="AA216" s="2322"/>
      <c r="AB216" s="2322"/>
      <c r="AC216" s="2322"/>
      <c r="AD216" s="2322"/>
      <c r="AE216" s="2322"/>
      <c r="AF216" s="2322"/>
      <c r="AG216" s="2322"/>
      <c r="AH216" s="2322"/>
      <c r="AI216" s="2322"/>
      <c r="AJ216" s="2322"/>
      <c r="AK216" s="2322"/>
      <c r="AL216" s="2322"/>
      <c r="AM216" s="2322"/>
    </row>
    <row r="217" spans="1:39" s="2329" customFormat="1">
      <c r="A217" s="89"/>
      <c r="B217" s="89"/>
      <c r="C217" s="3076"/>
      <c r="D217" s="2332"/>
      <c r="E217" s="2332"/>
      <c r="F217" s="2332"/>
      <c r="G217" s="2332"/>
      <c r="H217" s="2332"/>
      <c r="I217" s="3075"/>
      <c r="J217" s="3075"/>
      <c r="K217" s="3075"/>
      <c r="L217" s="3075"/>
      <c r="M217" s="3075"/>
      <c r="N217" s="3075"/>
      <c r="O217" s="3075"/>
      <c r="P217" s="3075"/>
      <c r="Q217" s="3075"/>
      <c r="R217" s="3075"/>
      <c r="S217" s="3075"/>
      <c r="T217" s="3075"/>
      <c r="U217" s="3847"/>
      <c r="V217" s="2322"/>
      <c r="W217" s="2322"/>
      <c r="X217" s="2322"/>
      <c r="Y217" s="2322"/>
      <c r="Z217" s="2322"/>
      <c r="AA217" s="2322"/>
      <c r="AB217" s="2322"/>
      <c r="AC217" s="2322"/>
      <c r="AD217" s="2322"/>
      <c r="AE217" s="2322"/>
      <c r="AF217" s="2322"/>
      <c r="AG217" s="2322"/>
      <c r="AH217" s="2322"/>
      <c r="AI217" s="2322"/>
      <c r="AJ217" s="2322"/>
      <c r="AK217" s="2322"/>
      <c r="AL217" s="2322"/>
      <c r="AM217" s="2322"/>
    </row>
    <row r="218" spans="1:39" s="2329" customFormat="1">
      <c r="A218" s="89"/>
      <c r="B218" s="89"/>
      <c r="C218" s="3076"/>
      <c r="D218" s="2332"/>
      <c r="E218" s="2332"/>
      <c r="F218" s="2332"/>
      <c r="G218" s="2332"/>
      <c r="H218" s="2332"/>
      <c r="I218" s="3075"/>
      <c r="J218" s="3075"/>
      <c r="K218" s="3075"/>
      <c r="L218" s="3075"/>
      <c r="M218" s="3075"/>
      <c r="N218" s="3075"/>
      <c r="O218" s="3075"/>
      <c r="P218" s="3075"/>
      <c r="Q218" s="3075"/>
      <c r="R218" s="3075"/>
      <c r="S218" s="3075"/>
      <c r="T218" s="3075"/>
      <c r="U218" s="3847"/>
      <c r="V218" s="2322"/>
      <c r="W218" s="2322"/>
      <c r="X218" s="2322"/>
      <c r="Y218" s="2322"/>
      <c r="Z218" s="2322"/>
      <c r="AA218" s="2322"/>
      <c r="AB218" s="2322"/>
      <c r="AC218" s="2322"/>
      <c r="AD218" s="2322"/>
      <c r="AE218" s="2322"/>
      <c r="AF218" s="2322"/>
      <c r="AG218" s="2322"/>
      <c r="AH218" s="2322"/>
      <c r="AI218" s="2322"/>
      <c r="AJ218" s="2322"/>
      <c r="AK218" s="2322"/>
      <c r="AL218" s="2322"/>
      <c r="AM218" s="2322"/>
    </row>
    <row r="219" spans="1:39" s="2329" customFormat="1">
      <c r="A219" s="89"/>
      <c r="B219" s="89"/>
      <c r="C219" s="2332"/>
      <c r="D219" s="2332"/>
      <c r="E219" s="2332"/>
      <c r="F219" s="2332"/>
      <c r="G219" s="2332"/>
      <c r="H219" s="2332"/>
      <c r="I219" s="4021"/>
      <c r="J219" s="4021"/>
      <c r="K219" s="4021"/>
      <c r="L219" s="4021"/>
      <c r="M219" s="4021"/>
      <c r="N219" s="4021"/>
      <c r="O219" s="4021"/>
      <c r="P219" s="4021"/>
      <c r="Q219" s="4021"/>
      <c r="R219" s="4021"/>
      <c r="S219" s="4021"/>
      <c r="T219" s="4021"/>
      <c r="U219" s="3847"/>
      <c r="V219" s="2322"/>
      <c r="W219" s="2322"/>
      <c r="X219" s="2322"/>
      <c r="Y219" s="2322"/>
      <c r="Z219" s="2322"/>
      <c r="AA219" s="2322"/>
      <c r="AB219" s="2322"/>
      <c r="AC219" s="2322"/>
      <c r="AD219" s="2322"/>
      <c r="AE219" s="2322"/>
      <c r="AF219" s="2322"/>
      <c r="AG219" s="2322"/>
      <c r="AH219" s="2322"/>
      <c r="AI219" s="2322"/>
      <c r="AJ219" s="2322"/>
      <c r="AK219" s="2322"/>
      <c r="AL219" s="2322"/>
      <c r="AM219" s="2322"/>
    </row>
    <row r="220" spans="1:39" s="2329" customFormat="1">
      <c r="A220" s="89"/>
      <c r="B220" s="89"/>
      <c r="C220" s="2332"/>
      <c r="D220" s="2332"/>
      <c r="E220" s="2332"/>
      <c r="F220" s="2332"/>
      <c r="G220" s="2332"/>
      <c r="H220" s="2332"/>
      <c r="I220" s="3075"/>
      <c r="J220" s="3075"/>
      <c r="K220" s="3075"/>
      <c r="L220" s="3075"/>
      <c r="M220" s="3075"/>
      <c r="N220" s="3075"/>
      <c r="O220" s="3075"/>
      <c r="P220" s="3075"/>
      <c r="Q220" s="3075"/>
      <c r="R220" s="3075"/>
      <c r="S220" s="3075"/>
      <c r="T220" s="3075"/>
      <c r="U220" s="3847"/>
      <c r="V220" s="2322"/>
      <c r="W220" s="2322"/>
      <c r="X220" s="2322"/>
      <c r="Y220" s="2322"/>
      <c r="Z220" s="2322"/>
      <c r="AA220" s="2322"/>
      <c r="AB220" s="2322"/>
      <c r="AC220" s="2322"/>
      <c r="AD220" s="2322"/>
      <c r="AE220" s="2322"/>
      <c r="AF220" s="2322"/>
      <c r="AG220" s="2322"/>
      <c r="AH220" s="2322"/>
      <c r="AI220" s="2322"/>
      <c r="AJ220" s="2322"/>
      <c r="AK220" s="2322"/>
      <c r="AL220" s="2322"/>
      <c r="AM220" s="2322"/>
    </row>
    <row r="221" spans="1:39" s="2329" customFormat="1">
      <c r="A221" s="89"/>
      <c r="B221" s="89"/>
      <c r="C221" s="89"/>
      <c r="D221" s="89"/>
      <c r="E221" s="89"/>
      <c r="F221" s="89"/>
      <c r="G221" s="89"/>
      <c r="H221" s="89"/>
      <c r="I221" s="3847"/>
      <c r="J221" s="3847"/>
      <c r="K221" s="3847"/>
      <c r="L221" s="3847"/>
      <c r="M221" s="3847"/>
      <c r="N221" s="3847"/>
      <c r="O221" s="3847"/>
      <c r="P221" s="3847"/>
      <c r="Q221" s="3847"/>
      <c r="R221" s="3847"/>
      <c r="S221" s="3847"/>
      <c r="T221" s="3847"/>
      <c r="U221" s="3847"/>
      <c r="V221" s="2322"/>
      <c r="W221" s="2322"/>
      <c r="X221" s="2322"/>
      <c r="Y221" s="2322"/>
      <c r="Z221" s="2322"/>
      <c r="AA221" s="2322"/>
      <c r="AB221" s="2322"/>
      <c r="AC221" s="2322"/>
      <c r="AD221" s="2322"/>
      <c r="AE221" s="2322"/>
      <c r="AF221" s="2322"/>
      <c r="AG221" s="2322"/>
      <c r="AH221" s="2322"/>
      <c r="AI221" s="2322"/>
      <c r="AJ221" s="2322"/>
      <c r="AK221" s="2322"/>
      <c r="AL221" s="2322"/>
      <c r="AM221" s="2322"/>
    </row>
    <row r="222" spans="1:39" s="2329" customFormat="1">
      <c r="A222" s="89"/>
      <c r="B222" s="89"/>
      <c r="C222" s="89"/>
      <c r="D222" s="89"/>
      <c r="E222" s="89"/>
      <c r="F222" s="89"/>
      <c r="G222" s="89"/>
      <c r="H222" s="89"/>
      <c r="I222" s="3847"/>
      <c r="J222" s="3847"/>
      <c r="K222" s="3847"/>
      <c r="L222" s="3847"/>
      <c r="M222" s="3847"/>
      <c r="N222" s="3847"/>
      <c r="O222" s="3847"/>
      <c r="P222" s="3847"/>
      <c r="Q222" s="3847"/>
      <c r="R222" s="3847"/>
      <c r="S222" s="3847"/>
      <c r="T222" s="3847"/>
      <c r="U222" s="3847"/>
      <c r="V222" s="2322"/>
      <c r="W222" s="2322"/>
      <c r="X222" s="2322"/>
      <c r="Y222" s="2322"/>
      <c r="Z222" s="2322"/>
      <c r="AA222" s="2322"/>
      <c r="AB222" s="2322"/>
      <c r="AC222" s="2322"/>
      <c r="AD222" s="2322"/>
      <c r="AE222" s="2322"/>
      <c r="AF222" s="2322"/>
      <c r="AG222" s="2322"/>
      <c r="AH222" s="2322"/>
      <c r="AI222" s="2322"/>
      <c r="AJ222" s="2322"/>
      <c r="AK222" s="2322"/>
      <c r="AL222" s="2322"/>
      <c r="AM222" s="2322"/>
    </row>
    <row r="223" spans="1:39" s="2329" customFormat="1">
      <c r="A223" s="2336"/>
      <c r="B223" s="89"/>
      <c r="C223" s="2332"/>
      <c r="D223" s="2332"/>
      <c r="E223" s="2332"/>
      <c r="F223" s="2332"/>
      <c r="G223" s="2332"/>
      <c r="H223" s="2332"/>
      <c r="I223" s="3074"/>
      <c r="J223" s="3074"/>
      <c r="K223" s="3074"/>
      <c r="L223" s="3074"/>
      <c r="M223" s="3074"/>
      <c r="N223" s="3074"/>
      <c r="O223" s="3074"/>
      <c r="P223" s="3074"/>
      <c r="Q223" s="3074"/>
      <c r="R223" s="3074"/>
      <c r="S223" s="3074"/>
      <c r="T223" s="3074"/>
      <c r="U223" s="3847"/>
      <c r="V223" s="2322"/>
      <c r="W223" s="2322"/>
      <c r="X223" s="2322"/>
      <c r="Y223" s="2322"/>
      <c r="Z223" s="2322"/>
      <c r="AA223" s="2322"/>
      <c r="AB223" s="2322"/>
      <c r="AC223" s="2322"/>
      <c r="AD223" s="2322"/>
      <c r="AE223" s="2322"/>
      <c r="AF223" s="2322"/>
      <c r="AG223" s="2322"/>
      <c r="AH223" s="2322"/>
      <c r="AI223" s="2322"/>
      <c r="AJ223" s="2322"/>
      <c r="AK223" s="2322"/>
      <c r="AL223" s="2322"/>
      <c r="AM223" s="2322"/>
    </row>
    <row r="224" spans="1:39" s="2329" customFormat="1">
      <c r="A224" s="89"/>
      <c r="B224" s="89"/>
      <c r="C224" s="3076"/>
      <c r="D224" s="2332"/>
      <c r="E224" s="2332"/>
      <c r="F224" s="2332"/>
      <c r="G224" s="2332"/>
      <c r="H224" s="2332"/>
      <c r="I224" s="3075"/>
      <c r="J224" s="3075"/>
      <c r="K224" s="3075"/>
      <c r="L224" s="3075"/>
      <c r="M224" s="3075"/>
      <c r="N224" s="3075"/>
      <c r="O224" s="3075"/>
      <c r="P224" s="3075"/>
      <c r="Q224" s="3075"/>
      <c r="R224" s="3075"/>
      <c r="S224" s="3075"/>
      <c r="T224" s="3075"/>
      <c r="U224" s="3847"/>
      <c r="V224" s="2322"/>
      <c r="W224" s="2322"/>
      <c r="X224" s="2322"/>
      <c r="Y224" s="2322"/>
      <c r="Z224" s="2322"/>
      <c r="AA224" s="2322"/>
      <c r="AB224" s="2322"/>
      <c r="AC224" s="2322"/>
      <c r="AD224" s="2322"/>
      <c r="AE224" s="2322"/>
      <c r="AF224" s="2322"/>
      <c r="AG224" s="2322"/>
      <c r="AH224" s="2322"/>
      <c r="AI224" s="2322"/>
      <c r="AJ224" s="2322"/>
      <c r="AK224" s="2322"/>
      <c r="AL224" s="2322"/>
      <c r="AM224" s="2322"/>
    </row>
    <row r="225" spans="1:39" s="2329" customFormat="1">
      <c r="A225" s="89"/>
      <c r="B225" s="89"/>
      <c r="C225" s="2332"/>
      <c r="D225" s="2332"/>
      <c r="E225" s="2332"/>
      <c r="F225" s="2332"/>
      <c r="G225" s="2332"/>
      <c r="H225" s="2332"/>
      <c r="I225" s="4021"/>
      <c r="J225" s="4021"/>
      <c r="K225" s="4021"/>
      <c r="L225" s="4021"/>
      <c r="M225" s="4021"/>
      <c r="N225" s="4021"/>
      <c r="O225" s="4021"/>
      <c r="P225" s="4021"/>
      <c r="Q225" s="4021"/>
      <c r="R225" s="4021"/>
      <c r="S225" s="4021"/>
      <c r="T225" s="4021"/>
      <c r="U225" s="3847"/>
      <c r="V225" s="2322"/>
      <c r="W225" s="2322"/>
      <c r="X225" s="2322"/>
      <c r="Y225" s="2322"/>
      <c r="Z225" s="2322"/>
      <c r="AA225" s="2322"/>
      <c r="AB225" s="2322"/>
      <c r="AC225" s="2322"/>
      <c r="AD225" s="2322"/>
      <c r="AE225" s="2322"/>
      <c r="AF225" s="2322"/>
      <c r="AG225" s="2322"/>
      <c r="AH225" s="2322"/>
      <c r="AI225" s="2322"/>
      <c r="AJ225" s="2322"/>
      <c r="AK225" s="2322"/>
      <c r="AL225" s="2322"/>
      <c r="AM225" s="2322"/>
    </row>
    <row r="226" spans="1:39" s="2329" customFormat="1">
      <c r="A226" s="89"/>
      <c r="B226" s="89"/>
      <c r="C226" s="2335"/>
      <c r="D226" s="2332"/>
      <c r="E226" s="2332"/>
      <c r="F226" s="2332"/>
      <c r="G226" s="2332"/>
      <c r="H226" s="2332"/>
      <c r="I226" s="3075"/>
      <c r="J226" s="3075"/>
      <c r="K226" s="3075"/>
      <c r="L226" s="3075"/>
      <c r="M226" s="3075"/>
      <c r="N226" s="3075"/>
      <c r="O226" s="3075"/>
      <c r="P226" s="3075"/>
      <c r="Q226" s="3075"/>
      <c r="R226" s="3075"/>
      <c r="S226" s="3075"/>
      <c r="T226" s="3075"/>
      <c r="U226" s="3847"/>
      <c r="V226" s="2322"/>
      <c r="W226" s="2322"/>
      <c r="X226" s="2322"/>
      <c r="Y226" s="2322"/>
      <c r="Z226" s="2322"/>
      <c r="AA226" s="2322"/>
      <c r="AB226" s="2322"/>
      <c r="AC226" s="2322"/>
      <c r="AD226" s="2322"/>
      <c r="AE226" s="2322"/>
      <c r="AF226" s="2322"/>
      <c r="AG226" s="2322"/>
      <c r="AH226" s="2322"/>
      <c r="AI226" s="2322"/>
      <c r="AJ226" s="2322"/>
      <c r="AK226" s="2322"/>
      <c r="AL226" s="2322"/>
      <c r="AM226" s="2322"/>
    </row>
    <row r="227" spans="1:39" s="2329" customFormat="1">
      <c r="A227" s="89"/>
      <c r="B227" s="89"/>
      <c r="C227" s="89"/>
      <c r="D227" s="89"/>
      <c r="E227" s="89"/>
      <c r="F227" s="89"/>
      <c r="G227" s="89"/>
      <c r="H227" s="89"/>
      <c r="I227" s="3847"/>
      <c r="J227" s="3847"/>
      <c r="K227" s="3847"/>
      <c r="L227" s="3847"/>
      <c r="M227" s="3847"/>
      <c r="N227" s="3847"/>
      <c r="O227" s="3847"/>
      <c r="P227" s="3847"/>
      <c r="Q227" s="3847"/>
      <c r="R227" s="3847"/>
      <c r="S227" s="3847"/>
      <c r="T227" s="3847"/>
      <c r="U227" s="3847"/>
      <c r="V227" s="2322"/>
      <c r="W227" s="2322"/>
      <c r="X227" s="2322"/>
      <c r="Y227" s="2322"/>
      <c r="Z227" s="2322"/>
      <c r="AA227" s="2322"/>
      <c r="AB227" s="2322"/>
      <c r="AC227" s="2322"/>
      <c r="AD227" s="2322"/>
      <c r="AE227" s="2322"/>
      <c r="AF227" s="2322"/>
      <c r="AG227" s="2322"/>
      <c r="AH227" s="2322"/>
      <c r="AI227" s="2322"/>
      <c r="AJ227" s="2322"/>
      <c r="AK227" s="2322"/>
      <c r="AL227" s="2322"/>
      <c r="AM227" s="2322"/>
    </row>
    <row r="228" spans="1:39" s="2329" customFormat="1">
      <c r="A228" s="89"/>
      <c r="B228" s="89"/>
      <c r="C228" s="2332"/>
      <c r="D228" s="2332"/>
      <c r="E228" s="2332"/>
      <c r="F228" s="2332"/>
      <c r="G228" s="2332"/>
      <c r="H228" s="2332"/>
      <c r="I228" s="3074"/>
      <c r="J228" s="3074"/>
      <c r="K228" s="3074"/>
      <c r="L228" s="3074"/>
      <c r="M228" s="3074"/>
      <c r="N228" s="3074"/>
      <c r="O228" s="3074"/>
      <c r="P228" s="3074"/>
      <c r="Q228" s="3074"/>
      <c r="R228" s="3074"/>
      <c r="S228" s="3074"/>
      <c r="T228" s="3074"/>
      <c r="U228" s="3847"/>
      <c r="V228" s="2322"/>
      <c r="W228" s="2322"/>
      <c r="X228" s="2322"/>
      <c r="Y228" s="2322"/>
      <c r="Z228" s="2322"/>
      <c r="AA228" s="2322"/>
      <c r="AB228" s="2322"/>
      <c r="AC228" s="2322"/>
      <c r="AD228" s="2322"/>
      <c r="AE228" s="2322"/>
      <c r="AF228" s="2322"/>
      <c r="AG228" s="2322"/>
      <c r="AH228" s="2322"/>
      <c r="AI228" s="2322"/>
      <c r="AJ228" s="2322"/>
      <c r="AK228" s="2322"/>
      <c r="AL228" s="2322"/>
      <c r="AM228" s="2322"/>
    </row>
    <row r="229" spans="1:39" s="2329" customFormat="1">
      <c r="A229" s="89"/>
      <c r="B229" s="89"/>
      <c r="C229" s="3076"/>
      <c r="D229" s="2332"/>
      <c r="E229" s="2332"/>
      <c r="F229" s="2332"/>
      <c r="G229" s="2332"/>
      <c r="H229" s="2332"/>
      <c r="I229" s="3075"/>
      <c r="J229" s="3075"/>
      <c r="K229" s="3075"/>
      <c r="L229" s="3075"/>
      <c r="M229" s="3075"/>
      <c r="N229" s="3075"/>
      <c r="O229" s="3075"/>
      <c r="P229" s="3075"/>
      <c r="Q229" s="3075"/>
      <c r="R229" s="3075"/>
      <c r="S229" s="3075"/>
      <c r="T229" s="3075"/>
      <c r="U229" s="3847"/>
      <c r="V229" s="2322"/>
      <c r="W229" s="2322"/>
      <c r="X229" s="2322"/>
      <c r="Y229" s="2322"/>
      <c r="Z229" s="2322"/>
      <c r="AA229" s="2322"/>
      <c r="AB229" s="2322"/>
      <c r="AC229" s="2322"/>
      <c r="AD229" s="2322"/>
      <c r="AE229" s="2322"/>
      <c r="AF229" s="2322"/>
      <c r="AG229" s="2322"/>
      <c r="AH229" s="2322"/>
      <c r="AI229" s="2322"/>
      <c r="AJ229" s="2322"/>
      <c r="AK229" s="2322"/>
      <c r="AL229" s="2322"/>
      <c r="AM229" s="2322"/>
    </row>
    <row r="230" spans="1:39" s="2329" customFormat="1">
      <c r="A230" s="89"/>
      <c r="B230" s="89"/>
      <c r="C230" s="2332"/>
      <c r="D230" s="2332"/>
      <c r="E230" s="2332"/>
      <c r="F230" s="2332"/>
      <c r="G230" s="2332"/>
      <c r="H230" s="2332"/>
      <c r="I230" s="4021"/>
      <c r="J230" s="4021"/>
      <c r="K230" s="4021"/>
      <c r="L230" s="4021"/>
      <c r="M230" s="4021"/>
      <c r="N230" s="4021"/>
      <c r="O230" s="4021"/>
      <c r="P230" s="4021"/>
      <c r="Q230" s="4021"/>
      <c r="R230" s="4021"/>
      <c r="S230" s="4021"/>
      <c r="T230" s="4021"/>
      <c r="U230" s="3847"/>
      <c r="V230" s="2322"/>
      <c r="W230" s="2322"/>
      <c r="X230" s="2322"/>
      <c r="Y230" s="2322"/>
      <c r="Z230" s="2322"/>
      <c r="AA230" s="2322"/>
      <c r="AB230" s="2322"/>
      <c r="AC230" s="2322"/>
      <c r="AD230" s="2322"/>
      <c r="AE230" s="2322"/>
      <c r="AF230" s="2322"/>
      <c r="AG230" s="2322"/>
      <c r="AH230" s="2322"/>
      <c r="AI230" s="2322"/>
      <c r="AJ230" s="2322"/>
      <c r="AK230" s="2322"/>
      <c r="AL230" s="2322"/>
      <c r="AM230" s="2322"/>
    </row>
    <row r="231" spans="1:39" s="2329" customFormat="1">
      <c r="A231" s="89"/>
      <c r="B231" s="89"/>
      <c r="C231" s="2332"/>
      <c r="D231" s="2332"/>
      <c r="E231" s="2332"/>
      <c r="F231" s="2332"/>
      <c r="G231" s="2332"/>
      <c r="H231" s="2332"/>
      <c r="I231" s="3075"/>
      <c r="J231" s="3075"/>
      <c r="K231" s="3075"/>
      <c r="L231" s="3075"/>
      <c r="M231" s="3075"/>
      <c r="N231" s="3075"/>
      <c r="O231" s="3075"/>
      <c r="P231" s="3075"/>
      <c r="Q231" s="3075"/>
      <c r="R231" s="3075"/>
      <c r="S231" s="3075"/>
      <c r="T231" s="3075"/>
      <c r="U231" s="3847"/>
      <c r="V231" s="2322"/>
      <c r="W231" s="2322"/>
      <c r="X231" s="2322"/>
      <c r="Y231" s="2322"/>
      <c r="Z231" s="2322"/>
      <c r="AA231" s="2322"/>
      <c r="AB231" s="2322"/>
      <c r="AC231" s="2322"/>
      <c r="AD231" s="2322"/>
      <c r="AE231" s="2322"/>
      <c r="AF231" s="2322"/>
      <c r="AG231" s="2322"/>
      <c r="AH231" s="2322"/>
      <c r="AI231" s="2322"/>
      <c r="AJ231" s="2322"/>
      <c r="AK231" s="2322"/>
      <c r="AL231" s="2322"/>
      <c r="AM231" s="2322"/>
    </row>
    <row r="232" spans="1:39" s="2329" customFormat="1">
      <c r="A232" s="89"/>
      <c r="B232" s="89"/>
      <c r="C232" s="89"/>
      <c r="D232" s="89"/>
      <c r="E232" s="89"/>
      <c r="F232" s="89"/>
      <c r="G232" s="89"/>
      <c r="H232" s="89"/>
      <c r="I232" s="3847"/>
      <c r="J232" s="3847"/>
      <c r="K232" s="3847"/>
      <c r="L232" s="3847"/>
      <c r="M232" s="3847"/>
      <c r="N232" s="3847"/>
      <c r="O232" s="3847"/>
      <c r="P232" s="3847"/>
      <c r="Q232" s="3847"/>
      <c r="R232" s="3847"/>
      <c r="S232" s="3847"/>
      <c r="T232" s="3847"/>
      <c r="U232" s="3847"/>
      <c r="V232" s="2322"/>
      <c r="W232" s="2322"/>
      <c r="X232" s="2322"/>
      <c r="Y232" s="2322"/>
      <c r="Z232" s="2322"/>
      <c r="AA232" s="2322"/>
      <c r="AB232" s="2322"/>
      <c r="AC232" s="2322"/>
      <c r="AD232" s="2322"/>
      <c r="AE232" s="2322"/>
      <c r="AF232" s="2322"/>
      <c r="AG232" s="2322"/>
      <c r="AH232" s="2322"/>
      <c r="AI232" s="2322"/>
      <c r="AJ232" s="2322"/>
      <c r="AK232" s="2322"/>
      <c r="AL232" s="2322"/>
      <c r="AM232" s="2322"/>
    </row>
    <row r="233" spans="1:39" s="2329" customFormat="1">
      <c r="A233" s="89"/>
      <c r="B233" s="89"/>
      <c r="C233" s="2332"/>
      <c r="D233" s="2332"/>
      <c r="E233" s="2332"/>
      <c r="F233" s="2332"/>
      <c r="G233" s="2332"/>
      <c r="H233" s="2332"/>
      <c r="I233" s="3074"/>
      <c r="J233" s="3074"/>
      <c r="K233" s="3074"/>
      <c r="L233" s="3074"/>
      <c r="M233" s="3074"/>
      <c r="N233" s="3074"/>
      <c r="O233" s="3074"/>
      <c r="P233" s="3074"/>
      <c r="Q233" s="3074"/>
      <c r="R233" s="3074"/>
      <c r="S233" s="3074"/>
      <c r="T233" s="3074"/>
      <c r="U233" s="3847"/>
      <c r="V233" s="2322"/>
      <c r="W233" s="2322"/>
      <c r="X233" s="2322"/>
      <c r="Y233" s="2322"/>
      <c r="Z233" s="2322"/>
      <c r="AA233" s="2322"/>
      <c r="AB233" s="2322"/>
      <c r="AC233" s="2322"/>
      <c r="AD233" s="2322"/>
      <c r="AE233" s="2322"/>
      <c r="AF233" s="2322"/>
      <c r="AG233" s="2322"/>
      <c r="AH233" s="2322"/>
      <c r="AI233" s="2322"/>
      <c r="AJ233" s="2322"/>
      <c r="AK233" s="2322"/>
      <c r="AL233" s="2322"/>
      <c r="AM233" s="2322"/>
    </row>
    <row r="234" spans="1:39" s="2329" customFormat="1">
      <c r="A234" s="89"/>
      <c r="B234" s="89"/>
      <c r="C234" s="3076"/>
      <c r="D234" s="2332"/>
      <c r="E234" s="2332"/>
      <c r="F234" s="2332"/>
      <c r="G234" s="2332"/>
      <c r="H234" s="2332"/>
      <c r="I234" s="3075"/>
      <c r="J234" s="3075"/>
      <c r="K234" s="3075"/>
      <c r="L234" s="3075"/>
      <c r="M234" s="3075"/>
      <c r="N234" s="3075"/>
      <c r="O234" s="3075"/>
      <c r="P234" s="3075"/>
      <c r="Q234" s="3075"/>
      <c r="R234" s="3075"/>
      <c r="S234" s="3075"/>
      <c r="T234" s="3075"/>
      <c r="U234" s="3847"/>
      <c r="V234" s="2322"/>
      <c r="W234" s="2322"/>
      <c r="X234" s="2322"/>
      <c r="Y234" s="2322"/>
      <c r="Z234" s="2322"/>
      <c r="AA234" s="2322"/>
      <c r="AB234" s="2322"/>
      <c r="AC234" s="2322"/>
      <c r="AD234" s="2322"/>
      <c r="AE234" s="2322"/>
      <c r="AF234" s="2322"/>
      <c r="AG234" s="2322"/>
      <c r="AH234" s="2322"/>
      <c r="AI234" s="2322"/>
      <c r="AJ234" s="2322"/>
      <c r="AK234" s="2322"/>
      <c r="AL234" s="2322"/>
      <c r="AM234" s="2322"/>
    </row>
    <row r="235" spans="1:39" s="2329" customFormat="1">
      <c r="A235" s="89"/>
      <c r="B235" s="89"/>
      <c r="C235" s="2332"/>
      <c r="D235" s="2332"/>
      <c r="E235" s="2332"/>
      <c r="F235" s="2332"/>
      <c r="G235" s="2332"/>
      <c r="H235" s="2332"/>
      <c r="I235" s="4021"/>
      <c r="J235" s="4021"/>
      <c r="K235" s="4021"/>
      <c r="L235" s="4021"/>
      <c r="M235" s="4021"/>
      <c r="N235" s="4021"/>
      <c r="O235" s="4021"/>
      <c r="P235" s="4021"/>
      <c r="Q235" s="4021"/>
      <c r="R235" s="4021"/>
      <c r="S235" s="4021"/>
      <c r="T235" s="4021"/>
      <c r="U235" s="3847"/>
      <c r="V235" s="2322"/>
      <c r="W235" s="2322"/>
      <c r="X235" s="2322"/>
      <c r="Y235" s="2322"/>
      <c r="Z235" s="2322"/>
      <c r="AA235" s="2322"/>
      <c r="AB235" s="2322"/>
      <c r="AC235" s="2322"/>
      <c r="AD235" s="2322"/>
      <c r="AE235" s="2322"/>
      <c r="AF235" s="2322"/>
      <c r="AG235" s="2322"/>
      <c r="AH235" s="2322"/>
      <c r="AI235" s="2322"/>
      <c r="AJ235" s="2322"/>
      <c r="AK235" s="2322"/>
      <c r="AL235" s="2322"/>
      <c r="AM235" s="2322"/>
    </row>
    <row r="236" spans="1:39" s="2329" customFormat="1">
      <c r="A236" s="89"/>
      <c r="B236" s="89"/>
      <c r="C236" s="2332"/>
      <c r="D236" s="2332"/>
      <c r="E236" s="2332"/>
      <c r="F236" s="2332"/>
      <c r="G236" s="2332"/>
      <c r="H236" s="2332"/>
      <c r="I236" s="3075"/>
      <c r="J236" s="3075"/>
      <c r="K236" s="3075"/>
      <c r="L236" s="3075"/>
      <c r="M236" s="3075"/>
      <c r="N236" s="3075"/>
      <c r="O236" s="3075"/>
      <c r="P236" s="3075"/>
      <c r="Q236" s="3075"/>
      <c r="R236" s="3075"/>
      <c r="S236" s="3075"/>
      <c r="T236" s="3075"/>
      <c r="U236" s="3847"/>
      <c r="V236" s="2322"/>
      <c r="W236" s="2322"/>
      <c r="X236" s="2322"/>
      <c r="Y236" s="2322"/>
      <c r="Z236" s="2322"/>
      <c r="AA236" s="2322"/>
      <c r="AB236" s="2322"/>
      <c r="AC236" s="2322"/>
      <c r="AD236" s="2322"/>
      <c r="AE236" s="2322"/>
      <c r="AF236" s="2322"/>
      <c r="AG236" s="2322"/>
      <c r="AH236" s="2322"/>
      <c r="AI236" s="2322"/>
      <c r="AJ236" s="2322"/>
      <c r="AK236" s="2322"/>
      <c r="AL236" s="2322"/>
      <c r="AM236" s="2322"/>
    </row>
    <row r="237" spans="1:39" s="2329" customFormat="1">
      <c r="A237" s="89"/>
      <c r="B237" s="89"/>
      <c r="C237" s="89"/>
      <c r="D237" s="89"/>
      <c r="E237" s="89"/>
      <c r="F237" s="89"/>
      <c r="G237" s="89"/>
      <c r="H237" s="89"/>
      <c r="I237" s="3847"/>
      <c r="J237" s="3847"/>
      <c r="K237" s="3847"/>
      <c r="L237" s="3847"/>
      <c r="M237" s="3847"/>
      <c r="N237" s="3847"/>
      <c r="O237" s="3847"/>
      <c r="P237" s="3847"/>
      <c r="Q237" s="3847"/>
      <c r="R237" s="3847"/>
      <c r="S237" s="3847"/>
      <c r="T237" s="3847"/>
      <c r="U237" s="3847"/>
      <c r="V237" s="2322"/>
      <c r="W237" s="2322"/>
      <c r="X237" s="2322"/>
      <c r="Y237" s="2322"/>
      <c r="Z237" s="2322"/>
      <c r="AA237" s="2322"/>
      <c r="AB237" s="2322"/>
      <c r="AC237" s="2322"/>
      <c r="AD237" s="2322"/>
      <c r="AE237" s="2322"/>
      <c r="AF237" s="2322"/>
      <c r="AG237" s="2322"/>
      <c r="AH237" s="2322"/>
      <c r="AI237" s="2322"/>
      <c r="AJ237" s="2322"/>
      <c r="AK237" s="2322"/>
      <c r="AL237" s="2322"/>
      <c r="AM237" s="2322"/>
    </row>
    <row r="238" spans="1:39" s="2329" customFormat="1">
      <c r="A238" s="89"/>
      <c r="B238" s="89"/>
      <c r="C238" s="89"/>
      <c r="D238" s="89"/>
      <c r="E238" s="89"/>
      <c r="F238" s="89"/>
      <c r="G238" s="89"/>
      <c r="H238" s="89"/>
      <c r="I238" s="3847"/>
      <c r="J238" s="3847"/>
      <c r="K238" s="3847"/>
      <c r="L238" s="3847"/>
      <c r="M238" s="3847"/>
      <c r="N238" s="3847"/>
      <c r="O238" s="3847"/>
      <c r="P238" s="3847"/>
      <c r="Q238" s="3847"/>
      <c r="R238" s="3847"/>
      <c r="S238" s="3847"/>
      <c r="T238" s="3847"/>
      <c r="U238" s="3847"/>
      <c r="V238" s="2322"/>
      <c r="W238" s="2322"/>
      <c r="X238" s="2322"/>
      <c r="Y238" s="2322"/>
      <c r="Z238" s="2322"/>
      <c r="AA238" s="2322"/>
      <c r="AB238" s="2322"/>
      <c r="AC238" s="2322"/>
      <c r="AD238" s="2322"/>
      <c r="AE238" s="2322"/>
      <c r="AF238" s="2322"/>
      <c r="AG238" s="2322"/>
      <c r="AH238" s="2322"/>
      <c r="AI238" s="2322"/>
      <c r="AJ238" s="2322"/>
      <c r="AK238" s="2322"/>
      <c r="AL238" s="2322"/>
      <c r="AM238" s="2322"/>
    </row>
    <row r="239" spans="1:39">
      <c r="A239" s="89"/>
      <c r="B239" s="89"/>
      <c r="C239" s="89"/>
      <c r="D239" s="89"/>
      <c r="E239" s="89"/>
      <c r="F239" s="89"/>
      <c r="G239" s="89"/>
      <c r="H239" s="89"/>
      <c r="I239" s="89"/>
      <c r="J239" s="89"/>
      <c r="K239" s="89"/>
      <c r="L239" s="89"/>
      <c r="M239" s="89"/>
      <c r="N239" s="89"/>
      <c r="O239" s="89"/>
      <c r="P239" s="89"/>
      <c r="Q239" s="3847"/>
      <c r="R239" s="3847"/>
      <c r="S239" s="3847"/>
      <c r="T239" s="3847"/>
      <c r="U239" s="3847"/>
      <c r="V239" s="2322"/>
      <c r="W239" s="2322"/>
      <c r="X239" s="2322"/>
      <c r="Y239" s="2322"/>
      <c r="Z239" s="2322"/>
      <c r="AA239" s="2322"/>
      <c r="AB239" s="2322"/>
      <c r="AC239" s="2322"/>
      <c r="AD239" s="2322"/>
      <c r="AE239" s="2322"/>
      <c r="AF239" s="2322"/>
      <c r="AG239" s="2322"/>
      <c r="AH239" s="2322"/>
      <c r="AI239" s="2322"/>
    </row>
    <row r="240" spans="1:39">
      <c r="A240" s="89"/>
      <c r="B240" s="89"/>
      <c r="C240" s="2332"/>
      <c r="D240" s="2332"/>
      <c r="E240" s="2332"/>
      <c r="F240" s="2332"/>
      <c r="G240" s="2332"/>
      <c r="H240" s="2332"/>
      <c r="I240" s="3074"/>
      <c r="J240" s="3074"/>
      <c r="K240" s="3074"/>
      <c r="L240" s="3074"/>
      <c r="M240" s="3074"/>
      <c r="N240" s="3074"/>
      <c r="O240" s="3074"/>
      <c r="P240" s="3074"/>
      <c r="Q240" s="3074"/>
      <c r="R240" s="3074"/>
      <c r="S240" s="3074"/>
      <c r="T240" s="3074"/>
      <c r="U240" s="3847"/>
      <c r="V240" s="2322"/>
      <c r="W240" s="2322"/>
      <c r="X240" s="2322"/>
      <c r="Y240" s="2322"/>
      <c r="Z240" s="2322"/>
      <c r="AA240" s="2322"/>
      <c r="AB240" s="2322"/>
      <c r="AC240" s="2322"/>
      <c r="AD240" s="2322"/>
      <c r="AE240" s="2322"/>
    </row>
    <row r="241" spans="1:39">
      <c r="A241" s="89"/>
      <c r="B241" s="89"/>
      <c r="C241" s="3076"/>
      <c r="D241" s="2332"/>
      <c r="E241" s="2332"/>
      <c r="F241" s="2332"/>
      <c r="G241" s="2332"/>
      <c r="H241" s="2332"/>
      <c r="I241" s="3075"/>
      <c r="J241" s="3075"/>
      <c r="K241" s="3075"/>
      <c r="L241" s="3075"/>
      <c r="M241" s="3075"/>
      <c r="N241" s="3075"/>
      <c r="O241" s="3075"/>
      <c r="P241" s="3075"/>
      <c r="Q241" s="3075"/>
      <c r="R241" s="3075"/>
      <c r="S241" s="3075"/>
      <c r="T241" s="3075"/>
      <c r="U241" s="3847"/>
      <c r="V241" s="2322"/>
      <c r="W241" s="2322"/>
      <c r="X241" s="2322"/>
      <c r="Y241" s="2322"/>
      <c r="Z241" s="2322"/>
      <c r="AA241" s="2322"/>
      <c r="AB241" s="2322"/>
      <c r="AC241" s="2322"/>
      <c r="AD241" s="2322"/>
      <c r="AE241" s="2322"/>
      <c r="AF241" s="2322"/>
      <c r="AG241" s="2322"/>
      <c r="AH241" s="2322"/>
      <c r="AI241" s="2322"/>
    </row>
    <row r="242" spans="1:39">
      <c r="A242" s="89"/>
      <c r="B242" s="89"/>
      <c r="C242" s="3076"/>
      <c r="D242" s="2332"/>
      <c r="E242" s="2332"/>
      <c r="F242" s="2332"/>
      <c r="G242" s="2332"/>
      <c r="H242" s="2332"/>
      <c r="I242" s="3075"/>
      <c r="J242" s="3075"/>
      <c r="K242" s="3075"/>
      <c r="L242" s="3075"/>
      <c r="M242" s="3075"/>
      <c r="N242" s="3075"/>
      <c r="O242" s="3075"/>
      <c r="P242" s="3075"/>
      <c r="Q242" s="3075"/>
      <c r="R242" s="3075"/>
      <c r="S242" s="3075"/>
      <c r="T242" s="3075"/>
      <c r="U242" s="3847"/>
      <c r="V242" s="2322"/>
      <c r="W242" s="2322"/>
      <c r="X242" s="2322"/>
      <c r="Y242" s="2322"/>
      <c r="Z242" s="2322"/>
      <c r="AA242" s="2322"/>
      <c r="AB242" s="2322"/>
      <c r="AC242" s="2322"/>
      <c r="AD242" s="2322"/>
      <c r="AE242" s="2322"/>
      <c r="AF242" s="2322"/>
      <c r="AG242" s="2322"/>
      <c r="AH242" s="2322"/>
      <c r="AI242" s="2322"/>
    </row>
    <row r="243" spans="1:39">
      <c r="A243" s="89"/>
      <c r="B243" s="89"/>
      <c r="C243" s="2332"/>
      <c r="D243" s="2332"/>
      <c r="E243" s="2332"/>
      <c r="F243" s="2332"/>
      <c r="G243" s="2332"/>
      <c r="H243" s="2332"/>
      <c r="I243" s="4021"/>
      <c r="J243" s="4021"/>
      <c r="K243" s="4021"/>
      <c r="L243" s="4021"/>
      <c r="M243" s="4021"/>
      <c r="N243" s="4021"/>
      <c r="O243" s="4021"/>
      <c r="P243" s="4021"/>
      <c r="Q243" s="4021"/>
      <c r="R243" s="4021"/>
      <c r="S243" s="4021"/>
      <c r="T243" s="4021"/>
      <c r="U243" s="3847"/>
      <c r="V243" s="2322"/>
      <c r="W243" s="2322"/>
      <c r="X243" s="2322"/>
      <c r="Y243" s="2322"/>
      <c r="Z243" s="2322"/>
      <c r="AA243" s="2322"/>
      <c r="AB243" s="2322"/>
      <c r="AC243" s="2322"/>
      <c r="AD243" s="2322"/>
      <c r="AE243" s="2322"/>
      <c r="AF243" s="2322"/>
      <c r="AG243" s="2322"/>
      <c r="AH243" s="2322"/>
      <c r="AI243" s="2322"/>
      <c r="AJ243" s="2322"/>
      <c r="AK243" s="2322"/>
      <c r="AL243" s="2322"/>
      <c r="AM243" s="2322"/>
    </row>
    <row r="244" spans="1:39">
      <c r="A244" s="89"/>
      <c r="B244" s="89"/>
      <c r="C244" s="3076"/>
      <c r="D244" s="2332"/>
      <c r="E244" s="2332"/>
      <c r="F244" s="2332"/>
      <c r="G244" s="2332"/>
      <c r="H244" s="2332"/>
      <c r="I244" s="3075"/>
      <c r="J244" s="3075"/>
      <c r="K244" s="3075"/>
      <c r="L244" s="3075"/>
      <c r="M244" s="3075"/>
      <c r="N244" s="3075"/>
      <c r="O244" s="3075"/>
      <c r="P244" s="3075"/>
      <c r="Q244" s="3075"/>
      <c r="R244" s="3075"/>
      <c r="S244" s="3075"/>
      <c r="T244" s="3075"/>
      <c r="U244" s="3847"/>
      <c r="V244" s="2322"/>
      <c r="W244" s="2322"/>
      <c r="X244" s="2322"/>
      <c r="Y244" s="2322"/>
      <c r="Z244" s="2322"/>
      <c r="AA244" s="2322"/>
      <c r="AB244" s="2322"/>
      <c r="AC244" s="2322"/>
      <c r="AD244" s="2322"/>
      <c r="AE244" s="2322"/>
      <c r="AF244" s="2322"/>
      <c r="AG244" s="2322"/>
      <c r="AH244" s="2322"/>
      <c r="AI244" s="2322"/>
      <c r="AJ244" s="2322"/>
      <c r="AK244" s="2322"/>
      <c r="AL244" s="2322"/>
      <c r="AM244" s="2322"/>
    </row>
    <row r="245" spans="1:39">
      <c r="A245" s="89"/>
      <c r="B245" s="89"/>
      <c r="C245" s="2332"/>
      <c r="D245" s="2332"/>
      <c r="E245" s="2332"/>
      <c r="F245" s="2332"/>
      <c r="G245" s="2332"/>
      <c r="H245" s="2332"/>
      <c r="I245" s="3075"/>
      <c r="J245" s="3075"/>
      <c r="K245" s="3075"/>
      <c r="L245" s="3075"/>
      <c r="M245" s="3075"/>
      <c r="N245" s="3075"/>
      <c r="O245" s="3075"/>
      <c r="P245" s="3075"/>
      <c r="Q245" s="3075"/>
      <c r="R245" s="3075"/>
      <c r="S245" s="3075"/>
      <c r="T245" s="3075"/>
      <c r="U245" s="3847"/>
      <c r="V245" s="2322"/>
      <c r="W245" s="2322"/>
      <c r="X245" s="2322"/>
      <c r="Y245" s="2322"/>
      <c r="Z245" s="2322"/>
      <c r="AA245" s="2322"/>
      <c r="AB245" s="2322"/>
      <c r="AC245" s="2322"/>
      <c r="AD245" s="2322"/>
      <c r="AE245" s="2322"/>
      <c r="AF245" s="2322"/>
      <c r="AG245" s="2322"/>
      <c r="AH245" s="2322"/>
      <c r="AI245" s="2322"/>
      <c r="AJ245" s="2322"/>
      <c r="AK245" s="2322"/>
      <c r="AL245" s="2322"/>
      <c r="AM245" s="2322"/>
    </row>
    <row r="246" spans="1:39">
      <c r="A246" s="89"/>
      <c r="B246" s="89"/>
      <c r="C246" s="3076"/>
      <c r="D246" s="2332"/>
      <c r="E246" s="2332"/>
      <c r="F246" s="2332"/>
      <c r="G246" s="2332"/>
      <c r="H246" s="2332"/>
      <c r="I246" s="3075"/>
      <c r="J246" s="3075"/>
      <c r="K246" s="3075"/>
      <c r="L246" s="3075"/>
      <c r="M246" s="3075"/>
      <c r="N246" s="3075"/>
      <c r="O246" s="3075"/>
      <c r="P246" s="3075"/>
      <c r="Q246" s="3075"/>
      <c r="R246" s="3075"/>
      <c r="S246" s="3075"/>
      <c r="T246" s="3075"/>
      <c r="U246" s="3847"/>
      <c r="V246" s="2322"/>
      <c r="W246" s="2322"/>
      <c r="X246" s="2322"/>
      <c r="Y246" s="2322"/>
      <c r="Z246" s="2322"/>
      <c r="AA246" s="2322"/>
      <c r="AB246" s="2322"/>
      <c r="AC246" s="2322"/>
      <c r="AD246" s="2322"/>
      <c r="AE246" s="2322"/>
      <c r="AF246" s="2322"/>
      <c r="AG246" s="2322"/>
      <c r="AH246" s="2322"/>
      <c r="AI246" s="2322"/>
      <c r="AJ246" s="2322"/>
      <c r="AK246" s="2322"/>
      <c r="AL246" s="2322"/>
      <c r="AM246" s="2322"/>
    </row>
    <row r="247" spans="1:39">
      <c r="A247" s="89"/>
      <c r="B247" s="89"/>
      <c r="C247" s="89"/>
      <c r="D247" s="89"/>
      <c r="E247" s="89"/>
      <c r="F247" s="89"/>
      <c r="G247" s="89"/>
      <c r="H247" s="89"/>
      <c r="I247" s="3847"/>
      <c r="J247" s="3847"/>
      <c r="K247" s="3847"/>
      <c r="L247" s="3847"/>
      <c r="M247" s="3847"/>
      <c r="N247" s="3847"/>
      <c r="O247" s="3847"/>
      <c r="P247" s="3847"/>
      <c r="Q247" s="3847"/>
      <c r="R247" s="3847"/>
      <c r="S247" s="3847"/>
      <c r="T247" s="3847"/>
      <c r="U247" s="3847"/>
      <c r="V247" s="2322"/>
      <c r="W247" s="2322"/>
      <c r="X247" s="2322"/>
      <c r="Y247" s="2322"/>
      <c r="Z247" s="2322"/>
      <c r="AA247" s="2322"/>
      <c r="AB247" s="2322"/>
      <c r="AC247" s="2322"/>
      <c r="AD247" s="2322"/>
      <c r="AE247" s="2322"/>
      <c r="AF247" s="2322"/>
      <c r="AG247" s="2322"/>
      <c r="AH247" s="2322"/>
      <c r="AI247" s="2322"/>
      <c r="AJ247" s="2322"/>
      <c r="AK247" s="2322"/>
      <c r="AL247" s="2322"/>
      <c r="AM247" s="2322"/>
    </row>
    <row r="248" spans="1:39">
      <c r="A248" s="89"/>
      <c r="B248" s="89"/>
      <c r="C248" s="89"/>
      <c r="D248" s="89"/>
      <c r="E248" s="89"/>
      <c r="F248" s="89"/>
      <c r="G248" s="89"/>
      <c r="H248" s="89"/>
      <c r="I248" s="3847"/>
      <c r="J248" s="3847"/>
      <c r="K248" s="3847"/>
      <c r="L248" s="3847"/>
      <c r="M248" s="3847"/>
      <c r="N248" s="3847"/>
      <c r="O248" s="3847"/>
      <c r="P248" s="3847"/>
      <c r="Q248" s="3847"/>
      <c r="R248" s="3847"/>
      <c r="S248" s="3847"/>
      <c r="T248" s="3847"/>
      <c r="U248" s="3847"/>
      <c r="V248" s="2322"/>
      <c r="W248" s="2322"/>
      <c r="X248" s="2322"/>
      <c r="Y248" s="2322"/>
      <c r="Z248" s="2322"/>
      <c r="AA248" s="2322"/>
      <c r="AB248" s="2322"/>
      <c r="AC248" s="2322"/>
      <c r="AD248" s="2322"/>
      <c r="AE248" s="2322"/>
      <c r="AF248" s="2322"/>
      <c r="AG248" s="2322"/>
      <c r="AH248" s="2322"/>
      <c r="AI248" s="2322"/>
      <c r="AJ248" s="2322"/>
      <c r="AK248" s="2322"/>
      <c r="AL248" s="2322"/>
      <c r="AM248" s="2322"/>
    </row>
    <row r="249" spans="1:39">
      <c r="A249" s="89"/>
      <c r="B249" s="89"/>
      <c r="C249" s="89"/>
      <c r="D249" s="89"/>
      <c r="E249" s="89"/>
      <c r="F249" s="89"/>
      <c r="G249" s="89"/>
      <c r="H249" s="89"/>
      <c r="I249" s="3847"/>
      <c r="J249" s="3847"/>
      <c r="K249" s="3847"/>
      <c r="L249" s="3847"/>
      <c r="M249" s="3847"/>
      <c r="N249" s="3847"/>
      <c r="O249" s="3847"/>
      <c r="P249" s="3847"/>
      <c r="Q249" s="3847"/>
      <c r="R249" s="3847"/>
      <c r="S249" s="3847"/>
      <c r="T249" s="3847"/>
      <c r="U249" s="3847"/>
      <c r="V249" s="2322"/>
      <c r="W249" s="2322"/>
      <c r="X249" s="2322"/>
      <c r="Y249" s="2322"/>
      <c r="Z249" s="2322"/>
      <c r="AA249" s="2322"/>
      <c r="AB249" s="2322"/>
      <c r="AC249" s="2322"/>
      <c r="AD249" s="2322"/>
      <c r="AE249" s="2322"/>
      <c r="AF249" s="2322"/>
      <c r="AG249" s="2322"/>
      <c r="AH249" s="2322"/>
      <c r="AI249" s="2322"/>
      <c r="AJ249" s="2322"/>
      <c r="AK249" s="2322"/>
      <c r="AL249" s="2322"/>
      <c r="AM249" s="2322"/>
    </row>
    <row r="250" spans="1:39">
      <c r="A250" s="89"/>
      <c r="B250" s="89"/>
      <c r="C250" s="2332"/>
      <c r="D250" s="2332"/>
      <c r="E250" s="2332"/>
      <c r="F250" s="2332"/>
      <c r="G250" s="2332"/>
      <c r="H250" s="2332"/>
      <c r="I250" s="3074"/>
      <c r="J250" s="3074"/>
      <c r="K250" s="3074"/>
      <c r="L250" s="3074"/>
      <c r="M250" s="3074"/>
      <c r="N250" s="3074"/>
      <c r="O250" s="3074"/>
      <c r="P250" s="3074"/>
      <c r="Q250" s="3074"/>
      <c r="R250" s="3074"/>
      <c r="S250" s="3074"/>
      <c r="T250" s="3074"/>
      <c r="U250" s="3847"/>
      <c r="V250" s="2322"/>
      <c r="W250" s="2322"/>
      <c r="X250" s="2322"/>
      <c r="Y250" s="2322"/>
      <c r="Z250" s="2322"/>
      <c r="AA250" s="2322"/>
      <c r="AB250" s="2322"/>
      <c r="AC250" s="2322"/>
      <c r="AD250" s="2322"/>
      <c r="AE250" s="2322"/>
      <c r="AF250" s="2322"/>
      <c r="AG250" s="2322"/>
      <c r="AH250" s="2322"/>
      <c r="AI250" s="2322"/>
      <c r="AJ250" s="2322"/>
      <c r="AK250" s="2322"/>
      <c r="AL250" s="2322"/>
      <c r="AM250" s="2322"/>
    </row>
    <row r="251" spans="1:39">
      <c r="A251" s="89"/>
      <c r="B251" s="89"/>
      <c r="C251" s="3076"/>
      <c r="D251" s="2332"/>
      <c r="E251" s="2332"/>
      <c r="F251" s="2332"/>
      <c r="G251" s="2332"/>
      <c r="H251" s="2332"/>
      <c r="I251" s="3075"/>
      <c r="J251" s="3075"/>
      <c r="K251" s="3075"/>
      <c r="L251" s="3075"/>
      <c r="M251" s="3075"/>
      <c r="N251" s="3075"/>
      <c r="O251" s="3075"/>
      <c r="P251" s="3075"/>
      <c r="Q251" s="3075"/>
      <c r="R251" s="3075"/>
      <c r="S251" s="3075"/>
      <c r="T251" s="3075"/>
      <c r="U251" s="3847"/>
      <c r="V251" s="2322"/>
      <c r="W251" s="2322"/>
      <c r="X251" s="2322"/>
      <c r="Y251" s="2322"/>
      <c r="Z251" s="2322"/>
      <c r="AA251" s="2322"/>
      <c r="AB251" s="2322"/>
      <c r="AC251" s="2322"/>
      <c r="AD251" s="2322"/>
      <c r="AE251" s="2322"/>
      <c r="AF251" s="2322"/>
      <c r="AG251" s="2322"/>
      <c r="AH251" s="2322"/>
      <c r="AI251" s="2322"/>
      <c r="AJ251" s="2322"/>
      <c r="AK251" s="2322"/>
      <c r="AL251" s="2322"/>
      <c r="AM251" s="2322"/>
    </row>
    <row r="252" spans="1:39">
      <c r="A252" s="89"/>
      <c r="B252" s="89"/>
      <c r="C252" s="3076"/>
      <c r="D252" s="2332"/>
      <c r="E252" s="2332"/>
      <c r="F252" s="2332"/>
      <c r="G252" s="2332"/>
      <c r="H252" s="2332"/>
      <c r="I252" s="3075"/>
      <c r="J252" s="3075"/>
      <c r="K252" s="3075"/>
      <c r="L252" s="3075"/>
      <c r="M252" s="3075"/>
      <c r="N252" s="3075"/>
      <c r="O252" s="3075"/>
      <c r="P252" s="3075"/>
      <c r="Q252" s="3075"/>
      <c r="R252" s="3075"/>
      <c r="S252" s="3075"/>
      <c r="T252" s="3075"/>
      <c r="U252" s="3847"/>
      <c r="V252" s="2322"/>
      <c r="W252" s="2322"/>
      <c r="X252" s="2322"/>
      <c r="Y252" s="2322"/>
      <c r="Z252" s="2322"/>
      <c r="AA252" s="2322"/>
      <c r="AB252" s="2322"/>
      <c r="AC252" s="2322"/>
      <c r="AD252" s="2322"/>
      <c r="AE252" s="2322"/>
      <c r="AF252" s="2322"/>
      <c r="AG252" s="2322"/>
      <c r="AH252" s="2322"/>
      <c r="AI252" s="2322"/>
      <c r="AJ252" s="2322"/>
      <c r="AK252" s="2322"/>
      <c r="AL252" s="2322"/>
      <c r="AM252" s="2322"/>
    </row>
    <row r="253" spans="1:39">
      <c r="A253" s="89"/>
      <c r="B253" s="89"/>
      <c r="C253" s="3076"/>
      <c r="D253" s="2332"/>
      <c r="E253" s="2332"/>
      <c r="F253" s="2332"/>
      <c r="G253" s="2332"/>
      <c r="H253" s="2332"/>
      <c r="I253" s="3075"/>
      <c r="J253" s="3075"/>
      <c r="K253" s="3075"/>
      <c r="L253" s="3075"/>
      <c r="M253" s="3075"/>
      <c r="N253" s="3075"/>
      <c r="O253" s="3075"/>
      <c r="P253" s="3075"/>
      <c r="Q253" s="3075"/>
      <c r="R253" s="3075"/>
      <c r="S253" s="3075"/>
      <c r="T253" s="3075"/>
      <c r="U253" s="3847"/>
      <c r="V253" s="2322"/>
      <c r="W253" s="2322"/>
      <c r="X253" s="2322"/>
      <c r="Y253" s="2322"/>
      <c r="Z253" s="2322"/>
      <c r="AA253" s="2322"/>
      <c r="AB253" s="2322"/>
      <c r="AC253" s="2322"/>
      <c r="AD253" s="2322"/>
      <c r="AE253" s="2322"/>
      <c r="AF253" s="2322"/>
      <c r="AG253" s="2322"/>
      <c r="AH253" s="2322"/>
      <c r="AI253" s="2322"/>
      <c r="AJ253" s="2322"/>
      <c r="AK253" s="2322"/>
      <c r="AL253" s="2322"/>
      <c r="AM253" s="2322"/>
    </row>
    <row r="254" spans="1:39">
      <c r="A254" s="89"/>
      <c r="B254" s="89"/>
      <c r="C254" s="2332"/>
      <c r="D254" s="2332"/>
      <c r="E254" s="2332"/>
      <c r="F254" s="2332"/>
      <c r="G254" s="2332"/>
      <c r="H254" s="2332"/>
      <c r="I254" s="4021"/>
      <c r="J254" s="4021"/>
      <c r="K254" s="4021"/>
      <c r="L254" s="4021"/>
      <c r="M254" s="4021"/>
      <c r="N254" s="4021"/>
      <c r="O254" s="4021"/>
      <c r="P254" s="4021"/>
      <c r="Q254" s="4021"/>
      <c r="R254" s="4021"/>
      <c r="S254" s="4021"/>
      <c r="T254" s="4021"/>
      <c r="U254" s="3847"/>
      <c r="V254" s="2322"/>
      <c r="W254" s="2322"/>
      <c r="X254" s="2322"/>
      <c r="Y254" s="2322"/>
      <c r="Z254" s="2322"/>
      <c r="AA254" s="2322"/>
      <c r="AB254" s="2322"/>
      <c r="AC254" s="2322"/>
      <c r="AD254" s="2322"/>
      <c r="AE254" s="2322"/>
      <c r="AF254" s="2322"/>
      <c r="AG254" s="2322"/>
      <c r="AH254" s="2322"/>
      <c r="AI254" s="2322"/>
      <c r="AJ254" s="2322"/>
      <c r="AK254" s="2322"/>
      <c r="AL254" s="2322"/>
      <c r="AM254" s="2322"/>
    </row>
    <row r="255" spans="1:39">
      <c r="A255" s="89"/>
      <c r="B255" s="89"/>
      <c r="C255" s="2332"/>
      <c r="D255" s="2332"/>
      <c r="E255" s="2332"/>
      <c r="F255" s="2332"/>
      <c r="G255" s="2332"/>
      <c r="H255" s="2332"/>
      <c r="I255" s="3075"/>
      <c r="J255" s="3075"/>
      <c r="K255" s="3075"/>
      <c r="L255" s="3075"/>
      <c r="M255" s="3075"/>
      <c r="N255" s="3075"/>
      <c r="O255" s="3075"/>
      <c r="P255" s="3075"/>
      <c r="Q255" s="3075"/>
      <c r="R255" s="3075"/>
      <c r="S255" s="3075"/>
      <c r="T255" s="3075"/>
      <c r="U255" s="3847"/>
      <c r="V255" s="2322"/>
      <c r="W255" s="2322"/>
      <c r="X255" s="2322"/>
      <c r="Y255" s="2322"/>
      <c r="Z255" s="2322"/>
      <c r="AA255" s="2322"/>
      <c r="AB255" s="2322"/>
      <c r="AC255" s="2322"/>
      <c r="AD255" s="2322"/>
      <c r="AE255" s="2322"/>
      <c r="AF255" s="2322"/>
      <c r="AG255" s="2322"/>
      <c r="AH255" s="2322"/>
      <c r="AI255" s="2322"/>
      <c r="AJ255" s="2322"/>
      <c r="AK255" s="2322"/>
      <c r="AL255" s="2322"/>
      <c r="AM255" s="2322"/>
    </row>
    <row r="256" spans="1:39">
      <c r="A256" s="89"/>
      <c r="B256" s="89"/>
      <c r="C256" s="3076"/>
      <c r="D256" s="2332"/>
      <c r="E256" s="2332"/>
      <c r="F256" s="2332"/>
      <c r="G256" s="2332"/>
      <c r="H256" s="2332"/>
      <c r="I256" s="3075"/>
      <c r="J256" s="3075"/>
      <c r="K256" s="3075"/>
      <c r="L256" s="3075"/>
      <c r="M256" s="3075"/>
      <c r="N256" s="3075"/>
      <c r="O256" s="3075"/>
      <c r="P256" s="3075"/>
      <c r="Q256" s="3075"/>
      <c r="R256" s="3075"/>
      <c r="S256" s="3075"/>
      <c r="T256" s="3075"/>
      <c r="U256" s="3847"/>
      <c r="V256" s="2322"/>
      <c r="W256" s="2322"/>
      <c r="X256" s="2322"/>
      <c r="Y256" s="2322"/>
      <c r="Z256" s="2322"/>
      <c r="AA256" s="2322"/>
      <c r="AB256" s="2322"/>
      <c r="AC256" s="2322"/>
      <c r="AD256" s="2322"/>
      <c r="AE256" s="2322"/>
      <c r="AF256" s="2322"/>
      <c r="AG256" s="2322"/>
      <c r="AH256" s="2322"/>
      <c r="AI256" s="2322"/>
      <c r="AJ256" s="2322"/>
      <c r="AK256" s="2322"/>
      <c r="AL256" s="2322"/>
      <c r="AM256" s="2322"/>
    </row>
    <row r="257" spans="1:39">
      <c r="A257" s="89"/>
      <c r="B257" s="89"/>
      <c r="C257" s="89"/>
      <c r="D257" s="89"/>
      <c r="E257" s="89"/>
      <c r="F257" s="89"/>
      <c r="G257" s="89"/>
      <c r="H257" s="89"/>
      <c r="I257" s="3847"/>
      <c r="J257" s="3847"/>
      <c r="K257" s="3847"/>
      <c r="L257" s="3847"/>
      <c r="M257" s="3847"/>
      <c r="N257" s="3847"/>
      <c r="O257" s="3847"/>
      <c r="P257" s="3847"/>
      <c r="Q257" s="3847"/>
      <c r="R257" s="3847"/>
      <c r="S257" s="3847"/>
      <c r="T257" s="3847"/>
      <c r="U257" s="3847"/>
      <c r="V257" s="2322"/>
      <c r="W257" s="2322"/>
      <c r="X257" s="2322"/>
      <c r="Y257" s="2322"/>
      <c r="Z257" s="2322"/>
      <c r="AA257" s="2322"/>
      <c r="AB257" s="2322"/>
      <c r="AC257" s="2322"/>
      <c r="AD257" s="2322"/>
      <c r="AE257" s="2322"/>
      <c r="AF257" s="2322"/>
      <c r="AG257" s="2322"/>
      <c r="AH257" s="2322"/>
      <c r="AI257" s="2322"/>
      <c r="AJ257" s="2322"/>
      <c r="AK257" s="2322"/>
      <c r="AL257" s="2322"/>
      <c r="AM257" s="2322"/>
    </row>
    <row r="258" spans="1:39">
      <c r="A258" s="89"/>
      <c r="B258" s="89"/>
      <c r="C258" s="89"/>
      <c r="D258" s="89"/>
      <c r="E258" s="89"/>
      <c r="F258" s="89"/>
      <c r="G258" s="89"/>
      <c r="H258" s="89"/>
      <c r="I258" s="3847"/>
      <c r="J258" s="3847"/>
      <c r="K258" s="3847"/>
      <c r="L258" s="3847"/>
      <c r="M258" s="3847"/>
      <c r="N258" s="3847"/>
      <c r="O258" s="3847"/>
      <c r="P258" s="3847"/>
      <c r="Q258" s="3847"/>
      <c r="R258" s="3847"/>
      <c r="S258" s="3847"/>
      <c r="T258" s="3847"/>
      <c r="U258" s="3847"/>
      <c r="V258" s="2322"/>
      <c r="W258" s="2322"/>
      <c r="X258" s="2322"/>
      <c r="Y258" s="2322"/>
      <c r="Z258" s="2322"/>
      <c r="AA258" s="2322"/>
      <c r="AB258" s="2322"/>
      <c r="AC258" s="2322"/>
      <c r="AD258" s="2322"/>
      <c r="AE258" s="2322"/>
      <c r="AF258" s="2322"/>
      <c r="AG258" s="2322"/>
      <c r="AH258" s="2322"/>
      <c r="AI258" s="2322"/>
      <c r="AJ258" s="2322"/>
      <c r="AK258" s="2322"/>
      <c r="AL258" s="2322"/>
      <c r="AM258" s="2322"/>
    </row>
    <row r="259" spans="1:39">
      <c r="A259" s="89"/>
      <c r="B259" s="89"/>
      <c r="C259" s="89"/>
      <c r="D259" s="89"/>
      <c r="E259" s="89"/>
      <c r="F259" s="89"/>
      <c r="G259" s="89"/>
      <c r="H259" s="89"/>
      <c r="I259" s="3847"/>
      <c r="J259" s="3847"/>
      <c r="K259" s="3847"/>
      <c r="L259" s="3847"/>
      <c r="M259" s="3847"/>
      <c r="N259" s="3847"/>
      <c r="O259" s="3847"/>
      <c r="P259" s="3847"/>
      <c r="Q259" s="3847"/>
      <c r="R259" s="3847"/>
      <c r="S259" s="3847"/>
      <c r="T259" s="3847"/>
      <c r="U259" s="3847"/>
      <c r="V259" s="2322"/>
      <c r="W259" s="2322"/>
      <c r="X259" s="2322"/>
      <c r="Y259" s="2322"/>
      <c r="Z259" s="2322"/>
      <c r="AA259" s="2322"/>
      <c r="AB259" s="2322"/>
      <c r="AC259" s="2322"/>
      <c r="AD259" s="2322"/>
      <c r="AE259" s="2322"/>
      <c r="AF259" s="2322"/>
      <c r="AG259" s="2322"/>
      <c r="AH259" s="2322"/>
      <c r="AI259" s="2322"/>
      <c r="AJ259" s="2322"/>
      <c r="AK259" s="2322"/>
      <c r="AL259" s="2322"/>
      <c r="AM259" s="2322"/>
    </row>
    <row r="260" spans="1:39">
      <c r="A260" s="89"/>
      <c r="B260" s="89"/>
      <c r="C260" s="2332"/>
      <c r="D260" s="2332"/>
      <c r="E260" s="2332"/>
      <c r="F260" s="2332"/>
      <c r="G260" s="2332"/>
      <c r="H260" s="2332"/>
      <c r="I260" s="3074"/>
      <c r="J260" s="3074"/>
      <c r="K260" s="3074"/>
      <c r="L260" s="3074"/>
      <c r="M260" s="3074"/>
      <c r="N260" s="3074"/>
      <c r="O260" s="3074"/>
      <c r="P260" s="3074"/>
      <c r="Q260" s="3074"/>
      <c r="R260" s="3074"/>
      <c r="S260" s="3074"/>
      <c r="T260" s="3074"/>
      <c r="U260" s="3847"/>
      <c r="V260" s="2322"/>
      <c r="W260" s="2322"/>
      <c r="X260" s="2322"/>
      <c r="Y260" s="2322"/>
      <c r="Z260" s="2322"/>
      <c r="AA260" s="2322"/>
      <c r="AB260" s="2322"/>
      <c r="AC260" s="2322"/>
      <c r="AD260" s="2322"/>
      <c r="AE260" s="2322"/>
      <c r="AF260" s="2322"/>
      <c r="AG260" s="2322"/>
      <c r="AH260" s="2322"/>
      <c r="AI260" s="2322"/>
      <c r="AJ260" s="2322"/>
      <c r="AK260" s="2322"/>
      <c r="AL260" s="2322"/>
      <c r="AM260" s="2322"/>
    </row>
    <row r="261" spans="1:39">
      <c r="A261" s="89"/>
      <c r="B261" s="89"/>
      <c r="C261" s="3076"/>
      <c r="D261" s="2332"/>
      <c r="E261" s="2332"/>
      <c r="F261" s="2332"/>
      <c r="G261" s="2332"/>
      <c r="H261" s="2332"/>
      <c r="I261" s="3075"/>
      <c r="J261" s="3075"/>
      <c r="K261" s="3075"/>
      <c r="L261" s="3075"/>
      <c r="M261" s="3075"/>
      <c r="N261" s="3075"/>
      <c r="O261" s="3075"/>
      <c r="P261" s="3075"/>
      <c r="Q261" s="3075"/>
      <c r="R261" s="3075"/>
      <c r="S261" s="3075"/>
      <c r="T261" s="3075"/>
      <c r="U261" s="3847"/>
      <c r="V261" s="2322"/>
      <c r="W261" s="2322"/>
      <c r="X261" s="2322"/>
      <c r="Y261" s="2322"/>
      <c r="Z261" s="2322"/>
      <c r="AA261" s="2322"/>
      <c r="AB261" s="2322"/>
      <c r="AC261" s="2322"/>
      <c r="AD261" s="2322"/>
      <c r="AE261" s="2322"/>
      <c r="AF261" s="2322"/>
      <c r="AG261" s="2322"/>
      <c r="AH261" s="2322"/>
      <c r="AI261" s="2322"/>
      <c r="AJ261" s="2322"/>
      <c r="AK261" s="2322"/>
      <c r="AL261" s="2322"/>
      <c r="AM261" s="2322"/>
    </row>
    <row r="262" spans="1:39">
      <c r="A262" s="89"/>
      <c r="B262" s="89"/>
      <c r="C262" s="2332"/>
      <c r="D262" s="2332"/>
      <c r="E262" s="2332"/>
      <c r="F262" s="2332"/>
      <c r="G262" s="2332"/>
      <c r="H262" s="2332"/>
      <c r="I262" s="4021"/>
      <c r="J262" s="4021"/>
      <c r="K262" s="4021"/>
      <c r="L262" s="4021"/>
      <c r="M262" s="4021"/>
      <c r="N262" s="4021"/>
      <c r="O262" s="4021"/>
      <c r="P262" s="4021"/>
      <c r="Q262" s="4021"/>
      <c r="R262" s="4021"/>
      <c r="S262" s="4021"/>
      <c r="T262" s="4021"/>
      <c r="U262" s="3847"/>
      <c r="V262" s="2322"/>
      <c r="W262" s="2322"/>
      <c r="X262" s="2322"/>
      <c r="Y262" s="2322"/>
      <c r="Z262" s="2322"/>
      <c r="AA262" s="2322"/>
      <c r="AB262" s="2322"/>
      <c r="AC262" s="2322"/>
      <c r="AD262" s="2322"/>
      <c r="AE262" s="2322"/>
      <c r="AF262" s="2322"/>
      <c r="AG262" s="2322"/>
      <c r="AH262" s="2322"/>
      <c r="AI262" s="2322"/>
      <c r="AJ262" s="2322"/>
      <c r="AK262" s="2322"/>
      <c r="AL262" s="2322"/>
      <c r="AM262" s="2322"/>
    </row>
    <row r="263" spans="1:39">
      <c r="A263" s="89"/>
      <c r="B263" s="89"/>
      <c r="C263" s="2332"/>
      <c r="D263" s="2332"/>
      <c r="E263" s="2332"/>
      <c r="F263" s="2332"/>
      <c r="G263" s="2332"/>
      <c r="H263" s="2332"/>
      <c r="I263" s="3075"/>
      <c r="J263" s="3075"/>
      <c r="K263" s="3075"/>
      <c r="L263" s="3075"/>
      <c r="M263" s="3075"/>
      <c r="N263" s="3075"/>
      <c r="O263" s="3075"/>
      <c r="P263" s="3075"/>
      <c r="Q263" s="3075"/>
      <c r="R263" s="3075"/>
      <c r="S263" s="3075"/>
      <c r="T263" s="3075"/>
      <c r="U263" s="3847"/>
      <c r="V263" s="2322"/>
      <c r="W263" s="2322"/>
      <c r="X263" s="2322"/>
      <c r="Y263" s="2322"/>
      <c r="Z263" s="2322"/>
      <c r="AA263" s="2322"/>
      <c r="AB263" s="2322"/>
      <c r="AC263" s="2322"/>
      <c r="AD263" s="2322"/>
      <c r="AE263" s="2322"/>
      <c r="AF263" s="2322"/>
      <c r="AG263" s="2322"/>
      <c r="AH263" s="2322"/>
      <c r="AI263" s="2322"/>
      <c r="AJ263" s="2322"/>
      <c r="AK263" s="2322"/>
      <c r="AL263" s="2322"/>
      <c r="AM263" s="2322"/>
    </row>
    <row r="264" spans="1:39">
      <c r="A264" s="89"/>
      <c r="B264" s="89"/>
      <c r="C264" s="89"/>
      <c r="D264" s="89"/>
      <c r="E264" s="89"/>
      <c r="F264" s="89"/>
      <c r="G264" s="89"/>
      <c r="H264" s="89"/>
      <c r="I264" s="3847"/>
      <c r="J264" s="3847"/>
      <c r="K264" s="3847"/>
      <c r="L264" s="3847"/>
      <c r="M264" s="3847"/>
      <c r="N264" s="3847"/>
      <c r="O264" s="3847"/>
      <c r="P264" s="3847"/>
      <c r="Q264" s="3847"/>
      <c r="R264" s="3847"/>
      <c r="S264" s="3847"/>
      <c r="T264" s="3847"/>
      <c r="U264" s="3847"/>
      <c r="V264" s="2322"/>
      <c r="W264" s="2322"/>
      <c r="X264" s="2322"/>
      <c r="Y264" s="2322"/>
      <c r="Z264" s="2322"/>
      <c r="AA264" s="2322"/>
      <c r="AB264" s="2322"/>
      <c r="AC264" s="2322"/>
      <c r="AD264" s="2322"/>
      <c r="AE264" s="2322"/>
      <c r="AF264" s="2322"/>
      <c r="AG264" s="2322"/>
      <c r="AH264" s="2322"/>
      <c r="AI264" s="2322"/>
      <c r="AJ264" s="2322"/>
      <c r="AK264" s="2322"/>
      <c r="AL264" s="2322"/>
      <c r="AM264" s="2322"/>
    </row>
    <row r="265" spans="1:39">
      <c r="A265" s="89"/>
      <c r="B265" s="89"/>
      <c r="C265" s="89"/>
      <c r="D265" s="89"/>
      <c r="E265" s="89"/>
      <c r="F265" s="89"/>
      <c r="G265" s="89"/>
      <c r="H265" s="89"/>
      <c r="I265" s="3847"/>
      <c r="J265" s="3847"/>
      <c r="K265" s="3847"/>
      <c r="L265" s="3847"/>
      <c r="M265" s="3847"/>
      <c r="N265" s="3847"/>
      <c r="O265" s="3847"/>
      <c r="P265" s="3847"/>
      <c r="Q265" s="3847"/>
      <c r="R265" s="3847"/>
      <c r="S265" s="3847"/>
      <c r="T265" s="3847"/>
      <c r="U265" s="3847"/>
      <c r="V265" s="2322"/>
      <c r="W265" s="2322"/>
      <c r="X265" s="2322"/>
      <c r="Y265" s="2322"/>
      <c r="Z265" s="2322"/>
      <c r="AA265" s="2322"/>
      <c r="AB265" s="2322"/>
      <c r="AC265" s="2322"/>
      <c r="AD265" s="2322"/>
      <c r="AE265" s="2322"/>
      <c r="AF265" s="2322"/>
      <c r="AG265" s="2322"/>
      <c r="AH265" s="2322"/>
      <c r="AI265" s="2322"/>
      <c r="AJ265" s="2322"/>
      <c r="AK265" s="2322"/>
      <c r="AL265" s="2322"/>
      <c r="AM265" s="2322"/>
    </row>
    <row r="266" spans="1:39">
      <c r="A266" s="89"/>
      <c r="B266" s="89"/>
      <c r="C266" s="89"/>
      <c r="D266" s="89"/>
      <c r="E266" s="89"/>
      <c r="F266" s="89"/>
      <c r="G266" s="89"/>
      <c r="H266" s="89"/>
      <c r="I266" s="3847"/>
      <c r="J266" s="3847"/>
      <c r="K266" s="3847"/>
      <c r="L266" s="3847"/>
      <c r="M266" s="3847"/>
      <c r="N266" s="3847"/>
      <c r="O266" s="3847"/>
      <c r="P266" s="3847"/>
      <c r="Q266" s="3847"/>
      <c r="R266" s="3847"/>
      <c r="S266" s="3847"/>
      <c r="T266" s="3847"/>
      <c r="U266" s="3847"/>
      <c r="V266" s="2322"/>
      <c r="W266" s="2322"/>
      <c r="X266" s="2322"/>
      <c r="Y266" s="2322"/>
      <c r="Z266" s="2322"/>
      <c r="AA266" s="2322"/>
      <c r="AB266" s="2322"/>
      <c r="AC266" s="2322"/>
      <c r="AD266" s="2322"/>
      <c r="AE266" s="2322"/>
      <c r="AF266" s="2322"/>
      <c r="AG266" s="2322"/>
      <c r="AH266" s="2322"/>
      <c r="AI266" s="2322"/>
      <c r="AJ266" s="2322"/>
      <c r="AK266" s="2322"/>
      <c r="AL266" s="2322"/>
      <c r="AM266" s="2322"/>
    </row>
    <row r="267" spans="1:39">
      <c r="A267" s="89"/>
      <c r="B267" s="89"/>
      <c r="C267" s="2332"/>
      <c r="D267" s="2332"/>
      <c r="E267" s="2332"/>
      <c r="F267" s="2332"/>
      <c r="G267" s="2332"/>
      <c r="H267" s="2332"/>
      <c r="I267" s="3074"/>
      <c r="J267" s="3074"/>
      <c r="K267" s="3074"/>
      <c r="L267" s="3074"/>
      <c r="M267" s="3074"/>
      <c r="N267" s="3074"/>
      <c r="O267" s="3074"/>
      <c r="P267" s="3074"/>
      <c r="Q267" s="3074"/>
      <c r="R267" s="3074"/>
      <c r="S267" s="3074"/>
      <c r="T267" s="3074"/>
      <c r="U267" s="3847"/>
      <c r="V267" s="2322"/>
      <c r="W267" s="2322"/>
      <c r="X267" s="2322"/>
      <c r="Y267" s="2322"/>
      <c r="Z267" s="2322"/>
      <c r="AA267" s="2322"/>
      <c r="AB267" s="2322"/>
      <c r="AC267" s="2322"/>
      <c r="AD267" s="2322"/>
      <c r="AE267" s="2322"/>
      <c r="AF267" s="2322"/>
      <c r="AG267" s="2322"/>
      <c r="AH267" s="2322"/>
      <c r="AI267" s="2322"/>
      <c r="AJ267" s="2322"/>
      <c r="AK267" s="2322"/>
      <c r="AL267" s="2322"/>
      <c r="AM267" s="2322"/>
    </row>
    <row r="268" spans="1:39">
      <c r="A268" s="89"/>
      <c r="B268" s="89"/>
      <c r="C268" s="3076"/>
      <c r="D268" s="2332"/>
      <c r="E268" s="2332"/>
      <c r="F268" s="2332"/>
      <c r="G268" s="2332"/>
      <c r="H268" s="2332"/>
      <c r="I268" s="3075"/>
      <c r="J268" s="3075"/>
      <c r="K268" s="3075"/>
      <c r="L268" s="3075"/>
      <c r="M268" s="3075"/>
      <c r="N268" s="3075"/>
      <c r="O268" s="3075"/>
      <c r="P268" s="3075"/>
      <c r="Q268" s="3075"/>
      <c r="R268" s="3075"/>
      <c r="S268" s="3075"/>
      <c r="T268" s="3075"/>
      <c r="U268" s="3847"/>
      <c r="V268" s="2322"/>
      <c r="W268" s="2322"/>
      <c r="X268" s="2322"/>
      <c r="Y268" s="2322"/>
      <c r="Z268" s="2322"/>
      <c r="AA268" s="2322"/>
      <c r="AB268" s="2322"/>
      <c r="AC268" s="2322"/>
      <c r="AD268" s="2322"/>
      <c r="AE268" s="2322"/>
      <c r="AF268" s="2322"/>
      <c r="AG268" s="2322"/>
      <c r="AH268" s="2322"/>
      <c r="AI268" s="2322"/>
      <c r="AJ268" s="2322"/>
      <c r="AK268" s="2322"/>
      <c r="AL268" s="2322"/>
      <c r="AM268" s="2322"/>
    </row>
    <row r="269" spans="1:39">
      <c r="A269" s="89"/>
      <c r="B269" s="89"/>
      <c r="C269" s="2332"/>
      <c r="D269" s="2332"/>
      <c r="E269" s="2332"/>
      <c r="F269" s="2332"/>
      <c r="G269" s="2332"/>
      <c r="H269" s="2332"/>
      <c r="I269" s="4021"/>
      <c r="J269" s="4021"/>
      <c r="K269" s="4021"/>
      <c r="L269" s="4021"/>
      <c r="M269" s="4021"/>
      <c r="N269" s="4021"/>
      <c r="O269" s="4021"/>
      <c r="P269" s="4021"/>
      <c r="Q269" s="4021"/>
      <c r="R269" s="4021"/>
      <c r="S269" s="4021"/>
      <c r="T269" s="4021"/>
      <c r="U269" s="3847"/>
      <c r="V269" s="2322"/>
      <c r="W269" s="2322"/>
      <c r="X269" s="2322"/>
      <c r="Y269" s="2322"/>
      <c r="Z269" s="2322"/>
      <c r="AA269" s="2322"/>
      <c r="AB269" s="2322"/>
      <c r="AC269" s="2322"/>
      <c r="AD269" s="2322"/>
      <c r="AE269" s="2322"/>
      <c r="AF269" s="2322"/>
      <c r="AG269" s="2322"/>
      <c r="AH269" s="2322"/>
      <c r="AI269" s="2322"/>
      <c r="AJ269" s="2322"/>
      <c r="AK269" s="2322"/>
      <c r="AL269" s="2322"/>
      <c r="AM269" s="2322"/>
    </row>
    <row r="270" spans="1:39">
      <c r="A270" s="89"/>
      <c r="B270" s="89"/>
      <c r="C270" s="2332"/>
      <c r="D270" s="2332"/>
      <c r="E270" s="2332"/>
      <c r="F270" s="2332"/>
      <c r="G270" s="2332"/>
      <c r="H270" s="2332"/>
      <c r="I270" s="3075"/>
      <c r="J270" s="3075"/>
      <c r="K270" s="3075"/>
      <c r="L270" s="3075"/>
      <c r="M270" s="3075"/>
      <c r="N270" s="3075"/>
      <c r="O270" s="3075"/>
      <c r="P270" s="3075"/>
      <c r="Q270" s="3075"/>
      <c r="R270" s="3075"/>
      <c r="S270" s="3075"/>
      <c r="T270" s="3075"/>
      <c r="U270" s="3847"/>
      <c r="V270" s="2322"/>
      <c r="W270" s="2322"/>
      <c r="X270" s="2322"/>
      <c r="Y270" s="2322"/>
      <c r="Z270" s="2322"/>
      <c r="AA270" s="2322"/>
      <c r="AB270" s="2322"/>
      <c r="AC270" s="2322"/>
      <c r="AD270" s="2322"/>
      <c r="AE270" s="2322"/>
      <c r="AF270" s="2322"/>
      <c r="AG270" s="2322"/>
      <c r="AH270" s="2322"/>
      <c r="AI270" s="2322"/>
      <c r="AJ270" s="2322"/>
      <c r="AK270" s="2322"/>
      <c r="AL270" s="2322"/>
      <c r="AM270" s="2322"/>
    </row>
    <row r="271" spans="1:39" s="89" customFormat="1">
      <c r="C271" s="2332"/>
      <c r="D271" s="2332"/>
      <c r="E271" s="2332"/>
      <c r="F271" s="2332"/>
      <c r="G271" s="2332"/>
      <c r="H271" s="2332"/>
      <c r="I271" s="3075"/>
      <c r="J271" s="3075"/>
      <c r="K271" s="3075"/>
      <c r="L271" s="3075"/>
      <c r="M271" s="3075"/>
      <c r="N271" s="3075"/>
      <c r="O271" s="3075"/>
      <c r="P271" s="3075"/>
      <c r="Q271" s="3075"/>
      <c r="R271" s="3075"/>
      <c r="S271" s="3075"/>
      <c r="T271" s="3075"/>
      <c r="U271" s="3847"/>
      <c r="V271" s="3847"/>
      <c r="W271" s="3847"/>
      <c r="X271" s="3847"/>
      <c r="Y271" s="3847"/>
      <c r="Z271" s="3847"/>
      <c r="AA271" s="3847"/>
      <c r="AB271" s="3847"/>
      <c r="AC271" s="3847"/>
      <c r="AD271" s="3847"/>
      <c r="AE271" s="3847"/>
      <c r="AF271" s="3847"/>
      <c r="AG271" s="3847"/>
      <c r="AH271" s="3847"/>
      <c r="AI271" s="3847"/>
      <c r="AJ271" s="3847"/>
      <c r="AK271" s="3847"/>
      <c r="AL271" s="3847"/>
      <c r="AM271" s="3847"/>
    </row>
    <row r="272" spans="1:39" s="2329" customFormat="1">
      <c r="A272" s="89"/>
      <c r="B272" s="89"/>
      <c r="C272" s="2332"/>
      <c r="D272" s="2332"/>
      <c r="E272" s="2332"/>
      <c r="F272" s="2332"/>
      <c r="G272" s="2332"/>
      <c r="H272" s="2332"/>
      <c r="I272" s="3074"/>
      <c r="J272" s="3074"/>
      <c r="K272" s="3074"/>
      <c r="L272" s="3074"/>
      <c r="M272" s="3074"/>
      <c r="N272" s="3074"/>
      <c r="O272" s="3074"/>
      <c r="P272" s="3074"/>
      <c r="Q272" s="3074"/>
      <c r="R272" s="3074"/>
      <c r="S272" s="3074"/>
      <c r="T272" s="3074"/>
      <c r="U272" s="3847"/>
      <c r="V272" s="2322"/>
      <c r="W272" s="2322"/>
      <c r="X272" s="2322"/>
      <c r="Y272" s="2322"/>
      <c r="Z272" s="2322"/>
      <c r="AA272" s="2322"/>
      <c r="AB272" s="2322"/>
      <c r="AC272" s="2322"/>
      <c r="AD272" s="2322"/>
      <c r="AE272" s="2322"/>
      <c r="AF272" s="2322"/>
      <c r="AG272" s="2322"/>
      <c r="AH272" s="2322"/>
      <c r="AI272" s="2322"/>
      <c r="AJ272" s="2322"/>
      <c r="AK272" s="2322"/>
      <c r="AL272" s="2322"/>
      <c r="AM272" s="2322"/>
    </row>
    <row r="273" spans="1:39">
      <c r="A273" s="89"/>
      <c r="B273" s="89"/>
      <c r="C273" s="3076"/>
      <c r="D273" s="2332"/>
      <c r="E273" s="2332"/>
      <c r="F273" s="2332"/>
      <c r="G273" s="2332"/>
      <c r="H273" s="2332"/>
      <c r="I273" s="3075"/>
      <c r="J273" s="3075"/>
      <c r="K273" s="3075"/>
      <c r="L273" s="3075"/>
      <c r="M273" s="3075"/>
      <c r="N273" s="3075"/>
      <c r="O273" s="3075"/>
      <c r="P273" s="3075"/>
      <c r="Q273" s="3075"/>
      <c r="R273" s="3075"/>
      <c r="S273" s="3075"/>
      <c r="T273" s="3075"/>
      <c r="U273" s="3847"/>
      <c r="V273" s="2322"/>
      <c r="W273" s="2322"/>
      <c r="X273" s="2322"/>
      <c r="Y273" s="2322"/>
      <c r="Z273" s="2322"/>
      <c r="AA273" s="2322"/>
      <c r="AB273" s="2322"/>
      <c r="AC273" s="2322"/>
      <c r="AD273" s="2322"/>
      <c r="AE273" s="2322"/>
      <c r="AF273" s="2322"/>
      <c r="AG273" s="2322"/>
      <c r="AH273" s="2322"/>
      <c r="AI273" s="2322"/>
      <c r="AJ273" s="2322"/>
      <c r="AK273" s="2322"/>
      <c r="AL273" s="2322"/>
      <c r="AM273" s="2322"/>
    </row>
    <row r="274" spans="1:39">
      <c r="A274" s="89"/>
      <c r="B274" s="89"/>
      <c r="C274" s="3076"/>
      <c r="D274" s="2332"/>
      <c r="E274" s="2332"/>
      <c r="F274" s="2332"/>
      <c r="G274" s="2332"/>
      <c r="H274" s="2332"/>
      <c r="I274" s="3075"/>
      <c r="J274" s="3075"/>
      <c r="K274" s="3075"/>
      <c r="L274" s="3075"/>
      <c r="M274" s="3075"/>
      <c r="N274" s="3075"/>
      <c r="O274" s="3075"/>
      <c r="P274" s="3075"/>
      <c r="Q274" s="3075"/>
      <c r="R274" s="3075"/>
      <c r="S274" s="3075"/>
      <c r="T274" s="3075"/>
      <c r="U274" s="3847"/>
      <c r="V274" s="2322"/>
      <c r="W274" s="2322"/>
      <c r="X274" s="2322"/>
      <c r="Y274" s="2322"/>
      <c r="Z274" s="2322"/>
      <c r="AA274" s="2322"/>
      <c r="AB274" s="2322"/>
      <c r="AC274" s="2322"/>
      <c r="AD274" s="2322"/>
      <c r="AE274" s="2322"/>
      <c r="AF274" s="2322"/>
      <c r="AG274" s="2322"/>
      <c r="AH274" s="2322"/>
      <c r="AI274" s="2322"/>
      <c r="AJ274" s="2322"/>
      <c r="AK274" s="2322"/>
      <c r="AL274" s="2322"/>
      <c r="AM274" s="2322"/>
    </row>
    <row r="275" spans="1:39">
      <c r="A275" s="89"/>
      <c r="B275" s="89"/>
      <c r="C275" s="3076"/>
      <c r="D275" s="2332"/>
      <c r="E275" s="2332"/>
      <c r="F275" s="2332"/>
      <c r="G275" s="2332"/>
      <c r="H275" s="2332"/>
      <c r="I275" s="3075"/>
      <c r="J275" s="3075"/>
      <c r="K275" s="3075"/>
      <c r="L275" s="3075"/>
      <c r="M275" s="3075"/>
      <c r="N275" s="3075"/>
      <c r="O275" s="3075"/>
      <c r="P275" s="3075"/>
      <c r="Q275" s="3075"/>
      <c r="R275" s="3075"/>
      <c r="S275" s="3075"/>
      <c r="T275" s="3075"/>
      <c r="U275" s="3847"/>
      <c r="V275" s="2322"/>
      <c r="W275" s="2322"/>
      <c r="X275" s="2322"/>
      <c r="Y275" s="2322"/>
      <c r="Z275" s="2322"/>
      <c r="AA275" s="2322"/>
      <c r="AB275" s="2322"/>
      <c r="AC275" s="2322"/>
      <c r="AD275" s="2322"/>
      <c r="AE275" s="2322"/>
      <c r="AF275" s="2322"/>
      <c r="AG275" s="2322"/>
      <c r="AH275" s="2322"/>
      <c r="AI275" s="2322"/>
      <c r="AJ275" s="2322"/>
      <c r="AK275" s="2322"/>
      <c r="AL275" s="2322"/>
      <c r="AM275" s="2322"/>
    </row>
    <row r="276" spans="1:39">
      <c r="A276" s="89"/>
      <c r="B276" s="89"/>
      <c r="C276" s="89"/>
      <c r="D276" s="89"/>
      <c r="E276" s="89"/>
      <c r="F276" s="89"/>
      <c r="G276" s="89"/>
      <c r="H276" s="89"/>
      <c r="I276" s="3847"/>
      <c r="J276" s="3847"/>
      <c r="K276" s="3847"/>
      <c r="L276" s="3847"/>
      <c r="M276" s="3847"/>
      <c r="N276" s="3847"/>
      <c r="O276" s="3847"/>
      <c r="P276" s="3847"/>
      <c r="Q276" s="3847"/>
      <c r="R276" s="3847"/>
      <c r="S276" s="3847"/>
      <c r="T276" s="3847"/>
      <c r="U276" s="3847"/>
      <c r="V276" s="2322"/>
      <c r="W276" s="2322"/>
      <c r="X276" s="2322"/>
      <c r="Y276" s="2322"/>
      <c r="Z276" s="2322"/>
      <c r="AA276" s="2322"/>
      <c r="AB276" s="2322"/>
      <c r="AC276" s="2322"/>
      <c r="AD276" s="2322"/>
      <c r="AE276" s="2322"/>
      <c r="AF276" s="2322"/>
      <c r="AG276" s="2322"/>
      <c r="AH276" s="2322"/>
      <c r="AI276" s="2322"/>
      <c r="AJ276" s="2322"/>
      <c r="AK276" s="2322"/>
      <c r="AL276" s="2322"/>
      <c r="AM276" s="2322"/>
    </row>
    <row r="277" spans="1:39" s="2329" customFormat="1">
      <c r="A277" s="89"/>
      <c r="B277" s="89"/>
      <c r="C277" s="2332"/>
      <c r="D277" s="2332"/>
      <c r="E277" s="2332"/>
      <c r="F277" s="2332"/>
      <c r="G277" s="2332"/>
      <c r="H277" s="2332"/>
      <c r="I277" s="3074"/>
      <c r="J277" s="3074"/>
      <c r="K277" s="3074"/>
      <c r="L277" s="3074"/>
      <c r="M277" s="3074"/>
      <c r="N277" s="3074"/>
      <c r="O277" s="3074"/>
      <c r="P277" s="3074"/>
      <c r="Q277" s="3074"/>
      <c r="R277" s="3074"/>
      <c r="S277" s="3074"/>
      <c r="T277" s="3074"/>
      <c r="U277" s="3847"/>
      <c r="V277" s="2322"/>
      <c r="W277" s="2322"/>
      <c r="X277" s="2322"/>
      <c r="Y277" s="2322"/>
      <c r="Z277" s="2322"/>
      <c r="AA277" s="2322"/>
      <c r="AB277" s="2322"/>
      <c r="AC277" s="2322"/>
      <c r="AD277" s="2322"/>
      <c r="AE277" s="2322"/>
      <c r="AF277" s="2322"/>
      <c r="AG277" s="2322"/>
      <c r="AH277" s="2322"/>
      <c r="AI277" s="2322"/>
      <c r="AJ277" s="2322"/>
      <c r="AK277" s="2322"/>
      <c r="AL277" s="2322"/>
      <c r="AM277" s="2322"/>
    </row>
    <row r="278" spans="1:39">
      <c r="A278" s="89"/>
      <c r="B278" s="89"/>
      <c r="C278" s="3076"/>
      <c r="D278" s="2332"/>
      <c r="E278" s="2332"/>
      <c r="F278" s="2332"/>
      <c r="G278" s="2332"/>
      <c r="H278" s="2332"/>
      <c r="I278" s="3075"/>
      <c r="J278" s="3075"/>
      <c r="K278" s="3075"/>
      <c r="L278" s="3075"/>
      <c r="M278" s="3075"/>
      <c r="N278" s="3075"/>
      <c r="O278" s="3075"/>
      <c r="P278" s="3075"/>
      <c r="Q278" s="3075"/>
      <c r="R278" s="3075"/>
      <c r="S278" s="3075"/>
      <c r="T278" s="3075"/>
      <c r="U278" s="3847"/>
      <c r="V278" s="2322"/>
      <c r="W278" s="2322"/>
      <c r="X278" s="2322"/>
      <c r="Y278" s="2322"/>
      <c r="Z278" s="2322"/>
      <c r="AA278" s="2322"/>
      <c r="AB278" s="2322"/>
      <c r="AC278" s="2322"/>
      <c r="AD278" s="2322"/>
      <c r="AE278" s="2322"/>
      <c r="AF278" s="2322"/>
      <c r="AG278" s="2322"/>
      <c r="AH278" s="2322"/>
      <c r="AI278" s="2322"/>
      <c r="AJ278" s="2322"/>
      <c r="AK278" s="2322"/>
      <c r="AL278" s="2322"/>
      <c r="AM278" s="2322"/>
    </row>
    <row r="279" spans="1:39">
      <c r="A279" s="89"/>
      <c r="B279" s="89"/>
      <c r="C279" s="2332"/>
      <c r="D279" s="2332"/>
      <c r="E279" s="2332"/>
      <c r="F279" s="2332"/>
      <c r="G279" s="2332"/>
      <c r="H279" s="2332"/>
      <c r="I279" s="4021"/>
      <c r="J279" s="4021"/>
      <c r="K279" s="4021"/>
      <c r="L279" s="4021"/>
      <c r="M279" s="4021"/>
      <c r="N279" s="4021"/>
      <c r="O279" s="4021"/>
      <c r="P279" s="4021"/>
      <c r="Q279" s="4021"/>
      <c r="R279" s="4021"/>
      <c r="S279" s="4021"/>
      <c r="T279" s="4021"/>
      <c r="U279" s="3847"/>
      <c r="V279" s="2322"/>
      <c r="W279" s="2322"/>
      <c r="X279" s="2322"/>
      <c r="Y279" s="2322"/>
      <c r="Z279" s="2322"/>
      <c r="AA279" s="2322"/>
      <c r="AB279" s="2322"/>
      <c r="AC279" s="2322"/>
      <c r="AD279" s="2322"/>
      <c r="AE279" s="2322"/>
      <c r="AF279" s="2322"/>
      <c r="AG279" s="2322"/>
      <c r="AH279" s="2322"/>
      <c r="AI279" s="2322"/>
      <c r="AJ279" s="2322"/>
      <c r="AK279" s="2322"/>
      <c r="AL279" s="2322"/>
      <c r="AM279" s="2322"/>
    </row>
    <row r="280" spans="1:39">
      <c r="A280" s="89"/>
      <c r="B280" s="89"/>
      <c r="C280" s="2332"/>
      <c r="D280" s="2332"/>
      <c r="E280" s="2332"/>
      <c r="F280" s="2332"/>
      <c r="G280" s="2332"/>
      <c r="H280" s="2332"/>
      <c r="I280" s="3075"/>
      <c r="J280" s="3075"/>
      <c r="K280" s="3075"/>
      <c r="L280" s="3075"/>
      <c r="M280" s="3075"/>
      <c r="N280" s="3075"/>
      <c r="O280" s="3075"/>
      <c r="P280" s="3075"/>
      <c r="Q280" s="3075"/>
      <c r="R280" s="3075"/>
      <c r="S280" s="3075"/>
      <c r="T280" s="3075"/>
      <c r="U280" s="3847"/>
      <c r="V280" s="2322"/>
      <c r="W280" s="2322"/>
      <c r="X280" s="2322"/>
      <c r="Y280" s="2322"/>
      <c r="Z280" s="2322"/>
      <c r="AA280" s="2322"/>
      <c r="AB280" s="2322"/>
      <c r="AC280" s="2322"/>
      <c r="AD280" s="2322"/>
      <c r="AE280" s="2322"/>
      <c r="AF280" s="2322"/>
      <c r="AG280" s="2322"/>
      <c r="AH280" s="2322"/>
      <c r="AI280" s="2322"/>
      <c r="AJ280" s="2322"/>
      <c r="AK280" s="2322"/>
      <c r="AL280" s="2322"/>
      <c r="AM280" s="2322"/>
    </row>
    <row r="281" spans="1:39" s="89" customFormat="1">
      <c r="C281" s="3076"/>
      <c r="D281" s="2332"/>
      <c r="E281" s="2332"/>
      <c r="F281" s="2332"/>
      <c r="G281" s="2332"/>
      <c r="H281" s="2332"/>
      <c r="I281" s="3075"/>
      <c r="J281" s="3075"/>
      <c r="K281" s="3075"/>
      <c r="L281" s="3075"/>
      <c r="M281" s="3075"/>
      <c r="N281" s="3075"/>
      <c r="O281" s="3075"/>
      <c r="P281" s="3075"/>
      <c r="Q281" s="3075"/>
      <c r="R281" s="3075"/>
      <c r="S281" s="3075"/>
      <c r="T281" s="3075"/>
      <c r="U281" s="3847"/>
      <c r="V281" s="3847"/>
      <c r="W281" s="3847"/>
      <c r="X281" s="3847"/>
      <c r="Y281" s="3847"/>
      <c r="Z281" s="3847"/>
      <c r="AA281" s="3847"/>
      <c r="AB281" s="3847"/>
      <c r="AC281" s="3847"/>
      <c r="AD281" s="3847"/>
      <c r="AE281" s="3847"/>
      <c r="AF281" s="3847"/>
      <c r="AG281" s="3847"/>
      <c r="AH281" s="3847"/>
      <c r="AI281" s="3847"/>
      <c r="AJ281" s="3847"/>
      <c r="AK281" s="3847"/>
      <c r="AL281" s="3847"/>
      <c r="AM281" s="3847"/>
    </row>
    <row r="282" spans="1:39" s="2329" customFormat="1">
      <c r="A282" s="89"/>
      <c r="B282" s="89"/>
      <c r="C282" s="2332"/>
      <c r="D282" s="2332"/>
      <c r="E282" s="2332"/>
      <c r="F282" s="2332"/>
      <c r="G282" s="2332"/>
      <c r="H282" s="2332"/>
      <c r="I282" s="3074"/>
      <c r="J282" s="3074"/>
      <c r="K282" s="3074"/>
      <c r="L282" s="3074"/>
      <c r="M282" s="3074"/>
      <c r="N282" s="3074"/>
      <c r="O282" s="3074"/>
      <c r="P282" s="3074"/>
      <c r="Q282" s="3074"/>
      <c r="R282" s="3074"/>
      <c r="S282" s="3074"/>
      <c r="T282" s="3074"/>
      <c r="U282" s="3847"/>
      <c r="V282" s="2322"/>
      <c r="W282" s="2322"/>
      <c r="X282" s="2322"/>
      <c r="Y282" s="2322"/>
      <c r="Z282" s="2322"/>
      <c r="AA282" s="2322"/>
      <c r="AB282" s="2322"/>
      <c r="AC282" s="2322"/>
      <c r="AD282" s="2322"/>
      <c r="AE282" s="2322"/>
      <c r="AF282" s="2322"/>
      <c r="AG282" s="2322"/>
      <c r="AH282" s="2322"/>
      <c r="AI282" s="2322"/>
      <c r="AJ282" s="2322"/>
      <c r="AK282" s="2322"/>
      <c r="AL282" s="2322"/>
      <c r="AM282" s="2322"/>
    </row>
    <row r="283" spans="1:39">
      <c r="A283" s="89"/>
      <c r="B283" s="89"/>
      <c r="C283" s="3076"/>
      <c r="D283" s="2332"/>
      <c r="E283" s="2332"/>
      <c r="F283" s="2332"/>
      <c r="G283" s="2332"/>
      <c r="H283" s="2332"/>
      <c r="I283" s="3075"/>
      <c r="J283" s="3075"/>
      <c r="K283" s="3075"/>
      <c r="L283" s="3075"/>
      <c r="M283" s="3075"/>
      <c r="N283" s="3075"/>
      <c r="O283" s="3075"/>
      <c r="P283" s="3075"/>
      <c r="Q283" s="3075"/>
      <c r="R283" s="3075"/>
      <c r="S283" s="3075"/>
      <c r="T283" s="3075"/>
      <c r="U283" s="3847"/>
      <c r="V283" s="2322"/>
      <c r="W283" s="2322"/>
      <c r="X283" s="2322"/>
      <c r="Y283" s="2322"/>
      <c r="Z283" s="2322"/>
      <c r="AA283" s="2322"/>
      <c r="AB283" s="2322"/>
      <c r="AC283" s="2322"/>
      <c r="AD283" s="2322"/>
      <c r="AE283" s="2322"/>
      <c r="AF283" s="2322"/>
      <c r="AG283" s="2322"/>
      <c r="AH283" s="2322"/>
      <c r="AI283" s="2322"/>
      <c r="AJ283" s="2322"/>
      <c r="AK283" s="2322"/>
      <c r="AL283" s="2322"/>
      <c r="AM283" s="2322"/>
    </row>
    <row r="284" spans="1:39">
      <c r="A284" s="89"/>
      <c r="B284" s="89"/>
      <c r="C284" s="3076"/>
      <c r="D284" s="2332"/>
      <c r="E284" s="2332"/>
      <c r="F284" s="2332"/>
      <c r="G284" s="2332"/>
      <c r="H284" s="2332"/>
      <c r="I284" s="3075"/>
      <c r="J284" s="3075"/>
      <c r="K284" s="3075"/>
      <c r="L284" s="3075"/>
      <c r="M284" s="3075"/>
      <c r="N284" s="3075"/>
      <c r="O284" s="3075"/>
      <c r="P284" s="3075"/>
      <c r="Q284" s="3075"/>
      <c r="R284" s="3075"/>
      <c r="S284" s="3075"/>
      <c r="T284" s="3075"/>
      <c r="U284" s="3847"/>
      <c r="V284" s="2322"/>
      <c r="W284" s="2322"/>
      <c r="X284" s="2322"/>
      <c r="Y284" s="2322"/>
      <c r="Z284" s="2322"/>
      <c r="AA284" s="2322"/>
      <c r="AB284" s="2322"/>
      <c r="AC284" s="2322"/>
      <c r="AD284" s="2322"/>
      <c r="AE284" s="2322"/>
      <c r="AF284" s="2322"/>
      <c r="AG284" s="2322"/>
      <c r="AH284" s="2322"/>
      <c r="AI284" s="2322"/>
      <c r="AJ284" s="2322"/>
      <c r="AK284" s="2322"/>
      <c r="AL284" s="2322"/>
      <c r="AM284" s="2322"/>
    </row>
    <row r="285" spans="1:39">
      <c r="A285" s="89"/>
      <c r="B285" s="89"/>
      <c r="C285" s="3076"/>
      <c r="D285" s="2332"/>
      <c r="E285" s="2332"/>
      <c r="F285" s="2332"/>
      <c r="G285" s="2332"/>
      <c r="H285" s="2332"/>
      <c r="I285" s="3075"/>
      <c r="J285" s="3075"/>
      <c r="K285" s="3075"/>
      <c r="L285" s="3075"/>
      <c r="M285" s="3075"/>
      <c r="N285" s="3075"/>
      <c r="O285" s="3075"/>
      <c r="P285" s="3075"/>
      <c r="Q285" s="3075"/>
      <c r="R285" s="3075"/>
      <c r="S285" s="3075"/>
      <c r="T285" s="3075"/>
      <c r="U285" s="3847"/>
      <c r="V285" s="2322"/>
      <c r="W285" s="2322"/>
      <c r="X285" s="2322"/>
      <c r="Y285" s="2322"/>
      <c r="Z285" s="2322"/>
      <c r="AA285" s="2322"/>
      <c r="AB285" s="2322"/>
      <c r="AC285" s="2322"/>
      <c r="AD285" s="2322"/>
      <c r="AE285" s="2322"/>
      <c r="AF285" s="2322"/>
      <c r="AG285" s="2322"/>
      <c r="AH285" s="2322"/>
      <c r="AI285" s="2322"/>
      <c r="AJ285" s="2322"/>
      <c r="AK285" s="2322"/>
      <c r="AL285" s="2322"/>
      <c r="AM285" s="2322"/>
    </row>
    <row r="286" spans="1:39" s="89" customFormat="1">
      <c r="C286" s="3076"/>
      <c r="D286" s="2332"/>
      <c r="E286" s="2332"/>
      <c r="F286" s="2332"/>
      <c r="G286" s="2332"/>
      <c r="H286" s="2332"/>
      <c r="I286" s="3075"/>
      <c r="J286" s="3075"/>
      <c r="K286" s="3075"/>
      <c r="L286" s="3075"/>
      <c r="M286" s="3075"/>
      <c r="N286" s="3075"/>
      <c r="O286" s="3075"/>
      <c r="P286" s="3075"/>
      <c r="Q286" s="3075"/>
      <c r="R286" s="3075"/>
      <c r="S286" s="3075"/>
      <c r="T286" s="3075"/>
      <c r="U286" s="3847"/>
      <c r="V286" s="3847"/>
      <c r="W286" s="3847"/>
      <c r="X286" s="3847"/>
      <c r="Y286" s="3847"/>
      <c r="Z286" s="3847"/>
      <c r="AA286" s="3847"/>
      <c r="AB286" s="3847"/>
      <c r="AC286" s="3847"/>
      <c r="AD286" s="3847"/>
      <c r="AE286" s="3847"/>
      <c r="AF286" s="3847"/>
      <c r="AG286" s="3847"/>
      <c r="AH286" s="3847"/>
      <c r="AI286" s="3847"/>
      <c r="AJ286" s="3847"/>
      <c r="AK286" s="3847"/>
      <c r="AL286" s="3847"/>
      <c r="AM286" s="3847"/>
    </row>
    <row r="287" spans="1:39" s="2329" customFormat="1">
      <c r="A287" s="89"/>
      <c r="B287" s="89"/>
      <c r="C287" s="2332"/>
      <c r="D287" s="2332"/>
      <c r="E287" s="2332"/>
      <c r="F287" s="2332"/>
      <c r="G287" s="2332"/>
      <c r="H287" s="2332"/>
      <c r="I287" s="3074"/>
      <c r="J287" s="3074"/>
      <c r="K287" s="3074"/>
      <c r="L287" s="3074"/>
      <c r="M287" s="3074"/>
      <c r="N287" s="3074"/>
      <c r="O287" s="3074"/>
      <c r="P287" s="3074"/>
      <c r="Q287" s="3074"/>
      <c r="R287" s="3074"/>
      <c r="S287" s="3074"/>
      <c r="T287" s="3074"/>
      <c r="U287" s="3847"/>
      <c r="V287" s="2322"/>
      <c r="W287" s="2322"/>
      <c r="X287" s="2322"/>
      <c r="Y287" s="2322"/>
      <c r="Z287" s="2322"/>
      <c r="AA287" s="2322"/>
      <c r="AB287" s="2322"/>
      <c r="AC287" s="2322"/>
      <c r="AD287" s="2322"/>
      <c r="AE287" s="2322"/>
      <c r="AF287" s="2322"/>
      <c r="AG287" s="2322"/>
      <c r="AH287" s="2322"/>
      <c r="AI287" s="2322"/>
      <c r="AJ287" s="2322"/>
      <c r="AK287" s="2322"/>
      <c r="AL287" s="2322"/>
      <c r="AM287" s="2322"/>
    </row>
    <row r="288" spans="1:39">
      <c r="A288" s="89"/>
      <c r="B288" s="89"/>
      <c r="C288" s="2332"/>
      <c r="D288" s="2332"/>
      <c r="E288" s="2332"/>
      <c r="F288" s="2332"/>
      <c r="G288" s="2332"/>
      <c r="H288" s="2332"/>
      <c r="I288" s="3074"/>
      <c r="J288" s="3074"/>
      <c r="K288" s="3074"/>
      <c r="L288" s="3074"/>
      <c r="M288" s="3074"/>
      <c r="N288" s="3074"/>
      <c r="O288" s="3074"/>
      <c r="P288" s="3074"/>
      <c r="Q288" s="3074"/>
      <c r="R288" s="3074"/>
      <c r="S288" s="3074"/>
      <c r="T288" s="3074"/>
      <c r="U288" s="3847"/>
      <c r="V288" s="2322"/>
      <c r="W288" s="2322"/>
      <c r="X288" s="2322"/>
      <c r="Y288" s="2322"/>
      <c r="Z288" s="2322"/>
      <c r="AA288" s="2322"/>
      <c r="AB288" s="2322"/>
      <c r="AC288" s="2322"/>
      <c r="AD288" s="2322"/>
      <c r="AE288" s="2322"/>
      <c r="AF288" s="2322"/>
      <c r="AG288" s="2322"/>
      <c r="AH288" s="2322"/>
      <c r="AI288" s="2322"/>
      <c r="AJ288" s="2322"/>
      <c r="AK288" s="2322"/>
      <c r="AL288" s="2322"/>
      <c r="AM288" s="2322"/>
    </row>
    <row r="289" spans="1:39">
      <c r="A289" s="89"/>
      <c r="B289" s="89"/>
      <c r="C289" s="2332"/>
      <c r="D289" s="2332"/>
      <c r="E289" s="2332"/>
      <c r="F289" s="2332"/>
      <c r="G289" s="2332"/>
      <c r="H289" s="2332"/>
      <c r="I289" s="3074"/>
      <c r="J289" s="3074"/>
      <c r="K289" s="3074"/>
      <c r="L289" s="3074"/>
      <c r="M289" s="3074"/>
      <c r="N289" s="3074"/>
      <c r="O289" s="3074"/>
      <c r="P289" s="3074"/>
      <c r="Q289" s="3074"/>
      <c r="R289" s="3074"/>
      <c r="S289" s="3074"/>
      <c r="T289" s="3074"/>
      <c r="U289" s="3847"/>
      <c r="V289" s="2322"/>
      <c r="W289" s="2322"/>
      <c r="X289" s="2322"/>
      <c r="Y289" s="2322"/>
      <c r="Z289" s="2322"/>
      <c r="AA289" s="2322"/>
      <c r="AB289" s="2322"/>
      <c r="AC289" s="2322"/>
      <c r="AD289" s="2322"/>
      <c r="AE289" s="2322"/>
      <c r="AF289" s="2322"/>
      <c r="AG289" s="2322"/>
      <c r="AH289" s="2322"/>
      <c r="AI289" s="2322"/>
      <c r="AJ289" s="2322"/>
      <c r="AK289" s="2322"/>
      <c r="AL289" s="2322"/>
      <c r="AM289" s="2322"/>
    </row>
    <row r="290" spans="1:39">
      <c r="A290" s="89"/>
      <c r="B290" s="89"/>
      <c r="C290" s="2332"/>
      <c r="D290" s="2332"/>
      <c r="E290" s="2332"/>
      <c r="F290" s="2332"/>
      <c r="G290" s="2332"/>
      <c r="H290" s="2332"/>
      <c r="I290" s="3074"/>
      <c r="J290" s="3074"/>
      <c r="K290" s="3074"/>
      <c r="L290" s="3074"/>
      <c r="M290" s="3074"/>
      <c r="N290" s="3074"/>
      <c r="O290" s="3074"/>
      <c r="P290" s="3074"/>
      <c r="Q290" s="3074"/>
      <c r="R290" s="3074"/>
      <c r="S290" s="3074"/>
      <c r="T290" s="3074"/>
      <c r="U290" s="3847"/>
      <c r="V290" s="2322"/>
      <c r="W290" s="2322"/>
      <c r="X290" s="2322"/>
      <c r="Y290" s="2322"/>
      <c r="Z290" s="2322"/>
      <c r="AA290" s="2322"/>
      <c r="AB290" s="2322"/>
      <c r="AC290" s="2322"/>
      <c r="AD290" s="2322"/>
      <c r="AE290" s="2322"/>
      <c r="AF290" s="2322"/>
      <c r="AG290" s="2322"/>
      <c r="AH290" s="2322"/>
      <c r="AI290" s="2322"/>
      <c r="AJ290" s="2322"/>
      <c r="AK290" s="2322"/>
      <c r="AL290" s="2322"/>
      <c r="AM290" s="2322"/>
    </row>
    <row r="291" spans="1:39">
      <c r="A291" s="89"/>
      <c r="B291" s="89"/>
      <c r="C291" s="89"/>
      <c r="D291" s="89"/>
      <c r="E291" s="89"/>
      <c r="F291" s="89"/>
      <c r="G291" s="89"/>
      <c r="H291" s="89"/>
      <c r="I291" s="3847"/>
      <c r="J291" s="3847"/>
      <c r="K291" s="3847"/>
      <c r="L291" s="3847"/>
      <c r="M291" s="3847"/>
      <c r="N291" s="3847"/>
      <c r="O291" s="3847"/>
      <c r="P291" s="3847"/>
      <c r="Q291" s="3847"/>
      <c r="R291" s="3847"/>
      <c r="S291" s="3847"/>
      <c r="T291" s="3847"/>
      <c r="U291" s="3847"/>
      <c r="V291" s="2322"/>
      <c r="W291" s="2322"/>
      <c r="X291" s="2322"/>
      <c r="Y291" s="2322"/>
      <c r="Z291" s="2322"/>
      <c r="AA291" s="2322"/>
      <c r="AB291" s="2322"/>
      <c r="AC291" s="2322"/>
      <c r="AD291" s="2322"/>
      <c r="AE291" s="2322"/>
      <c r="AF291" s="2322"/>
      <c r="AG291" s="2322"/>
      <c r="AH291" s="2322"/>
      <c r="AI291" s="2322"/>
      <c r="AJ291" s="2322"/>
      <c r="AK291" s="2322"/>
      <c r="AL291" s="2322"/>
      <c r="AM291" s="2322"/>
    </row>
    <row r="292" spans="1:39">
      <c r="A292" s="89"/>
      <c r="B292" s="89"/>
      <c r="C292" s="89"/>
      <c r="D292" s="89"/>
      <c r="E292" s="89"/>
      <c r="F292" s="89"/>
      <c r="G292" s="89"/>
      <c r="H292" s="89"/>
      <c r="I292" s="3847"/>
      <c r="J292" s="3847"/>
      <c r="K292" s="3847"/>
      <c r="L292" s="3847"/>
      <c r="M292" s="3847"/>
      <c r="N292" s="3847"/>
      <c r="O292" s="3847"/>
      <c r="P292" s="3847"/>
      <c r="Q292" s="3847"/>
      <c r="R292" s="3847"/>
      <c r="S292" s="3847"/>
      <c r="T292" s="3847"/>
      <c r="U292" s="3847"/>
      <c r="V292" s="2322"/>
      <c r="W292" s="2322"/>
      <c r="X292" s="2322"/>
      <c r="Y292" s="2322"/>
      <c r="Z292" s="2322"/>
      <c r="AA292" s="2322"/>
      <c r="AB292" s="2322"/>
      <c r="AC292" s="2322"/>
      <c r="AD292" s="2322"/>
      <c r="AE292" s="2322"/>
      <c r="AF292" s="2322"/>
      <c r="AG292" s="2322"/>
      <c r="AH292" s="2322"/>
      <c r="AI292" s="2322"/>
      <c r="AJ292" s="2322"/>
      <c r="AK292" s="2322"/>
      <c r="AL292" s="2322"/>
      <c r="AM292" s="2322"/>
    </row>
    <row r="293" spans="1:39">
      <c r="A293" s="89"/>
      <c r="B293" s="89"/>
      <c r="C293" s="89"/>
      <c r="D293" s="89"/>
      <c r="E293" s="89"/>
      <c r="F293" s="89"/>
      <c r="G293" s="89"/>
      <c r="H293" s="89"/>
      <c r="I293" s="3847"/>
      <c r="J293" s="3847"/>
      <c r="K293" s="3847"/>
      <c r="L293" s="3847"/>
      <c r="M293" s="3847"/>
      <c r="N293" s="3847"/>
      <c r="O293" s="3847"/>
      <c r="P293" s="3847"/>
      <c r="Q293" s="3847"/>
      <c r="R293" s="3847"/>
      <c r="S293" s="3847"/>
      <c r="T293" s="3847"/>
      <c r="U293" s="3847"/>
      <c r="V293" s="2322"/>
      <c r="W293" s="2322"/>
      <c r="X293" s="2322"/>
      <c r="Y293" s="2322"/>
      <c r="Z293" s="2322"/>
      <c r="AA293" s="2322"/>
      <c r="AB293" s="2322"/>
      <c r="AC293" s="2322"/>
      <c r="AD293" s="2322"/>
      <c r="AE293" s="2322"/>
      <c r="AF293" s="2322"/>
      <c r="AG293" s="2322"/>
      <c r="AH293" s="2322"/>
      <c r="AI293" s="2322"/>
      <c r="AJ293" s="2322"/>
      <c r="AK293" s="2322"/>
      <c r="AL293" s="2322"/>
      <c r="AM293" s="2322"/>
    </row>
    <row r="294" spans="1:39">
      <c r="A294" s="89"/>
      <c r="B294" s="89"/>
      <c r="C294" s="89"/>
      <c r="D294" s="89"/>
      <c r="E294" s="89"/>
      <c r="F294" s="89"/>
      <c r="G294" s="89"/>
      <c r="H294" s="89"/>
      <c r="I294" s="3847"/>
      <c r="J294" s="3847"/>
      <c r="K294" s="3847"/>
      <c r="L294" s="3847"/>
      <c r="M294" s="3847"/>
      <c r="N294" s="3847"/>
      <c r="O294" s="3847"/>
      <c r="P294" s="3847"/>
      <c r="Q294" s="3847"/>
      <c r="R294" s="3847"/>
      <c r="S294" s="3847"/>
      <c r="T294" s="3847"/>
      <c r="U294" s="3847"/>
      <c r="V294" s="2322"/>
      <c r="W294" s="2322"/>
      <c r="X294" s="2322"/>
      <c r="Y294" s="2322"/>
      <c r="Z294" s="2322"/>
      <c r="AA294" s="2322"/>
      <c r="AB294" s="2322"/>
      <c r="AC294" s="2322"/>
      <c r="AD294" s="2322"/>
      <c r="AE294" s="2322"/>
      <c r="AF294" s="2322"/>
      <c r="AG294" s="2322"/>
      <c r="AH294" s="2322"/>
      <c r="AI294" s="2322"/>
      <c r="AJ294" s="2322"/>
      <c r="AK294" s="2322"/>
      <c r="AL294" s="2322"/>
      <c r="AM294" s="2322"/>
    </row>
    <row r="295" spans="1:39">
      <c r="A295" s="89"/>
      <c r="B295" s="89"/>
      <c r="C295" s="89"/>
      <c r="D295" s="89"/>
      <c r="E295" s="89"/>
      <c r="F295" s="89"/>
      <c r="G295" s="89"/>
      <c r="H295" s="89"/>
      <c r="I295" s="3847"/>
      <c r="J295" s="3847"/>
      <c r="K295" s="3847"/>
      <c r="L295" s="3847"/>
      <c r="M295" s="3847"/>
      <c r="N295" s="3847"/>
      <c r="O295" s="3847"/>
      <c r="P295" s="3847"/>
      <c r="Q295" s="3847"/>
      <c r="R295" s="3847"/>
      <c r="S295" s="3847"/>
      <c r="T295" s="3847"/>
      <c r="U295" s="3847"/>
      <c r="V295" s="2322"/>
      <c r="W295" s="2322"/>
      <c r="X295" s="2322"/>
      <c r="Y295" s="2322"/>
      <c r="Z295" s="2322"/>
      <c r="AA295" s="2322"/>
      <c r="AB295" s="2322"/>
      <c r="AC295" s="2322"/>
      <c r="AD295" s="2322"/>
      <c r="AE295" s="2322"/>
      <c r="AF295" s="2322"/>
      <c r="AG295" s="2322"/>
      <c r="AH295" s="2322"/>
      <c r="AI295" s="2322"/>
      <c r="AJ295" s="2322"/>
      <c r="AK295" s="2322"/>
      <c r="AL295" s="2322"/>
      <c r="AM295" s="2322"/>
    </row>
    <row r="296" spans="1:39">
      <c r="A296" s="89"/>
      <c r="B296" s="89"/>
      <c r="C296" s="89"/>
      <c r="D296" s="89"/>
      <c r="E296" s="89"/>
      <c r="F296" s="89"/>
      <c r="G296" s="89"/>
      <c r="H296" s="89"/>
      <c r="I296" s="3847"/>
      <c r="J296" s="3847"/>
      <c r="K296" s="3847"/>
      <c r="L296" s="3847"/>
      <c r="M296" s="3847"/>
      <c r="N296" s="3847"/>
      <c r="O296" s="3847"/>
      <c r="P296" s="3847"/>
      <c r="Q296" s="3847"/>
      <c r="R296" s="3847"/>
      <c r="S296" s="3847"/>
      <c r="T296" s="3847"/>
      <c r="U296" s="3847"/>
      <c r="V296" s="2322"/>
      <c r="W296" s="2322"/>
      <c r="X296" s="2322"/>
      <c r="Y296" s="2322"/>
      <c r="Z296" s="2322"/>
      <c r="AA296" s="2322"/>
      <c r="AB296" s="2322"/>
      <c r="AC296" s="2322"/>
      <c r="AD296" s="2322"/>
      <c r="AE296" s="2322"/>
      <c r="AF296" s="2322"/>
      <c r="AG296" s="2322"/>
      <c r="AH296" s="2322"/>
      <c r="AI296" s="2322"/>
      <c r="AJ296" s="2322"/>
      <c r="AK296" s="2322"/>
      <c r="AL296" s="2322"/>
      <c r="AM296" s="2322"/>
    </row>
    <row r="297" spans="1:39">
      <c r="A297" s="89"/>
      <c r="B297" s="89"/>
      <c r="C297" s="89"/>
      <c r="D297" s="89"/>
      <c r="E297" s="89"/>
      <c r="F297" s="89"/>
      <c r="G297" s="89"/>
      <c r="H297" s="89"/>
      <c r="I297" s="3847"/>
      <c r="J297" s="3847"/>
      <c r="K297" s="3847"/>
      <c r="L297" s="3847"/>
      <c r="M297" s="3847"/>
      <c r="N297" s="3847"/>
      <c r="O297" s="3847"/>
      <c r="P297" s="3847"/>
      <c r="Q297" s="3847"/>
      <c r="R297" s="3847"/>
      <c r="S297" s="3847"/>
      <c r="T297" s="3847"/>
      <c r="U297" s="3847"/>
      <c r="V297" s="2322"/>
      <c r="W297" s="2322"/>
      <c r="X297" s="2322"/>
      <c r="Y297" s="2322"/>
      <c r="Z297" s="2322"/>
      <c r="AA297" s="2322"/>
      <c r="AB297" s="2322"/>
      <c r="AC297" s="2322"/>
      <c r="AD297" s="2322"/>
      <c r="AE297" s="2322"/>
      <c r="AF297" s="2322"/>
      <c r="AG297" s="2322"/>
      <c r="AH297" s="2322"/>
      <c r="AI297" s="2322"/>
      <c r="AJ297" s="2322"/>
      <c r="AK297" s="2322"/>
      <c r="AL297" s="2322"/>
      <c r="AM297" s="2322"/>
    </row>
    <row r="298" spans="1:39">
      <c r="A298" s="89"/>
      <c r="B298" s="89"/>
      <c r="C298" s="89"/>
      <c r="D298" s="89"/>
      <c r="E298" s="89"/>
      <c r="F298" s="89"/>
      <c r="G298" s="89"/>
      <c r="H298" s="89"/>
      <c r="I298" s="3847"/>
      <c r="J298" s="3847"/>
      <c r="K298" s="3847"/>
      <c r="L298" s="3847"/>
      <c r="M298" s="3847"/>
      <c r="N298" s="3847"/>
      <c r="O298" s="3847"/>
      <c r="P298" s="3847"/>
      <c r="Q298" s="3847"/>
      <c r="R298" s="3847"/>
      <c r="S298" s="3847"/>
      <c r="T298" s="3847"/>
      <c r="U298" s="3847"/>
      <c r="V298" s="2322"/>
      <c r="W298" s="2322"/>
      <c r="X298" s="2322"/>
      <c r="Y298" s="2322"/>
      <c r="Z298" s="2322"/>
      <c r="AA298" s="2322"/>
      <c r="AB298" s="2322"/>
      <c r="AC298" s="2322"/>
      <c r="AD298" s="2322"/>
      <c r="AE298" s="2322"/>
      <c r="AF298" s="2322"/>
      <c r="AG298" s="2322"/>
      <c r="AH298" s="2322"/>
      <c r="AI298" s="2322"/>
      <c r="AJ298" s="2322"/>
      <c r="AK298" s="2322"/>
      <c r="AL298" s="2322"/>
      <c r="AM298" s="2322"/>
    </row>
    <row r="299" spans="1:39">
      <c r="A299" s="89"/>
      <c r="B299" s="89"/>
      <c r="C299" s="89"/>
      <c r="D299" s="89"/>
      <c r="E299" s="89"/>
      <c r="F299" s="89"/>
      <c r="G299" s="89"/>
      <c r="H299" s="89"/>
      <c r="I299" s="3847"/>
      <c r="J299" s="3847"/>
      <c r="K299" s="3847"/>
      <c r="L299" s="3847"/>
      <c r="M299" s="3847"/>
      <c r="N299" s="3847"/>
      <c r="O299" s="3847"/>
      <c r="P299" s="3847"/>
      <c r="Q299" s="3847"/>
      <c r="R299" s="3847"/>
      <c r="S299" s="3847"/>
      <c r="T299" s="3847"/>
      <c r="U299" s="3847"/>
      <c r="V299" s="2322"/>
      <c r="W299" s="2322"/>
      <c r="X299" s="2322"/>
      <c r="Y299" s="2322"/>
      <c r="Z299" s="2322"/>
      <c r="AA299" s="2322"/>
      <c r="AB299" s="2322"/>
      <c r="AC299" s="2322"/>
      <c r="AD299" s="2322"/>
      <c r="AE299" s="2322"/>
      <c r="AF299" s="2322"/>
      <c r="AG299" s="2322"/>
      <c r="AH299" s="2322"/>
      <c r="AI299" s="2322"/>
      <c r="AJ299" s="2322"/>
      <c r="AK299" s="2322"/>
      <c r="AL299" s="2322"/>
      <c r="AM299" s="2322"/>
    </row>
    <row r="300" spans="1:39">
      <c r="A300" s="89"/>
      <c r="B300" s="89"/>
      <c r="C300" s="89"/>
      <c r="D300" s="89"/>
      <c r="E300" s="89"/>
      <c r="F300" s="89"/>
      <c r="G300" s="89"/>
      <c r="H300" s="89"/>
      <c r="I300" s="3847"/>
      <c r="J300" s="3847"/>
      <c r="K300" s="3847"/>
      <c r="L300" s="3847"/>
      <c r="M300" s="3847"/>
      <c r="N300" s="3847"/>
      <c r="O300" s="3847"/>
      <c r="P300" s="3847"/>
      <c r="Q300" s="3847"/>
      <c r="R300" s="3847"/>
      <c r="S300" s="3847"/>
      <c r="T300" s="3847"/>
      <c r="U300" s="3847"/>
      <c r="V300" s="2322"/>
      <c r="W300" s="2322"/>
      <c r="X300" s="2322"/>
      <c r="Y300" s="2322"/>
      <c r="Z300" s="2322"/>
      <c r="AA300" s="2322"/>
      <c r="AB300" s="2322"/>
      <c r="AC300" s="2322"/>
      <c r="AD300" s="2322"/>
      <c r="AE300" s="2322"/>
      <c r="AF300" s="2322"/>
      <c r="AG300" s="2322"/>
      <c r="AH300" s="2322"/>
      <c r="AI300" s="2322"/>
      <c r="AJ300" s="2322"/>
      <c r="AK300" s="2322"/>
      <c r="AL300" s="2322"/>
      <c r="AM300" s="2322"/>
    </row>
    <row r="301" spans="1:39">
      <c r="A301" s="89"/>
      <c r="B301" s="89"/>
      <c r="C301" s="89"/>
      <c r="D301" s="89"/>
      <c r="E301" s="89"/>
      <c r="F301" s="89"/>
      <c r="G301" s="89"/>
      <c r="H301" s="89"/>
      <c r="I301" s="3847"/>
      <c r="J301" s="3847"/>
      <c r="K301" s="3847"/>
      <c r="L301" s="3847"/>
      <c r="M301" s="3847"/>
      <c r="N301" s="3847"/>
      <c r="O301" s="3847"/>
      <c r="P301" s="3847"/>
      <c r="Q301" s="3847"/>
      <c r="R301" s="3847"/>
      <c r="S301" s="3847"/>
      <c r="T301" s="3847"/>
      <c r="U301" s="3847"/>
      <c r="V301" s="2322"/>
      <c r="W301" s="2322"/>
      <c r="X301" s="2322"/>
      <c r="Y301" s="2322"/>
      <c r="Z301" s="2322"/>
      <c r="AA301" s="2322"/>
      <c r="AB301" s="2322"/>
      <c r="AC301" s="2322"/>
      <c r="AD301" s="2322"/>
      <c r="AE301" s="2322"/>
      <c r="AF301" s="2322"/>
      <c r="AG301" s="2322"/>
      <c r="AH301" s="2322"/>
      <c r="AI301" s="2322"/>
      <c r="AJ301" s="2322"/>
      <c r="AK301" s="2322"/>
      <c r="AL301" s="2322"/>
      <c r="AM301" s="2322"/>
    </row>
    <row r="302" spans="1:39">
      <c r="A302" s="89"/>
      <c r="B302" s="89"/>
      <c r="C302" s="89"/>
      <c r="D302" s="89"/>
      <c r="E302" s="89"/>
      <c r="F302" s="89"/>
      <c r="G302" s="89"/>
      <c r="H302" s="89"/>
      <c r="I302" s="3847"/>
      <c r="J302" s="3847"/>
      <c r="K302" s="3847"/>
      <c r="L302" s="3847"/>
      <c r="M302" s="3847"/>
      <c r="N302" s="3847"/>
      <c r="O302" s="3847"/>
      <c r="P302" s="3847"/>
      <c r="Q302" s="3847"/>
      <c r="R302" s="3847"/>
      <c r="S302" s="3847"/>
      <c r="T302" s="3847"/>
      <c r="U302" s="3847"/>
      <c r="V302" s="2322"/>
      <c r="W302" s="2322"/>
      <c r="X302" s="2322"/>
      <c r="Y302" s="2322"/>
      <c r="Z302" s="2322"/>
      <c r="AA302" s="2322"/>
      <c r="AB302" s="2322"/>
      <c r="AC302" s="2322"/>
      <c r="AD302" s="2322"/>
      <c r="AE302" s="2322"/>
      <c r="AF302" s="2322"/>
      <c r="AG302" s="2322"/>
      <c r="AH302" s="2322"/>
      <c r="AI302" s="2322"/>
      <c r="AJ302" s="2322"/>
      <c r="AK302" s="2322"/>
      <c r="AL302" s="2322"/>
      <c r="AM302" s="2322"/>
    </row>
    <row r="303" spans="1:39">
      <c r="A303" s="89"/>
      <c r="B303" s="89"/>
      <c r="C303" s="89"/>
      <c r="D303" s="89"/>
      <c r="E303" s="89"/>
      <c r="F303" s="89"/>
      <c r="G303" s="89"/>
      <c r="H303" s="89"/>
      <c r="I303" s="3847"/>
      <c r="J303" s="3847"/>
      <c r="K303" s="3847"/>
      <c r="L303" s="3847"/>
      <c r="M303" s="3847"/>
      <c r="N303" s="3847"/>
      <c r="O303" s="3847"/>
      <c r="P303" s="3847"/>
      <c r="Q303" s="3847"/>
      <c r="R303" s="3847"/>
      <c r="S303" s="3847"/>
      <c r="T303" s="3847"/>
      <c r="U303" s="3847"/>
      <c r="V303" s="2322"/>
      <c r="W303" s="2322"/>
      <c r="X303" s="2322"/>
      <c r="Y303" s="2322"/>
      <c r="Z303" s="2322"/>
      <c r="AA303" s="2322"/>
      <c r="AB303" s="2322"/>
      <c r="AC303" s="2322"/>
      <c r="AD303" s="2322"/>
      <c r="AE303" s="2322"/>
      <c r="AF303" s="2322"/>
      <c r="AG303" s="2322"/>
      <c r="AH303" s="2322"/>
      <c r="AI303" s="2322"/>
      <c r="AJ303" s="2322"/>
      <c r="AK303" s="2322"/>
      <c r="AL303" s="2322"/>
      <c r="AM303" s="2322"/>
    </row>
    <row r="304" spans="1:39">
      <c r="A304" s="89"/>
      <c r="B304" s="89"/>
      <c r="C304" s="89"/>
      <c r="D304" s="89"/>
      <c r="E304" s="89"/>
      <c r="F304" s="89"/>
      <c r="G304" s="89"/>
      <c r="H304" s="89"/>
      <c r="I304" s="3847"/>
      <c r="J304" s="3847"/>
      <c r="K304" s="3847"/>
      <c r="L304" s="3847"/>
      <c r="M304" s="3847"/>
      <c r="N304" s="3847"/>
      <c r="O304" s="3847"/>
      <c r="P304" s="3847"/>
      <c r="Q304" s="3847"/>
      <c r="R304" s="3847"/>
      <c r="S304" s="3847"/>
      <c r="T304" s="3847"/>
      <c r="U304" s="3847"/>
      <c r="V304" s="2322"/>
      <c r="W304" s="2322"/>
      <c r="X304" s="2322"/>
      <c r="Y304" s="2322"/>
      <c r="Z304" s="2322"/>
      <c r="AA304" s="2322"/>
      <c r="AB304" s="2322"/>
      <c r="AC304" s="2322"/>
      <c r="AD304" s="2322"/>
      <c r="AE304" s="2322"/>
      <c r="AF304" s="2322"/>
      <c r="AG304" s="2322"/>
      <c r="AH304" s="2322"/>
      <c r="AI304" s="2322"/>
      <c r="AJ304" s="2322"/>
      <c r="AK304" s="2322"/>
      <c r="AL304" s="2322"/>
      <c r="AM304" s="2322"/>
    </row>
    <row r="305" spans="1:39">
      <c r="A305" s="89"/>
      <c r="B305" s="89"/>
      <c r="C305" s="89"/>
      <c r="D305" s="89"/>
      <c r="E305" s="89"/>
      <c r="F305" s="89"/>
      <c r="G305" s="89"/>
      <c r="H305" s="89"/>
      <c r="I305" s="3847"/>
      <c r="J305" s="3847"/>
      <c r="K305" s="3847"/>
      <c r="L305" s="3847"/>
      <c r="M305" s="3847"/>
      <c r="N305" s="3847"/>
      <c r="O305" s="3847"/>
      <c r="P305" s="3847"/>
      <c r="Q305" s="3847"/>
      <c r="R305" s="3847"/>
      <c r="S305" s="3847"/>
      <c r="T305" s="3847"/>
      <c r="U305" s="3847"/>
      <c r="V305" s="2322"/>
      <c r="W305" s="2322"/>
      <c r="X305" s="2322"/>
      <c r="Y305" s="2322"/>
      <c r="Z305" s="2322"/>
      <c r="AA305" s="2322"/>
      <c r="AB305" s="2322"/>
      <c r="AC305" s="2322"/>
      <c r="AD305" s="2322"/>
      <c r="AE305" s="2322"/>
      <c r="AF305" s="2322"/>
      <c r="AG305" s="2322"/>
      <c r="AH305" s="2322"/>
      <c r="AI305" s="2322"/>
      <c r="AJ305" s="2322"/>
      <c r="AK305" s="2322"/>
      <c r="AL305" s="2322"/>
      <c r="AM305" s="2322"/>
    </row>
    <row r="306" spans="1:39">
      <c r="A306" s="89"/>
      <c r="B306" s="89"/>
      <c r="C306" s="89"/>
      <c r="D306" s="89"/>
      <c r="E306" s="89"/>
      <c r="F306" s="89"/>
      <c r="G306" s="89"/>
      <c r="H306" s="89"/>
      <c r="I306" s="3847"/>
      <c r="J306" s="3847"/>
      <c r="K306" s="3847"/>
      <c r="L306" s="3847"/>
      <c r="M306" s="3847"/>
      <c r="N306" s="3847"/>
      <c r="O306" s="3847"/>
      <c r="P306" s="3847"/>
      <c r="Q306" s="3847"/>
      <c r="R306" s="3847"/>
      <c r="S306" s="3847"/>
      <c r="T306" s="3847"/>
      <c r="U306" s="3847"/>
      <c r="V306" s="2322"/>
      <c r="W306" s="2322"/>
      <c r="X306" s="2322"/>
      <c r="Y306" s="2322"/>
      <c r="Z306" s="2322"/>
      <c r="AA306" s="2322"/>
      <c r="AB306" s="2322"/>
      <c r="AC306" s="2322"/>
      <c r="AD306" s="2322"/>
      <c r="AE306" s="2322"/>
      <c r="AF306" s="2322"/>
      <c r="AG306" s="2322"/>
      <c r="AH306" s="2322"/>
      <c r="AI306" s="2322"/>
      <c r="AJ306" s="2322"/>
      <c r="AK306" s="2322"/>
      <c r="AL306" s="2322"/>
      <c r="AM306" s="2322"/>
    </row>
    <row r="307" spans="1:39">
      <c r="A307" s="89"/>
      <c r="B307" s="89"/>
      <c r="C307" s="89"/>
      <c r="D307" s="89"/>
      <c r="E307" s="89"/>
      <c r="F307" s="89"/>
      <c r="G307" s="89"/>
      <c r="H307" s="89"/>
      <c r="I307" s="3847"/>
      <c r="J307" s="3847"/>
      <c r="K307" s="3847"/>
      <c r="L307" s="3847"/>
      <c r="M307" s="3847"/>
      <c r="N307" s="3847"/>
      <c r="O307" s="3847"/>
      <c r="P307" s="3847"/>
      <c r="Q307" s="3847"/>
      <c r="R307" s="3847"/>
      <c r="S307" s="3847"/>
      <c r="T307" s="3847"/>
      <c r="U307" s="3847"/>
      <c r="V307" s="2322"/>
      <c r="W307" s="2322"/>
      <c r="X307" s="2322"/>
      <c r="Y307" s="2322"/>
      <c r="Z307" s="2322"/>
      <c r="AA307" s="2322"/>
      <c r="AB307" s="2322"/>
      <c r="AC307" s="2322"/>
      <c r="AD307" s="2322"/>
      <c r="AE307" s="2322"/>
      <c r="AF307" s="2322"/>
      <c r="AG307" s="2322"/>
      <c r="AH307" s="2322"/>
      <c r="AI307" s="2322"/>
      <c r="AJ307" s="2322"/>
      <c r="AK307" s="2322"/>
      <c r="AL307" s="2322"/>
      <c r="AM307" s="2322"/>
    </row>
    <row r="308" spans="1:39">
      <c r="A308" s="89"/>
      <c r="B308" s="89"/>
      <c r="C308" s="89"/>
      <c r="D308" s="89"/>
      <c r="E308" s="89"/>
      <c r="F308" s="89"/>
      <c r="G308" s="89"/>
      <c r="H308" s="89"/>
      <c r="I308" s="3847"/>
      <c r="J308" s="3847"/>
      <c r="K308" s="3847"/>
      <c r="L308" s="3847"/>
      <c r="M308" s="3847"/>
      <c r="N308" s="3847"/>
      <c r="O308" s="3847"/>
      <c r="P308" s="3847"/>
      <c r="Q308" s="3847"/>
      <c r="R308" s="3847"/>
      <c r="S308" s="3847"/>
      <c r="T308" s="3847"/>
      <c r="U308" s="3847"/>
      <c r="V308" s="2322"/>
      <c r="W308" s="2322"/>
      <c r="X308" s="2322"/>
      <c r="Y308" s="2322"/>
      <c r="Z308" s="2322"/>
      <c r="AA308" s="2322"/>
      <c r="AB308" s="2322"/>
      <c r="AC308" s="2322"/>
      <c r="AD308" s="2322"/>
      <c r="AE308" s="2322"/>
      <c r="AF308" s="2322"/>
      <c r="AG308" s="2322"/>
      <c r="AH308" s="2322"/>
      <c r="AI308" s="2322"/>
      <c r="AJ308" s="2322"/>
      <c r="AK308" s="2322"/>
      <c r="AL308" s="2322"/>
      <c r="AM308" s="2322"/>
    </row>
    <row r="309" spans="1:39">
      <c r="A309" s="89"/>
      <c r="B309" s="89"/>
      <c r="C309" s="89"/>
      <c r="D309" s="89"/>
      <c r="E309" s="89"/>
      <c r="F309" s="89"/>
      <c r="G309" s="89"/>
      <c r="H309" s="89"/>
      <c r="I309" s="3847"/>
      <c r="J309" s="3847"/>
      <c r="K309" s="3847"/>
      <c r="L309" s="3847"/>
      <c r="M309" s="3847"/>
      <c r="N309" s="3847"/>
      <c r="O309" s="3847"/>
      <c r="P309" s="3847"/>
      <c r="Q309" s="3847"/>
      <c r="R309" s="3847"/>
      <c r="S309" s="3847"/>
      <c r="T309" s="3847"/>
      <c r="U309" s="3847"/>
      <c r="V309" s="2322"/>
      <c r="W309" s="2322"/>
      <c r="X309" s="2322"/>
      <c r="Y309" s="2322"/>
      <c r="Z309" s="2322"/>
      <c r="AA309" s="2322"/>
      <c r="AB309" s="2322"/>
      <c r="AC309" s="2322"/>
      <c r="AD309" s="2322"/>
      <c r="AE309" s="2322"/>
      <c r="AF309" s="2322"/>
      <c r="AG309" s="2322"/>
      <c r="AH309" s="2322"/>
      <c r="AI309" s="2322"/>
      <c r="AJ309" s="2322"/>
      <c r="AK309" s="2322"/>
      <c r="AL309" s="2322"/>
      <c r="AM309" s="2322"/>
    </row>
    <row r="310" spans="1:39">
      <c r="A310" s="89"/>
      <c r="B310" s="89"/>
      <c r="C310" s="89"/>
      <c r="D310" s="89"/>
      <c r="E310" s="89"/>
      <c r="F310" s="89"/>
      <c r="G310" s="89"/>
      <c r="H310" s="89"/>
      <c r="I310" s="3847"/>
      <c r="J310" s="3847"/>
      <c r="K310" s="3847"/>
      <c r="L310" s="3847"/>
      <c r="M310" s="3847"/>
      <c r="N310" s="3847"/>
      <c r="O310" s="3847"/>
      <c r="P310" s="3847"/>
      <c r="Q310" s="3847"/>
      <c r="R310" s="3847"/>
      <c r="S310" s="3847"/>
      <c r="T310" s="3847"/>
      <c r="U310" s="3847"/>
      <c r="V310" s="2322"/>
      <c r="W310" s="2322"/>
      <c r="X310" s="2322"/>
      <c r="Y310" s="2322"/>
      <c r="Z310" s="2322"/>
      <c r="AA310" s="2322"/>
      <c r="AB310" s="2322"/>
      <c r="AC310" s="2322"/>
      <c r="AD310" s="2322"/>
      <c r="AE310" s="2322"/>
      <c r="AF310" s="2322"/>
      <c r="AG310" s="2322"/>
      <c r="AH310" s="2322"/>
      <c r="AI310" s="2322"/>
      <c r="AJ310" s="2322"/>
      <c r="AK310" s="2322"/>
      <c r="AL310" s="2322"/>
      <c r="AM310" s="2322"/>
    </row>
    <row r="311" spans="1:39">
      <c r="A311" s="89"/>
      <c r="B311" s="89"/>
      <c r="C311" s="89"/>
      <c r="D311" s="89"/>
      <c r="E311" s="89"/>
      <c r="F311" s="89"/>
      <c r="G311" s="89"/>
      <c r="H311" s="89"/>
      <c r="I311" s="3847"/>
      <c r="J311" s="3847"/>
      <c r="K311" s="3847"/>
      <c r="L311" s="3847"/>
      <c r="M311" s="3847"/>
      <c r="N311" s="3847"/>
      <c r="O311" s="3847"/>
      <c r="P311" s="3847"/>
      <c r="Q311" s="3847"/>
      <c r="R311" s="3847"/>
      <c r="S311" s="3847"/>
      <c r="T311" s="3847"/>
      <c r="U311" s="3847"/>
      <c r="V311" s="2322"/>
      <c r="W311" s="2322"/>
      <c r="X311" s="2322"/>
      <c r="Y311" s="2322"/>
      <c r="Z311" s="2322"/>
      <c r="AA311" s="2322"/>
      <c r="AB311" s="2322"/>
      <c r="AC311" s="2322"/>
      <c r="AD311" s="2322"/>
      <c r="AE311" s="2322"/>
      <c r="AF311" s="2322"/>
      <c r="AG311" s="2322"/>
      <c r="AH311" s="2322"/>
      <c r="AI311" s="2322"/>
      <c r="AJ311" s="2322"/>
      <c r="AK311" s="2322"/>
      <c r="AL311" s="2322"/>
      <c r="AM311" s="2322"/>
    </row>
    <row r="312" spans="1:39">
      <c r="A312" s="89"/>
      <c r="B312" s="89"/>
      <c r="C312" s="89"/>
      <c r="D312" s="89"/>
      <c r="E312" s="89"/>
      <c r="F312" s="89"/>
      <c r="G312" s="89"/>
      <c r="H312" s="89"/>
      <c r="I312" s="3847"/>
      <c r="J312" s="3847"/>
      <c r="K312" s="3847"/>
      <c r="L312" s="3847"/>
      <c r="M312" s="3847"/>
      <c r="N312" s="3847"/>
      <c r="O312" s="3847"/>
      <c r="P312" s="3847"/>
      <c r="Q312" s="3847"/>
      <c r="R312" s="3847"/>
      <c r="S312" s="3847"/>
      <c r="T312" s="3847"/>
      <c r="U312" s="3847"/>
      <c r="V312" s="2322"/>
      <c r="W312" s="2322"/>
      <c r="X312" s="2322"/>
      <c r="Y312" s="2322"/>
      <c r="Z312" s="2322"/>
      <c r="AA312" s="2322"/>
      <c r="AB312" s="2322"/>
      <c r="AC312" s="2322"/>
      <c r="AD312" s="2322"/>
      <c r="AE312" s="2322"/>
      <c r="AF312" s="2322"/>
      <c r="AG312" s="2322"/>
      <c r="AH312" s="2322"/>
      <c r="AI312" s="2322"/>
      <c r="AJ312" s="2322"/>
      <c r="AK312" s="2322"/>
      <c r="AL312" s="2322"/>
      <c r="AM312" s="2322"/>
    </row>
    <row r="313" spans="1:39">
      <c r="A313" s="89"/>
      <c r="B313" s="89"/>
      <c r="C313" s="89"/>
      <c r="D313" s="89"/>
      <c r="E313" s="89"/>
      <c r="F313" s="89"/>
      <c r="G313" s="89"/>
      <c r="H313" s="89"/>
      <c r="I313" s="3847"/>
      <c r="J313" s="3847"/>
      <c r="K313" s="3847"/>
      <c r="L313" s="3847"/>
      <c r="M313" s="3847"/>
      <c r="N313" s="3847"/>
      <c r="O313" s="3847"/>
      <c r="P313" s="3847"/>
      <c r="Q313" s="3847"/>
      <c r="R313" s="3847"/>
      <c r="S313" s="3847"/>
      <c r="T313" s="3847"/>
      <c r="U313" s="3847"/>
      <c r="V313" s="2322"/>
      <c r="W313" s="2322"/>
      <c r="X313" s="2322"/>
      <c r="Y313" s="2322"/>
      <c r="Z313" s="2322"/>
      <c r="AA313" s="2322"/>
      <c r="AB313" s="2322"/>
      <c r="AC313" s="2322"/>
      <c r="AD313" s="2322"/>
      <c r="AE313" s="2322"/>
      <c r="AF313" s="2322"/>
      <c r="AG313" s="2322"/>
      <c r="AH313" s="2322"/>
      <c r="AI313" s="2322"/>
      <c r="AJ313" s="2322"/>
      <c r="AK313" s="2322"/>
      <c r="AL313" s="2322"/>
      <c r="AM313" s="2322"/>
    </row>
    <row r="314" spans="1:39">
      <c r="A314" s="89"/>
      <c r="B314" s="89"/>
      <c r="C314" s="89"/>
      <c r="D314" s="89"/>
      <c r="E314" s="89"/>
      <c r="F314" s="89"/>
      <c r="G314" s="89"/>
      <c r="H314" s="89"/>
      <c r="I314" s="3847"/>
      <c r="J314" s="3847"/>
      <c r="K314" s="3847"/>
      <c r="L314" s="3847"/>
      <c r="M314" s="3847"/>
      <c r="N314" s="3847"/>
      <c r="O314" s="3847"/>
      <c r="P314" s="3847"/>
      <c r="Q314" s="3847"/>
      <c r="R314" s="3847"/>
      <c r="S314" s="3847"/>
      <c r="T314" s="3847"/>
      <c r="U314" s="3847"/>
      <c r="V314" s="2322"/>
      <c r="W314" s="2322"/>
      <c r="X314" s="2322"/>
      <c r="Y314" s="2322"/>
      <c r="Z314" s="2322"/>
      <c r="AA314" s="2322"/>
      <c r="AB314" s="2322"/>
      <c r="AC314" s="2322"/>
      <c r="AD314" s="2322"/>
      <c r="AE314" s="2322"/>
      <c r="AF314" s="2322"/>
      <c r="AG314" s="2322"/>
      <c r="AH314" s="2322"/>
      <c r="AI314" s="2322"/>
      <c r="AJ314" s="2322"/>
      <c r="AK314" s="2322"/>
      <c r="AL314" s="2322"/>
      <c r="AM314" s="2322"/>
    </row>
    <row r="315" spans="1:39">
      <c r="A315" s="89"/>
      <c r="B315" s="89"/>
      <c r="C315" s="89"/>
      <c r="D315" s="89"/>
      <c r="E315" s="89"/>
      <c r="F315" s="89"/>
      <c r="G315" s="89"/>
      <c r="H315" s="89"/>
      <c r="I315" s="3847"/>
      <c r="J315" s="3847"/>
      <c r="K315" s="3847"/>
      <c r="L315" s="3847"/>
      <c r="M315" s="3847"/>
      <c r="N315" s="3847"/>
      <c r="O315" s="3847"/>
      <c r="P315" s="3847"/>
      <c r="Q315" s="3847"/>
      <c r="R315" s="3847"/>
      <c r="S315" s="3847"/>
      <c r="T315" s="3847"/>
      <c r="U315" s="3847"/>
      <c r="V315" s="2322"/>
      <c r="W315" s="2322"/>
      <c r="X315" s="2322"/>
      <c r="Y315" s="2322"/>
      <c r="Z315" s="2322"/>
      <c r="AA315" s="2322"/>
      <c r="AB315" s="2322"/>
      <c r="AC315" s="2322"/>
      <c r="AD315" s="2322"/>
      <c r="AE315" s="2322"/>
      <c r="AF315" s="2322"/>
      <c r="AG315" s="2322"/>
      <c r="AH315" s="2322"/>
      <c r="AI315" s="2322"/>
      <c r="AJ315" s="2322"/>
      <c r="AK315" s="2322"/>
      <c r="AL315" s="2322"/>
      <c r="AM315" s="2322"/>
    </row>
    <row r="316" spans="1:39">
      <c r="A316" s="89"/>
      <c r="B316" s="89"/>
      <c r="C316" s="89"/>
      <c r="D316" s="89"/>
      <c r="E316" s="89"/>
      <c r="F316" s="89"/>
      <c r="G316" s="89"/>
      <c r="H316" s="89"/>
      <c r="I316" s="3847"/>
      <c r="J316" s="3847"/>
      <c r="K316" s="3847"/>
      <c r="L316" s="3847"/>
      <c r="M316" s="3847"/>
      <c r="N316" s="3847"/>
      <c r="O316" s="3847"/>
      <c r="P316" s="3847"/>
      <c r="Q316" s="3847"/>
      <c r="R316" s="3847"/>
      <c r="S316" s="3847"/>
      <c r="T316" s="3847"/>
      <c r="U316" s="3847"/>
      <c r="V316" s="2322"/>
      <c r="W316" s="2322"/>
      <c r="X316" s="2322"/>
      <c r="Y316" s="2322"/>
      <c r="Z316" s="2322"/>
      <c r="AA316" s="2322"/>
      <c r="AB316" s="2322"/>
      <c r="AC316" s="2322"/>
      <c r="AD316" s="2322"/>
      <c r="AE316" s="2322"/>
      <c r="AF316" s="2322"/>
      <c r="AG316" s="2322"/>
      <c r="AH316" s="2322"/>
      <c r="AI316" s="2322"/>
      <c r="AJ316" s="2322"/>
      <c r="AK316" s="2322"/>
      <c r="AL316" s="2322"/>
      <c r="AM316" s="2322"/>
    </row>
    <row r="317" spans="1:39">
      <c r="A317" s="89"/>
      <c r="B317" s="89"/>
      <c r="C317" s="89"/>
      <c r="D317" s="89"/>
      <c r="E317" s="89"/>
      <c r="F317" s="89"/>
      <c r="G317" s="89"/>
      <c r="H317" s="89"/>
      <c r="I317" s="3847"/>
      <c r="J317" s="3847"/>
      <c r="K317" s="3847"/>
      <c r="L317" s="3847"/>
      <c r="M317" s="3847"/>
      <c r="N317" s="3847"/>
      <c r="O317" s="3847"/>
      <c r="P317" s="3847"/>
      <c r="Q317" s="3847"/>
      <c r="R317" s="3847"/>
      <c r="S317" s="3847"/>
      <c r="T317" s="3847"/>
      <c r="U317" s="3847"/>
      <c r="V317" s="2322"/>
      <c r="W317" s="2322"/>
      <c r="X317" s="2322"/>
      <c r="Y317" s="2322"/>
      <c r="Z317" s="2322"/>
      <c r="AA317" s="2322"/>
      <c r="AB317" s="2322"/>
      <c r="AC317" s="2322"/>
      <c r="AD317" s="2322"/>
      <c r="AE317" s="2322"/>
      <c r="AF317" s="2322"/>
      <c r="AG317" s="2322"/>
      <c r="AH317" s="2322"/>
      <c r="AI317" s="2322"/>
      <c r="AJ317" s="2322"/>
      <c r="AK317" s="2322"/>
      <c r="AL317" s="2322"/>
      <c r="AM317" s="2322"/>
    </row>
    <row r="318" spans="1:39">
      <c r="A318" s="89"/>
      <c r="B318" s="89"/>
      <c r="C318" s="89"/>
      <c r="D318" s="89"/>
      <c r="E318" s="89"/>
      <c r="F318" s="89"/>
      <c r="G318" s="89"/>
      <c r="H318" s="89"/>
      <c r="I318" s="3847"/>
      <c r="J318" s="3847"/>
      <c r="K318" s="3847"/>
      <c r="L318" s="3847"/>
      <c r="M318" s="3847"/>
      <c r="N318" s="3847"/>
      <c r="O318" s="3847"/>
      <c r="P318" s="3847"/>
      <c r="Q318" s="3847"/>
      <c r="R318" s="3847"/>
      <c r="S318" s="3847"/>
      <c r="T318" s="3847"/>
      <c r="U318" s="3847"/>
      <c r="V318" s="2322"/>
      <c r="W318" s="2322"/>
      <c r="X318" s="2322"/>
      <c r="Y318" s="2322"/>
      <c r="Z318" s="2322"/>
      <c r="AA318" s="2322"/>
      <c r="AB318" s="2322"/>
      <c r="AC318" s="2322"/>
      <c r="AD318" s="2322"/>
      <c r="AE318" s="2322"/>
      <c r="AF318" s="2322"/>
      <c r="AG318" s="2322"/>
      <c r="AH318" s="2322"/>
      <c r="AI318" s="2322"/>
      <c r="AJ318" s="2322"/>
      <c r="AK318" s="2322"/>
      <c r="AL318" s="2322"/>
      <c r="AM318" s="2322"/>
    </row>
    <row r="319" spans="1:39">
      <c r="A319" s="89"/>
      <c r="B319" s="89"/>
      <c r="C319" s="89"/>
      <c r="D319" s="89"/>
      <c r="E319" s="89"/>
      <c r="F319" s="89"/>
      <c r="G319" s="89"/>
      <c r="H319" s="89"/>
      <c r="I319" s="3847"/>
      <c r="J319" s="3847"/>
      <c r="K319" s="3847"/>
      <c r="L319" s="3847"/>
      <c r="M319" s="3847"/>
      <c r="N319" s="3847"/>
      <c r="O319" s="3847"/>
      <c r="P319" s="3847"/>
      <c r="Q319" s="3847"/>
      <c r="R319" s="3847"/>
      <c r="S319" s="3847"/>
      <c r="T319" s="3847"/>
      <c r="U319" s="3847"/>
      <c r="V319" s="2322"/>
      <c r="W319" s="2322"/>
      <c r="X319" s="2322"/>
      <c r="Y319" s="2322"/>
      <c r="Z319" s="2322"/>
      <c r="AA319" s="2322"/>
      <c r="AB319" s="2322"/>
      <c r="AC319" s="2322"/>
      <c r="AD319" s="2322"/>
      <c r="AE319" s="2322"/>
      <c r="AF319" s="2322"/>
      <c r="AG319" s="2322"/>
      <c r="AH319" s="2322"/>
      <c r="AI319" s="2322"/>
      <c r="AJ319" s="2322"/>
      <c r="AK319" s="2322"/>
      <c r="AL319" s="2322"/>
      <c r="AM319" s="2322"/>
    </row>
    <row r="320" spans="1:39">
      <c r="A320" s="89"/>
      <c r="B320" s="89"/>
      <c r="C320" s="89"/>
      <c r="D320" s="89"/>
      <c r="E320" s="89"/>
      <c r="F320" s="89"/>
      <c r="G320" s="89"/>
      <c r="H320" s="89"/>
      <c r="I320" s="3847"/>
      <c r="J320" s="3847"/>
      <c r="K320" s="3847"/>
      <c r="L320" s="3847"/>
      <c r="M320" s="3847"/>
      <c r="N320" s="3847"/>
      <c r="O320" s="3847"/>
      <c r="P320" s="3847"/>
      <c r="Q320" s="3847"/>
      <c r="R320" s="3847"/>
      <c r="S320" s="3847"/>
      <c r="T320" s="3847"/>
      <c r="U320" s="3847"/>
      <c r="V320" s="2322"/>
      <c r="W320" s="2322"/>
      <c r="X320" s="2322"/>
      <c r="Y320" s="2322"/>
      <c r="Z320" s="2322"/>
      <c r="AA320" s="2322"/>
      <c r="AB320" s="2322"/>
      <c r="AC320" s="2322"/>
      <c r="AD320" s="2322"/>
      <c r="AE320" s="2322"/>
      <c r="AF320" s="2322"/>
      <c r="AG320" s="2322"/>
      <c r="AH320" s="2322"/>
      <c r="AI320" s="2322"/>
      <c r="AJ320" s="2322"/>
      <c r="AK320" s="2322"/>
      <c r="AL320" s="2322"/>
      <c r="AM320" s="2322"/>
    </row>
    <row r="321" spans="1:39">
      <c r="A321" s="89"/>
      <c r="B321" s="89"/>
      <c r="C321" s="89"/>
      <c r="D321" s="89"/>
      <c r="E321" s="89"/>
      <c r="F321" s="89"/>
      <c r="G321" s="89"/>
      <c r="H321" s="89"/>
      <c r="I321" s="3847"/>
      <c r="J321" s="3847"/>
      <c r="K321" s="3847"/>
      <c r="L321" s="3847"/>
      <c r="M321" s="3847"/>
      <c r="N321" s="3847"/>
      <c r="O321" s="3847"/>
      <c r="P321" s="3847"/>
      <c r="Q321" s="3847"/>
      <c r="R321" s="3847"/>
      <c r="S321" s="3847"/>
      <c r="T321" s="3847"/>
      <c r="U321" s="3847"/>
      <c r="V321" s="2322"/>
      <c r="W321" s="2322"/>
      <c r="X321" s="2322"/>
      <c r="Y321" s="2322"/>
      <c r="Z321" s="2322"/>
      <c r="AA321" s="2322"/>
      <c r="AB321" s="2322"/>
      <c r="AC321" s="2322"/>
      <c r="AD321" s="2322"/>
      <c r="AE321" s="2322"/>
      <c r="AF321" s="2322"/>
      <c r="AG321" s="2322"/>
      <c r="AH321" s="2322"/>
      <c r="AI321" s="2322"/>
      <c r="AJ321" s="2322"/>
      <c r="AK321" s="2322"/>
      <c r="AL321" s="2322"/>
      <c r="AM321" s="2322"/>
    </row>
    <row r="322" spans="1:39">
      <c r="A322" s="89"/>
      <c r="B322" s="89"/>
      <c r="C322" s="89"/>
      <c r="D322" s="89"/>
      <c r="E322" s="89"/>
      <c r="F322" s="89"/>
      <c r="G322" s="89"/>
      <c r="H322" s="89"/>
      <c r="I322" s="3847"/>
      <c r="J322" s="3847"/>
      <c r="K322" s="3847"/>
      <c r="L322" s="3847"/>
      <c r="M322" s="3847"/>
      <c r="N322" s="3847"/>
      <c r="O322" s="3847"/>
      <c r="P322" s="3847"/>
      <c r="Q322" s="3847"/>
      <c r="R322" s="3847"/>
      <c r="S322" s="3847"/>
      <c r="T322" s="3847"/>
      <c r="U322" s="3847"/>
      <c r="V322" s="2322"/>
      <c r="W322" s="2322"/>
      <c r="X322" s="2322"/>
      <c r="Y322" s="2322"/>
      <c r="Z322" s="2322"/>
      <c r="AA322" s="2322"/>
      <c r="AB322" s="2322"/>
      <c r="AC322" s="2322"/>
      <c r="AD322" s="2322"/>
      <c r="AE322" s="2322"/>
      <c r="AF322" s="2322"/>
      <c r="AG322" s="2322"/>
      <c r="AH322" s="2322"/>
      <c r="AI322" s="2322"/>
      <c r="AJ322" s="2322"/>
      <c r="AK322" s="2322"/>
      <c r="AL322" s="2322"/>
      <c r="AM322" s="2322"/>
    </row>
    <row r="323" spans="1:39">
      <c r="A323" s="89"/>
      <c r="B323" s="89"/>
      <c r="C323" s="89"/>
      <c r="D323" s="89"/>
      <c r="E323" s="89"/>
      <c r="F323" s="89"/>
      <c r="G323" s="89"/>
      <c r="H323" s="89"/>
      <c r="I323" s="3847"/>
      <c r="J323" s="3847"/>
      <c r="K323" s="3847"/>
      <c r="L323" s="3847"/>
      <c r="M323" s="3847"/>
      <c r="N323" s="3847"/>
      <c r="O323" s="3847"/>
      <c r="P323" s="3847"/>
      <c r="Q323" s="3847"/>
      <c r="R323" s="3847"/>
      <c r="S323" s="3847"/>
      <c r="T323" s="3847"/>
      <c r="U323" s="3847"/>
      <c r="V323" s="2322"/>
      <c r="W323" s="2322"/>
      <c r="X323" s="2322"/>
      <c r="Y323" s="2322"/>
      <c r="Z323" s="2322"/>
      <c r="AA323" s="2322"/>
      <c r="AB323" s="2322"/>
      <c r="AC323" s="2322"/>
      <c r="AD323" s="2322"/>
      <c r="AE323" s="2322"/>
      <c r="AF323" s="2322"/>
      <c r="AG323" s="2322"/>
      <c r="AH323" s="2322"/>
      <c r="AI323" s="2322"/>
      <c r="AJ323" s="2322"/>
      <c r="AK323" s="2322"/>
      <c r="AL323" s="2322"/>
      <c r="AM323" s="2322"/>
    </row>
    <row r="324" spans="1:39">
      <c r="A324" s="89"/>
      <c r="B324" s="89"/>
      <c r="C324" s="89"/>
      <c r="D324" s="89"/>
      <c r="E324" s="89"/>
      <c r="F324" s="89"/>
      <c r="G324" s="89"/>
      <c r="H324" s="89"/>
      <c r="I324" s="3847"/>
      <c r="J324" s="3847"/>
      <c r="K324" s="3847"/>
      <c r="L324" s="3847"/>
      <c r="M324" s="3847"/>
      <c r="N324" s="3847"/>
      <c r="O324" s="3847"/>
      <c r="P324" s="3847"/>
      <c r="Q324" s="3847"/>
      <c r="R324" s="3847"/>
      <c r="S324" s="3847"/>
      <c r="T324" s="3847"/>
      <c r="U324" s="3847"/>
      <c r="V324" s="2322"/>
      <c r="W324" s="2322"/>
      <c r="X324" s="2322"/>
      <c r="Y324" s="2322"/>
      <c r="Z324" s="2322"/>
      <c r="AA324" s="2322"/>
      <c r="AB324" s="2322"/>
      <c r="AC324" s="2322"/>
      <c r="AD324" s="2322"/>
      <c r="AE324" s="2322"/>
      <c r="AF324" s="2322"/>
      <c r="AG324" s="2322"/>
      <c r="AH324" s="2322"/>
      <c r="AI324" s="2322"/>
      <c r="AJ324" s="2322"/>
      <c r="AK324" s="2322"/>
      <c r="AL324" s="2322"/>
      <c r="AM324" s="2322"/>
    </row>
    <row r="325" spans="1:39">
      <c r="A325" s="89"/>
      <c r="B325" s="89"/>
      <c r="C325" s="89"/>
      <c r="D325" s="89"/>
      <c r="E325" s="89"/>
      <c r="F325" s="89"/>
      <c r="G325" s="89"/>
      <c r="H325" s="89"/>
      <c r="I325" s="3847"/>
      <c r="J325" s="3847"/>
      <c r="K325" s="3847"/>
      <c r="L325" s="3847"/>
      <c r="M325" s="3847"/>
      <c r="N325" s="3847"/>
      <c r="O325" s="3847"/>
      <c r="P325" s="3847"/>
      <c r="Q325" s="3847"/>
      <c r="R325" s="3847"/>
      <c r="S325" s="3847"/>
      <c r="T325" s="3847"/>
      <c r="U325" s="3847"/>
      <c r="V325" s="2322"/>
      <c r="W325" s="2322"/>
      <c r="X325" s="2322"/>
      <c r="Y325" s="2322"/>
      <c r="Z325" s="2322"/>
      <c r="AA325" s="2322"/>
      <c r="AB325" s="2322"/>
      <c r="AC325" s="2322"/>
      <c r="AD325" s="2322"/>
      <c r="AE325" s="2322"/>
      <c r="AF325" s="2322"/>
      <c r="AG325" s="2322"/>
      <c r="AH325" s="2322"/>
      <c r="AI325" s="2322"/>
      <c r="AJ325" s="2322"/>
      <c r="AK325" s="2322"/>
      <c r="AL325" s="2322"/>
      <c r="AM325" s="2322"/>
    </row>
    <row r="326" spans="1:39">
      <c r="A326" s="89"/>
      <c r="B326" s="89"/>
      <c r="C326" s="89"/>
      <c r="D326" s="89"/>
      <c r="E326" s="89"/>
      <c r="F326" s="89"/>
      <c r="G326" s="89"/>
      <c r="H326" s="89"/>
      <c r="I326" s="3847"/>
      <c r="J326" s="3847"/>
      <c r="K326" s="3847"/>
      <c r="L326" s="3847"/>
      <c r="M326" s="3847"/>
      <c r="N326" s="3847"/>
      <c r="O326" s="3847"/>
      <c r="P326" s="3847"/>
      <c r="Q326" s="3847"/>
      <c r="R326" s="3847"/>
      <c r="S326" s="3847"/>
      <c r="T326" s="3847"/>
      <c r="U326" s="3847"/>
      <c r="V326" s="2322"/>
      <c r="W326" s="2322"/>
      <c r="X326" s="2322"/>
      <c r="Y326" s="2322"/>
      <c r="Z326" s="2322"/>
      <c r="AA326" s="2322"/>
      <c r="AB326" s="2322"/>
      <c r="AC326" s="2322"/>
      <c r="AD326" s="2322"/>
      <c r="AE326" s="2322"/>
      <c r="AF326" s="2322"/>
      <c r="AG326" s="2322"/>
      <c r="AH326" s="2322"/>
      <c r="AI326" s="2322"/>
      <c r="AJ326" s="2322"/>
      <c r="AK326" s="2322"/>
      <c r="AL326" s="2322"/>
      <c r="AM326" s="2322"/>
    </row>
    <row r="327" spans="1:39">
      <c r="A327" s="89"/>
      <c r="B327" s="89"/>
      <c r="C327" s="89"/>
      <c r="D327" s="89"/>
      <c r="E327" s="89"/>
      <c r="F327" s="89"/>
      <c r="G327" s="89"/>
      <c r="H327" s="89"/>
      <c r="I327" s="3847"/>
      <c r="J327" s="3847"/>
      <c r="K327" s="3847"/>
      <c r="L327" s="3847"/>
      <c r="M327" s="3847"/>
      <c r="N327" s="3847"/>
      <c r="O327" s="3847"/>
      <c r="P327" s="3847"/>
      <c r="Q327" s="3847"/>
      <c r="R327" s="3847"/>
      <c r="S327" s="3847"/>
      <c r="T327" s="3847"/>
      <c r="U327" s="3847"/>
      <c r="V327" s="2322"/>
      <c r="W327" s="2322"/>
      <c r="X327" s="2322"/>
      <c r="Y327" s="2322"/>
      <c r="Z327" s="2322"/>
      <c r="AA327" s="2322"/>
      <c r="AB327" s="2322"/>
      <c r="AC327" s="2322"/>
      <c r="AD327" s="2322"/>
      <c r="AE327" s="2322"/>
      <c r="AF327" s="2322"/>
      <c r="AG327" s="2322"/>
      <c r="AH327" s="2322"/>
      <c r="AI327" s="2322"/>
      <c r="AJ327" s="2322"/>
      <c r="AK327" s="2322"/>
      <c r="AL327" s="2322"/>
      <c r="AM327" s="2322"/>
    </row>
    <row r="328" spans="1:39">
      <c r="A328" s="89"/>
      <c r="B328" s="89"/>
      <c r="C328" s="89"/>
      <c r="D328" s="89"/>
      <c r="E328" s="89"/>
      <c r="F328" s="89"/>
      <c r="G328" s="89"/>
      <c r="H328" s="89"/>
      <c r="I328" s="3847"/>
      <c r="J328" s="3847"/>
      <c r="K328" s="3847"/>
      <c r="L328" s="3847"/>
      <c r="M328" s="3847"/>
      <c r="N328" s="3847"/>
      <c r="O328" s="3847"/>
      <c r="P328" s="3847"/>
      <c r="Q328" s="3847"/>
      <c r="R328" s="3847"/>
      <c r="S328" s="3847"/>
      <c r="T328" s="3847"/>
      <c r="U328" s="3847"/>
      <c r="V328" s="2322"/>
      <c r="W328" s="2322"/>
      <c r="X328" s="2322"/>
      <c r="Y328" s="2322"/>
      <c r="Z328" s="2322"/>
      <c r="AA328" s="2322"/>
      <c r="AB328" s="2322"/>
      <c r="AC328" s="2322"/>
      <c r="AD328" s="2322"/>
      <c r="AE328" s="2322"/>
      <c r="AF328" s="2322"/>
      <c r="AG328" s="2322"/>
      <c r="AH328" s="2322"/>
      <c r="AI328" s="2322"/>
      <c r="AJ328" s="2322"/>
      <c r="AK328" s="2322"/>
      <c r="AL328" s="2322"/>
      <c r="AM328" s="2322"/>
    </row>
    <row r="329" spans="1:39">
      <c r="A329" s="89"/>
      <c r="B329" s="89"/>
      <c r="C329" s="89"/>
      <c r="D329" s="89"/>
      <c r="E329" s="89"/>
      <c r="F329" s="89"/>
      <c r="G329" s="89"/>
      <c r="H329" s="89"/>
      <c r="I329" s="3847"/>
      <c r="J329" s="3847"/>
      <c r="K329" s="3847"/>
      <c r="L329" s="3847"/>
      <c r="M329" s="3847"/>
      <c r="N329" s="3847"/>
      <c r="O329" s="3847"/>
      <c r="P329" s="3847"/>
      <c r="Q329" s="3847"/>
      <c r="R329" s="3847"/>
      <c r="S329" s="3847"/>
      <c r="T329" s="3847"/>
      <c r="U329" s="3847"/>
      <c r="V329" s="2322"/>
      <c r="W329" s="2322"/>
      <c r="X329" s="2322"/>
      <c r="Y329" s="2322"/>
      <c r="Z329" s="2322"/>
      <c r="AA329" s="2322"/>
      <c r="AB329" s="2322"/>
      <c r="AC329" s="2322"/>
      <c r="AD329" s="2322"/>
      <c r="AE329" s="2322"/>
      <c r="AF329" s="2322"/>
      <c r="AG329" s="2322"/>
      <c r="AH329" s="2322"/>
      <c r="AI329" s="2322"/>
      <c r="AJ329" s="2322"/>
      <c r="AK329" s="2322"/>
      <c r="AL329" s="2322"/>
      <c r="AM329" s="2322"/>
    </row>
    <row r="330" spans="1:39">
      <c r="A330" s="89"/>
      <c r="B330" s="89"/>
      <c r="C330" s="89"/>
      <c r="D330" s="89"/>
      <c r="E330" s="89"/>
      <c r="F330" s="89"/>
      <c r="G330" s="89"/>
      <c r="H330" s="89"/>
      <c r="I330" s="3847"/>
      <c r="J330" s="3847"/>
      <c r="K330" s="3847"/>
      <c r="L330" s="3847"/>
      <c r="M330" s="3847"/>
      <c r="N330" s="3847"/>
      <c r="O330" s="3847"/>
      <c r="P330" s="3847"/>
      <c r="Q330" s="3847"/>
      <c r="R330" s="3847"/>
      <c r="S330" s="3847"/>
      <c r="T330" s="3847"/>
      <c r="U330" s="3847"/>
      <c r="V330" s="2322"/>
      <c r="W330" s="2322"/>
      <c r="X330" s="2322"/>
      <c r="Y330" s="2322"/>
      <c r="Z330" s="2322"/>
      <c r="AA330" s="2322"/>
      <c r="AB330" s="2322"/>
      <c r="AC330" s="2322"/>
      <c r="AD330" s="2322"/>
      <c r="AE330" s="2322"/>
      <c r="AF330" s="2322"/>
      <c r="AG330" s="2322"/>
      <c r="AH330" s="2322"/>
      <c r="AI330" s="2322"/>
      <c r="AJ330" s="2322"/>
      <c r="AK330" s="2322"/>
      <c r="AL330" s="2322"/>
      <c r="AM330" s="2322"/>
    </row>
    <row r="331" spans="1:39">
      <c r="A331" s="89"/>
      <c r="B331" s="89"/>
      <c r="C331" s="89"/>
      <c r="D331" s="89"/>
      <c r="E331" s="89"/>
      <c r="F331" s="89"/>
      <c r="G331" s="89"/>
      <c r="H331" s="89"/>
      <c r="I331" s="3847"/>
      <c r="J331" s="3847"/>
      <c r="K331" s="3847"/>
      <c r="L331" s="3847"/>
      <c r="M331" s="3847"/>
      <c r="N331" s="3847"/>
      <c r="O331" s="3847"/>
      <c r="P331" s="3847"/>
      <c r="Q331" s="3847"/>
      <c r="R331" s="3847"/>
      <c r="S331" s="3847"/>
      <c r="T331" s="3847"/>
      <c r="U331" s="3847"/>
      <c r="V331" s="2322"/>
      <c r="W331" s="2322"/>
      <c r="X331" s="2322"/>
      <c r="Y331" s="2322"/>
      <c r="Z331" s="2322"/>
      <c r="AA331" s="2322"/>
      <c r="AB331" s="2322"/>
      <c r="AC331" s="2322"/>
      <c r="AD331" s="2322"/>
      <c r="AE331" s="2322"/>
      <c r="AF331" s="2322"/>
      <c r="AG331" s="2322"/>
      <c r="AH331" s="2322"/>
      <c r="AI331" s="2322"/>
      <c r="AJ331" s="2322"/>
      <c r="AK331" s="2322"/>
      <c r="AL331" s="2322"/>
      <c r="AM331" s="2322"/>
    </row>
    <row r="332" spans="1:39">
      <c r="A332" s="89"/>
      <c r="B332" s="89"/>
      <c r="C332" s="89"/>
      <c r="D332" s="89"/>
      <c r="E332" s="89"/>
      <c r="F332" s="89"/>
      <c r="G332" s="89"/>
      <c r="H332" s="89"/>
      <c r="I332" s="3847"/>
      <c r="J332" s="3847"/>
      <c r="K332" s="3847"/>
      <c r="L332" s="3847"/>
      <c r="M332" s="3847"/>
      <c r="N332" s="3847"/>
      <c r="O332" s="3847"/>
      <c r="P332" s="3847"/>
      <c r="Q332" s="3847"/>
      <c r="R332" s="3847"/>
      <c r="S332" s="3847"/>
      <c r="T332" s="3847"/>
      <c r="U332" s="3847"/>
      <c r="V332" s="2322"/>
      <c r="W332" s="2322"/>
      <c r="X332" s="2322"/>
      <c r="Y332" s="2322"/>
      <c r="Z332" s="2322"/>
      <c r="AA332" s="2322"/>
      <c r="AB332" s="2322"/>
      <c r="AC332" s="2322"/>
      <c r="AD332" s="2322"/>
      <c r="AE332" s="2322"/>
      <c r="AF332" s="2322"/>
      <c r="AG332" s="2322"/>
      <c r="AH332" s="2322"/>
      <c r="AI332" s="2322"/>
      <c r="AJ332" s="2322"/>
      <c r="AK332" s="2322"/>
      <c r="AL332" s="2322"/>
      <c r="AM332" s="2322"/>
    </row>
    <row r="333" spans="1:39">
      <c r="A333" s="89"/>
      <c r="B333" s="89"/>
      <c r="C333" s="89"/>
      <c r="D333" s="89"/>
      <c r="E333" s="89"/>
      <c r="F333" s="89"/>
      <c r="G333" s="89"/>
      <c r="H333" s="89"/>
      <c r="I333" s="3847"/>
      <c r="J333" s="3847"/>
      <c r="K333" s="3847"/>
      <c r="L333" s="3847"/>
      <c r="M333" s="3847"/>
      <c r="N333" s="3847"/>
      <c r="O333" s="3847"/>
      <c r="P333" s="3847"/>
      <c r="Q333" s="3847"/>
      <c r="R333" s="3847"/>
      <c r="S333" s="3847"/>
      <c r="T333" s="3847"/>
      <c r="U333" s="3847"/>
      <c r="V333" s="2322"/>
      <c r="W333" s="2322"/>
      <c r="X333" s="2322"/>
      <c r="Y333" s="2322"/>
      <c r="Z333" s="2322"/>
      <c r="AA333" s="2322"/>
      <c r="AB333" s="2322"/>
      <c r="AC333" s="2322"/>
      <c r="AD333" s="2322"/>
      <c r="AE333" s="2322"/>
      <c r="AF333" s="2322"/>
      <c r="AG333" s="2322"/>
      <c r="AH333" s="2322"/>
      <c r="AI333" s="2322"/>
      <c r="AJ333" s="2322"/>
      <c r="AK333" s="2322"/>
      <c r="AL333" s="2322"/>
      <c r="AM333" s="2322"/>
    </row>
    <row r="334" spans="1:39">
      <c r="A334" s="89"/>
      <c r="B334" s="89"/>
      <c r="C334" s="89"/>
      <c r="D334" s="89"/>
      <c r="E334" s="89"/>
      <c r="F334" s="89"/>
      <c r="G334" s="89"/>
      <c r="H334" s="89"/>
      <c r="I334" s="3847"/>
      <c r="J334" s="3847"/>
      <c r="K334" s="3847"/>
      <c r="L334" s="3847"/>
      <c r="M334" s="3847"/>
      <c r="N334" s="3847"/>
      <c r="O334" s="3847"/>
      <c r="P334" s="3847"/>
      <c r="Q334" s="3847"/>
      <c r="R334" s="3847"/>
      <c r="S334" s="3847"/>
      <c r="T334" s="3847"/>
      <c r="U334" s="3847"/>
      <c r="V334" s="2322"/>
      <c r="W334" s="2322"/>
      <c r="X334" s="2322"/>
      <c r="Y334" s="2322"/>
      <c r="Z334" s="2322"/>
      <c r="AA334" s="2322"/>
      <c r="AB334" s="2322"/>
      <c r="AC334" s="2322"/>
      <c r="AD334" s="2322"/>
      <c r="AE334" s="2322"/>
      <c r="AF334" s="2322"/>
      <c r="AG334" s="2322"/>
      <c r="AH334" s="2322"/>
      <c r="AI334" s="2322"/>
      <c r="AJ334" s="2322"/>
      <c r="AK334" s="2322"/>
      <c r="AL334" s="2322"/>
      <c r="AM334" s="2322"/>
    </row>
    <row r="335" spans="1:39">
      <c r="A335" s="89"/>
      <c r="B335" s="89"/>
      <c r="C335" s="89"/>
      <c r="D335" s="89"/>
      <c r="E335" s="89"/>
      <c r="F335" s="89"/>
      <c r="G335" s="89"/>
      <c r="H335" s="89"/>
      <c r="I335" s="3847"/>
      <c r="J335" s="3847"/>
      <c r="K335" s="3847"/>
      <c r="L335" s="3847"/>
      <c r="M335" s="3847"/>
      <c r="N335" s="3847"/>
      <c r="O335" s="3847"/>
      <c r="P335" s="3847"/>
      <c r="Q335" s="3847"/>
      <c r="R335" s="3847"/>
      <c r="S335" s="3847"/>
      <c r="T335" s="3847"/>
      <c r="U335" s="3847"/>
      <c r="V335" s="2322"/>
      <c r="W335" s="2322"/>
      <c r="X335" s="2322"/>
      <c r="Y335" s="2322"/>
      <c r="Z335" s="2322"/>
      <c r="AA335" s="2322"/>
      <c r="AB335" s="2322"/>
      <c r="AC335" s="2322"/>
      <c r="AD335" s="2322"/>
      <c r="AE335" s="2322"/>
      <c r="AF335" s="2322"/>
      <c r="AG335" s="2322"/>
      <c r="AH335" s="2322"/>
      <c r="AI335" s="2322"/>
      <c r="AJ335" s="2322"/>
      <c r="AK335" s="2322"/>
      <c r="AL335" s="2322"/>
      <c r="AM335" s="2322"/>
    </row>
    <row r="336" spans="1:39">
      <c r="A336" s="89"/>
      <c r="B336" s="89"/>
      <c r="C336" s="89"/>
      <c r="D336" s="89"/>
      <c r="E336" s="89"/>
      <c r="F336" s="89"/>
      <c r="G336" s="89"/>
      <c r="H336" s="89"/>
      <c r="I336" s="3847"/>
      <c r="J336" s="3847"/>
      <c r="K336" s="3847"/>
      <c r="L336" s="3847"/>
      <c r="M336" s="3847"/>
      <c r="N336" s="3847"/>
      <c r="O336" s="3847"/>
      <c r="P336" s="3847"/>
      <c r="Q336" s="3847"/>
      <c r="R336" s="3847"/>
      <c r="S336" s="3847"/>
      <c r="T336" s="3847"/>
      <c r="U336" s="3847"/>
      <c r="V336" s="2322"/>
      <c r="W336" s="2322"/>
      <c r="X336" s="2322"/>
      <c r="Y336" s="2322"/>
      <c r="Z336" s="2322"/>
      <c r="AA336" s="2322"/>
      <c r="AB336" s="2322"/>
      <c r="AC336" s="2322"/>
      <c r="AD336" s="2322"/>
      <c r="AE336" s="2322"/>
      <c r="AF336" s="2322"/>
      <c r="AG336" s="2322"/>
      <c r="AH336" s="2322"/>
      <c r="AI336" s="2322"/>
      <c r="AJ336" s="2322"/>
      <c r="AK336" s="2322"/>
      <c r="AL336" s="2322"/>
      <c r="AM336" s="2322"/>
    </row>
    <row r="337" spans="1:39">
      <c r="A337" s="89"/>
      <c r="B337" s="89"/>
      <c r="C337" s="89"/>
      <c r="D337" s="89"/>
      <c r="E337" s="89"/>
      <c r="F337" s="89"/>
      <c r="G337" s="89"/>
      <c r="H337" s="89"/>
      <c r="I337" s="3847"/>
      <c r="J337" s="3847"/>
      <c r="K337" s="3847"/>
      <c r="L337" s="3847"/>
      <c r="M337" s="3847"/>
      <c r="N337" s="3847"/>
      <c r="O337" s="3847"/>
      <c r="P337" s="3847"/>
      <c r="Q337" s="3847"/>
      <c r="R337" s="3847"/>
      <c r="S337" s="3847"/>
      <c r="T337" s="3847"/>
      <c r="U337" s="3847"/>
      <c r="V337" s="2322"/>
      <c r="W337" s="2322"/>
      <c r="X337" s="2322"/>
      <c r="Y337" s="2322"/>
      <c r="Z337" s="2322"/>
      <c r="AA337" s="2322"/>
      <c r="AB337" s="2322"/>
      <c r="AC337" s="2322"/>
      <c r="AD337" s="2322"/>
      <c r="AE337" s="2322"/>
      <c r="AF337" s="2322"/>
      <c r="AG337" s="2322"/>
      <c r="AH337" s="2322"/>
      <c r="AI337" s="2322"/>
      <c r="AJ337" s="2322"/>
      <c r="AK337" s="2322"/>
      <c r="AL337" s="2322"/>
      <c r="AM337" s="2322"/>
    </row>
    <row r="338" spans="1:39">
      <c r="A338" s="89"/>
      <c r="B338" s="89"/>
      <c r="C338" s="89"/>
      <c r="D338" s="89"/>
      <c r="E338" s="89"/>
      <c r="F338" s="89"/>
      <c r="G338" s="89"/>
      <c r="H338" s="89"/>
      <c r="I338" s="3847"/>
      <c r="J338" s="3847"/>
      <c r="K338" s="3847"/>
      <c r="L338" s="3847"/>
      <c r="M338" s="3847"/>
      <c r="N338" s="3847"/>
      <c r="O338" s="3847"/>
      <c r="P338" s="3847"/>
      <c r="Q338" s="3847"/>
      <c r="R338" s="3847"/>
      <c r="S338" s="3847"/>
      <c r="T338" s="3847"/>
      <c r="U338" s="3847"/>
      <c r="V338" s="2322"/>
      <c r="W338" s="2322"/>
      <c r="X338" s="2322"/>
      <c r="Y338" s="2322"/>
      <c r="Z338" s="2322"/>
      <c r="AA338" s="2322"/>
      <c r="AB338" s="2322"/>
      <c r="AC338" s="2322"/>
      <c r="AD338" s="2322"/>
      <c r="AE338" s="2322"/>
      <c r="AF338" s="2322"/>
      <c r="AG338" s="2322"/>
      <c r="AH338" s="2322"/>
      <c r="AI338" s="2322"/>
      <c r="AJ338" s="2322"/>
      <c r="AK338" s="2322"/>
      <c r="AL338" s="2322"/>
      <c r="AM338" s="2322"/>
    </row>
    <row r="339" spans="1:39">
      <c r="A339" s="89"/>
      <c r="B339" s="89"/>
      <c r="C339" s="89"/>
      <c r="D339" s="89"/>
      <c r="E339" s="89"/>
      <c r="F339" s="89"/>
      <c r="G339" s="89"/>
      <c r="H339" s="89"/>
      <c r="I339" s="3847"/>
      <c r="J339" s="3847"/>
      <c r="K339" s="3847"/>
      <c r="L339" s="3847"/>
      <c r="M339" s="3847"/>
      <c r="N339" s="3847"/>
      <c r="O339" s="3847"/>
      <c r="P339" s="3847"/>
      <c r="Q339" s="3847"/>
      <c r="R339" s="3847"/>
      <c r="S339" s="3847"/>
      <c r="T339" s="3847"/>
      <c r="U339" s="3847"/>
      <c r="V339" s="2322"/>
      <c r="W339" s="2322"/>
      <c r="X339" s="2322"/>
      <c r="Y339" s="2322"/>
      <c r="Z339" s="2322"/>
      <c r="AA339" s="2322"/>
      <c r="AB339" s="2322"/>
      <c r="AC339" s="2322"/>
      <c r="AD339" s="2322"/>
      <c r="AE339" s="2322"/>
      <c r="AF339" s="2322"/>
      <c r="AG339" s="2322"/>
      <c r="AH339" s="2322"/>
      <c r="AI339" s="2322"/>
      <c r="AJ339" s="2322"/>
      <c r="AK339" s="2322"/>
      <c r="AL339" s="2322"/>
      <c r="AM339" s="2322"/>
    </row>
    <row r="340" spans="1:39">
      <c r="A340" s="89"/>
      <c r="B340" s="89"/>
      <c r="C340" s="89"/>
      <c r="D340" s="89"/>
      <c r="E340" s="89"/>
      <c r="F340" s="89"/>
      <c r="G340" s="89"/>
      <c r="H340" s="89"/>
      <c r="I340" s="3847"/>
      <c r="J340" s="3847"/>
      <c r="K340" s="3847"/>
      <c r="L340" s="3847"/>
      <c r="M340" s="3847"/>
      <c r="N340" s="3847"/>
      <c r="O340" s="3847"/>
      <c r="P340" s="3847"/>
      <c r="Q340" s="3847"/>
      <c r="R340" s="3847"/>
      <c r="S340" s="3847"/>
      <c r="T340" s="3847"/>
      <c r="U340" s="3847"/>
      <c r="V340" s="2322"/>
      <c r="W340" s="2322"/>
      <c r="X340" s="2322"/>
      <c r="Y340" s="2322"/>
      <c r="Z340" s="2322"/>
      <c r="AA340" s="2322"/>
      <c r="AB340" s="2322"/>
      <c r="AC340" s="2322"/>
      <c r="AD340" s="2322"/>
      <c r="AE340" s="2322"/>
      <c r="AF340" s="2322"/>
      <c r="AG340" s="2322"/>
      <c r="AH340" s="2322"/>
      <c r="AI340" s="2322"/>
      <c r="AJ340" s="2322"/>
      <c r="AK340" s="2322"/>
      <c r="AL340" s="2322"/>
      <c r="AM340" s="2322"/>
    </row>
    <row r="341" spans="1:39">
      <c r="A341" s="89"/>
      <c r="B341" s="89"/>
      <c r="C341" s="89"/>
      <c r="D341" s="89"/>
      <c r="E341" s="89"/>
      <c r="F341" s="89"/>
      <c r="G341" s="89"/>
      <c r="H341" s="89"/>
      <c r="I341" s="3847"/>
      <c r="J341" s="3847"/>
      <c r="K341" s="3847"/>
      <c r="L341" s="3847"/>
      <c r="M341" s="3847"/>
      <c r="N341" s="3847"/>
      <c r="O341" s="3847"/>
      <c r="P341" s="3847"/>
      <c r="Q341" s="3847"/>
      <c r="R341" s="3847"/>
      <c r="S341" s="3847"/>
      <c r="T341" s="3847"/>
      <c r="U341" s="3847"/>
      <c r="V341" s="2322"/>
      <c r="W341" s="2322"/>
      <c r="X341" s="2322"/>
      <c r="Y341" s="2322"/>
      <c r="Z341" s="2322"/>
      <c r="AA341" s="2322"/>
      <c r="AB341" s="2322"/>
      <c r="AC341" s="2322"/>
      <c r="AD341" s="2322"/>
      <c r="AE341" s="2322"/>
      <c r="AF341" s="2322"/>
      <c r="AG341" s="2322"/>
      <c r="AH341" s="2322"/>
      <c r="AI341" s="2322"/>
      <c r="AJ341" s="2322"/>
      <c r="AK341" s="2322"/>
      <c r="AL341" s="2322"/>
      <c r="AM341" s="2322"/>
    </row>
    <row r="342" spans="1:39">
      <c r="A342" s="89"/>
      <c r="B342" s="89"/>
      <c r="C342" s="89"/>
      <c r="D342" s="89"/>
      <c r="E342" s="89"/>
      <c r="F342" s="89"/>
      <c r="G342" s="89"/>
      <c r="H342" s="89"/>
      <c r="I342" s="3847"/>
      <c r="J342" s="3847"/>
      <c r="K342" s="3847"/>
      <c r="L342" s="3847"/>
      <c r="M342" s="3847"/>
      <c r="N342" s="3847"/>
      <c r="O342" s="3847"/>
      <c r="P342" s="3847"/>
      <c r="Q342" s="3847"/>
      <c r="R342" s="3847"/>
      <c r="S342" s="3847"/>
      <c r="T342" s="3847"/>
      <c r="U342" s="3847"/>
      <c r="V342" s="2322"/>
      <c r="W342" s="2322"/>
      <c r="X342" s="2322"/>
      <c r="Y342" s="2322"/>
      <c r="Z342" s="2322"/>
      <c r="AA342" s="2322"/>
      <c r="AB342" s="2322"/>
      <c r="AC342" s="2322"/>
      <c r="AD342" s="2322"/>
      <c r="AE342" s="2322"/>
      <c r="AF342" s="2322"/>
      <c r="AG342" s="2322"/>
      <c r="AH342" s="2322"/>
      <c r="AI342" s="2322"/>
      <c r="AJ342" s="2322"/>
      <c r="AK342" s="2322"/>
      <c r="AL342" s="2322"/>
      <c r="AM342" s="2322"/>
    </row>
    <row r="343" spans="1:39">
      <c r="A343" s="89"/>
      <c r="B343" s="89"/>
      <c r="C343" s="89"/>
      <c r="D343" s="89"/>
      <c r="E343" s="89"/>
      <c r="F343" s="89"/>
      <c r="G343" s="89"/>
      <c r="H343" s="89"/>
      <c r="I343" s="3847"/>
      <c r="J343" s="3847"/>
      <c r="K343" s="3847"/>
      <c r="L343" s="3847"/>
      <c r="M343" s="3847"/>
      <c r="N343" s="3847"/>
      <c r="O343" s="3847"/>
      <c r="P343" s="3847"/>
      <c r="Q343" s="3847"/>
      <c r="R343" s="3847"/>
      <c r="S343" s="3847"/>
      <c r="T343" s="3847"/>
      <c r="U343" s="3847"/>
      <c r="V343" s="2322"/>
      <c r="W343" s="2322"/>
      <c r="X343" s="2322"/>
      <c r="Y343" s="2322"/>
      <c r="Z343" s="2322"/>
      <c r="AA343" s="2322"/>
      <c r="AB343" s="2322"/>
      <c r="AC343" s="2322"/>
      <c r="AD343" s="2322"/>
      <c r="AE343" s="2322"/>
      <c r="AF343" s="2322"/>
      <c r="AG343" s="2322"/>
      <c r="AH343" s="2322"/>
      <c r="AI343" s="2322"/>
      <c r="AJ343" s="2322"/>
      <c r="AK343" s="2322"/>
      <c r="AL343" s="2322"/>
      <c r="AM343" s="2322"/>
    </row>
    <row r="344" spans="1:39">
      <c r="A344" s="89"/>
      <c r="B344" s="89"/>
      <c r="C344" s="89"/>
      <c r="D344" s="89"/>
      <c r="E344" s="89"/>
      <c r="F344" s="89"/>
      <c r="G344" s="89"/>
      <c r="H344" s="89"/>
      <c r="I344" s="3847"/>
      <c r="J344" s="3847"/>
      <c r="K344" s="3847"/>
      <c r="L344" s="3847"/>
      <c r="M344" s="3847"/>
      <c r="N344" s="3847"/>
      <c r="O344" s="3847"/>
      <c r="P344" s="3847"/>
      <c r="Q344" s="3847"/>
      <c r="R344" s="3847"/>
      <c r="S344" s="3847"/>
      <c r="T344" s="3847"/>
      <c r="U344" s="3847"/>
      <c r="V344" s="2322"/>
      <c r="W344" s="2322"/>
      <c r="X344" s="2322"/>
      <c r="Y344" s="2322"/>
      <c r="Z344" s="2322"/>
      <c r="AA344" s="2322"/>
      <c r="AB344" s="2322"/>
      <c r="AC344" s="2322"/>
      <c r="AD344" s="2322"/>
      <c r="AE344" s="2322"/>
      <c r="AF344" s="2322"/>
      <c r="AG344" s="2322"/>
      <c r="AH344" s="2322"/>
      <c r="AI344" s="2322"/>
      <c r="AJ344" s="2322"/>
      <c r="AK344" s="2322"/>
      <c r="AL344" s="2322"/>
      <c r="AM344" s="2322"/>
    </row>
    <row r="345" spans="1:39">
      <c r="A345" s="89"/>
      <c r="B345" s="89"/>
      <c r="C345" s="89"/>
      <c r="D345" s="89"/>
      <c r="E345" s="89"/>
      <c r="F345" s="89"/>
      <c r="G345" s="89"/>
      <c r="H345" s="89"/>
      <c r="I345" s="3847"/>
      <c r="J345" s="3847"/>
      <c r="K345" s="3847"/>
      <c r="L345" s="3847"/>
      <c r="M345" s="3847"/>
      <c r="N345" s="3847"/>
      <c r="O345" s="3847"/>
      <c r="P345" s="3847"/>
      <c r="Q345" s="3847"/>
      <c r="R345" s="3847"/>
      <c r="S345" s="3847"/>
      <c r="T345" s="3847"/>
      <c r="U345" s="3847"/>
      <c r="V345" s="2322"/>
      <c r="W345" s="2322"/>
      <c r="X345" s="2322"/>
      <c r="Y345" s="2322"/>
      <c r="Z345" s="2322"/>
      <c r="AA345" s="2322"/>
      <c r="AB345" s="2322"/>
      <c r="AC345" s="2322"/>
      <c r="AD345" s="2322"/>
      <c r="AE345" s="2322"/>
      <c r="AF345" s="2322"/>
      <c r="AG345" s="2322"/>
      <c r="AH345" s="2322"/>
      <c r="AI345" s="2322"/>
      <c r="AJ345" s="2322"/>
      <c r="AK345" s="2322"/>
      <c r="AL345" s="2322"/>
      <c r="AM345" s="2322"/>
    </row>
    <row r="346" spans="1:39">
      <c r="A346" s="89"/>
      <c r="B346" s="89"/>
      <c r="C346" s="89"/>
      <c r="D346" s="89"/>
      <c r="E346" s="89"/>
      <c r="F346" s="89"/>
      <c r="G346" s="89"/>
      <c r="H346" s="89"/>
      <c r="I346" s="3847"/>
      <c r="J346" s="3847"/>
      <c r="K346" s="3847"/>
      <c r="L346" s="3847"/>
      <c r="M346" s="3847"/>
      <c r="N346" s="3847"/>
      <c r="O346" s="3847"/>
      <c r="P346" s="3847"/>
      <c r="Q346" s="3847"/>
      <c r="R346" s="3847"/>
      <c r="S346" s="3847"/>
      <c r="T346" s="3847"/>
      <c r="U346" s="3847"/>
      <c r="V346" s="2322"/>
      <c r="W346" s="2322"/>
      <c r="X346" s="2322"/>
      <c r="Y346" s="2322"/>
      <c r="Z346" s="2322"/>
      <c r="AA346" s="2322"/>
      <c r="AB346" s="2322"/>
      <c r="AC346" s="2322"/>
      <c r="AD346" s="2322"/>
      <c r="AE346" s="2322"/>
      <c r="AF346" s="2322"/>
      <c r="AG346" s="2322"/>
      <c r="AH346" s="2322"/>
      <c r="AI346" s="2322"/>
      <c r="AJ346" s="2322"/>
      <c r="AK346" s="2322"/>
      <c r="AL346" s="2322"/>
      <c r="AM346" s="2322"/>
    </row>
    <row r="347" spans="1:39">
      <c r="A347" s="89"/>
      <c r="B347" s="89"/>
      <c r="C347" s="89"/>
      <c r="D347" s="89"/>
      <c r="E347" s="89"/>
      <c r="F347" s="89"/>
      <c r="G347" s="89"/>
      <c r="H347" s="89"/>
      <c r="I347" s="3847"/>
      <c r="J347" s="3847"/>
      <c r="K347" s="3847"/>
      <c r="L347" s="3847"/>
      <c r="M347" s="3847"/>
      <c r="N347" s="3847"/>
      <c r="O347" s="3847"/>
      <c r="P347" s="3847"/>
      <c r="Q347" s="3847"/>
      <c r="R347" s="3847"/>
      <c r="S347" s="3847"/>
      <c r="T347" s="3847"/>
      <c r="U347" s="3847"/>
      <c r="V347" s="2322"/>
      <c r="W347" s="2322"/>
      <c r="X347" s="2322"/>
      <c r="Y347" s="2322"/>
      <c r="Z347" s="2322"/>
      <c r="AA347" s="2322"/>
      <c r="AB347" s="2322"/>
      <c r="AC347" s="2322"/>
      <c r="AD347" s="2322"/>
      <c r="AE347" s="2322"/>
      <c r="AF347" s="2322"/>
      <c r="AG347" s="2322"/>
      <c r="AH347" s="2322"/>
      <c r="AI347" s="2322"/>
      <c r="AJ347" s="2322"/>
      <c r="AK347" s="2322"/>
      <c r="AL347" s="2322"/>
      <c r="AM347" s="2322"/>
    </row>
    <row r="348" spans="1:39">
      <c r="A348" s="89"/>
      <c r="B348" s="89"/>
      <c r="C348" s="89"/>
      <c r="D348" s="89"/>
      <c r="E348" s="89"/>
      <c r="F348" s="89"/>
      <c r="G348" s="89"/>
      <c r="H348" s="89"/>
      <c r="I348" s="3847"/>
      <c r="J348" s="3847"/>
      <c r="K348" s="3847"/>
      <c r="L348" s="3847"/>
      <c r="M348" s="3847"/>
      <c r="N348" s="3847"/>
      <c r="O348" s="3847"/>
      <c r="P348" s="3847"/>
      <c r="Q348" s="3847"/>
      <c r="R348" s="3847"/>
      <c r="S348" s="3847"/>
      <c r="T348" s="3847"/>
      <c r="U348" s="3847"/>
      <c r="V348" s="2322"/>
      <c r="W348" s="2322"/>
      <c r="X348" s="2322"/>
      <c r="Y348" s="2322"/>
      <c r="Z348" s="2322"/>
      <c r="AA348" s="2322"/>
      <c r="AB348" s="2322"/>
      <c r="AC348" s="2322"/>
      <c r="AD348" s="2322"/>
      <c r="AE348" s="2322"/>
      <c r="AF348" s="2322"/>
      <c r="AG348" s="2322"/>
      <c r="AH348" s="2322"/>
      <c r="AI348" s="2322"/>
      <c r="AJ348" s="2322"/>
      <c r="AK348" s="2322"/>
      <c r="AL348" s="2322"/>
      <c r="AM348" s="2322"/>
    </row>
    <row r="349" spans="1:39">
      <c r="A349" s="89"/>
      <c r="B349" s="89"/>
      <c r="C349" s="89"/>
      <c r="D349" s="89"/>
      <c r="E349" s="89"/>
      <c r="F349" s="89"/>
      <c r="G349" s="89"/>
      <c r="H349" s="89"/>
      <c r="I349" s="3847"/>
      <c r="J349" s="3847"/>
      <c r="K349" s="3847"/>
      <c r="L349" s="3847"/>
      <c r="M349" s="3847"/>
      <c r="N349" s="3847"/>
      <c r="O349" s="3847"/>
      <c r="P349" s="3847"/>
      <c r="Q349" s="3847"/>
      <c r="R349" s="3847"/>
      <c r="S349" s="3847"/>
      <c r="T349" s="3847"/>
      <c r="U349" s="3847"/>
      <c r="V349" s="2322"/>
      <c r="W349" s="2322"/>
      <c r="X349" s="2322"/>
      <c r="Y349" s="2322"/>
      <c r="Z349" s="2322"/>
      <c r="AA349" s="2322"/>
      <c r="AB349" s="2322"/>
      <c r="AC349" s="2322"/>
      <c r="AD349" s="2322"/>
      <c r="AE349" s="2322"/>
      <c r="AF349" s="2322"/>
      <c r="AG349" s="2322"/>
      <c r="AH349" s="2322"/>
      <c r="AI349" s="2322"/>
      <c r="AJ349" s="2322"/>
      <c r="AK349" s="2322"/>
      <c r="AL349" s="2322"/>
      <c r="AM349" s="2322"/>
    </row>
    <row r="350" spans="1:39">
      <c r="A350" s="89"/>
      <c r="B350" s="89"/>
      <c r="C350" s="89"/>
      <c r="D350" s="89"/>
      <c r="E350" s="89"/>
      <c r="F350" s="89"/>
      <c r="G350" s="89"/>
      <c r="H350" s="89"/>
      <c r="I350" s="3847"/>
      <c r="J350" s="3847"/>
      <c r="K350" s="3847"/>
      <c r="L350" s="3847"/>
      <c r="M350" s="3847"/>
      <c r="N350" s="3847"/>
      <c r="O350" s="3847"/>
      <c r="P350" s="3847"/>
      <c r="Q350" s="3847"/>
      <c r="R350" s="3847"/>
      <c r="S350" s="3847"/>
      <c r="T350" s="3847"/>
      <c r="U350" s="3847"/>
      <c r="V350" s="2322"/>
      <c r="W350" s="2322"/>
      <c r="X350" s="2322"/>
      <c r="Y350" s="2322"/>
      <c r="Z350" s="2322"/>
      <c r="AA350" s="2322"/>
      <c r="AB350" s="2322"/>
      <c r="AC350" s="2322"/>
      <c r="AD350" s="2322"/>
      <c r="AE350" s="2322"/>
      <c r="AF350" s="2322"/>
      <c r="AG350" s="2322"/>
      <c r="AH350" s="2322"/>
      <c r="AI350" s="2322"/>
      <c r="AJ350" s="2322"/>
      <c r="AK350" s="2322"/>
      <c r="AL350" s="2322"/>
      <c r="AM350" s="2322"/>
    </row>
    <row r="351" spans="1:39">
      <c r="A351" s="89"/>
      <c r="B351" s="89"/>
      <c r="C351" s="89"/>
      <c r="D351" s="89"/>
      <c r="E351" s="89"/>
      <c r="F351" s="89"/>
      <c r="G351" s="89"/>
      <c r="H351" s="89"/>
      <c r="I351" s="3847"/>
      <c r="J351" s="3847"/>
      <c r="K351" s="3847"/>
      <c r="L351" s="3847"/>
      <c r="M351" s="3847"/>
      <c r="N351" s="3847"/>
      <c r="O351" s="3847"/>
      <c r="P351" s="3847"/>
      <c r="Q351" s="3847"/>
      <c r="R351" s="3847"/>
      <c r="S351" s="3847"/>
      <c r="T351" s="3847"/>
      <c r="U351" s="3847"/>
      <c r="V351" s="2322"/>
      <c r="W351" s="2322"/>
      <c r="X351" s="2322"/>
      <c r="Y351" s="2322"/>
      <c r="Z351" s="2322"/>
      <c r="AA351" s="2322"/>
      <c r="AB351" s="2322"/>
      <c r="AC351" s="2322"/>
      <c r="AD351" s="2322"/>
      <c r="AE351" s="2322"/>
      <c r="AF351" s="2322"/>
      <c r="AG351" s="2322"/>
      <c r="AH351" s="2322"/>
      <c r="AI351" s="2322"/>
      <c r="AJ351" s="2322"/>
      <c r="AK351" s="2322"/>
      <c r="AL351" s="2322"/>
      <c r="AM351" s="2322"/>
    </row>
    <row r="352" spans="1:39">
      <c r="A352" s="89"/>
      <c r="B352" s="89"/>
      <c r="C352" s="89"/>
      <c r="D352" s="89"/>
      <c r="E352" s="89"/>
      <c r="F352" s="89"/>
      <c r="G352" s="89"/>
      <c r="H352" s="89"/>
      <c r="I352" s="3847"/>
      <c r="J352" s="3847"/>
      <c r="K352" s="3847"/>
      <c r="L352" s="3847"/>
      <c r="M352" s="3847"/>
      <c r="N352" s="3847"/>
      <c r="O352" s="3847"/>
      <c r="P352" s="3847"/>
      <c r="Q352" s="3847"/>
      <c r="R352" s="3847"/>
      <c r="S352" s="3847"/>
      <c r="T352" s="3847"/>
      <c r="U352" s="3847"/>
      <c r="V352" s="2322"/>
      <c r="W352" s="2322"/>
      <c r="X352" s="2322"/>
      <c r="Y352" s="2322"/>
      <c r="Z352" s="2322"/>
      <c r="AA352" s="2322"/>
      <c r="AB352" s="2322"/>
      <c r="AC352" s="2322"/>
      <c r="AD352" s="2322"/>
      <c r="AE352" s="2322"/>
      <c r="AF352" s="2322"/>
      <c r="AG352" s="2322"/>
      <c r="AH352" s="2322"/>
      <c r="AI352" s="2322"/>
      <c r="AJ352" s="2322"/>
      <c r="AK352" s="2322"/>
      <c r="AL352" s="2322"/>
      <c r="AM352" s="2322"/>
    </row>
    <row r="353" spans="1:39">
      <c r="A353" s="89"/>
      <c r="B353" s="89"/>
      <c r="C353" s="89"/>
      <c r="D353" s="89"/>
      <c r="E353" s="89"/>
      <c r="F353" s="89"/>
      <c r="G353" s="89"/>
      <c r="H353" s="89"/>
      <c r="I353" s="3847"/>
      <c r="J353" s="3847"/>
      <c r="K353" s="3847"/>
      <c r="L353" s="3847"/>
      <c r="M353" s="3847"/>
      <c r="N353" s="3847"/>
      <c r="O353" s="3847"/>
      <c r="P353" s="3847"/>
      <c r="Q353" s="3847"/>
      <c r="R353" s="3847"/>
      <c r="S353" s="3847"/>
      <c r="T353" s="3847"/>
      <c r="U353" s="3847"/>
      <c r="V353" s="2322"/>
      <c r="W353" s="2322"/>
      <c r="X353" s="2322"/>
      <c r="Y353" s="2322"/>
      <c r="Z353" s="2322"/>
      <c r="AA353" s="2322"/>
      <c r="AB353" s="2322"/>
      <c r="AC353" s="2322"/>
      <c r="AD353" s="2322"/>
      <c r="AE353" s="2322"/>
      <c r="AF353" s="2322"/>
      <c r="AG353" s="2322"/>
      <c r="AH353" s="2322"/>
      <c r="AI353" s="2322"/>
      <c r="AJ353" s="2322"/>
      <c r="AK353" s="2322"/>
      <c r="AL353" s="2322"/>
      <c r="AM353" s="2322"/>
    </row>
    <row r="354" spans="1:39">
      <c r="A354" s="89"/>
      <c r="B354" s="89"/>
      <c r="C354" s="89"/>
      <c r="D354" s="89"/>
      <c r="E354" s="89"/>
      <c r="F354" s="89"/>
      <c r="G354" s="89"/>
      <c r="H354" s="89"/>
      <c r="I354" s="3847"/>
      <c r="J354" s="3847"/>
      <c r="K354" s="3847"/>
      <c r="L354" s="3847"/>
      <c r="M354" s="3847"/>
      <c r="N354" s="3847"/>
      <c r="O354" s="3847"/>
      <c r="P354" s="3847"/>
      <c r="Q354" s="3847"/>
      <c r="R354" s="3847"/>
      <c r="S354" s="3847"/>
      <c r="T354" s="3847"/>
      <c r="U354" s="3847"/>
      <c r="V354" s="2322"/>
      <c r="W354" s="2322"/>
      <c r="X354" s="2322"/>
      <c r="Y354" s="2322"/>
      <c r="Z354" s="2322"/>
      <c r="AA354" s="2322"/>
      <c r="AB354" s="2322"/>
      <c r="AC354" s="2322"/>
      <c r="AD354" s="2322"/>
      <c r="AE354" s="2322"/>
      <c r="AF354" s="2322"/>
      <c r="AG354" s="2322"/>
      <c r="AH354" s="2322"/>
      <c r="AI354" s="2322"/>
      <c r="AJ354" s="2322"/>
      <c r="AK354" s="2322"/>
      <c r="AL354" s="2322"/>
      <c r="AM354" s="2322"/>
    </row>
    <row r="355" spans="1:39">
      <c r="A355" s="89"/>
      <c r="B355" s="89"/>
      <c r="C355" s="89"/>
      <c r="D355" s="89"/>
      <c r="E355" s="89"/>
      <c r="F355" s="89"/>
      <c r="G355" s="89"/>
      <c r="H355" s="89"/>
      <c r="I355" s="3847"/>
      <c r="J355" s="3847"/>
      <c r="K355" s="3847"/>
      <c r="L355" s="3847"/>
      <c r="M355" s="3847"/>
      <c r="N355" s="3847"/>
      <c r="O355" s="3847"/>
      <c r="P355" s="3847"/>
      <c r="Q355" s="3847"/>
      <c r="R355" s="3847"/>
      <c r="S355" s="3847"/>
      <c r="T355" s="3847"/>
      <c r="U355" s="3847"/>
      <c r="V355" s="2322"/>
      <c r="W355" s="2322"/>
      <c r="X355" s="2322"/>
      <c r="Y355" s="2322"/>
      <c r="Z355" s="2322"/>
      <c r="AA355" s="2322"/>
      <c r="AB355" s="2322"/>
      <c r="AC355" s="2322"/>
      <c r="AD355" s="2322"/>
      <c r="AE355" s="2322"/>
      <c r="AF355" s="2322"/>
      <c r="AG355" s="2322"/>
      <c r="AH355" s="2322"/>
      <c r="AI355" s="2322"/>
      <c r="AJ355" s="2322"/>
      <c r="AK355" s="2322"/>
      <c r="AL355" s="2322"/>
      <c r="AM355" s="2322"/>
    </row>
    <row r="356" spans="1:39">
      <c r="A356" s="89"/>
      <c r="B356" s="89"/>
      <c r="C356" s="89"/>
      <c r="D356" s="89"/>
      <c r="E356" s="89"/>
      <c r="F356" s="89"/>
      <c r="G356" s="89"/>
      <c r="H356" s="89"/>
      <c r="I356" s="3847"/>
      <c r="J356" s="3847"/>
      <c r="K356" s="3847"/>
      <c r="L356" s="3847"/>
      <c r="M356" s="3847"/>
      <c r="N356" s="3847"/>
      <c r="O356" s="3847"/>
      <c r="P356" s="3847"/>
      <c r="Q356" s="3847"/>
      <c r="R356" s="3847"/>
      <c r="S356" s="3847"/>
      <c r="T356" s="3847"/>
      <c r="U356" s="3847"/>
      <c r="V356" s="2322"/>
      <c r="W356" s="2322"/>
      <c r="X356" s="2322"/>
      <c r="Y356" s="2322"/>
      <c r="Z356" s="2322"/>
      <c r="AA356" s="2322"/>
      <c r="AB356" s="2322"/>
      <c r="AC356" s="2322"/>
      <c r="AD356" s="2322"/>
      <c r="AE356" s="2322"/>
      <c r="AF356" s="2322"/>
      <c r="AG356" s="2322"/>
      <c r="AH356" s="2322"/>
      <c r="AI356" s="2322"/>
      <c r="AJ356" s="2322"/>
      <c r="AK356" s="2322"/>
      <c r="AL356" s="2322"/>
      <c r="AM356" s="2322"/>
    </row>
    <row r="357" spans="1:39">
      <c r="A357" s="89"/>
      <c r="B357" s="89"/>
      <c r="C357" s="89"/>
      <c r="D357" s="89"/>
      <c r="E357" s="89"/>
      <c r="F357" s="89"/>
      <c r="G357" s="89"/>
      <c r="H357" s="89"/>
      <c r="I357" s="3847"/>
      <c r="J357" s="3847"/>
      <c r="K357" s="3847"/>
      <c r="L357" s="3847"/>
      <c r="M357" s="3847"/>
      <c r="N357" s="3847"/>
      <c r="O357" s="3847"/>
      <c r="P357" s="3847"/>
      <c r="Q357" s="3847"/>
      <c r="R357" s="3847"/>
      <c r="S357" s="3847"/>
      <c r="T357" s="3847"/>
      <c r="U357" s="3847"/>
      <c r="V357" s="2322"/>
      <c r="W357" s="2322"/>
      <c r="X357" s="2322"/>
      <c r="Y357" s="2322"/>
      <c r="Z357" s="2322"/>
      <c r="AA357" s="2322"/>
      <c r="AB357" s="2322"/>
      <c r="AC357" s="2322"/>
      <c r="AD357" s="2322"/>
      <c r="AE357" s="2322"/>
      <c r="AF357" s="2322"/>
      <c r="AG357" s="2322"/>
      <c r="AH357" s="2322"/>
      <c r="AI357" s="2322"/>
      <c r="AJ357" s="2322"/>
      <c r="AK357" s="2322"/>
      <c r="AL357" s="2322"/>
      <c r="AM357" s="2322"/>
    </row>
    <row r="358" spans="1:39">
      <c r="A358" s="89"/>
      <c r="B358" s="89"/>
      <c r="C358" s="89"/>
      <c r="D358" s="89"/>
      <c r="E358" s="89"/>
      <c r="F358" s="89"/>
      <c r="G358" s="89"/>
      <c r="H358" s="89"/>
      <c r="I358" s="3847"/>
      <c r="J358" s="3847"/>
      <c r="K358" s="3847"/>
      <c r="L358" s="3847"/>
      <c r="M358" s="3847"/>
      <c r="N358" s="3847"/>
      <c r="O358" s="3847"/>
      <c r="P358" s="3847"/>
      <c r="Q358" s="3847"/>
      <c r="R358" s="3847"/>
      <c r="S358" s="3847"/>
      <c r="T358" s="3847"/>
      <c r="U358" s="3847"/>
      <c r="V358" s="2322"/>
      <c r="W358" s="2322"/>
      <c r="X358" s="2322"/>
      <c r="Y358" s="2322"/>
      <c r="Z358" s="2322"/>
      <c r="AA358" s="2322"/>
      <c r="AB358" s="2322"/>
      <c r="AC358" s="2322"/>
      <c r="AD358" s="2322"/>
      <c r="AE358" s="2322"/>
      <c r="AF358" s="2322"/>
      <c r="AG358" s="2322"/>
      <c r="AH358" s="2322"/>
      <c r="AI358" s="2322"/>
      <c r="AJ358" s="2322"/>
      <c r="AK358" s="2322"/>
      <c r="AL358" s="2322"/>
      <c r="AM358" s="2322"/>
    </row>
    <row r="359" spans="1:39">
      <c r="A359" s="89"/>
      <c r="B359" s="89"/>
      <c r="C359" s="89"/>
      <c r="D359" s="89"/>
      <c r="E359" s="89"/>
      <c r="F359" s="89"/>
      <c r="G359" s="89"/>
      <c r="H359" s="89"/>
      <c r="I359" s="3847"/>
      <c r="J359" s="3847"/>
      <c r="K359" s="3847"/>
      <c r="L359" s="3847"/>
      <c r="M359" s="3847"/>
      <c r="N359" s="3847"/>
      <c r="O359" s="3847"/>
      <c r="P359" s="3847"/>
      <c r="Q359" s="3847"/>
      <c r="R359" s="3847"/>
      <c r="S359" s="3847"/>
      <c r="T359" s="3847"/>
      <c r="U359" s="3847"/>
      <c r="V359" s="2322"/>
      <c r="W359" s="2322"/>
      <c r="X359" s="2322"/>
      <c r="Y359" s="2322"/>
      <c r="Z359" s="2322"/>
      <c r="AA359" s="2322"/>
      <c r="AB359" s="2322"/>
      <c r="AC359" s="2322"/>
      <c r="AD359" s="2322"/>
      <c r="AE359" s="2322"/>
      <c r="AF359" s="2322"/>
      <c r="AG359" s="2322"/>
      <c r="AH359" s="2322"/>
      <c r="AI359" s="2322"/>
      <c r="AJ359" s="2322"/>
      <c r="AK359" s="2322"/>
      <c r="AL359" s="2322"/>
      <c r="AM359" s="2322"/>
    </row>
    <row r="360" spans="1:39">
      <c r="A360" s="89"/>
      <c r="B360" s="89"/>
      <c r="C360" s="89"/>
      <c r="D360" s="89"/>
      <c r="E360" s="89"/>
      <c r="F360" s="89"/>
      <c r="G360" s="89"/>
      <c r="H360" s="89"/>
      <c r="I360" s="3847"/>
      <c r="J360" s="3847"/>
      <c r="K360" s="3847"/>
      <c r="L360" s="3847"/>
      <c r="M360" s="3847"/>
      <c r="N360" s="3847"/>
      <c r="O360" s="3847"/>
      <c r="P360" s="3847"/>
      <c r="Q360" s="3847"/>
      <c r="R360" s="3847"/>
      <c r="S360" s="3847"/>
      <c r="T360" s="3847"/>
      <c r="U360" s="3847"/>
      <c r="V360" s="2322"/>
      <c r="W360" s="2322"/>
      <c r="X360" s="2322"/>
      <c r="Y360" s="2322"/>
      <c r="Z360" s="2322"/>
      <c r="AA360" s="2322"/>
      <c r="AB360" s="2322"/>
      <c r="AC360" s="2322"/>
      <c r="AD360" s="2322"/>
      <c r="AE360" s="2322"/>
      <c r="AF360" s="2322"/>
      <c r="AG360" s="2322"/>
      <c r="AH360" s="2322"/>
      <c r="AI360" s="2322"/>
      <c r="AJ360" s="2322"/>
      <c r="AK360" s="2322"/>
      <c r="AL360" s="2322"/>
      <c r="AM360" s="2322"/>
    </row>
    <row r="361" spans="1:39">
      <c r="A361" s="89"/>
      <c r="B361" s="89"/>
      <c r="C361" s="89"/>
      <c r="D361" s="89"/>
      <c r="E361" s="89"/>
      <c r="F361" s="89"/>
      <c r="G361" s="89"/>
      <c r="H361" s="89"/>
      <c r="I361" s="3847"/>
      <c r="J361" s="3847"/>
      <c r="K361" s="3847"/>
      <c r="L361" s="3847"/>
      <c r="M361" s="3847"/>
      <c r="N361" s="3847"/>
      <c r="O361" s="3847"/>
      <c r="P361" s="3847"/>
      <c r="Q361" s="3847"/>
      <c r="R361" s="3847"/>
      <c r="S361" s="3847"/>
      <c r="T361" s="3847"/>
      <c r="U361" s="3847"/>
      <c r="V361" s="2322"/>
      <c r="W361" s="2322"/>
      <c r="X361" s="2322"/>
      <c r="Y361" s="2322"/>
      <c r="Z361" s="2322"/>
      <c r="AA361" s="2322"/>
      <c r="AB361" s="2322"/>
      <c r="AC361" s="2322"/>
      <c r="AD361" s="2322"/>
      <c r="AE361" s="2322"/>
      <c r="AF361" s="2322"/>
      <c r="AG361" s="2322"/>
      <c r="AH361" s="2322"/>
      <c r="AI361" s="2322"/>
      <c r="AJ361" s="2322"/>
      <c r="AK361" s="2322"/>
      <c r="AL361" s="2322"/>
      <c r="AM361" s="2322"/>
    </row>
    <row r="362" spans="1:39">
      <c r="A362" s="89"/>
      <c r="B362" s="89"/>
      <c r="C362" s="89"/>
      <c r="D362" s="89"/>
      <c r="E362" s="89"/>
      <c r="F362" s="89"/>
      <c r="G362" s="89"/>
      <c r="H362" s="89"/>
      <c r="I362" s="3847"/>
      <c r="J362" s="3847"/>
      <c r="K362" s="3847"/>
      <c r="L362" s="3847"/>
      <c r="M362" s="3847"/>
      <c r="N362" s="3847"/>
      <c r="O362" s="3847"/>
      <c r="P362" s="3847"/>
      <c r="Q362" s="3847"/>
      <c r="R362" s="3847"/>
      <c r="S362" s="3847"/>
      <c r="T362" s="3847"/>
      <c r="U362" s="3847"/>
      <c r="V362" s="2322"/>
      <c r="W362" s="2322"/>
      <c r="X362" s="2322"/>
      <c r="Y362" s="2322"/>
      <c r="Z362" s="2322"/>
      <c r="AA362" s="2322"/>
      <c r="AB362" s="2322"/>
      <c r="AC362" s="2322"/>
      <c r="AD362" s="2322"/>
      <c r="AE362" s="2322"/>
      <c r="AF362" s="2322"/>
      <c r="AG362" s="2322"/>
      <c r="AH362" s="2322"/>
      <c r="AI362" s="2322"/>
      <c r="AJ362" s="2322"/>
      <c r="AK362" s="2322"/>
      <c r="AL362" s="2322"/>
      <c r="AM362" s="2322"/>
    </row>
    <row r="363" spans="1:39">
      <c r="A363" s="89"/>
      <c r="B363" s="89"/>
      <c r="C363" s="89"/>
      <c r="D363" s="89"/>
      <c r="E363" s="89"/>
      <c r="F363" s="89"/>
      <c r="G363" s="89"/>
      <c r="H363" s="89"/>
      <c r="I363" s="3847"/>
      <c r="J363" s="3847"/>
      <c r="K363" s="3847"/>
      <c r="L363" s="3847"/>
      <c r="M363" s="3847"/>
      <c r="N363" s="3847"/>
      <c r="O363" s="3847"/>
      <c r="P363" s="3847"/>
      <c r="Q363" s="3847"/>
      <c r="R363" s="3847"/>
      <c r="S363" s="3847"/>
      <c r="T363" s="3847"/>
      <c r="U363" s="3847"/>
      <c r="V363" s="2322"/>
      <c r="W363" s="2322"/>
      <c r="X363" s="2322"/>
      <c r="Y363" s="2322"/>
      <c r="Z363" s="2322"/>
      <c r="AA363" s="2322"/>
      <c r="AB363" s="2322"/>
      <c r="AC363" s="2322"/>
      <c r="AD363" s="2322"/>
      <c r="AE363" s="2322"/>
      <c r="AF363" s="2322"/>
      <c r="AG363" s="2322"/>
      <c r="AH363" s="2322"/>
      <c r="AI363" s="2322"/>
      <c r="AJ363" s="2322"/>
      <c r="AK363" s="2322"/>
      <c r="AL363" s="2322"/>
      <c r="AM363" s="2322"/>
    </row>
    <row r="364" spans="1:39">
      <c r="A364" s="89"/>
      <c r="B364" s="89"/>
      <c r="C364" s="89"/>
      <c r="D364" s="89"/>
      <c r="E364" s="89"/>
      <c r="F364" s="89"/>
      <c r="G364" s="89"/>
      <c r="H364" s="89"/>
      <c r="I364" s="3847"/>
      <c r="J364" s="3847"/>
      <c r="K364" s="3847"/>
      <c r="L364" s="3847"/>
      <c r="M364" s="3847"/>
      <c r="N364" s="3847"/>
      <c r="O364" s="3847"/>
      <c r="P364" s="3847"/>
      <c r="Q364" s="3847"/>
      <c r="R364" s="3847"/>
      <c r="S364" s="3847"/>
      <c r="T364" s="3847"/>
      <c r="U364" s="3847"/>
      <c r="V364" s="2322"/>
      <c r="W364" s="2322"/>
      <c r="X364" s="2322"/>
      <c r="Y364" s="2322"/>
      <c r="Z364" s="2322"/>
      <c r="AA364" s="2322"/>
      <c r="AB364" s="2322"/>
      <c r="AC364" s="2322"/>
      <c r="AD364" s="2322"/>
      <c r="AE364" s="2322"/>
      <c r="AF364" s="2322"/>
      <c r="AG364" s="2322"/>
      <c r="AH364" s="2322"/>
      <c r="AI364" s="2322"/>
      <c r="AJ364" s="2322"/>
      <c r="AK364" s="2322"/>
      <c r="AL364" s="2322"/>
      <c r="AM364" s="2322"/>
    </row>
    <row r="365" spans="1:39">
      <c r="A365" s="89"/>
      <c r="B365" s="89"/>
      <c r="C365" s="89"/>
      <c r="D365" s="89"/>
      <c r="E365" s="89"/>
      <c r="F365" s="89"/>
      <c r="G365" s="89"/>
      <c r="H365" s="89"/>
      <c r="I365" s="3847"/>
      <c r="J365" s="3847"/>
      <c r="K365" s="3847"/>
      <c r="L365" s="3847"/>
      <c r="M365" s="3847"/>
      <c r="N365" s="3847"/>
      <c r="O365" s="3847"/>
      <c r="P365" s="3847"/>
      <c r="Q365" s="3847"/>
      <c r="R365" s="3847"/>
      <c r="S365" s="3847"/>
      <c r="T365" s="3847"/>
      <c r="U365" s="3847"/>
      <c r="V365" s="2322"/>
      <c r="W365" s="2322"/>
      <c r="X365" s="2322"/>
      <c r="Y365" s="2322"/>
      <c r="Z365" s="2322"/>
      <c r="AA365" s="2322"/>
      <c r="AB365" s="2322"/>
      <c r="AC365" s="2322"/>
      <c r="AD365" s="2322"/>
      <c r="AE365" s="2322"/>
      <c r="AF365" s="2322"/>
      <c r="AG365" s="2322"/>
      <c r="AH365" s="2322"/>
      <c r="AI365" s="2322"/>
      <c r="AJ365" s="2322"/>
      <c r="AK365" s="2322"/>
      <c r="AL365" s="2322"/>
      <c r="AM365" s="2322"/>
    </row>
    <row r="366" spans="1:39">
      <c r="A366" s="89"/>
      <c r="B366" s="89"/>
      <c r="C366" s="89"/>
      <c r="D366" s="89"/>
      <c r="E366" s="89"/>
      <c r="F366" s="89"/>
      <c r="G366" s="89"/>
      <c r="H366" s="89"/>
      <c r="I366" s="3847"/>
      <c r="J366" s="3847"/>
      <c r="K366" s="3847"/>
      <c r="L366" s="3847"/>
      <c r="M366" s="3847"/>
      <c r="N366" s="3847"/>
      <c r="O366" s="3847"/>
      <c r="P366" s="3847"/>
      <c r="Q366" s="3847"/>
      <c r="R366" s="3847"/>
      <c r="S366" s="3847"/>
      <c r="T366" s="3847"/>
      <c r="U366" s="3847"/>
      <c r="V366" s="2322"/>
      <c r="W366" s="2322"/>
      <c r="X366" s="2322"/>
      <c r="Y366" s="2322"/>
      <c r="Z366" s="2322"/>
      <c r="AA366" s="2322"/>
      <c r="AB366" s="2322"/>
      <c r="AC366" s="2322"/>
      <c r="AD366" s="2322"/>
      <c r="AE366" s="2322"/>
      <c r="AF366" s="2322"/>
      <c r="AG366" s="2322"/>
      <c r="AH366" s="2322"/>
      <c r="AI366" s="2322"/>
      <c r="AJ366" s="2322"/>
      <c r="AK366" s="2322"/>
      <c r="AL366" s="2322"/>
      <c r="AM366" s="2322"/>
    </row>
    <row r="367" spans="1:39">
      <c r="A367" s="89"/>
      <c r="B367" s="89"/>
      <c r="C367" s="89"/>
      <c r="D367" s="89"/>
      <c r="E367" s="89"/>
      <c r="F367" s="89"/>
      <c r="G367" s="89"/>
      <c r="H367" s="89"/>
      <c r="I367" s="3847"/>
      <c r="J367" s="3847"/>
      <c r="K367" s="3847"/>
      <c r="L367" s="3847"/>
      <c r="M367" s="3847"/>
      <c r="N367" s="3847"/>
      <c r="O367" s="3847"/>
      <c r="P367" s="3847"/>
      <c r="Q367" s="3847"/>
      <c r="R367" s="3847"/>
      <c r="S367" s="3847"/>
      <c r="T367" s="3847"/>
      <c r="U367" s="3847"/>
      <c r="V367" s="2322"/>
      <c r="W367" s="2322"/>
      <c r="X367" s="2322"/>
      <c r="Y367" s="2322"/>
      <c r="Z367" s="2322"/>
      <c r="AA367" s="2322"/>
      <c r="AB367" s="2322"/>
      <c r="AC367" s="2322"/>
      <c r="AD367" s="2322"/>
      <c r="AE367" s="2322"/>
      <c r="AF367" s="2322"/>
      <c r="AG367" s="2322"/>
      <c r="AH367" s="2322"/>
      <c r="AI367" s="2322"/>
      <c r="AJ367" s="2322"/>
      <c r="AK367" s="2322"/>
      <c r="AL367" s="2322"/>
      <c r="AM367" s="2322"/>
    </row>
    <row r="368" spans="1:39">
      <c r="A368" s="89"/>
      <c r="B368" s="89"/>
      <c r="C368" s="89"/>
      <c r="D368" s="89"/>
      <c r="E368" s="89"/>
      <c r="F368" s="89"/>
      <c r="G368" s="89"/>
      <c r="H368" s="89"/>
      <c r="I368" s="3847"/>
      <c r="J368" s="3847"/>
      <c r="K368" s="3847"/>
      <c r="L368" s="3847"/>
      <c r="M368" s="3847"/>
      <c r="N368" s="3847"/>
      <c r="O368" s="3847"/>
      <c r="P368" s="3847"/>
      <c r="Q368" s="3847"/>
      <c r="R368" s="3847"/>
      <c r="S368" s="3847"/>
      <c r="T368" s="3847"/>
      <c r="U368" s="3847"/>
      <c r="V368" s="2322"/>
      <c r="W368" s="2322"/>
      <c r="X368" s="2322"/>
      <c r="Y368" s="2322"/>
      <c r="Z368" s="2322"/>
      <c r="AA368" s="2322"/>
      <c r="AB368" s="2322"/>
      <c r="AC368" s="2322"/>
      <c r="AD368" s="2322"/>
      <c r="AE368" s="2322"/>
      <c r="AF368" s="2322"/>
      <c r="AG368" s="2322"/>
      <c r="AH368" s="2322"/>
      <c r="AI368" s="2322"/>
      <c r="AJ368" s="2322"/>
      <c r="AK368" s="2322"/>
      <c r="AL368" s="2322"/>
      <c r="AM368" s="2322"/>
    </row>
    <row r="369" spans="1:39">
      <c r="A369" s="89"/>
      <c r="B369" s="89"/>
      <c r="C369" s="89"/>
      <c r="D369" s="89"/>
      <c r="E369" s="89"/>
      <c r="F369" s="89"/>
      <c r="G369" s="89"/>
      <c r="H369" s="89"/>
      <c r="I369" s="3847"/>
      <c r="J369" s="3847"/>
      <c r="K369" s="3847"/>
      <c r="L369" s="3847"/>
      <c r="M369" s="3847"/>
      <c r="N369" s="3847"/>
      <c r="O369" s="3847"/>
      <c r="P369" s="3847"/>
      <c r="Q369" s="3847"/>
      <c r="R369" s="3847"/>
      <c r="S369" s="3847"/>
      <c r="T369" s="3847"/>
      <c r="U369" s="3847"/>
      <c r="V369" s="2322"/>
      <c r="W369" s="2322"/>
      <c r="X369" s="2322"/>
      <c r="Y369" s="2322"/>
      <c r="Z369" s="2322"/>
      <c r="AA369" s="2322"/>
      <c r="AB369" s="2322"/>
      <c r="AC369" s="2322"/>
      <c r="AD369" s="2322"/>
      <c r="AE369" s="2322"/>
      <c r="AF369" s="2322"/>
      <c r="AG369" s="2322"/>
      <c r="AH369" s="2322"/>
      <c r="AI369" s="2322"/>
      <c r="AJ369" s="2322"/>
      <c r="AK369" s="2322"/>
      <c r="AL369" s="2322"/>
      <c r="AM369" s="2322"/>
    </row>
    <row r="370" spans="1:39">
      <c r="A370" s="89"/>
      <c r="B370" s="89"/>
      <c r="C370" s="89"/>
      <c r="D370" s="89"/>
      <c r="E370" s="89"/>
      <c r="F370" s="89"/>
      <c r="G370" s="89"/>
      <c r="H370" s="89"/>
      <c r="I370" s="3847"/>
      <c r="J370" s="3847"/>
      <c r="K370" s="3847"/>
      <c r="L370" s="3847"/>
      <c r="M370" s="3847"/>
      <c r="N370" s="3847"/>
      <c r="O370" s="3847"/>
      <c r="P370" s="3847"/>
      <c r="Q370" s="3847"/>
      <c r="R370" s="3847"/>
      <c r="S370" s="3847"/>
      <c r="T370" s="3847"/>
      <c r="U370" s="3847"/>
      <c r="V370" s="2322"/>
      <c r="W370" s="2322"/>
      <c r="X370" s="2322"/>
      <c r="Y370" s="2322"/>
      <c r="Z370" s="2322"/>
      <c r="AA370" s="2322"/>
      <c r="AB370" s="2322"/>
      <c r="AC370" s="2322"/>
      <c r="AD370" s="2322"/>
      <c r="AE370" s="2322"/>
      <c r="AF370" s="2322"/>
      <c r="AG370" s="2322"/>
      <c r="AH370" s="2322"/>
      <c r="AI370" s="2322"/>
      <c r="AJ370" s="2322"/>
      <c r="AK370" s="2322"/>
      <c r="AL370" s="2322"/>
      <c r="AM370" s="2322"/>
    </row>
    <row r="371" spans="1:39">
      <c r="A371" s="89"/>
      <c r="B371" s="89"/>
      <c r="C371" s="89"/>
      <c r="D371" s="89"/>
      <c r="E371" s="89"/>
      <c r="F371" s="89"/>
      <c r="G371" s="89"/>
      <c r="H371" s="89"/>
      <c r="I371" s="3847"/>
      <c r="J371" s="3847"/>
      <c r="K371" s="3847"/>
      <c r="L371" s="3847"/>
      <c r="M371" s="3847"/>
      <c r="N371" s="3847"/>
      <c r="O371" s="3847"/>
      <c r="P371" s="3847"/>
      <c r="Q371" s="3847"/>
      <c r="R371" s="3847"/>
      <c r="S371" s="3847"/>
      <c r="T371" s="3847"/>
      <c r="U371" s="3847"/>
      <c r="V371" s="2322"/>
      <c r="W371" s="2322"/>
      <c r="X371" s="2322"/>
      <c r="Y371" s="2322"/>
      <c r="Z371" s="2322"/>
      <c r="AA371" s="2322"/>
      <c r="AB371" s="2322"/>
      <c r="AC371" s="2322"/>
      <c r="AD371" s="2322"/>
      <c r="AE371" s="2322"/>
      <c r="AF371" s="2322"/>
      <c r="AG371" s="2322"/>
      <c r="AH371" s="2322"/>
      <c r="AI371" s="2322"/>
      <c r="AJ371" s="2322"/>
      <c r="AK371" s="2322"/>
      <c r="AL371" s="2322"/>
      <c r="AM371" s="2322"/>
    </row>
    <row r="372" spans="1:39">
      <c r="A372" s="89"/>
      <c r="B372" s="89"/>
      <c r="C372" s="89"/>
      <c r="D372" s="89"/>
      <c r="E372" s="89"/>
      <c r="F372" s="89"/>
      <c r="G372" s="89"/>
      <c r="H372" s="89"/>
      <c r="I372" s="3847"/>
      <c r="J372" s="3847"/>
      <c r="K372" s="3847"/>
      <c r="L372" s="3847"/>
      <c r="M372" s="3847"/>
      <c r="N372" s="3847"/>
      <c r="O372" s="3847"/>
      <c r="P372" s="3847"/>
      <c r="Q372" s="3847"/>
      <c r="R372" s="3847"/>
      <c r="S372" s="3847"/>
      <c r="T372" s="3847"/>
      <c r="U372" s="3847"/>
      <c r="V372" s="2322"/>
      <c r="W372" s="2322"/>
      <c r="X372" s="2322"/>
      <c r="Y372" s="2322"/>
      <c r="Z372" s="2322"/>
      <c r="AA372" s="2322"/>
      <c r="AB372" s="2322"/>
      <c r="AC372" s="2322"/>
      <c r="AD372" s="2322"/>
      <c r="AE372" s="2322"/>
      <c r="AF372" s="2322"/>
      <c r="AG372" s="2322"/>
      <c r="AH372" s="2322"/>
      <c r="AI372" s="2322"/>
      <c r="AJ372" s="2322"/>
      <c r="AK372" s="2322"/>
      <c r="AL372" s="2322"/>
      <c r="AM372" s="2322"/>
    </row>
    <row r="373" spans="1:39">
      <c r="A373" s="89"/>
      <c r="B373" s="89"/>
      <c r="C373" s="89"/>
      <c r="D373" s="89"/>
      <c r="E373" s="89"/>
      <c r="F373" s="89"/>
      <c r="G373" s="89"/>
      <c r="H373" s="89"/>
      <c r="I373" s="3847"/>
      <c r="J373" s="3847"/>
      <c r="K373" s="3847"/>
      <c r="L373" s="3847"/>
      <c r="M373" s="3847"/>
      <c r="N373" s="3847"/>
      <c r="O373" s="3847"/>
      <c r="P373" s="3847"/>
      <c r="Q373" s="3847"/>
      <c r="R373" s="3847"/>
      <c r="S373" s="3847"/>
      <c r="T373" s="3847"/>
      <c r="U373" s="3847"/>
      <c r="V373" s="2322"/>
      <c r="W373" s="2322"/>
      <c r="X373" s="2322"/>
      <c r="Y373" s="2322"/>
      <c r="Z373" s="2322"/>
      <c r="AA373" s="2322"/>
      <c r="AB373" s="2322"/>
      <c r="AC373" s="2322"/>
      <c r="AD373" s="2322"/>
      <c r="AE373" s="2322"/>
      <c r="AF373" s="2322"/>
      <c r="AG373" s="2322"/>
      <c r="AH373" s="2322"/>
      <c r="AI373" s="2322"/>
      <c r="AJ373" s="2322"/>
      <c r="AK373" s="2322"/>
      <c r="AL373" s="2322"/>
      <c r="AM373" s="2322"/>
    </row>
    <row r="374" spans="1:39">
      <c r="A374" s="89"/>
      <c r="B374" s="89"/>
      <c r="C374" s="89"/>
      <c r="D374" s="89"/>
      <c r="E374" s="89"/>
      <c r="F374" s="89"/>
      <c r="G374" s="89"/>
      <c r="H374" s="89"/>
      <c r="I374" s="3847"/>
      <c r="J374" s="3847"/>
      <c r="K374" s="3847"/>
      <c r="L374" s="3847"/>
      <c r="M374" s="3847"/>
      <c r="N374" s="3847"/>
      <c r="O374" s="3847"/>
      <c r="P374" s="3847"/>
      <c r="Q374" s="3847"/>
      <c r="R374" s="3847"/>
      <c r="S374" s="3847"/>
      <c r="T374" s="3847"/>
      <c r="U374" s="3847"/>
      <c r="V374" s="2322"/>
      <c r="W374" s="2322"/>
      <c r="X374" s="2322"/>
      <c r="Y374" s="2322"/>
      <c r="Z374" s="2322"/>
      <c r="AA374" s="2322"/>
      <c r="AB374" s="2322"/>
      <c r="AC374" s="2322"/>
      <c r="AD374" s="2322"/>
      <c r="AE374" s="2322"/>
      <c r="AF374" s="2322"/>
      <c r="AG374" s="2322"/>
      <c r="AH374" s="2322"/>
      <c r="AI374" s="2322"/>
      <c r="AJ374" s="2322"/>
      <c r="AK374" s="2322"/>
      <c r="AL374" s="2322"/>
      <c r="AM374" s="2322"/>
    </row>
    <row r="375" spans="1:39">
      <c r="A375" s="89"/>
      <c r="B375" s="89"/>
      <c r="C375" s="89"/>
      <c r="D375" s="89"/>
      <c r="E375" s="89"/>
      <c r="F375" s="89"/>
      <c r="G375" s="89"/>
      <c r="H375" s="89"/>
      <c r="I375" s="3847"/>
      <c r="J375" s="3847"/>
      <c r="K375" s="3847"/>
      <c r="L375" s="3847"/>
      <c r="M375" s="3847"/>
      <c r="N375" s="3847"/>
      <c r="O375" s="3847"/>
      <c r="P375" s="3847"/>
      <c r="Q375" s="3847"/>
      <c r="R375" s="3847"/>
      <c r="S375" s="3847"/>
      <c r="T375" s="3847"/>
      <c r="U375" s="3847"/>
      <c r="V375" s="2322"/>
      <c r="W375" s="2322"/>
      <c r="X375" s="2322"/>
      <c r="Y375" s="2322"/>
      <c r="Z375" s="2322"/>
      <c r="AA375" s="2322"/>
      <c r="AB375" s="2322"/>
      <c r="AC375" s="2322"/>
      <c r="AD375" s="2322"/>
      <c r="AE375" s="2322"/>
      <c r="AF375" s="2322"/>
      <c r="AG375" s="2322"/>
      <c r="AH375" s="2322"/>
      <c r="AI375" s="2322"/>
      <c r="AJ375" s="2322"/>
      <c r="AK375" s="2322"/>
      <c r="AL375" s="2322"/>
      <c r="AM375" s="2322"/>
    </row>
    <row r="376" spans="1:39">
      <c r="A376" s="89"/>
      <c r="B376" s="89"/>
      <c r="C376" s="89"/>
      <c r="D376" s="89"/>
      <c r="E376" s="89"/>
      <c r="F376" s="89"/>
      <c r="G376" s="89"/>
      <c r="H376" s="89"/>
      <c r="I376" s="3847"/>
      <c r="J376" s="3847"/>
      <c r="K376" s="3847"/>
      <c r="L376" s="3847"/>
      <c r="M376" s="3847"/>
      <c r="N376" s="3847"/>
      <c r="O376" s="3847"/>
      <c r="P376" s="3847"/>
      <c r="Q376" s="3847"/>
      <c r="R376" s="3847"/>
      <c r="S376" s="3847"/>
      <c r="T376" s="3847"/>
      <c r="U376" s="3847"/>
      <c r="V376" s="2322"/>
      <c r="W376" s="2322"/>
      <c r="X376" s="2322"/>
      <c r="Y376" s="2322"/>
      <c r="Z376" s="2322"/>
      <c r="AA376" s="2322"/>
      <c r="AB376" s="2322"/>
      <c r="AC376" s="2322"/>
      <c r="AD376" s="2322"/>
      <c r="AE376" s="2322"/>
      <c r="AF376" s="2322"/>
      <c r="AG376" s="2322"/>
      <c r="AH376" s="2322"/>
      <c r="AI376" s="2322"/>
      <c r="AJ376" s="2322"/>
      <c r="AK376" s="2322"/>
      <c r="AL376" s="2322"/>
      <c r="AM376" s="2322"/>
    </row>
    <row r="377" spans="1:39">
      <c r="A377" s="89"/>
      <c r="B377" s="89"/>
      <c r="C377" s="89"/>
      <c r="D377" s="89"/>
      <c r="E377" s="89"/>
      <c r="F377" s="89"/>
      <c r="G377" s="89"/>
      <c r="H377" s="89"/>
      <c r="I377" s="3847"/>
      <c r="J377" s="3847"/>
      <c r="K377" s="3847"/>
      <c r="L377" s="3847"/>
      <c r="M377" s="3847"/>
      <c r="N377" s="3847"/>
      <c r="O377" s="3847"/>
      <c r="P377" s="3847"/>
      <c r="Q377" s="3847"/>
      <c r="R377" s="3847"/>
      <c r="S377" s="3847"/>
      <c r="T377" s="3847"/>
      <c r="U377" s="3847"/>
      <c r="V377" s="2322"/>
      <c r="W377" s="2322"/>
      <c r="X377" s="2322"/>
      <c r="Y377" s="2322"/>
      <c r="Z377" s="2322"/>
      <c r="AA377" s="2322"/>
      <c r="AB377" s="2322"/>
      <c r="AC377" s="2322"/>
      <c r="AD377" s="2322"/>
      <c r="AE377" s="2322"/>
      <c r="AF377" s="2322"/>
      <c r="AG377" s="2322"/>
      <c r="AH377" s="2322"/>
      <c r="AI377" s="2322"/>
      <c r="AJ377" s="2322"/>
      <c r="AK377" s="2322"/>
      <c r="AL377" s="2322"/>
      <c r="AM377" s="2322"/>
    </row>
    <row r="378" spans="1:39">
      <c r="A378" s="89"/>
      <c r="B378" s="89"/>
      <c r="C378" s="89"/>
      <c r="D378" s="89"/>
      <c r="E378" s="89"/>
      <c r="F378" s="89"/>
      <c r="G378" s="89"/>
      <c r="H378" s="89"/>
      <c r="I378" s="3847"/>
      <c r="J378" s="3847"/>
      <c r="K378" s="3847"/>
      <c r="L378" s="3847"/>
      <c r="M378" s="3847"/>
      <c r="N378" s="3847"/>
      <c r="O378" s="3847"/>
      <c r="P378" s="3847"/>
      <c r="Q378" s="3847"/>
      <c r="R378" s="3847"/>
      <c r="S378" s="3847"/>
      <c r="T378" s="3847"/>
      <c r="U378" s="3847"/>
      <c r="V378" s="2322"/>
      <c r="W378" s="2322"/>
      <c r="X378" s="2322"/>
      <c r="Y378" s="2322"/>
      <c r="Z378" s="2322"/>
      <c r="AA378" s="2322"/>
      <c r="AB378" s="2322"/>
      <c r="AC378" s="2322"/>
      <c r="AD378" s="2322"/>
      <c r="AE378" s="2322"/>
      <c r="AF378" s="2322"/>
      <c r="AG378" s="2322"/>
      <c r="AH378" s="2322"/>
      <c r="AI378" s="2322"/>
      <c r="AJ378" s="2322"/>
      <c r="AK378" s="2322"/>
      <c r="AL378" s="2322"/>
      <c r="AM378" s="2322"/>
    </row>
    <row r="379" spans="1:39">
      <c r="A379" s="89"/>
      <c r="B379" s="89"/>
      <c r="C379" s="89"/>
      <c r="D379" s="89"/>
      <c r="E379" s="89"/>
      <c r="F379" s="89"/>
      <c r="G379" s="89"/>
      <c r="H379" s="89"/>
      <c r="I379" s="3847"/>
      <c r="J379" s="3847"/>
      <c r="K379" s="3847"/>
      <c r="L379" s="3847"/>
      <c r="M379" s="3847"/>
      <c r="N379" s="3847"/>
      <c r="O379" s="3847"/>
      <c r="P379" s="3847"/>
      <c r="Q379" s="3847"/>
      <c r="R379" s="3847"/>
      <c r="S379" s="3847"/>
      <c r="T379" s="3847"/>
      <c r="U379" s="3847"/>
      <c r="V379" s="2322"/>
      <c r="W379" s="2322"/>
      <c r="X379" s="2322"/>
      <c r="Y379" s="2322"/>
      <c r="Z379" s="2322"/>
      <c r="AA379" s="2322"/>
      <c r="AB379" s="2322"/>
      <c r="AC379" s="2322"/>
      <c r="AD379" s="2322"/>
      <c r="AE379" s="2322"/>
      <c r="AF379" s="2322"/>
      <c r="AG379" s="2322"/>
      <c r="AH379" s="2322"/>
      <c r="AI379" s="2322"/>
      <c r="AJ379" s="2322"/>
      <c r="AK379" s="2322"/>
      <c r="AL379" s="2322"/>
      <c r="AM379" s="2322"/>
    </row>
    <row r="380" spans="1:39">
      <c r="A380" s="89"/>
      <c r="B380" s="89"/>
      <c r="C380" s="89"/>
      <c r="D380" s="89"/>
      <c r="E380" s="89"/>
      <c r="F380" s="89"/>
      <c r="G380" s="89"/>
      <c r="H380" s="89"/>
      <c r="I380" s="3847"/>
      <c r="J380" s="3847"/>
      <c r="K380" s="3847"/>
      <c r="L380" s="3847"/>
      <c r="M380" s="3847"/>
      <c r="N380" s="3847"/>
      <c r="O380" s="3847"/>
      <c r="P380" s="3847"/>
      <c r="Q380" s="3847"/>
      <c r="R380" s="3847"/>
      <c r="S380" s="3847"/>
      <c r="T380" s="3847"/>
      <c r="U380" s="3847"/>
      <c r="V380" s="2322"/>
      <c r="W380" s="2322"/>
      <c r="X380" s="2322"/>
      <c r="Y380" s="2322"/>
      <c r="Z380" s="2322"/>
      <c r="AA380" s="2322"/>
      <c r="AB380" s="2322"/>
      <c r="AC380" s="2322"/>
      <c r="AD380" s="2322"/>
      <c r="AE380" s="2322"/>
      <c r="AF380" s="2322"/>
      <c r="AG380" s="2322"/>
      <c r="AH380" s="2322"/>
      <c r="AI380" s="2322"/>
      <c r="AJ380" s="2322"/>
      <c r="AK380" s="2322"/>
      <c r="AL380" s="2322"/>
      <c r="AM380" s="2322"/>
    </row>
    <row r="381" spans="1:39">
      <c r="A381" s="89"/>
      <c r="B381" s="89"/>
      <c r="C381" s="89"/>
      <c r="D381" s="89"/>
      <c r="E381" s="89"/>
      <c r="F381" s="89"/>
      <c r="G381" s="89"/>
      <c r="H381" s="89"/>
      <c r="I381" s="3847"/>
      <c r="J381" s="3847"/>
      <c r="K381" s="3847"/>
      <c r="L381" s="3847"/>
      <c r="M381" s="3847"/>
      <c r="N381" s="3847"/>
      <c r="O381" s="3847"/>
      <c r="P381" s="3847"/>
      <c r="Q381" s="3847"/>
      <c r="R381" s="3847"/>
      <c r="S381" s="3847"/>
      <c r="T381" s="3847"/>
      <c r="U381" s="3847"/>
      <c r="V381" s="2322"/>
      <c r="W381" s="2322"/>
      <c r="X381" s="2322"/>
      <c r="Y381" s="2322"/>
      <c r="Z381" s="2322"/>
      <c r="AA381" s="2322"/>
      <c r="AB381" s="2322"/>
      <c r="AC381" s="2322"/>
      <c r="AD381" s="2322"/>
      <c r="AE381" s="2322"/>
      <c r="AF381" s="2322"/>
      <c r="AG381" s="2322"/>
      <c r="AH381" s="2322"/>
      <c r="AI381" s="2322"/>
      <c r="AJ381" s="2322"/>
      <c r="AK381" s="2322"/>
      <c r="AL381" s="2322"/>
      <c r="AM381" s="2322"/>
    </row>
    <row r="382" spans="1:39">
      <c r="A382" s="89"/>
      <c r="B382" s="89"/>
      <c r="C382" s="89"/>
      <c r="D382" s="89"/>
      <c r="E382" s="89"/>
      <c r="F382" s="89"/>
      <c r="G382" s="89"/>
      <c r="H382" s="89"/>
      <c r="I382" s="3847"/>
      <c r="J382" s="3847"/>
      <c r="K382" s="3847"/>
      <c r="L382" s="3847"/>
      <c r="M382" s="3847"/>
      <c r="N382" s="3847"/>
      <c r="O382" s="3847"/>
      <c r="P382" s="3847"/>
      <c r="Q382" s="3847"/>
      <c r="R382" s="3847"/>
      <c r="S382" s="3847"/>
      <c r="T382" s="3847"/>
      <c r="U382" s="3847"/>
      <c r="V382" s="2322"/>
      <c r="W382" s="2322"/>
      <c r="X382" s="2322"/>
      <c r="Y382" s="2322"/>
      <c r="Z382" s="2322"/>
      <c r="AA382" s="2322"/>
      <c r="AB382" s="2322"/>
      <c r="AC382" s="2322"/>
      <c r="AD382" s="2322"/>
      <c r="AE382" s="2322"/>
      <c r="AF382" s="2322"/>
      <c r="AG382" s="2322"/>
      <c r="AH382" s="2322"/>
      <c r="AI382" s="2322"/>
      <c r="AJ382" s="2322"/>
      <c r="AK382" s="2322"/>
      <c r="AL382" s="2322"/>
      <c r="AM382" s="2322"/>
    </row>
    <row r="383" spans="1:39">
      <c r="A383" s="89"/>
      <c r="B383" s="89"/>
      <c r="C383" s="89"/>
      <c r="D383" s="89"/>
      <c r="E383" s="89"/>
      <c r="F383" s="89"/>
      <c r="G383" s="89"/>
      <c r="H383" s="89"/>
      <c r="I383" s="3847"/>
      <c r="J383" s="3847"/>
      <c r="K383" s="3847"/>
      <c r="L383" s="3847"/>
      <c r="M383" s="3847"/>
      <c r="N383" s="3847"/>
      <c r="O383" s="3847"/>
      <c r="P383" s="3847"/>
      <c r="Q383" s="3847"/>
      <c r="R383" s="3847"/>
      <c r="S383" s="3847"/>
      <c r="T383" s="3847"/>
      <c r="U383" s="3847"/>
      <c r="V383" s="2322"/>
      <c r="W383" s="2322"/>
      <c r="X383" s="2322"/>
      <c r="Y383" s="2322"/>
      <c r="Z383" s="2322"/>
      <c r="AA383" s="2322"/>
      <c r="AB383" s="2322"/>
      <c r="AC383" s="2322"/>
      <c r="AD383" s="2322"/>
      <c r="AE383" s="2322"/>
      <c r="AF383" s="2322"/>
      <c r="AG383" s="2322"/>
      <c r="AH383" s="2322"/>
      <c r="AI383" s="2322"/>
      <c r="AJ383" s="2322"/>
      <c r="AK383" s="2322"/>
      <c r="AL383" s="2322"/>
      <c r="AM383" s="2322"/>
    </row>
    <row r="384" spans="1:39">
      <c r="A384" s="89"/>
      <c r="B384" s="89"/>
      <c r="C384" s="89"/>
      <c r="D384" s="89"/>
      <c r="E384" s="89"/>
      <c r="F384" s="89"/>
      <c r="G384" s="89"/>
      <c r="H384" s="89"/>
      <c r="I384" s="3847"/>
      <c r="J384" s="3847"/>
      <c r="K384" s="3847"/>
      <c r="L384" s="3847"/>
      <c r="M384" s="3847"/>
      <c r="N384" s="3847"/>
      <c r="O384" s="3847"/>
      <c r="P384" s="3847"/>
      <c r="Q384" s="3847"/>
      <c r="R384" s="3847"/>
      <c r="S384" s="3847"/>
      <c r="T384" s="3847"/>
      <c r="U384" s="3847"/>
      <c r="V384" s="2322"/>
      <c r="W384" s="2322"/>
      <c r="X384" s="2322"/>
      <c r="Y384" s="2322"/>
      <c r="Z384" s="2322"/>
      <c r="AA384" s="2322"/>
      <c r="AB384" s="2322"/>
      <c r="AC384" s="2322"/>
      <c r="AD384" s="2322"/>
      <c r="AE384" s="2322"/>
      <c r="AF384" s="2322"/>
      <c r="AG384" s="2322"/>
      <c r="AH384" s="2322"/>
      <c r="AI384" s="2322"/>
      <c r="AJ384" s="2322"/>
      <c r="AK384" s="2322"/>
      <c r="AL384" s="2322"/>
      <c r="AM384" s="2322"/>
    </row>
    <row r="385" spans="1:39">
      <c r="A385" s="89"/>
      <c r="B385" s="89"/>
      <c r="C385" s="89"/>
      <c r="D385" s="89"/>
      <c r="E385" s="89"/>
      <c r="F385" s="89"/>
      <c r="G385" s="89"/>
      <c r="H385" s="89"/>
      <c r="I385" s="3847"/>
      <c r="J385" s="3847"/>
      <c r="K385" s="3847"/>
      <c r="L385" s="3847"/>
      <c r="M385" s="3847"/>
      <c r="N385" s="3847"/>
      <c r="O385" s="3847"/>
      <c r="P385" s="3847"/>
      <c r="Q385" s="3847"/>
      <c r="R385" s="3847"/>
      <c r="S385" s="3847"/>
      <c r="T385" s="3847"/>
      <c r="U385" s="3847"/>
      <c r="V385" s="2322"/>
      <c r="W385" s="2322"/>
      <c r="X385" s="2322"/>
      <c r="Y385" s="2322"/>
      <c r="Z385" s="2322"/>
      <c r="AA385" s="2322"/>
      <c r="AB385" s="2322"/>
      <c r="AC385" s="2322"/>
      <c r="AD385" s="2322"/>
      <c r="AE385" s="2322"/>
      <c r="AF385" s="2322"/>
      <c r="AG385" s="2322"/>
      <c r="AH385" s="2322"/>
      <c r="AI385" s="2322"/>
      <c r="AJ385" s="2322"/>
      <c r="AK385" s="2322"/>
      <c r="AL385" s="2322"/>
      <c r="AM385" s="2322"/>
    </row>
    <row r="386" spans="1:39">
      <c r="A386" s="89"/>
      <c r="B386" s="89"/>
      <c r="C386" s="89"/>
      <c r="D386" s="89"/>
      <c r="E386" s="89"/>
      <c r="F386" s="89"/>
      <c r="G386" s="89"/>
      <c r="H386" s="89"/>
      <c r="I386" s="3847"/>
      <c r="J386" s="3847"/>
      <c r="K386" s="3847"/>
      <c r="L386" s="3847"/>
      <c r="M386" s="3847"/>
      <c r="N386" s="3847"/>
      <c r="O386" s="3847"/>
      <c r="P386" s="3847"/>
      <c r="Q386" s="3847"/>
      <c r="R386" s="3847"/>
      <c r="S386" s="3847"/>
      <c r="T386" s="3847"/>
      <c r="U386" s="3847"/>
      <c r="V386" s="2322"/>
      <c r="W386" s="2322"/>
      <c r="X386" s="2322"/>
      <c r="Y386" s="2322"/>
      <c r="Z386" s="2322"/>
      <c r="AA386" s="2322"/>
      <c r="AB386" s="2322"/>
      <c r="AC386" s="2322"/>
      <c r="AD386" s="2322"/>
      <c r="AE386" s="2322"/>
      <c r="AF386" s="2322"/>
      <c r="AG386" s="2322"/>
      <c r="AH386" s="2322"/>
      <c r="AI386" s="2322"/>
      <c r="AJ386" s="2322"/>
      <c r="AK386" s="2322"/>
      <c r="AL386" s="2322"/>
      <c r="AM386" s="2322"/>
    </row>
    <row r="387" spans="1:39">
      <c r="A387" s="89"/>
      <c r="B387" s="89"/>
      <c r="C387" s="89"/>
      <c r="D387" s="89"/>
      <c r="E387" s="89"/>
      <c r="F387" s="89"/>
      <c r="G387" s="89"/>
      <c r="H387" s="89"/>
      <c r="I387" s="3847"/>
      <c r="J387" s="3847"/>
      <c r="K387" s="3847"/>
      <c r="L387" s="3847"/>
      <c r="M387" s="3847"/>
      <c r="N387" s="3847"/>
      <c r="O387" s="3847"/>
      <c r="P387" s="3847"/>
      <c r="Q387" s="3847"/>
      <c r="R387" s="3847"/>
      <c r="S387" s="3847"/>
      <c r="T387" s="3847"/>
      <c r="U387" s="3847"/>
      <c r="V387" s="2322"/>
      <c r="W387" s="2322"/>
      <c r="X387" s="2322"/>
      <c r="Y387" s="2322"/>
      <c r="Z387" s="2322"/>
      <c r="AA387" s="2322"/>
      <c r="AB387" s="2322"/>
      <c r="AC387" s="2322"/>
      <c r="AD387" s="2322"/>
      <c r="AE387" s="2322"/>
      <c r="AF387" s="2322"/>
      <c r="AG387" s="2322"/>
      <c r="AH387" s="2322"/>
      <c r="AI387" s="2322"/>
      <c r="AJ387" s="2322"/>
      <c r="AK387" s="2322"/>
      <c r="AL387" s="2322"/>
      <c r="AM387" s="2322"/>
    </row>
    <row r="388" spans="1:39">
      <c r="A388" s="89"/>
      <c r="B388" s="89"/>
      <c r="C388" s="89"/>
      <c r="D388" s="89"/>
      <c r="E388" s="89"/>
      <c r="F388" s="89"/>
      <c r="G388" s="89"/>
      <c r="H388" s="89"/>
      <c r="I388" s="3847"/>
      <c r="J388" s="3847"/>
      <c r="K388" s="3847"/>
      <c r="L388" s="3847"/>
      <c r="M388" s="3847"/>
      <c r="N388" s="3847"/>
      <c r="O388" s="3847"/>
      <c r="P388" s="3847"/>
      <c r="Q388" s="3847"/>
      <c r="R388" s="3847"/>
      <c r="S388" s="3847"/>
      <c r="T388" s="3847"/>
      <c r="U388" s="3847"/>
      <c r="V388" s="2322"/>
      <c r="W388" s="2322"/>
      <c r="X388" s="2322"/>
      <c r="Y388" s="2322"/>
      <c r="Z388" s="2322"/>
      <c r="AA388" s="2322"/>
      <c r="AB388" s="2322"/>
      <c r="AC388" s="2322"/>
      <c r="AD388" s="2322"/>
      <c r="AE388" s="2322"/>
      <c r="AF388" s="2322"/>
      <c r="AG388" s="2322"/>
      <c r="AH388" s="2322"/>
      <c r="AI388" s="2322"/>
      <c r="AJ388" s="2322"/>
      <c r="AK388" s="2322"/>
      <c r="AL388" s="2322"/>
      <c r="AM388" s="2322"/>
    </row>
    <row r="389" spans="1:39">
      <c r="A389" s="89"/>
      <c r="B389" s="89"/>
      <c r="C389" s="89"/>
      <c r="D389" s="89"/>
      <c r="E389" s="89"/>
      <c r="F389" s="89"/>
      <c r="G389" s="89"/>
      <c r="H389" s="89"/>
      <c r="I389" s="3847"/>
      <c r="J389" s="3847"/>
      <c r="K389" s="3847"/>
      <c r="L389" s="3847"/>
      <c r="M389" s="3847"/>
      <c r="N389" s="3847"/>
      <c r="O389" s="3847"/>
      <c r="P389" s="3847"/>
      <c r="Q389" s="3847"/>
      <c r="R389" s="3847"/>
      <c r="S389" s="3847"/>
      <c r="T389" s="3847"/>
      <c r="U389" s="3847"/>
      <c r="V389" s="2322"/>
      <c r="W389" s="2322"/>
      <c r="X389" s="2322"/>
      <c r="Y389" s="2322"/>
      <c r="Z389" s="2322"/>
      <c r="AA389" s="2322"/>
      <c r="AB389" s="2322"/>
      <c r="AC389" s="2322"/>
      <c r="AD389" s="2322"/>
      <c r="AE389" s="2322"/>
      <c r="AF389" s="2322"/>
      <c r="AG389" s="2322"/>
      <c r="AH389" s="2322"/>
      <c r="AI389" s="2322"/>
      <c r="AJ389" s="2322"/>
      <c r="AK389" s="2322"/>
      <c r="AL389" s="2322"/>
      <c r="AM389" s="2322"/>
    </row>
    <row r="390" spans="1:39">
      <c r="A390" s="89"/>
      <c r="B390" s="89"/>
      <c r="C390" s="89"/>
      <c r="D390" s="89"/>
      <c r="E390" s="89"/>
      <c r="F390" s="89"/>
      <c r="G390" s="89"/>
      <c r="H390" s="89"/>
      <c r="I390" s="3847"/>
      <c r="J390" s="3847"/>
      <c r="K390" s="3847"/>
      <c r="L390" s="3847"/>
      <c r="M390" s="3847"/>
      <c r="N390" s="3847"/>
      <c r="O390" s="3847"/>
      <c r="P390" s="3847"/>
      <c r="Q390" s="3847"/>
      <c r="R390" s="3847"/>
      <c r="S390" s="3847"/>
      <c r="T390" s="3847"/>
      <c r="U390" s="3847"/>
      <c r="V390" s="2322"/>
      <c r="W390" s="2322"/>
      <c r="X390" s="2322"/>
      <c r="Y390" s="2322"/>
      <c r="Z390" s="2322"/>
      <c r="AA390" s="2322"/>
      <c r="AB390" s="2322"/>
      <c r="AC390" s="2322"/>
      <c r="AD390" s="2322"/>
      <c r="AE390" s="2322"/>
      <c r="AF390" s="2322"/>
      <c r="AG390" s="2322"/>
      <c r="AH390" s="2322"/>
      <c r="AI390" s="2322"/>
      <c r="AJ390" s="2322"/>
      <c r="AK390" s="2322"/>
      <c r="AL390" s="2322"/>
      <c r="AM390" s="2322"/>
    </row>
    <row r="391" spans="1:39">
      <c r="A391" s="89"/>
      <c r="B391" s="89"/>
      <c r="C391" s="89"/>
      <c r="D391" s="89"/>
      <c r="E391" s="89"/>
      <c r="F391" s="89"/>
      <c r="G391" s="89"/>
      <c r="H391" s="89"/>
      <c r="I391" s="3847"/>
      <c r="J391" s="3847"/>
      <c r="K391" s="3847"/>
      <c r="L391" s="3847"/>
      <c r="M391" s="3847"/>
      <c r="N391" s="3847"/>
      <c r="O391" s="3847"/>
      <c r="P391" s="3847"/>
      <c r="Q391" s="3847"/>
      <c r="R391" s="3847"/>
      <c r="S391" s="3847"/>
      <c r="T391" s="3847"/>
      <c r="U391" s="3847"/>
      <c r="V391" s="2322"/>
      <c r="W391" s="2322"/>
      <c r="X391" s="2322"/>
      <c r="Y391" s="2322"/>
      <c r="Z391" s="2322"/>
      <c r="AA391" s="2322"/>
      <c r="AB391" s="2322"/>
      <c r="AC391" s="2322"/>
      <c r="AD391" s="2322"/>
      <c r="AE391" s="2322"/>
      <c r="AF391" s="2322"/>
      <c r="AG391" s="2322"/>
      <c r="AH391" s="2322"/>
      <c r="AI391" s="2322"/>
      <c r="AJ391" s="2322"/>
      <c r="AK391" s="2322"/>
      <c r="AL391" s="2322"/>
      <c r="AM391" s="2322"/>
    </row>
    <row r="392" spans="1:39">
      <c r="A392" s="89"/>
      <c r="B392" s="89"/>
      <c r="C392" s="89"/>
      <c r="D392" s="89"/>
      <c r="E392" s="89"/>
      <c r="F392" s="89"/>
      <c r="G392" s="89"/>
      <c r="H392" s="89"/>
      <c r="I392" s="3847"/>
      <c r="J392" s="3847"/>
      <c r="K392" s="3847"/>
      <c r="L392" s="3847"/>
      <c r="M392" s="3847"/>
      <c r="N392" s="3847"/>
      <c r="O392" s="3847"/>
      <c r="P392" s="3847"/>
      <c r="Q392" s="3847"/>
      <c r="R392" s="3847"/>
      <c r="S392" s="3847"/>
      <c r="T392" s="3847"/>
      <c r="U392" s="3847"/>
      <c r="V392" s="2322"/>
      <c r="W392" s="2322"/>
      <c r="X392" s="2322"/>
      <c r="Y392" s="2322"/>
      <c r="Z392" s="2322"/>
      <c r="AA392" s="2322"/>
      <c r="AB392" s="2322"/>
      <c r="AC392" s="2322"/>
      <c r="AD392" s="2322"/>
      <c r="AE392" s="2322"/>
      <c r="AF392" s="2322"/>
      <c r="AG392" s="2322"/>
      <c r="AH392" s="2322"/>
      <c r="AI392" s="2322"/>
      <c r="AJ392" s="2322"/>
      <c r="AK392" s="2322"/>
      <c r="AL392" s="2322"/>
      <c r="AM392" s="2322"/>
    </row>
    <row r="393" spans="1:39">
      <c r="A393" s="89"/>
      <c r="B393" s="89"/>
      <c r="C393" s="89"/>
      <c r="D393" s="89"/>
      <c r="E393" s="89"/>
      <c r="F393" s="89"/>
      <c r="G393" s="89"/>
      <c r="H393" s="89"/>
      <c r="I393" s="3847"/>
      <c r="J393" s="3847"/>
      <c r="K393" s="3847"/>
      <c r="L393" s="3847"/>
      <c r="M393" s="3847"/>
      <c r="N393" s="3847"/>
      <c r="O393" s="3847"/>
      <c r="P393" s="3847"/>
      <c r="Q393" s="3847"/>
      <c r="R393" s="3847"/>
      <c r="S393" s="3847"/>
      <c r="T393" s="3847"/>
      <c r="U393" s="3847"/>
      <c r="V393" s="2322"/>
      <c r="W393" s="2322"/>
      <c r="X393" s="2322"/>
      <c r="Y393" s="2322"/>
      <c r="Z393" s="2322"/>
      <c r="AA393" s="2322"/>
      <c r="AB393" s="2322"/>
      <c r="AC393" s="2322"/>
      <c r="AD393" s="2322"/>
      <c r="AE393" s="2322"/>
      <c r="AF393" s="2322"/>
      <c r="AG393" s="2322"/>
      <c r="AH393" s="2322"/>
      <c r="AI393" s="2322"/>
      <c r="AJ393" s="2322"/>
      <c r="AK393" s="2322"/>
      <c r="AL393" s="2322"/>
      <c r="AM393" s="2322"/>
    </row>
    <row r="394" spans="1:39">
      <c r="A394" s="89"/>
      <c r="B394" s="89"/>
      <c r="C394" s="89"/>
      <c r="D394" s="89"/>
      <c r="E394" s="89"/>
      <c r="F394" s="89"/>
      <c r="G394" s="89"/>
      <c r="H394" s="89"/>
      <c r="I394" s="3847"/>
      <c r="J394" s="3847"/>
      <c r="K394" s="3847"/>
      <c r="L394" s="3847"/>
      <c r="M394" s="3847"/>
      <c r="N394" s="3847"/>
      <c r="O394" s="3847"/>
      <c r="P394" s="3847"/>
      <c r="Q394" s="3847"/>
      <c r="R394" s="3847"/>
      <c r="S394" s="3847"/>
      <c r="T394" s="3847"/>
      <c r="U394" s="3847"/>
      <c r="V394" s="2322"/>
      <c r="W394" s="2322"/>
      <c r="X394" s="2322"/>
      <c r="Y394" s="2322"/>
      <c r="Z394" s="2322"/>
      <c r="AA394" s="2322"/>
      <c r="AB394" s="2322"/>
      <c r="AC394" s="2322"/>
      <c r="AD394" s="2322"/>
      <c r="AE394" s="2322"/>
      <c r="AF394" s="2322"/>
      <c r="AG394" s="2322"/>
      <c r="AH394" s="2322"/>
      <c r="AI394" s="2322"/>
      <c r="AJ394" s="2322"/>
      <c r="AK394" s="2322"/>
      <c r="AL394" s="2322"/>
      <c r="AM394" s="2322"/>
    </row>
    <row r="395" spans="1:39">
      <c r="A395" s="89"/>
      <c r="B395" s="89"/>
      <c r="C395" s="89"/>
      <c r="D395" s="89"/>
      <c r="E395" s="89"/>
      <c r="F395" s="89"/>
      <c r="G395" s="89"/>
      <c r="H395" s="89"/>
      <c r="I395" s="3847"/>
      <c r="J395" s="3847"/>
      <c r="K395" s="3847"/>
      <c r="L395" s="3847"/>
      <c r="M395" s="3847"/>
      <c r="N395" s="3847"/>
      <c r="O395" s="3847"/>
      <c r="P395" s="3847"/>
      <c r="Q395" s="3847"/>
      <c r="R395" s="3847"/>
      <c r="S395" s="3847"/>
      <c r="T395" s="3847"/>
      <c r="U395" s="3847"/>
      <c r="V395" s="2322"/>
      <c r="W395" s="2322"/>
      <c r="X395" s="2322"/>
      <c r="Y395" s="2322"/>
      <c r="Z395" s="2322"/>
      <c r="AA395" s="2322"/>
      <c r="AB395" s="2322"/>
      <c r="AC395" s="2322"/>
      <c r="AD395" s="2322"/>
      <c r="AE395" s="2322"/>
      <c r="AF395" s="2322"/>
      <c r="AG395" s="2322"/>
      <c r="AH395" s="2322"/>
      <c r="AI395" s="2322"/>
      <c r="AJ395" s="2322"/>
      <c r="AK395" s="2322"/>
      <c r="AL395" s="2322"/>
      <c r="AM395" s="2322"/>
    </row>
    <row r="396" spans="1:39">
      <c r="A396" s="89"/>
      <c r="B396" s="89"/>
      <c r="C396" s="89"/>
      <c r="D396" s="89"/>
      <c r="E396" s="89"/>
      <c r="F396" s="89"/>
      <c r="G396" s="89"/>
      <c r="H396" s="89"/>
      <c r="I396" s="3847"/>
      <c r="J396" s="3847"/>
      <c r="K396" s="3847"/>
      <c r="L396" s="3847"/>
      <c r="M396" s="3847"/>
      <c r="N396" s="3847"/>
      <c r="O396" s="3847"/>
      <c r="P396" s="3847"/>
      <c r="Q396" s="3847"/>
      <c r="R396" s="3847"/>
      <c r="S396" s="3847"/>
      <c r="T396" s="3847"/>
      <c r="U396" s="3847"/>
      <c r="V396" s="2322"/>
      <c r="W396" s="2322"/>
      <c r="X396" s="2322"/>
      <c r="Y396" s="2322"/>
      <c r="Z396" s="2322"/>
      <c r="AA396" s="2322"/>
      <c r="AB396" s="2322"/>
      <c r="AC396" s="2322"/>
      <c r="AD396" s="2322"/>
      <c r="AE396" s="2322"/>
      <c r="AF396" s="2322"/>
      <c r="AG396" s="2322"/>
      <c r="AH396" s="2322"/>
      <c r="AI396" s="2322"/>
      <c r="AJ396" s="2322"/>
      <c r="AK396" s="2322"/>
      <c r="AL396" s="2322"/>
      <c r="AM396" s="2322"/>
    </row>
    <row r="397" spans="1:39">
      <c r="A397" s="89"/>
      <c r="B397" s="89"/>
      <c r="C397" s="89"/>
      <c r="D397" s="89"/>
      <c r="E397" s="89"/>
      <c r="F397" s="89"/>
      <c r="G397" s="89"/>
      <c r="H397" s="89"/>
      <c r="I397" s="3847"/>
      <c r="J397" s="3847"/>
      <c r="K397" s="3847"/>
      <c r="L397" s="3847"/>
      <c r="M397" s="3847"/>
      <c r="N397" s="3847"/>
      <c r="O397" s="3847"/>
      <c r="P397" s="3847"/>
      <c r="Q397" s="3847"/>
      <c r="R397" s="3847"/>
      <c r="S397" s="3847"/>
      <c r="T397" s="3847"/>
      <c r="U397" s="3847"/>
      <c r="V397" s="2322"/>
      <c r="W397" s="2322"/>
      <c r="X397" s="2322"/>
      <c r="Y397" s="2322"/>
      <c r="Z397" s="2322"/>
      <c r="AA397" s="2322"/>
      <c r="AB397" s="2322"/>
      <c r="AC397" s="2322"/>
      <c r="AD397" s="2322"/>
      <c r="AE397" s="2322"/>
      <c r="AF397" s="2322"/>
      <c r="AG397" s="2322"/>
      <c r="AH397" s="2322"/>
      <c r="AI397" s="2322"/>
      <c r="AJ397" s="2322"/>
      <c r="AK397" s="2322"/>
      <c r="AL397" s="2322"/>
      <c r="AM397" s="2322"/>
    </row>
    <row r="398" spans="1:39">
      <c r="A398" s="89"/>
      <c r="B398" s="89"/>
      <c r="C398" s="89"/>
      <c r="D398" s="89"/>
      <c r="E398" s="89"/>
      <c r="F398" s="89"/>
      <c r="G398" s="89"/>
      <c r="H398" s="89"/>
      <c r="I398" s="3847"/>
      <c r="J398" s="3847"/>
      <c r="K398" s="3847"/>
      <c r="L398" s="3847"/>
      <c r="M398" s="3847"/>
      <c r="N398" s="3847"/>
      <c r="O398" s="3847"/>
      <c r="P398" s="3847"/>
      <c r="Q398" s="3847"/>
      <c r="R398" s="3847"/>
      <c r="S398" s="3847"/>
      <c r="T398" s="3847"/>
      <c r="U398" s="3847"/>
      <c r="V398" s="2322"/>
      <c r="W398" s="2322"/>
      <c r="X398" s="2322"/>
      <c r="Y398" s="2322"/>
      <c r="Z398" s="2322"/>
      <c r="AA398" s="2322"/>
      <c r="AB398" s="2322"/>
      <c r="AC398" s="2322"/>
      <c r="AD398" s="2322"/>
      <c r="AE398" s="2322"/>
      <c r="AF398" s="2322"/>
      <c r="AG398" s="2322"/>
      <c r="AH398" s="2322"/>
      <c r="AI398" s="2322"/>
      <c r="AJ398" s="2322"/>
      <c r="AK398" s="2322"/>
      <c r="AL398" s="2322"/>
      <c r="AM398" s="2322"/>
    </row>
    <row r="399" spans="1:39">
      <c r="A399" s="89"/>
      <c r="B399" s="89"/>
      <c r="C399" s="89"/>
      <c r="D399" s="89"/>
      <c r="E399" s="89"/>
      <c r="F399" s="89"/>
      <c r="G399" s="89"/>
      <c r="H399" s="89"/>
      <c r="I399" s="3847"/>
      <c r="J399" s="3847"/>
      <c r="K399" s="3847"/>
      <c r="L399" s="3847"/>
      <c r="M399" s="3847"/>
      <c r="N399" s="3847"/>
      <c r="O399" s="3847"/>
      <c r="P399" s="3847"/>
      <c r="Q399" s="3847"/>
      <c r="R399" s="3847"/>
      <c r="S399" s="3847"/>
      <c r="T399" s="3847"/>
      <c r="U399" s="3847"/>
      <c r="V399" s="2322"/>
      <c r="W399" s="2322"/>
      <c r="X399" s="2322"/>
      <c r="Y399" s="2322"/>
      <c r="Z399" s="2322"/>
      <c r="AA399" s="2322"/>
      <c r="AB399" s="2322"/>
      <c r="AC399" s="2322"/>
      <c r="AD399" s="2322"/>
      <c r="AE399" s="2322"/>
      <c r="AF399" s="2322"/>
      <c r="AG399" s="2322"/>
      <c r="AH399" s="2322"/>
      <c r="AI399" s="2322"/>
      <c r="AJ399" s="2322"/>
      <c r="AK399" s="2322"/>
      <c r="AL399" s="2322"/>
      <c r="AM399" s="2322"/>
    </row>
    <row r="400" spans="1:39">
      <c r="A400" s="89"/>
      <c r="B400" s="89"/>
      <c r="C400" s="89"/>
      <c r="D400" s="89"/>
      <c r="E400" s="89"/>
      <c r="F400" s="89"/>
      <c r="G400" s="89"/>
      <c r="H400" s="89"/>
      <c r="I400" s="3847"/>
      <c r="J400" s="3847"/>
      <c r="K400" s="3847"/>
      <c r="L400" s="3847"/>
      <c r="M400" s="3847"/>
      <c r="N400" s="3847"/>
      <c r="O400" s="3847"/>
      <c r="P400" s="3847"/>
      <c r="Q400" s="3847"/>
      <c r="R400" s="3847"/>
      <c r="S400" s="3847"/>
      <c r="T400" s="3847"/>
      <c r="U400" s="3847"/>
      <c r="V400" s="2322"/>
      <c r="W400" s="2322"/>
      <c r="X400" s="2322"/>
      <c r="Y400" s="2322"/>
      <c r="Z400" s="2322"/>
      <c r="AA400" s="2322"/>
      <c r="AB400" s="2322"/>
      <c r="AC400" s="2322"/>
      <c r="AD400" s="2322"/>
      <c r="AE400" s="2322"/>
      <c r="AF400" s="2322"/>
      <c r="AG400" s="2322"/>
      <c r="AH400" s="2322"/>
      <c r="AI400" s="2322"/>
      <c r="AJ400" s="2322"/>
      <c r="AK400" s="2322"/>
      <c r="AL400" s="2322"/>
      <c r="AM400" s="2322"/>
    </row>
    <row r="401" spans="1:39">
      <c r="A401" s="89"/>
      <c r="B401" s="89"/>
      <c r="C401" s="89"/>
      <c r="D401" s="89"/>
      <c r="E401" s="89"/>
      <c r="F401" s="89"/>
      <c r="G401" s="89"/>
      <c r="H401" s="89"/>
      <c r="I401" s="3847"/>
      <c r="J401" s="3847"/>
      <c r="K401" s="3847"/>
      <c r="L401" s="3847"/>
      <c r="M401" s="3847"/>
      <c r="N401" s="3847"/>
      <c r="O401" s="3847"/>
      <c r="P401" s="3847"/>
      <c r="Q401" s="3847"/>
      <c r="R401" s="3847"/>
      <c r="S401" s="3847"/>
      <c r="T401" s="3847"/>
      <c r="U401" s="3847"/>
      <c r="V401" s="2322"/>
      <c r="W401" s="2322"/>
      <c r="X401" s="2322"/>
      <c r="Y401" s="2322"/>
      <c r="Z401" s="2322"/>
      <c r="AA401" s="2322"/>
      <c r="AB401" s="2322"/>
      <c r="AC401" s="2322"/>
      <c r="AD401" s="2322"/>
      <c r="AE401" s="2322"/>
      <c r="AF401" s="2322"/>
      <c r="AG401" s="2322"/>
      <c r="AH401" s="2322"/>
      <c r="AI401" s="2322"/>
      <c r="AJ401" s="2322"/>
      <c r="AK401" s="2322"/>
      <c r="AL401" s="2322"/>
      <c r="AM401" s="2322"/>
    </row>
    <row r="402" spans="1:39">
      <c r="A402" s="89"/>
      <c r="B402" s="89"/>
      <c r="C402" s="89"/>
      <c r="D402" s="89"/>
      <c r="E402" s="89"/>
      <c r="F402" s="89"/>
      <c r="G402" s="89"/>
      <c r="H402" s="89"/>
      <c r="I402" s="3847"/>
      <c r="J402" s="3847"/>
      <c r="K402" s="3847"/>
      <c r="L402" s="3847"/>
      <c r="M402" s="3847"/>
      <c r="N402" s="3847"/>
      <c r="O402" s="3847"/>
      <c r="P402" s="3847"/>
      <c r="Q402" s="3847"/>
      <c r="R402" s="3847"/>
      <c r="S402" s="3847"/>
      <c r="T402" s="3847"/>
      <c r="U402" s="3847"/>
      <c r="V402" s="2322"/>
      <c r="W402" s="2322"/>
      <c r="X402" s="2322"/>
      <c r="Y402" s="2322"/>
      <c r="Z402" s="2322"/>
      <c r="AA402" s="2322"/>
      <c r="AB402" s="2322"/>
      <c r="AC402" s="2322"/>
      <c r="AD402" s="2322"/>
      <c r="AE402" s="2322"/>
      <c r="AF402" s="2322"/>
      <c r="AG402" s="2322"/>
      <c r="AH402" s="2322"/>
      <c r="AI402" s="2322"/>
      <c r="AJ402" s="2322"/>
      <c r="AK402" s="2322"/>
      <c r="AL402" s="2322"/>
      <c r="AM402" s="2322"/>
    </row>
    <row r="403" spans="1:39">
      <c r="A403" s="89"/>
      <c r="B403" s="89"/>
      <c r="C403" s="89"/>
      <c r="D403" s="89"/>
      <c r="E403" s="89"/>
      <c r="F403" s="89"/>
      <c r="G403" s="89"/>
      <c r="H403" s="89"/>
      <c r="I403" s="3847"/>
      <c r="J403" s="3847"/>
      <c r="K403" s="3847"/>
      <c r="L403" s="3847"/>
      <c r="M403" s="3847"/>
      <c r="N403" s="3847"/>
      <c r="O403" s="3847"/>
      <c r="P403" s="3847"/>
      <c r="Q403" s="3847"/>
      <c r="R403" s="3847"/>
      <c r="S403" s="3847"/>
      <c r="T403" s="3847"/>
      <c r="U403" s="3847"/>
      <c r="V403" s="2322"/>
      <c r="W403" s="2322"/>
      <c r="X403" s="2322"/>
      <c r="Y403" s="2322"/>
      <c r="Z403" s="2322"/>
      <c r="AA403" s="2322"/>
      <c r="AB403" s="2322"/>
      <c r="AC403" s="2322"/>
      <c r="AD403" s="2322"/>
      <c r="AE403" s="2322"/>
      <c r="AF403" s="2322"/>
      <c r="AG403" s="2322"/>
      <c r="AH403" s="2322"/>
      <c r="AI403" s="2322"/>
      <c r="AJ403" s="2322"/>
      <c r="AK403" s="2322"/>
      <c r="AL403" s="2322"/>
      <c r="AM403" s="2322"/>
    </row>
    <row r="404" spans="1:39">
      <c r="A404" s="89"/>
      <c r="B404" s="89"/>
      <c r="C404" s="89"/>
      <c r="D404" s="89"/>
      <c r="E404" s="89"/>
      <c r="F404" s="89"/>
      <c r="G404" s="89"/>
      <c r="H404" s="89"/>
      <c r="I404" s="3847"/>
      <c r="J404" s="3847"/>
      <c r="K404" s="3847"/>
      <c r="L404" s="3847"/>
      <c r="M404" s="3847"/>
      <c r="N404" s="3847"/>
      <c r="O404" s="3847"/>
      <c r="P404" s="3847"/>
      <c r="Q404" s="3847"/>
      <c r="R404" s="3847"/>
      <c r="S404" s="3847"/>
      <c r="T404" s="3847"/>
      <c r="U404" s="3847"/>
      <c r="V404" s="2322"/>
      <c r="W404" s="2322"/>
      <c r="X404" s="2322"/>
      <c r="Y404" s="2322"/>
      <c r="Z404" s="2322"/>
      <c r="AA404" s="2322"/>
      <c r="AB404" s="2322"/>
      <c r="AC404" s="2322"/>
      <c r="AD404" s="2322"/>
      <c r="AE404" s="2322"/>
      <c r="AF404" s="2322"/>
      <c r="AG404" s="2322"/>
      <c r="AH404" s="2322"/>
      <c r="AI404" s="2322"/>
      <c r="AJ404" s="2322"/>
      <c r="AK404" s="2322"/>
      <c r="AL404" s="2322"/>
      <c r="AM404" s="2322"/>
    </row>
    <row r="405" spans="1:39">
      <c r="A405" s="89"/>
      <c r="B405" s="89"/>
      <c r="C405" s="89"/>
      <c r="D405" s="89"/>
      <c r="E405" s="89"/>
      <c r="F405" s="89"/>
      <c r="G405" s="89"/>
      <c r="H405" s="89"/>
      <c r="I405" s="3847"/>
      <c r="J405" s="3847"/>
      <c r="K405" s="3847"/>
      <c r="L405" s="3847"/>
      <c r="M405" s="3847"/>
      <c r="N405" s="3847"/>
      <c r="O405" s="3847"/>
      <c r="P405" s="3847"/>
      <c r="Q405" s="3847"/>
      <c r="R405" s="3847"/>
      <c r="S405" s="3847"/>
      <c r="T405" s="3847"/>
      <c r="U405" s="3847"/>
      <c r="V405" s="2322"/>
      <c r="W405" s="2322"/>
      <c r="X405" s="2322"/>
      <c r="Y405" s="2322"/>
      <c r="Z405" s="2322"/>
      <c r="AA405" s="2322"/>
      <c r="AB405" s="2322"/>
      <c r="AC405" s="2322"/>
      <c r="AD405" s="2322"/>
      <c r="AE405" s="2322"/>
      <c r="AF405" s="2322"/>
      <c r="AG405" s="2322"/>
      <c r="AH405" s="2322"/>
      <c r="AI405" s="2322"/>
      <c r="AJ405" s="2322"/>
      <c r="AK405" s="2322"/>
      <c r="AL405" s="2322"/>
      <c r="AM405" s="2322"/>
    </row>
    <row r="406" spans="1:39">
      <c r="A406" s="89"/>
      <c r="B406" s="89"/>
      <c r="C406" s="89"/>
      <c r="D406" s="89"/>
      <c r="E406" s="89"/>
      <c r="F406" s="89"/>
      <c r="G406" s="89"/>
      <c r="H406" s="89"/>
      <c r="I406" s="3847"/>
      <c r="J406" s="3847"/>
      <c r="K406" s="3847"/>
      <c r="L406" s="3847"/>
      <c r="M406" s="3847"/>
      <c r="N406" s="3847"/>
      <c r="O406" s="3847"/>
      <c r="P406" s="3847"/>
      <c r="Q406" s="3847"/>
      <c r="R406" s="3847"/>
      <c r="S406" s="3847"/>
      <c r="T406" s="3847"/>
      <c r="U406" s="3847"/>
      <c r="V406" s="2322"/>
      <c r="W406" s="2322"/>
      <c r="X406" s="2322"/>
      <c r="Y406" s="2322"/>
      <c r="Z406" s="2322"/>
      <c r="AA406" s="2322"/>
      <c r="AB406" s="2322"/>
      <c r="AC406" s="2322"/>
      <c r="AD406" s="2322"/>
      <c r="AE406" s="2322"/>
      <c r="AF406" s="2322"/>
      <c r="AG406" s="2322"/>
      <c r="AH406" s="2322"/>
      <c r="AI406" s="2322"/>
      <c r="AJ406" s="2322"/>
      <c r="AK406" s="2322"/>
      <c r="AL406" s="2322"/>
      <c r="AM406" s="2322"/>
    </row>
    <row r="407" spans="1:39">
      <c r="A407" s="89"/>
      <c r="B407" s="89"/>
      <c r="C407" s="89"/>
      <c r="D407" s="89"/>
      <c r="E407" s="89"/>
      <c r="F407" s="89"/>
      <c r="G407" s="89"/>
      <c r="H407" s="89"/>
      <c r="I407" s="3847"/>
      <c r="J407" s="3847"/>
      <c r="K407" s="3847"/>
      <c r="L407" s="3847"/>
      <c r="M407" s="3847"/>
      <c r="N407" s="3847"/>
      <c r="O407" s="3847"/>
      <c r="P407" s="3847"/>
      <c r="Q407" s="3847"/>
      <c r="R407" s="3847"/>
      <c r="S407" s="3847"/>
      <c r="T407" s="3847"/>
      <c r="U407" s="3847"/>
      <c r="V407" s="2322"/>
      <c r="W407" s="2322"/>
      <c r="X407" s="2322"/>
      <c r="Y407" s="2322"/>
      <c r="Z407" s="2322"/>
      <c r="AA407" s="2322"/>
      <c r="AB407" s="2322"/>
      <c r="AC407" s="2322"/>
      <c r="AD407" s="2322"/>
      <c r="AE407" s="2322"/>
      <c r="AF407" s="2322"/>
      <c r="AG407" s="2322"/>
      <c r="AH407" s="2322"/>
      <c r="AI407" s="2322"/>
      <c r="AJ407" s="2322"/>
      <c r="AK407" s="2322"/>
      <c r="AL407" s="2322"/>
      <c r="AM407" s="2322"/>
    </row>
    <row r="408" spans="1:39">
      <c r="A408" s="89"/>
      <c r="B408" s="89"/>
      <c r="C408" s="89"/>
      <c r="D408" s="89"/>
      <c r="E408" s="89"/>
      <c r="F408" s="89"/>
      <c r="G408" s="89"/>
      <c r="H408" s="89"/>
      <c r="I408" s="3847"/>
      <c r="J408" s="3847"/>
      <c r="K408" s="3847"/>
      <c r="L408" s="3847"/>
      <c r="M408" s="3847"/>
      <c r="N408" s="3847"/>
      <c r="O408" s="3847"/>
      <c r="P408" s="3847"/>
      <c r="Q408" s="3847"/>
      <c r="R408" s="3847"/>
      <c r="S408" s="3847"/>
      <c r="T408" s="3847"/>
      <c r="U408" s="3847"/>
      <c r="V408" s="2322"/>
      <c r="W408" s="2322"/>
      <c r="X408" s="2322"/>
      <c r="Y408" s="2322"/>
      <c r="Z408" s="2322"/>
      <c r="AA408" s="2322"/>
      <c r="AB408" s="2322"/>
      <c r="AC408" s="2322"/>
      <c r="AD408" s="2322"/>
      <c r="AE408" s="2322"/>
      <c r="AF408" s="2322"/>
      <c r="AG408" s="2322"/>
      <c r="AH408" s="2322"/>
      <c r="AI408" s="2322"/>
      <c r="AJ408" s="2322"/>
      <c r="AK408" s="2322"/>
      <c r="AL408" s="2322"/>
      <c r="AM408" s="2322"/>
    </row>
    <row r="409" spans="1:39">
      <c r="A409" s="89"/>
      <c r="B409" s="89"/>
      <c r="C409" s="89"/>
      <c r="D409" s="89"/>
      <c r="E409" s="89"/>
      <c r="F409" s="89"/>
      <c r="G409" s="89"/>
      <c r="H409" s="89"/>
      <c r="I409" s="3847"/>
      <c r="J409" s="3847"/>
      <c r="K409" s="3847"/>
      <c r="L409" s="3847"/>
      <c r="M409" s="3847"/>
      <c r="N409" s="3847"/>
      <c r="O409" s="3847"/>
      <c r="P409" s="3847"/>
      <c r="Q409" s="3847"/>
      <c r="R409" s="3847"/>
      <c r="S409" s="3847"/>
      <c r="T409" s="3847"/>
      <c r="U409" s="3847"/>
      <c r="V409" s="2322"/>
      <c r="W409" s="2322"/>
      <c r="X409" s="2322"/>
      <c r="Y409" s="2322"/>
      <c r="Z409" s="2322"/>
      <c r="AA409" s="2322"/>
      <c r="AB409" s="2322"/>
      <c r="AC409" s="2322"/>
      <c r="AD409" s="2322"/>
      <c r="AE409" s="2322"/>
      <c r="AF409" s="2322"/>
      <c r="AG409" s="2322"/>
      <c r="AH409" s="2322"/>
      <c r="AI409" s="2322"/>
      <c r="AJ409" s="2322"/>
      <c r="AK409" s="2322"/>
      <c r="AL409" s="2322"/>
      <c r="AM409" s="2322"/>
    </row>
    <row r="410" spans="1:39">
      <c r="A410" s="89"/>
      <c r="B410" s="89"/>
      <c r="C410" s="89"/>
      <c r="D410" s="89"/>
      <c r="E410" s="89"/>
      <c r="F410" s="89"/>
      <c r="G410" s="89"/>
      <c r="H410" s="89"/>
      <c r="I410" s="3847"/>
      <c r="J410" s="3847"/>
      <c r="K410" s="3847"/>
      <c r="L410" s="3847"/>
      <c r="M410" s="3847"/>
      <c r="N410" s="3847"/>
      <c r="O410" s="3847"/>
      <c r="P410" s="3847"/>
      <c r="Q410" s="3847"/>
      <c r="R410" s="3847"/>
      <c r="S410" s="3847"/>
      <c r="T410" s="3847"/>
      <c r="U410" s="3847"/>
      <c r="V410" s="2322"/>
      <c r="W410" s="2322"/>
      <c r="X410" s="2322"/>
      <c r="Y410" s="2322"/>
      <c r="Z410" s="2322"/>
      <c r="AA410" s="2322"/>
      <c r="AB410" s="2322"/>
      <c r="AC410" s="2322"/>
      <c r="AD410" s="2322"/>
      <c r="AE410" s="2322"/>
      <c r="AF410" s="2322"/>
      <c r="AG410" s="2322"/>
      <c r="AH410" s="2322"/>
      <c r="AI410" s="2322"/>
      <c r="AJ410" s="2322"/>
      <c r="AK410" s="2322"/>
      <c r="AL410" s="2322"/>
      <c r="AM410" s="2322"/>
    </row>
    <row r="411" spans="1:39">
      <c r="A411" s="89"/>
      <c r="B411" s="89"/>
      <c r="C411" s="89"/>
      <c r="D411" s="89"/>
      <c r="E411" s="89"/>
      <c r="F411" s="89"/>
      <c r="G411" s="89"/>
      <c r="H411" s="89"/>
      <c r="I411" s="3847"/>
      <c r="J411" s="3847"/>
      <c r="K411" s="3847"/>
      <c r="L411" s="3847"/>
      <c r="M411" s="3847"/>
      <c r="N411" s="3847"/>
      <c r="O411" s="3847"/>
      <c r="P411" s="3847"/>
      <c r="Q411" s="3847"/>
      <c r="R411" s="3847"/>
      <c r="S411" s="3847"/>
      <c r="T411" s="3847"/>
      <c r="U411" s="3847"/>
      <c r="V411" s="2322"/>
      <c r="W411" s="2322"/>
      <c r="X411" s="2322"/>
      <c r="Y411" s="2322"/>
      <c r="Z411" s="2322"/>
      <c r="AA411" s="2322"/>
      <c r="AB411" s="2322"/>
      <c r="AC411" s="2322"/>
      <c r="AD411" s="2322"/>
      <c r="AE411" s="2322"/>
      <c r="AF411" s="2322"/>
      <c r="AG411" s="2322"/>
      <c r="AH411" s="2322"/>
      <c r="AI411" s="2322"/>
      <c r="AJ411" s="2322"/>
      <c r="AK411" s="2322"/>
      <c r="AL411" s="2322"/>
      <c r="AM411" s="2322"/>
    </row>
    <row r="412" spans="1:39">
      <c r="A412" s="89"/>
      <c r="B412" s="89"/>
      <c r="C412" s="89"/>
      <c r="D412" s="89"/>
      <c r="E412" s="89"/>
      <c r="F412" s="89"/>
      <c r="G412" s="89"/>
      <c r="H412" s="89"/>
      <c r="I412" s="3847"/>
      <c r="J412" s="3847"/>
      <c r="K412" s="3847"/>
      <c r="L412" s="3847"/>
      <c r="M412" s="3847"/>
      <c r="N412" s="3847"/>
      <c r="O412" s="3847"/>
      <c r="P412" s="3847"/>
      <c r="Q412" s="3847"/>
      <c r="R412" s="3847"/>
      <c r="S412" s="3847"/>
      <c r="T412" s="3847"/>
      <c r="U412" s="3847"/>
      <c r="V412" s="2322"/>
      <c r="W412" s="2322"/>
      <c r="X412" s="2322"/>
      <c r="Y412" s="2322"/>
      <c r="Z412" s="2322"/>
      <c r="AA412" s="2322"/>
      <c r="AB412" s="2322"/>
      <c r="AC412" s="2322"/>
      <c r="AD412" s="2322"/>
      <c r="AE412" s="2322"/>
      <c r="AF412" s="2322"/>
      <c r="AG412" s="2322"/>
      <c r="AH412" s="2322"/>
      <c r="AI412" s="2322"/>
      <c r="AJ412" s="2322"/>
      <c r="AK412" s="2322"/>
      <c r="AL412" s="2322"/>
      <c r="AM412" s="2322"/>
    </row>
    <row r="413" spans="1:39">
      <c r="A413" s="89"/>
      <c r="B413" s="89"/>
      <c r="C413" s="89"/>
      <c r="D413" s="89"/>
      <c r="E413" s="89"/>
      <c r="F413" s="89"/>
      <c r="G413" s="89"/>
      <c r="H413" s="89"/>
      <c r="I413" s="3847"/>
      <c r="J413" s="3847"/>
      <c r="K413" s="3847"/>
      <c r="L413" s="3847"/>
      <c r="M413" s="3847"/>
      <c r="N413" s="3847"/>
      <c r="O413" s="3847"/>
      <c r="P413" s="3847"/>
      <c r="Q413" s="3847"/>
      <c r="R413" s="3847"/>
      <c r="S413" s="3847"/>
      <c r="T413" s="3847"/>
      <c r="U413" s="3847"/>
      <c r="V413" s="2322"/>
      <c r="W413" s="2322"/>
      <c r="X413" s="2322"/>
      <c r="Y413" s="2322"/>
      <c r="Z413" s="2322"/>
      <c r="AA413" s="2322"/>
      <c r="AB413" s="2322"/>
      <c r="AC413" s="2322"/>
      <c r="AD413" s="2322"/>
      <c r="AE413" s="2322"/>
      <c r="AF413" s="2322"/>
      <c r="AG413" s="2322"/>
      <c r="AH413" s="2322"/>
      <c r="AI413" s="2322"/>
      <c r="AJ413" s="2322"/>
      <c r="AK413" s="2322"/>
      <c r="AL413" s="2322"/>
      <c r="AM413" s="2322"/>
    </row>
    <row r="414" spans="1:39">
      <c r="A414" s="89"/>
      <c r="B414" s="89"/>
      <c r="C414" s="89"/>
      <c r="D414" s="89"/>
      <c r="E414" s="89"/>
      <c r="F414" s="89"/>
      <c r="G414" s="89"/>
      <c r="H414" s="89"/>
      <c r="I414" s="3847"/>
      <c r="J414" s="3847"/>
      <c r="K414" s="3847"/>
      <c r="L414" s="3847"/>
      <c r="M414" s="3847"/>
      <c r="N414" s="3847"/>
      <c r="O414" s="3847"/>
      <c r="P414" s="3847"/>
      <c r="Q414" s="3847"/>
      <c r="R414" s="3847"/>
      <c r="S414" s="3847"/>
      <c r="T414" s="3847"/>
      <c r="U414" s="3847"/>
      <c r="V414" s="2322"/>
      <c r="W414" s="2322"/>
      <c r="X414" s="2322"/>
      <c r="Y414" s="2322"/>
      <c r="Z414" s="2322"/>
      <c r="AA414" s="2322"/>
      <c r="AB414" s="2322"/>
      <c r="AC414" s="2322"/>
      <c r="AD414" s="2322"/>
      <c r="AE414" s="2322"/>
      <c r="AF414" s="2322"/>
      <c r="AG414" s="2322"/>
      <c r="AH414" s="2322"/>
      <c r="AI414" s="2322"/>
      <c r="AJ414" s="2322"/>
      <c r="AK414" s="2322"/>
      <c r="AL414" s="2322"/>
      <c r="AM414" s="2322"/>
    </row>
    <row r="415" spans="1:39">
      <c r="A415" s="89"/>
      <c r="B415" s="89"/>
      <c r="C415" s="89"/>
      <c r="D415" s="89"/>
      <c r="E415" s="89"/>
      <c r="F415" s="89"/>
      <c r="G415" s="89"/>
      <c r="H415" s="89"/>
      <c r="I415" s="3847"/>
      <c r="J415" s="3847"/>
      <c r="K415" s="3847"/>
      <c r="L415" s="3847"/>
      <c r="M415" s="3847"/>
      <c r="N415" s="3847"/>
      <c r="O415" s="3847"/>
      <c r="P415" s="3847"/>
      <c r="Q415" s="3847"/>
      <c r="R415" s="3847"/>
      <c r="S415" s="3847"/>
      <c r="T415" s="3847"/>
      <c r="U415" s="3847"/>
      <c r="V415" s="2322"/>
      <c r="W415" s="2322"/>
      <c r="X415" s="2322"/>
      <c r="Y415" s="2322"/>
      <c r="Z415" s="2322"/>
      <c r="AA415" s="2322"/>
      <c r="AB415" s="2322"/>
      <c r="AC415" s="2322"/>
      <c r="AD415" s="2322"/>
      <c r="AE415" s="2322"/>
      <c r="AF415" s="2322"/>
      <c r="AG415" s="2322"/>
      <c r="AH415" s="2322"/>
      <c r="AI415" s="2322"/>
      <c r="AJ415" s="2322"/>
      <c r="AK415" s="2322"/>
      <c r="AL415" s="2322"/>
      <c r="AM415" s="2322"/>
    </row>
    <row r="416" spans="1:39">
      <c r="A416" s="89"/>
      <c r="B416" s="89"/>
      <c r="C416" s="89"/>
      <c r="D416" s="89"/>
      <c r="E416" s="89"/>
      <c r="F416" s="89"/>
      <c r="G416" s="89"/>
      <c r="H416" s="89"/>
      <c r="I416" s="3847"/>
      <c r="J416" s="3847"/>
      <c r="K416" s="3847"/>
      <c r="L416" s="3847"/>
      <c r="M416" s="3847"/>
      <c r="N416" s="3847"/>
      <c r="O416" s="3847"/>
      <c r="P416" s="3847"/>
      <c r="Q416" s="3847"/>
      <c r="R416" s="3847"/>
      <c r="S416" s="3847"/>
      <c r="T416" s="3847"/>
      <c r="U416" s="3847"/>
      <c r="V416" s="2322"/>
      <c r="W416" s="2322"/>
      <c r="X416" s="2322"/>
      <c r="Y416" s="2322"/>
      <c r="Z416" s="2322"/>
      <c r="AA416" s="2322"/>
      <c r="AB416" s="2322"/>
      <c r="AC416" s="2322"/>
      <c r="AD416" s="2322"/>
      <c r="AE416" s="2322"/>
      <c r="AF416" s="2322"/>
      <c r="AG416" s="2322"/>
      <c r="AH416" s="2322"/>
      <c r="AI416" s="2322"/>
      <c r="AJ416" s="2322"/>
      <c r="AK416" s="2322"/>
      <c r="AL416" s="2322"/>
      <c r="AM416" s="2322"/>
    </row>
    <row r="417" spans="1:39">
      <c r="A417" s="89"/>
      <c r="B417" s="89"/>
      <c r="C417" s="89"/>
      <c r="D417" s="89"/>
      <c r="E417" s="89"/>
      <c r="F417" s="89"/>
      <c r="G417" s="89"/>
      <c r="H417" s="89"/>
      <c r="I417" s="3847"/>
      <c r="J417" s="3847"/>
      <c r="K417" s="3847"/>
      <c r="L417" s="3847"/>
      <c r="M417" s="3847"/>
      <c r="N417" s="3847"/>
      <c r="O417" s="3847"/>
      <c r="P417" s="3847"/>
      <c r="Q417" s="3847"/>
      <c r="R417" s="3847"/>
      <c r="S417" s="3847"/>
      <c r="T417" s="3847"/>
      <c r="U417" s="3847"/>
      <c r="V417" s="2322"/>
      <c r="W417" s="2322"/>
      <c r="X417" s="2322"/>
      <c r="Y417" s="2322"/>
      <c r="Z417" s="2322"/>
      <c r="AA417" s="2322"/>
      <c r="AB417" s="2322"/>
      <c r="AC417" s="2322"/>
      <c r="AD417" s="2322"/>
      <c r="AE417" s="2322"/>
      <c r="AF417" s="2322"/>
      <c r="AG417" s="2322"/>
      <c r="AH417" s="2322"/>
      <c r="AI417" s="2322"/>
      <c r="AJ417" s="2322"/>
      <c r="AK417" s="2322"/>
      <c r="AL417" s="2322"/>
      <c r="AM417" s="2322"/>
    </row>
    <row r="418" spans="1:39">
      <c r="A418" s="89"/>
      <c r="B418" s="89"/>
      <c r="C418" s="89"/>
      <c r="D418" s="89"/>
      <c r="E418" s="89"/>
      <c r="F418" s="89"/>
      <c r="G418" s="89"/>
      <c r="H418" s="89"/>
      <c r="I418" s="3847"/>
      <c r="J418" s="3847"/>
      <c r="K418" s="3847"/>
      <c r="L418" s="3847"/>
      <c r="M418" s="3847"/>
      <c r="N418" s="3847"/>
      <c r="O418" s="3847"/>
      <c r="P418" s="3847"/>
      <c r="Q418" s="3847"/>
      <c r="R418" s="3847"/>
      <c r="S418" s="3847"/>
      <c r="T418" s="3847"/>
      <c r="U418" s="3847"/>
      <c r="V418" s="2322"/>
      <c r="W418" s="2322"/>
      <c r="X418" s="2322"/>
      <c r="Y418" s="2322"/>
      <c r="Z418" s="2322"/>
      <c r="AA418" s="2322"/>
      <c r="AB418" s="2322"/>
      <c r="AC418" s="2322"/>
      <c r="AD418" s="2322"/>
      <c r="AE418" s="2322"/>
      <c r="AF418" s="2322"/>
      <c r="AG418" s="2322"/>
      <c r="AH418" s="2322"/>
      <c r="AI418" s="2322"/>
      <c r="AJ418" s="2322"/>
      <c r="AK418" s="2322"/>
      <c r="AL418" s="2322"/>
      <c r="AM418" s="2322"/>
    </row>
    <row r="419" spans="1:39">
      <c r="A419" s="89"/>
      <c r="B419" s="89"/>
      <c r="C419" s="89"/>
      <c r="D419" s="89"/>
      <c r="E419" s="89"/>
      <c r="F419" s="89"/>
      <c r="G419" s="89"/>
      <c r="H419" s="89"/>
      <c r="I419" s="3847"/>
      <c r="J419" s="3847"/>
      <c r="K419" s="3847"/>
      <c r="L419" s="3847"/>
      <c r="M419" s="3847"/>
      <c r="N419" s="3847"/>
      <c r="O419" s="3847"/>
      <c r="P419" s="3847"/>
      <c r="Q419" s="3847"/>
      <c r="R419" s="3847"/>
      <c r="S419" s="3847"/>
      <c r="T419" s="3847"/>
      <c r="U419" s="3847"/>
      <c r="V419" s="2322"/>
      <c r="W419" s="2322"/>
      <c r="X419" s="2322"/>
      <c r="Y419" s="2322"/>
      <c r="Z419" s="2322"/>
      <c r="AA419" s="2322"/>
      <c r="AB419" s="2322"/>
      <c r="AC419" s="2322"/>
      <c r="AD419" s="2322"/>
      <c r="AE419" s="2322"/>
      <c r="AF419" s="2322"/>
      <c r="AG419" s="2322"/>
      <c r="AH419" s="2322"/>
      <c r="AI419" s="2322"/>
      <c r="AJ419" s="2322"/>
      <c r="AK419" s="2322"/>
      <c r="AL419" s="2322"/>
      <c r="AM419" s="2322"/>
    </row>
    <row r="420" spans="1:39">
      <c r="A420" s="89"/>
      <c r="B420" s="89"/>
      <c r="C420" s="89"/>
      <c r="D420" s="89"/>
      <c r="E420" s="89"/>
      <c r="F420" s="89"/>
      <c r="G420" s="89"/>
      <c r="H420" s="89"/>
      <c r="I420" s="3847"/>
      <c r="J420" s="3847"/>
      <c r="K420" s="3847"/>
      <c r="L420" s="3847"/>
      <c r="M420" s="3847"/>
      <c r="N420" s="3847"/>
      <c r="O420" s="3847"/>
      <c r="P420" s="3847"/>
      <c r="Q420" s="3847"/>
      <c r="R420" s="3847"/>
      <c r="S420" s="3847"/>
      <c r="T420" s="3847"/>
      <c r="U420" s="3847"/>
      <c r="V420" s="2322"/>
      <c r="W420" s="2322"/>
      <c r="X420" s="2322"/>
      <c r="Y420" s="2322"/>
      <c r="Z420" s="2322"/>
      <c r="AA420" s="2322"/>
      <c r="AB420" s="2322"/>
      <c r="AC420" s="2322"/>
      <c r="AD420" s="2322"/>
      <c r="AE420" s="2322"/>
      <c r="AF420" s="2322"/>
      <c r="AG420" s="2322"/>
      <c r="AH420" s="2322"/>
      <c r="AI420" s="2322"/>
      <c r="AJ420" s="2322"/>
      <c r="AK420" s="2322"/>
      <c r="AL420" s="2322"/>
      <c r="AM420" s="2322"/>
    </row>
    <row r="421" spans="1:39">
      <c r="A421" s="89"/>
      <c r="B421" s="89"/>
      <c r="C421" s="89"/>
      <c r="D421" s="89"/>
      <c r="E421" s="89"/>
      <c r="F421" s="89"/>
      <c r="G421" s="89"/>
      <c r="H421" s="89"/>
      <c r="I421" s="3847"/>
      <c r="J421" s="3847"/>
      <c r="K421" s="3847"/>
      <c r="L421" s="3847"/>
      <c r="M421" s="3847"/>
      <c r="N421" s="3847"/>
      <c r="O421" s="3847"/>
      <c r="P421" s="3847"/>
      <c r="Q421" s="3847"/>
      <c r="R421" s="3847"/>
      <c r="S421" s="3847"/>
      <c r="T421" s="3847"/>
      <c r="U421" s="3847"/>
      <c r="V421" s="2322"/>
      <c r="W421" s="2322"/>
      <c r="X421" s="2322"/>
      <c r="Y421" s="2322"/>
      <c r="Z421" s="2322"/>
      <c r="AA421" s="2322"/>
      <c r="AB421" s="2322"/>
      <c r="AC421" s="2322"/>
      <c r="AD421" s="2322"/>
      <c r="AE421" s="2322"/>
      <c r="AF421" s="2322"/>
      <c r="AG421" s="2322"/>
      <c r="AH421" s="2322"/>
      <c r="AI421" s="2322"/>
      <c r="AJ421" s="2322"/>
      <c r="AK421" s="2322"/>
      <c r="AL421" s="2322"/>
      <c r="AM421" s="2322"/>
    </row>
    <row r="422" spans="1:39">
      <c r="A422" s="89"/>
      <c r="B422" s="89"/>
      <c r="C422" s="89"/>
      <c r="D422" s="89"/>
      <c r="E422" s="89"/>
      <c r="F422" s="89"/>
      <c r="G422" s="89"/>
      <c r="H422" s="89"/>
      <c r="I422" s="3847"/>
      <c r="J422" s="3847"/>
      <c r="K422" s="3847"/>
      <c r="L422" s="3847"/>
      <c r="M422" s="3847"/>
      <c r="N422" s="3847"/>
      <c r="O422" s="3847"/>
      <c r="P422" s="3847"/>
      <c r="Q422" s="3847"/>
      <c r="R422" s="3847"/>
      <c r="S422" s="3847"/>
      <c r="T422" s="3847"/>
      <c r="U422" s="3847"/>
      <c r="V422" s="2322"/>
      <c r="W422" s="2322"/>
      <c r="X422" s="2322"/>
      <c r="Y422" s="2322"/>
      <c r="Z422" s="2322"/>
      <c r="AA422" s="2322"/>
      <c r="AB422" s="2322"/>
      <c r="AC422" s="2322"/>
      <c r="AD422" s="2322"/>
      <c r="AE422" s="2322"/>
      <c r="AF422" s="2322"/>
      <c r="AG422" s="2322"/>
      <c r="AH422" s="2322"/>
      <c r="AI422" s="2322"/>
      <c r="AJ422" s="2322"/>
      <c r="AK422" s="2322"/>
      <c r="AL422" s="2322"/>
      <c r="AM422" s="2322"/>
    </row>
    <row r="423" spans="1:39">
      <c r="A423" s="89"/>
      <c r="B423" s="89"/>
      <c r="C423" s="89"/>
      <c r="D423" s="89"/>
      <c r="E423" s="89"/>
      <c r="F423" s="89"/>
      <c r="G423" s="89"/>
      <c r="H423" s="89"/>
      <c r="I423" s="3847"/>
      <c r="J423" s="3847"/>
      <c r="K423" s="3847"/>
      <c r="L423" s="3847"/>
      <c r="M423" s="3847"/>
      <c r="N423" s="3847"/>
      <c r="O423" s="3847"/>
      <c r="P423" s="3847"/>
      <c r="Q423" s="3847"/>
      <c r="R423" s="3847"/>
      <c r="S423" s="3847"/>
      <c r="T423" s="3847"/>
      <c r="U423" s="3847"/>
      <c r="V423" s="2322"/>
      <c r="W423" s="2322"/>
      <c r="X423" s="2322"/>
      <c r="Y423" s="2322"/>
      <c r="Z423" s="2322"/>
      <c r="AA423" s="2322"/>
      <c r="AB423" s="2322"/>
      <c r="AC423" s="2322"/>
      <c r="AD423" s="2322"/>
      <c r="AE423" s="2322"/>
      <c r="AF423" s="2322"/>
      <c r="AG423" s="2322"/>
      <c r="AH423" s="2322"/>
      <c r="AI423" s="2322"/>
      <c r="AJ423" s="2322"/>
      <c r="AK423" s="2322"/>
      <c r="AL423" s="2322"/>
      <c r="AM423" s="2322"/>
    </row>
    <row r="424" spans="1:39">
      <c r="A424" s="89"/>
      <c r="B424" s="89"/>
      <c r="C424" s="89"/>
      <c r="D424" s="89"/>
      <c r="E424" s="89"/>
      <c r="F424" s="89"/>
      <c r="G424" s="89"/>
      <c r="H424" s="89"/>
      <c r="I424" s="3847"/>
      <c r="J424" s="3847"/>
      <c r="K424" s="3847"/>
      <c r="L424" s="3847"/>
      <c r="M424" s="3847"/>
      <c r="N424" s="3847"/>
      <c r="O424" s="3847"/>
      <c r="P424" s="3847"/>
      <c r="Q424" s="3847"/>
      <c r="R424" s="3847"/>
      <c r="S424" s="3847"/>
      <c r="T424" s="3847"/>
      <c r="U424" s="3847"/>
      <c r="V424" s="2322"/>
      <c r="W424" s="2322"/>
      <c r="X424" s="2322"/>
      <c r="Y424" s="2322"/>
      <c r="Z424" s="2322"/>
      <c r="AA424" s="2322"/>
      <c r="AB424" s="2322"/>
      <c r="AC424" s="2322"/>
      <c r="AD424" s="2322"/>
      <c r="AE424" s="2322"/>
      <c r="AF424" s="2322"/>
      <c r="AG424" s="2322"/>
      <c r="AH424" s="2322"/>
      <c r="AI424" s="2322"/>
      <c r="AJ424" s="2322"/>
      <c r="AK424" s="2322"/>
      <c r="AL424" s="2322"/>
      <c r="AM424" s="2322"/>
    </row>
    <row r="425" spans="1:39">
      <c r="A425" s="89"/>
      <c r="B425" s="89"/>
      <c r="C425" s="89"/>
      <c r="D425" s="89"/>
      <c r="E425" s="89"/>
      <c r="F425" s="89"/>
      <c r="G425" s="89"/>
      <c r="H425" s="89"/>
      <c r="I425" s="3847"/>
      <c r="J425" s="3847"/>
      <c r="K425" s="3847"/>
      <c r="L425" s="3847"/>
      <c r="M425" s="3847"/>
      <c r="N425" s="3847"/>
      <c r="O425" s="3847"/>
      <c r="P425" s="3847"/>
      <c r="Q425" s="3847"/>
      <c r="R425" s="3847"/>
      <c r="S425" s="3847"/>
      <c r="T425" s="3847"/>
      <c r="U425" s="3847"/>
      <c r="V425" s="2322"/>
      <c r="W425" s="2322"/>
      <c r="X425" s="2322"/>
      <c r="Y425" s="2322"/>
      <c r="Z425" s="2322"/>
      <c r="AA425" s="2322"/>
      <c r="AB425" s="2322"/>
      <c r="AC425" s="2322"/>
      <c r="AD425" s="2322"/>
      <c r="AE425" s="2322"/>
      <c r="AF425" s="2322"/>
      <c r="AG425" s="2322"/>
      <c r="AH425" s="2322"/>
      <c r="AI425" s="2322"/>
      <c r="AJ425" s="2322"/>
      <c r="AK425" s="2322"/>
      <c r="AL425" s="2322"/>
      <c r="AM425" s="2322"/>
    </row>
    <row r="426" spans="1:39">
      <c r="A426" s="89"/>
      <c r="B426" s="89"/>
      <c r="C426" s="89"/>
      <c r="D426" s="89"/>
      <c r="E426" s="89"/>
      <c r="F426" s="89"/>
      <c r="G426" s="89"/>
      <c r="H426" s="89"/>
      <c r="I426" s="3847"/>
      <c r="J426" s="3847"/>
      <c r="K426" s="3847"/>
      <c r="L426" s="3847"/>
      <c r="M426" s="3847"/>
      <c r="N426" s="3847"/>
      <c r="O426" s="3847"/>
      <c r="P426" s="3847"/>
      <c r="Q426" s="3847"/>
      <c r="R426" s="3847"/>
      <c r="S426" s="3847"/>
      <c r="T426" s="3847"/>
      <c r="U426" s="3847"/>
      <c r="V426" s="2322"/>
      <c r="W426" s="2322"/>
      <c r="X426" s="2322"/>
      <c r="Y426" s="2322"/>
      <c r="Z426" s="2322"/>
      <c r="AA426" s="2322"/>
      <c r="AB426" s="2322"/>
      <c r="AC426" s="2322"/>
      <c r="AD426" s="2322"/>
      <c r="AE426" s="2322"/>
      <c r="AF426" s="2322"/>
      <c r="AG426" s="2322"/>
      <c r="AH426" s="2322"/>
      <c r="AI426" s="2322"/>
      <c r="AJ426" s="2322"/>
      <c r="AK426" s="2322"/>
      <c r="AL426" s="2322"/>
      <c r="AM426" s="2322"/>
    </row>
    <row r="427" spans="1:39">
      <c r="A427" s="89"/>
      <c r="B427" s="89"/>
      <c r="C427" s="89"/>
      <c r="D427" s="89"/>
      <c r="E427" s="89"/>
      <c r="F427" s="89"/>
      <c r="G427" s="89"/>
      <c r="H427" s="89"/>
      <c r="I427" s="3847"/>
      <c r="J427" s="3847"/>
      <c r="K427" s="3847"/>
      <c r="L427" s="3847"/>
      <c r="M427" s="3847"/>
      <c r="N427" s="3847"/>
      <c r="O427" s="3847"/>
      <c r="P427" s="3847"/>
      <c r="Q427" s="3847"/>
      <c r="R427" s="3847"/>
      <c r="S427" s="3847"/>
      <c r="T427" s="3847"/>
      <c r="U427" s="3847"/>
      <c r="V427" s="2322"/>
      <c r="W427" s="2322"/>
      <c r="X427" s="2322"/>
      <c r="Y427" s="2322"/>
      <c r="Z427" s="2322"/>
      <c r="AA427" s="2322"/>
      <c r="AB427" s="2322"/>
      <c r="AC427" s="2322"/>
      <c r="AD427" s="2322"/>
      <c r="AE427" s="2322"/>
      <c r="AF427" s="2322"/>
      <c r="AG427" s="2322"/>
      <c r="AH427" s="2322"/>
      <c r="AI427" s="2322"/>
      <c r="AJ427" s="2322"/>
      <c r="AK427" s="2322"/>
      <c r="AL427" s="2322"/>
      <c r="AM427" s="2322"/>
    </row>
    <row r="428" spans="1:39">
      <c r="A428" s="89"/>
      <c r="B428" s="89"/>
      <c r="C428" s="89"/>
      <c r="D428" s="89"/>
      <c r="E428" s="89"/>
      <c r="F428" s="89"/>
      <c r="G428" s="89"/>
      <c r="H428" s="89"/>
      <c r="I428" s="3847"/>
      <c r="J428" s="3847"/>
      <c r="K428" s="3847"/>
      <c r="L428" s="3847"/>
      <c r="M428" s="3847"/>
      <c r="N428" s="3847"/>
      <c r="O428" s="3847"/>
      <c r="P428" s="3847"/>
      <c r="Q428" s="3847"/>
      <c r="R428" s="3847"/>
      <c r="S428" s="3847"/>
      <c r="T428" s="3847"/>
      <c r="U428" s="3847"/>
      <c r="V428" s="2322"/>
      <c r="W428" s="2322"/>
      <c r="X428" s="2322"/>
      <c r="Y428" s="2322"/>
      <c r="Z428" s="2322"/>
      <c r="AA428" s="2322"/>
      <c r="AB428" s="2322"/>
      <c r="AC428" s="2322"/>
      <c r="AD428" s="2322"/>
      <c r="AE428" s="2322"/>
      <c r="AF428" s="2322"/>
      <c r="AG428" s="2322"/>
      <c r="AH428" s="2322"/>
      <c r="AI428" s="2322"/>
      <c r="AJ428" s="2322"/>
      <c r="AK428" s="2322"/>
      <c r="AL428" s="2322"/>
      <c r="AM428" s="2322"/>
    </row>
    <row r="429" spans="1:39">
      <c r="A429" s="89"/>
      <c r="B429" s="89"/>
      <c r="C429" s="89"/>
      <c r="D429" s="89"/>
      <c r="E429" s="89"/>
      <c r="F429" s="89"/>
      <c r="G429" s="89"/>
      <c r="H429" s="89"/>
      <c r="I429" s="3847"/>
      <c r="J429" s="3847"/>
      <c r="K429" s="3847"/>
      <c r="L429" s="3847"/>
      <c r="M429" s="3847"/>
      <c r="N429" s="3847"/>
      <c r="O429" s="3847"/>
      <c r="P429" s="3847"/>
      <c r="Q429" s="3847"/>
      <c r="R429" s="3847"/>
      <c r="S429" s="3847"/>
      <c r="T429" s="3847"/>
      <c r="U429" s="3847"/>
      <c r="V429" s="2322"/>
      <c r="W429" s="2322"/>
      <c r="X429" s="2322"/>
      <c r="Y429" s="2322"/>
      <c r="Z429" s="2322"/>
      <c r="AA429" s="2322"/>
      <c r="AB429" s="2322"/>
      <c r="AC429" s="2322"/>
      <c r="AD429" s="2322"/>
      <c r="AE429" s="2322"/>
      <c r="AF429" s="2322"/>
      <c r="AG429" s="2322"/>
      <c r="AH429" s="2322"/>
      <c r="AI429" s="2322"/>
      <c r="AJ429" s="2322"/>
      <c r="AK429" s="2322"/>
      <c r="AL429" s="2322"/>
      <c r="AM429" s="2322"/>
    </row>
    <row r="430" spans="1:39">
      <c r="A430" s="89"/>
      <c r="B430" s="89"/>
      <c r="C430" s="89"/>
      <c r="D430" s="89"/>
      <c r="E430" s="89"/>
      <c r="F430" s="89"/>
      <c r="G430" s="89"/>
      <c r="H430" s="89"/>
      <c r="I430" s="3847"/>
      <c r="J430" s="3847"/>
      <c r="K430" s="3847"/>
      <c r="L430" s="3847"/>
      <c r="M430" s="3847"/>
      <c r="N430" s="3847"/>
      <c r="O430" s="3847"/>
      <c r="P430" s="3847"/>
      <c r="Q430" s="3847"/>
      <c r="R430" s="3847"/>
      <c r="S430" s="3847"/>
      <c r="T430" s="3847"/>
      <c r="U430" s="3847"/>
      <c r="V430" s="2322"/>
      <c r="W430" s="2322"/>
      <c r="X430" s="2322"/>
      <c r="Y430" s="2322"/>
      <c r="Z430" s="2322"/>
      <c r="AA430" s="2322"/>
      <c r="AB430" s="2322"/>
      <c r="AC430" s="2322"/>
      <c r="AD430" s="2322"/>
      <c r="AE430" s="2322"/>
      <c r="AF430" s="2322"/>
      <c r="AG430" s="2322"/>
      <c r="AH430" s="2322"/>
      <c r="AI430" s="2322"/>
      <c r="AJ430" s="2322"/>
      <c r="AK430" s="2322"/>
      <c r="AL430" s="2322"/>
      <c r="AM430" s="2322"/>
    </row>
    <row r="431" spans="1:39">
      <c r="A431" s="89"/>
      <c r="B431" s="89"/>
      <c r="C431" s="89"/>
      <c r="D431" s="89"/>
      <c r="E431" s="89"/>
      <c r="F431" s="89"/>
      <c r="G431" s="89"/>
      <c r="H431" s="89"/>
      <c r="I431" s="3847"/>
      <c r="J431" s="3847"/>
      <c r="K431" s="3847"/>
      <c r="L431" s="3847"/>
      <c r="M431" s="3847"/>
      <c r="N431" s="3847"/>
      <c r="O431" s="3847"/>
      <c r="P431" s="3847"/>
      <c r="Q431" s="3847"/>
      <c r="R431" s="3847"/>
      <c r="S431" s="3847"/>
      <c r="T431" s="3847"/>
      <c r="U431" s="3847"/>
      <c r="V431" s="2322"/>
      <c r="W431" s="2322"/>
      <c r="X431" s="2322"/>
      <c r="Y431" s="2322"/>
      <c r="Z431" s="2322"/>
      <c r="AA431" s="2322"/>
      <c r="AB431" s="2322"/>
      <c r="AC431" s="2322"/>
      <c r="AD431" s="2322"/>
      <c r="AE431" s="2322"/>
      <c r="AF431" s="2322"/>
      <c r="AG431" s="2322"/>
      <c r="AH431" s="2322"/>
      <c r="AI431" s="2322"/>
      <c r="AJ431" s="2322"/>
      <c r="AK431" s="2322"/>
      <c r="AL431" s="2322"/>
      <c r="AM431" s="2322"/>
    </row>
    <row r="432" spans="1:39">
      <c r="A432" s="89"/>
      <c r="B432" s="89"/>
      <c r="C432" s="89"/>
      <c r="D432" s="89"/>
      <c r="E432" s="89"/>
      <c r="F432" s="89"/>
      <c r="G432" s="89"/>
      <c r="H432" s="89"/>
      <c r="I432" s="3847"/>
      <c r="J432" s="3847"/>
      <c r="K432" s="3847"/>
      <c r="L432" s="3847"/>
      <c r="M432" s="3847"/>
      <c r="N432" s="3847"/>
      <c r="O432" s="3847"/>
      <c r="P432" s="3847"/>
      <c r="Q432" s="3847"/>
      <c r="R432" s="3847"/>
      <c r="S432" s="3847"/>
      <c r="T432" s="3847"/>
      <c r="U432" s="3847"/>
      <c r="V432" s="2322"/>
      <c r="W432" s="2322"/>
      <c r="X432" s="2322"/>
      <c r="Y432" s="2322"/>
      <c r="Z432" s="2322"/>
      <c r="AA432" s="2322"/>
      <c r="AB432" s="2322"/>
      <c r="AC432" s="2322"/>
      <c r="AD432" s="2322"/>
      <c r="AE432" s="2322"/>
      <c r="AF432" s="2322"/>
      <c r="AG432" s="2322"/>
      <c r="AH432" s="2322"/>
      <c r="AI432" s="2322"/>
      <c r="AJ432" s="2322"/>
      <c r="AK432" s="2322"/>
      <c r="AL432" s="2322"/>
      <c r="AM432" s="2322"/>
    </row>
    <row r="433" spans="1:39">
      <c r="A433" s="89"/>
      <c r="B433" s="89"/>
      <c r="C433" s="89"/>
      <c r="D433" s="89"/>
      <c r="E433" s="89"/>
      <c r="F433" s="89"/>
      <c r="G433" s="89"/>
      <c r="H433" s="89"/>
      <c r="I433" s="3847"/>
      <c r="J433" s="3847"/>
      <c r="K433" s="3847"/>
      <c r="L433" s="3847"/>
      <c r="M433" s="3847"/>
      <c r="N433" s="3847"/>
      <c r="O433" s="3847"/>
      <c r="P433" s="3847"/>
      <c r="Q433" s="3847"/>
      <c r="R433" s="3847"/>
      <c r="S433" s="3847"/>
      <c r="T433" s="3847"/>
      <c r="U433" s="3847"/>
      <c r="V433" s="2322"/>
      <c r="W433" s="2322"/>
      <c r="X433" s="2322"/>
      <c r="Y433" s="2322"/>
      <c r="Z433" s="2322"/>
      <c r="AA433" s="2322"/>
      <c r="AB433" s="2322"/>
      <c r="AC433" s="2322"/>
      <c r="AD433" s="2322"/>
      <c r="AE433" s="2322"/>
      <c r="AF433" s="2322"/>
      <c r="AG433" s="2322"/>
      <c r="AH433" s="2322"/>
      <c r="AI433" s="2322"/>
      <c r="AJ433" s="2322"/>
      <c r="AK433" s="2322"/>
      <c r="AL433" s="2322"/>
      <c r="AM433" s="2322"/>
    </row>
    <row r="434" spans="1:39">
      <c r="A434" s="89"/>
      <c r="B434" s="89"/>
      <c r="C434" s="89"/>
      <c r="D434" s="89"/>
      <c r="E434" s="89"/>
      <c r="F434" s="89"/>
      <c r="G434" s="89"/>
      <c r="H434" s="89"/>
      <c r="I434" s="3847"/>
      <c r="J434" s="3847"/>
      <c r="K434" s="3847"/>
      <c r="L434" s="3847"/>
      <c r="M434" s="3847"/>
      <c r="N434" s="3847"/>
      <c r="O434" s="3847"/>
      <c r="P434" s="3847"/>
      <c r="Q434" s="3847"/>
      <c r="R434" s="3847"/>
      <c r="S434" s="3847"/>
      <c r="T434" s="3847"/>
      <c r="U434" s="3847"/>
      <c r="V434" s="2322"/>
      <c r="W434" s="2322"/>
      <c r="X434" s="2322"/>
      <c r="Y434" s="2322"/>
      <c r="Z434" s="2322"/>
      <c r="AA434" s="2322"/>
      <c r="AB434" s="2322"/>
      <c r="AC434" s="2322"/>
      <c r="AD434" s="2322"/>
      <c r="AE434" s="2322"/>
      <c r="AF434" s="2322"/>
      <c r="AG434" s="2322"/>
      <c r="AH434" s="2322"/>
      <c r="AI434" s="2322"/>
      <c r="AJ434" s="2322"/>
      <c r="AK434" s="2322"/>
      <c r="AL434" s="2322"/>
      <c r="AM434" s="2322"/>
    </row>
    <row r="435" spans="1:39">
      <c r="A435" s="89"/>
      <c r="B435" s="89"/>
      <c r="C435" s="89"/>
      <c r="D435" s="89"/>
      <c r="E435" s="89"/>
      <c r="F435" s="89"/>
      <c r="G435" s="89"/>
      <c r="H435" s="89"/>
      <c r="I435" s="3847"/>
      <c r="J435" s="3847"/>
      <c r="K435" s="3847"/>
      <c r="L435" s="3847"/>
      <c r="M435" s="3847"/>
      <c r="N435" s="3847"/>
      <c r="O435" s="3847"/>
      <c r="P435" s="3847"/>
      <c r="Q435" s="3847"/>
      <c r="R435" s="3847"/>
      <c r="S435" s="3847"/>
      <c r="T435" s="3847"/>
      <c r="U435" s="3847"/>
      <c r="V435" s="2322"/>
      <c r="W435" s="2322"/>
      <c r="X435" s="2322"/>
      <c r="Y435" s="2322"/>
      <c r="Z435" s="2322"/>
      <c r="AA435" s="2322"/>
      <c r="AB435" s="2322"/>
      <c r="AC435" s="2322"/>
      <c r="AD435" s="2322"/>
      <c r="AE435" s="2322"/>
      <c r="AF435" s="2322"/>
      <c r="AG435" s="2322"/>
      <c r="AH435" s="2322"/>
      <c r="AI435" s="2322"/>
      <c r="AJ435" s="2322"/>
      <c r="AK435" s="2322"/>
      <c r="AL435" s="2322"/>
      <c r="AM435" s="2322"/>
    </row>
    <row r="436" spans="1:39">
      <c r="A436" s="89"/>
      <c r="B436" s="89"/>
      <c r="C436" s="89"/>
      <c r="D436" s="89"/>
      <c r="E436" s="89"/>
      <c r="F436" s="89"/>
      <c r="G436" s="89"/>
      <c r="H436" s="89"/>
      <c r="I436" s="3847"/>
      <c r="J436" s="3847"/>
      <c r="K436" s="3847"/>
      <c r="L436" s="3847"/>
      <c r="M436" s="3847"/>
      <c r="N436" s="3847"/>
      <c r="O436" s="3847"/>
      <c r="P436" s="3847"/>
      <c r="Q436" s="3847"/>
      <c r="R436" s="3847"/>
      <c r="S436" s="3847"/>
      <c r="T436" s="3847"/>
      <c r="U436" s="3847"/>
      <c r="V436" s="2322"/>
      <c r="W436" s="2322"/>
      <c r="X436" s="2322"/>
      <c r="Y436" s="2322"/>
      <c r="Z436" s="2322"/>
      <c r="AA436" s="2322"/>
      <c r="AB436" s="2322"/>
      <c r="AC436" s="2322"/>
      <c r="AD436" s="2322"/>
      <c r="AE436" s="2322"/>
      <c r="AF436" s="2322"/>
      <c r="AG436" s="2322"/>
      <c r="AH436" s="2322"/>
      <c r="AI436" s="2322"/>
      <c r="AJ436" s="2322"/>
      <c r="AK436" s="2322"/>
      <c r="AL436" s="2322"/>
      <c r="AM436" s="2322"/>
    </row>
    <row r="437" spans="1:39">
      <c r="A437" s="89"/>
      <c r="B437" s="89"/>
      <c r="C437" s="89"/>
      <c r="D437" s="89"/>
      <c r="E437" s="89"/>
      <c r="F437" s="89"/>
      <c r="G437" s="89"/>
      <c r="H437" s="89"/>
      <c r="I437" s="3847"/>
      <c r="J437" s="3847"/>
      <c r="K437" s="3847"/>
      <c r="L437" s="3847"/>
      <c r="M437" s="3847"/>
      <c r="N437" s="3847"/>
      <c r="O437" s="3847"/>
      <c r="P437" s="3847"/>
      <c r="Q437" s="3847"/>
      <c r="R437" s="3847"/>
      <c r="S437" s="3847"/>
      <c r="T437" s="3847"/>
      <c r="U437" s="3847"/>
      <c r="V437" s="2322"/>
      <c r="W437" s="2322"/>
      <c r="X437" s="2322"/>
      <c r="Y437" s="2322"/>
      <c r="Z437" s="2322"/>
      <c r="AA437" s="2322"/>
      <c r="AB437" s="2322"/>
      <c r="AC437" s="2322"/>
      <c r="AD437" s="2322"/>
      <c r="AE437" s="2322"/>
      <c r="AF437" s="2322"/>
      <c r="AG437" s="2322"/>
      <c r="AH437" s="2322"/>
      <c r="AI437" s="2322"/>
      <c r="AJ437" s="2322"/>
      <c r="AK437" s="2322"/>
      <c r="AL437" s="2322"/>
      <c r="AM437" s="2322"/>
    </row>
    <row r="438" spans="1:39">
      <c r="A438" s="89"/>
      <c r="B438" s="89"/>
      <c r="C438" s="89"/>
      <c r="D438" s="89"/>
      <c r="E438" s="89"/>
      <c r="F438" s="89"/>
      <c r="G438" s="89"/>
      <c r="H438" s="89"/>
      <c r="I438" s="3847"/>
      <c r="J438" s="3847"/>
      <c r="K438" s="3847"/>
      <c r="L438" s="3847"/>
      <c r="M438" s="3847"/>
      <c r="N438" s="3847"/>
      <c r="O438" s="3847"/>
      <c r="P438" s="3847"/>
      <c r="Q438" s="3847"/>
      <c r="R438" s="3847"/>
      <c r="S438" s="3847"/>
      <c r="T438" s="3847"/>
      <c r="U438" s="3847"/>
      <c r="V438" s="2322"/>
      <c r="W438" s="2322"/>
      <c r="X438" s="2322"/>
      <c r="Y438" s="2322"/>
      <c r="Z438" s="2322"/>
      <c r="AA438" s="2322"/>
      <c r="AB438" s="2322"/>
      <c r="AC438" s="2322"/>
      <c r="AD438" s="2322"/>
      <c r="AE438" s="2322"/>
      <c r="AF438" s="2322"/>
      <c r="AG438" s="2322"/>
      <c r="AH438" s="2322"/>
      <c r="AI438" s="2322"/>
      <c r="AJ438" s="2322"/>
      <c r="AK438" s="2322"/>
      <c r="AL438" s="2322"/>
      <c r="AM438" s="2322"/>
    </row>
    <row r="439" spans="1:39">
      <c r="A439" s="89"/>
      <c r="B439" s="89"/>
      <c r="C439" s="89"/>
      <c r="D439" s="89"/>
      <c r="E439" s="89"/>
      <c r="F439" s="89"/>
      <c r="G439" s="89"/>
      <c r="H439" s="89"/>
      <c r="I439" s="3847"/>
      <c r="J439" s="3847"/>
      <c r="K439" s="3847"/>
      <c r="L439" s="3847"/>
      <c r="M439" s="3847"/>
      <c r="N439" s="3847"/>
      <c r="O439" s="3847"/>
      <c r="P439" s="3847"/>
      <c r="Q439" s="3847"/>
      <c r="R439" s="3847"/>
      <c r="S439" s="3847"/>
      <c r="T439" s="3847"/>
      <c r="U439" s="3847"/>
      <c r="V439" s="2322"/>
      <c r="W439" s="2322"/>
      <c r="X439" s="2322"/>
      <c r="Y439" s="2322"/>
      <c r="Z439" s="2322"/>
      <c r="AA439" s="2322"/>
      <c r="AB439" s="2322"/>
      <c r="AC439" s="2322"/>
      <c r="AD439" s="2322"/>
      <c r="AE439" s="2322"/>
      <c r="AF439" s="2322"/>
      <c r="AG439" s="2322"/>
      <c r="AH439" s="2322"/>
      <c r="AI439" s="2322"/>
      <c r="AJ439" s="2322"/>
      <c r="AK439" s="2322"/>
      <c r="AL439" s="2322"/>
      <c r="AM439" s="2322"/>
    </row>
    <row r="440" spans="1:39">
      <c r="A440" s="89"/>
      <c r="B440" s="89"/>
      <c r="C440" s="89"/>
      <c r="D440" s="89"/>
      <c r="E440" s="89"/>
      <c r="F440" s="89"/>
      <c r="G440" s="89"/>
      <c r="H440" s="89"/>
      <c r="I440" s="3847"/>
      <c r="J440" s="3847"/>
      <c r="K440" s="3847"/>
      <c r="L440" s="3847"/>
      <c r="M440" s="3847"/>
      <c r="N440" s="3847"/>
      <c r="O440" s="3847"/>
      <c r="P440" s="3847"/>
      <c r="Q440" s="3847"/>
      <c r="R440" s="3847"/>
      <c r="S440" s="3847"/>
      <c r="T440" s="3847"/>
      <c r="U440" s="3847"/>
      <c r="V440" s="2322"/>
      <c r="W440" s="2322"/>
      <c r="X440" s="2322"/>
      <c r="Y440" s="2322"/>
      <c r="Z440" s="2322"/>
      <c r="AA440" s="2322"/>
      <c r="AB440" s="2322"/>
      <c r="AC440" s="2322"/>
      <c r="AD440" s="2322"/>
      <c r="AE440" s="2322"/>
      <c r="AF440" s="2322"/>
      <c r="AG440" s="2322"/>
      <c r="AH440" s="2322"/>
      <c r="AI440" s="2322"/>
      <c r="AJ440" s="2322"/>
      <c r="AK440" s="2322"/>
      <c r="AL440" s="2322"/>
      <c r="AM440" s="2322"/>
    </row>
    <row r="441" spans="1:39">
      <c r="A441" s="89"/>
      <c r="B441" s="89"/>
      <c r="C441" s="89"/>
      <c r="D441" s="89"/>
      <c r="E441" s="89"/>
      <c r="F441" s="89"/>
      <c r="G441" s="89"/>
      <c r="H441" s="89"/>
      <c r="I441" s="3847"/>
      <c r="J441" s="3847"/>
      <c r="K441" s="3847"/>
      <c r="L441" s="3847"/>
      <c r="M441" s="3847"/>
      <c r="N441" s="3847"/>
      <c r="O441" s="3847"/>
      <c r="P441" s="3847"/>
      <c r="Q441" s="3847"/>
      <c r="R441" s="3847"/>
      <c r="S441" s="3847"/>
      <c r="T441" s="3847"/>
      <c r="U441" s="3847"/>
      <c r="V441" s="2322"/>
      <c r="W441" s="2322"/>
      <c r="X441" s="2322"/>
      <c r="Y441" s="2322"/>
      <c r="Z441" s="2322"/>
      <c r="AA441" s="2322"/>
      <c r="AB441" s="2322"/>
      <c r="AC441" s="2322"/>
      <c r="AD441" s="2322"/>
      <c r="AE441" s="2322"/>
      <c r="AF441" s="2322"/>
      <c r="AG441" s="2322"/>
      <c r="AH441" s="2322"/>
      <c r="AI441" s="2322"/>
      <c r="AJ441" s="2322"/>
      <c r="AK441" s="2322"/>
      <c r="AL441" s="2322"/>
      <c r="AM441" s="2322"/>
    </row>
    <row r="442" spans="1:39">
      <c r="A442" s="89"/>
      <c r="B442" s="89"/>
      <c r="C442" s="89"/>
      <c r="D442" s="89"/>
      <c r="E442" s="89"/>
      <c r="F442" s="89"/>
      <c r="G442" s="89"/>
      <c r="H442" s="89"/>
      <c r="I442" s="3847"/>
      <c r="J442" s="3847"/>
      <c r="K442" s="3847"/>
      <c r="L442" s="3847"/>
      <c r="M442" s="3847"/>
      <c r="N442" s="3847"/>
      <c r="O442" s="3847"/>
      <c r="P442" s="3847"/>
      <c r="Q442" s="3847"/>
      <c r="R442" s="3847"/>
      <c r="S442" s="3847"/>
      <c r="T442" s="3847"/>
      <c r="U442" s="3847"/>
      <c r="V442" s="2322"/>
      <c r="W442" s="2322"/>
      <c r="X442" s="2322"/>
      <c r="Y442" s="2322"/>
      <c r="Z442" s="2322"/>
      <c r="AA442" s="2322"/>
      <c r="AB442" s="2322"/>
      <c r="AC442" s="2322"/>
      <c r="AD442" s="2322"/>
      <c r="AE442" s="2322"/>
      <c r="AF442" s="2322"/>
      <c r="AG442" s="2322"/>
      <c r="AH442" s="2322"/>
      <c r="AI442" s="2322"/>
      <c r="AJ442" s="2322"/>
      <c r="AK442" s="2322"/>
      <c r="AL442" s="2322"/>
      <c r="AM442" s="2322"/>
    </row>
    <row r="443" spans="1:39">
      <c r="A443" s="89"/>
      <c r="B443" s="89"/>
      <c r="C443" s="89"/>
      <c r="D443" s="89"/>
      <c r="E443" s="89"/>
      <c r="F443" s="89"/>
      <c r="G443" s="89"/>
      <c r="H443" s="89"/>
      <c r="I443" s="3847"/>
      <c r="J443" s="3847"/>
      <c r="K443" s="3847"/>
      <c r="L443" s="3847"/>
      <c r="M443" s="3847"/>
      <c r="N443" s="3847"/>
      <c r="O443" s="3847"/>
      <c r="P443" s="3847"/>
      <c r="Q443" s="3847"/>
      <c r="R443" s="3847"/>
      <c r="S443" s="3847"/>
      <c r="T443" s="3847"/>
      <c r="U443" s="3847"/>
      <c r="V443" s="2322"/>
      <c r="W443" s="2322"/>
      <c r="X443" s="2322"/>
      <c r="Y443" s="2322"/>
      <c r="Z443" s="2322"/>
      <c r="AA443" s="2322"/>
      <c r="AB443" s="2322"/>
      <c r="AC443" s="2322"/>
      <c r="AD443" s="2322"/>
      <c r="AE443" s="2322"/>
      <c r="AF443" s="2322"/>
      <c r="AG443" s="2322"/>
      <c r="AH443" s="2322"/>
      <c r="AI443" s="2322"/>
      <c r="AJ443" s="2322"/>
      <c r="AK443" s="2322"/>
      <c r="AL443" s="2322"/>
      <c r="AM443" s="2322"/>
    </row>
    <row r="444" spans="1:39">
      <c r="A444" s="89"/>
      <c r="B444" s="89"/>
      <c r="C444" s="89"/>
      <c r="D444" s="89"/>
      <c r="E444" s="89"/>
      <c r="F444" s="89"/>
      <c r="G444" s="89"/>
      <c r="H444" s="89"/>
      <c r="I444" s="3847"/>
      <c r="J444" s="3847"/>
      <c r="K444" s="3847"/>
      <c r="L444" s="3847"/>
      <c r="M444" s="3847"/>
      <c r="N444" s="3847"/>
      <c r="O444" s="3847"/>
      <c r="P444" s="3847"/>
      <c r="Q444" s="3847"/>
      <c r="R444" s="3847"/>
      <c r="S444" s="3847"/>
      <c r="T444" s="3847"/>
      <c r="U444" s="3847"/>
      <c r="V444" s="2322"/>
      <c r="W444" s="2322"/>
      <c r="X444" s="2322"/>
      <c r="Y444" s="2322"/>
      <c r="Z444" s="2322"/>
      <c r="AA444" s="2322"/>
      <c r="AB444" s="2322"/>
      <c r="AC444" s="2322"/>
      <c r="AD444" s="2322"/>
      <c r="AE444" s="2322"/>
      <c r="AF444" s="2322"/>
      <c r="AG444" s="2322"/>
      <c r="AH444" s="2322"/>
      <c r="AI444" s="2322"/>
      <c r="AJ444" s="2322"/>
      <c r="AK444" s="2322"/>
      <c r="AL444" s="2322"/>
      <c r="AM444" s="2322"/>
    </row>
    <row r="445" spans="1:39">
      <c r="A445" s="89"/>
      <c r="B445" s="89"/>
      <c r="C445" s="89"/>
      <c r="D445" s="89"/>
      <c r="E445" s="89"/>
      <c r="F445" s="89"/>
      <c r="G445" s="89"/>
      <c r="H445" s="89"/>
      <c r="I445" s="3847"/>
      <c r="J445" s="3847"/>
      <c r="K445" s="3847"/>
      <c r="L445" s="3847"/>
      <c r="M445" s="3847"/>
      <c r="N445" s="3847"/>
      <c r="O445" s="3847"/>
      <c r="P445" s="3847"/>
      <c r="Q445" s="3847"/>
      <c r="R445" s="3847"/>
      <c r="S445" s="3847"/>
      <c r="T445" s="3847"/>
      <c r="U445" s="3847"/>
      <c r="V445" s="2322"/>
      <c r="W445" s="2322"/>
      <c r="X445" s="2322"/>
      <c r="Y445" s="2322"/>
      <c r="Z445" s="2322"/>
      <c r="AA445" s="2322"/>
      <c r="AB445" s="2322"/>
      <c r="AC445" s="2322"/>
      <c r="AD445" s="2322"/>
      <c r="AE445" s="2322"/>
      <c r="AF445" s="2322"/>
      <c r="AG445" s="2322"/>
      <c r="AH445" s="2322"/>
      <c r="AI445" s="2322"/>
      <c r="AJ445" s="2322"/>
      <c r="AK445" s="2322"/>
      <c r="AL445" s="2322"/>
      <c r="AM445" s="2322"/>
    </row>
    <row r="446" spans="1:39">
      <c r="A446" s="89"/>
      <c r="B446" s="89"/>
      <c r="C446" s="89"/>
      <c r="D446" s="89"/>
      <c r="E446" s="89"/>
      <c r="F446" s="89"/>
      <c r="G446" s="89"/>
      <c r="H446" s="89"/>
      <c r="I446" s="3847"/>
      <c r="J446" s="3847"/>
      <c r="K446" s="3847"/>
      <c r="L446" s="3847"/>
      <c r="M446" s="3847"/>
      <c r="N446" s="3847"/>
      <c r="O446" s="3847"/>
      <c r="P446" s="3847"/>
      <c r="Q446" s="3847"/>
      <c r="R446" s="3847"/>
      <c r="S446" s="3847"/>
      <c r="T446" s="3847"/>
      <c r="U446" s="3847"/>
      <c r="V446" s="2322"/>
      <c r="W446" s="2322"/>
      <c r="X446" s="2322"/>
      <c r="Y446" s="2322"/>
      <c r="Z446" s="2322"/>
      <c r="AA446" s="2322"/>
      <c r="AB446" s="2322"/>
      <c r="AC446" s="2322"/>
      <c r="AD446" s="2322"/>
      <c r="AE446" s="2322"/>
      <c r="AF446" s="2322"/>
      <c r="AG446" s="2322"/>
      <c r="AH446" s="2322"/>
      <c r="AI446" s="2322"/>
      <c r="AJ446" s="2322"/>
      <c r="AK446" s="2322"/>
      <c r="AL446" s="2322"/>
      <c r="AM446" s="2322"/>
    </row>
    <row r="447" spans="1:39">
      <c r="A447" s="89"/>
      <c r="B447" s="89"/>
      <c r="C447" s="89"/>
      <c r="D447" s="89"/>
      <c r="E447" s="89"/>
      <c r="F447" s="89"/>
      <c r="G447" s="89"/>
      <c r="H447" s="89"/>
      <c r="I447" s="3847"/>
      <c r="J447" s="3847"/>
      <c r="K447" s="3847"/>
      <c r="L447" s="3847"/>
      <c r="M447" s="3847"/>
      <c r="N447" s="3847"/>
      <c r="O447" s="3847"/>
      <c r="P447" s="3847"/>
      <c r="Q447" s="3847"/>
      <c r="R447" s="3847"/>
      <c r="S447" s="3847"/>
      <c r="T447" s="3847"/>
      <c r="U447" s="3847"/>
      <c r="V447" s="2322"/>
      <c r="W447" s="2322"/>
      <c r="X447" s="2322"/>
      <c r="Y447" s="2322"/>
      <c r="Z447" s="2322"/>
      <c r="AA447" s="2322"/>
      <c r="AB447" s="2322"/>
      <c r="AC447" s="2322"/>
      <c r="AD447" s="2322"/>
      <c r="AE447" s="2322"/>
      <c r="AF447" s="2322"/>
      <c r="AG447" s="2322"/>
      <c r="AH447" s="2322"/>
      <c r="AI447" s="2322"/>
      <c r="AJ447" s="2322"/>
      <c r="AK447" s="2322"/>
      <c r="AL447" s="2322"/>
      <c r="AM447" s="2322"/>
    </row>
    <row r="448" spans="1:39">
      <c r="A448" s="89"/>
      <c r="B448" s="89"/>
      <c r="C448" s="89"/>
      <c r="D448" s="89"/>
      <c r="E448" s="89"/>
      <c r="F448" s="89"/>
      <c r="G448" s="89"/>
      <c r="H448" s="89"/>
      <c r="I448" s="3847"/>
      <c r="J448" s="3847"/>
      <c r="K448" s="3847"/>
      <c r="L448" s="3847"/>
      <c r="M448" s="3847"/>
      <c r="N448" s="3847"/>
      <c r="O448" s="3847"/>
      <c r="P448" s="3847"/>
      <c r="Q448" s="3847"/>
      <c r="R448" s="3847"/>
      <c r="S448" s="3847"/>
      <c r="T448" s="3847"/>
      <c r="U448" s="3847"/>
      <c r="V448" s="2322"/>
      <c r="W448" s="2322"/>
      <c r="X448" s="2322"/>
      <c r="Y448" s="2322"/>
      <c r="Z448" s="2322"/>
      <c r="AA448" s="2322"/>
      <c r="AB448" s="2322"/>
      <c r="AC448" s="2322"/>
      <c r="AD448" s="2322"/>
      <c r="AE448" s="2322"/>
      <c r="AF448" s="2322"/>
      <c r="AG448" s="2322"/>
      <c r="AH448" s="2322"/>
      <c r="AI448" s="2322"/>
      <c r="AJ448" s="2322"/>
      <c r="AK448" s="2322"/>
      <c r="AL448" s="2322"/>
      <c r="AM448" s="2322"/>
    </row>
    <row r="449" spans="1:39">
      <c r="A449" s="89"/>
      <c r="B449" s="89"/>
      <c r="C449" s="89"/>
      <c r="D449" s="89"/>
      <c r="E449" s="89"/>
      <c r="F449" s="89"/>
      <c r="G449" s="89"/>
      <c r="H449" s="89"/>
      <c r="I449" s="3847"/>
      <c r="J449" s="3847"/>
      <c r="K449" s="3847"/>
      <c r="L449" s="3847"/>
      <c r="M449" s="3847"/>
      <c r="N449" s="3847"/>
      <c r="O449" s="3847"/>
      <c r="P449" s="3847"/>
      <c r="Q449" s="3847"/>
      <c r="R449" s="3847"/>
      <c r="S449" s="3847"/>
      <c r="T449" s="3847"/>
      <c r="U449" s="3847"/>
      <c r="V449" s="2322"/>
      <c r="W449" s="2322"/>
      <c r="X449" s="2322"/>
      <c r="Y449" s="2322"/>
      <c r="Z449" s="2322"/>
      <c r="AA449" s="2322"/>
      <c r="AB449" s="2322"/>
      <c r="AC449" s="2322"/>
      <c r="AD449" s="2322"/>
      <c r="AE449" s="2322"/>
      <c r="AF449" s="2322"/>
      <c r="AG449" s="2322"/>
      <c r="AH449" s="2322"/>
      <c r="AI449" s="2322"/>
      <c r="AJ449" s="2322"/>
      <c r="AK449" s="2322"/>
      <c r="AL449" s="2322"/>
      <c r="AM449" s="2322"/>
    </row>
    <row r="450" spans="1:39">
      <c r="A450" s="89"/>
      <c r="B450" s="89"/>
      <c r="C450" s="89"/>
      <c r="D450" s="89"/>
      <c r="E450" s="89"/>
      <c r="F450" s="89"/>
      <c r="G450" s="89"/>
      <c r="H450" s="89"/>
      <c r="I450" s="3847"/>
      <c r="J450" s="3847"/>
      <c r="K450" s="3847"/>
      <c r="L450" s="3847"/>
      <c r="M450" s="3847"/>
      <c r="N450" s="3847"/>
      <c r="O450" s="3847"/>
      <c r="P450" s="3847"/>
      <c r="Q450" s="3847"/>
      <c r="R450" s="3847"/>
      <c r="S450" s="3847"/>
      <c r="T450" s="3847"/>
      <c r="U450" s="3847"/>
      <c r="V450" s="2322"/>
      <c r="W450" s="2322"/>
      <c r="X450" s="2322"/>
      <c r="Y450" s="2322"/>
      <c r="Z450" s="2322"/>
      <c r="AA450" s="2322"/>
      <c r="AB450" s="2322"/>
      <c r="AC450" s="2322"/>
      <c r="AD450" s="2322"/>
      <c r="AE450" s="2322"/>
      <c r="AF450" s="2322"/>
      <c r="AG450" s="2322"/>
      <c r="AH450" s="2322"/>
      <c r="AI450" s="2322"/>
      <c r="AJ450" s="2322"/>
      <c r="AK450" s="2322"/>
      <c r="AL450" s="2322"/>
      <c r="AM450" s="2322"/>
    </row>
    <row r="451" spans="1:39">
      <c r="A451" s="89"/>
      <c r="B451" s="89"/>
      <c r="C451" s="89"/>
      <c r="D451" s="89"/>
      <c r="E451" s="89"/>
      <c r="F451" s="89"/>
      <c r="G451" s="89"/>
      <c r="H451" s="89"/>
      <c r="I451" s="3847"/>
      <c r="J451" s="3847"/>
      <c r="K451" s="3847"/>
      <c r="L451" s="3847"/>
      <c r="M451" s="3847"/>
      <c r="N451" s="3847"/>
      <c r="O451" s="3847"/>
      <c r="P451" s="3847"/>
      <c r="Q451" s="3847"/>
      <c r="R451" s="3847"/>
      <c r="S451" s="3847"/>
      <c r="T451" s="3847"/>
      <c r="U451" s="3847"/>
      <c r="V451" s="2322"/>
      <c r="W451" s="2322"/>
      <c r="X451" s="2322"/>
      <c r="Y451" s="2322"/>
      <c r="Z451" s="2322"/>
      <c r="AA451" s="2322"/>
      <c r="AB451" s="2322"/>
      <c r="AC451" s="2322"/>
      <c r="AD451" s="2322"/>
      <c r="AE451" s="2322"/>
      <c r="AF451" s="2322"/>
      <c r="AG451" s="2322"/>
      <c r="AH451" s="2322"/>
      <c r="AI451" s="2322"/>
      <c r="AJ451" s="2322"/>
      <c r="AK451" s="2322"/>
      <c r="AL451" s="2322"/>
      <c r="AM451" s="2322"/>
    </row>
    <row r="452" spans="1:39">
      <c r="A452" s="89"/>
      <c r="B452" s="89"/>
      <c r="C452" s="89"/>
      <c r="D452" s="89"/>
      <c r="E452" s="89"/>
      <c r="F452" s="89"/>
      <c r="G452" s="89"/>
      <c r="H452" s="89"/>
      <c r="I452" s="3847"/>
      <c r="J452" s="3847"/>
      <c r="K452" s="3847"/>
      <c r="L452" s="3847"/>
      <c r="M452" s="3847"/>
      <c r="N452" s="3847"/>
      <c r="O452" s="3847"/>
      <c r="P452" s="3847"/>
      <c r="Q452" s="3847"/>
      <c r="R452" s="3847"/>
      <c r="S452" s="3847"/>
      <c r="T452" s="3847"/>
      <c r="U452" s="3847"/>
      <c r="V452" s="2322"/>
      <c r="W452" s="2322"/>
      <c r="X452" s="2322"/>
      <c r="Y452" s="2322"/>
      <c r="Z452" s="2322"/>
      <c r="AA452" s="2322"/>
      <c r="AB452" s="2322"/>
      <c r="AC452" s="2322"/>
      <c r="AD452" s="2322"/>
      <c r="AE452" s="2322"/>
      <c r="AF452" s="2322"/>
      <c r="AG452" s="2322"/>
      <c r="AH452" s="2322"/>
      <c r="AI452" s="2322"/>
      <c r="AJ452" s="2322"/>
      <c r="AK452" s="2322"/>
      <c r="AL452" s="2322"/>
      <c r="AM452" s="2322"/>
    </row>
    <row r="453" spans="1:39">
      <c r="A453" s="89"/>
      <c r="B453" s="89"/>
      <c r="C453" s="89"/>
      <c r="D453" s="89"/>
      <c r="E453" s="89"/>
      <c r="F453" s="89"/>
      <c r="G453" s="89"/>
      <c r="H453" s="89"/>
      <c r="I453" s="3847"/>
      <c r="J453" s="3847"/>
      <c r="K453" s="3847"/>
      <c r="L453" s="3847"/>
      <c r="M453" s="3847"/>
      <c r="N453" s="3847"/>
      <c r="O453" s="3847"/>
      <c r="P453" s="3847"/>
      <c r="Q453" s="3847"/>
      <c r="R453" s="3847"/>
      <c r="S453" s="3847"/>
      <c r="T453" s="3847"/>
      <c r="U453" s="3847"/>
      <c r="V453" s="2322"/>
      <c r="W453" s="2322"/>
      <c r="X453" s="2322"/>
      <c r="Y453" s="2322"/>
      <c r="Z453" s="2322"/>
      <c r="AA453" s="2322"/>
      <c r="AB453" s="2322"/>
      <c r="AC453" s="2322"/>
      <c r="AD453" s="2322"/>
      <c r="AE453" s="2322"/>
      <c r="AF453" s="2322"/>
      <c r="AG453" s="2322"/>
      <c r="AH453" s="2322"/>
      <c r="AI453" s="2322"/>
      <c r="AJ453" s="2322"/>
      <c r="AK453" s="2322"/>
      <c r="AL453" s="2322"/>
      <c r="AM453" s="2322"/>
    </row>
    <row r="454" spans="1:39">
      <c r="A454" s="89"/>
      <c r="B454" s="89"/>
      <c r="C454" s="89"/>
      <c r="D454" s="89"/>
      <c r="E454" s="89"/>
      <c r="F454" s="89"/>
      <c r="G454" s="89"/>
      <c r="H454" s="89"/>
      <c r="I454" s="3847"/>
      <c r="J454" s="3847"/>
      <c r="K454" s="3847"/>
      <c r="L454" s="3847"/>
      <c r="M454" s="3847"/>
      <c r="N454" s="3847"/>
      <c r="O454" s="3847"/>
      <c r="P454" s="3847"/>
      <c r="Q454" s="3847"/>
      <c r="R454" s="3847"/>
      <c r="S454" s="3847"/>
      <c r="T454" s="3847"/>
      <c r="U454" s="3847"/>
      <c r="V454" s="2322"/>
      <c r="W454" s="2322"/>
      <c r="X454" s="2322"/>
      <c r="Y454" s="2322"/>
      <c r="Z454" s="2322"/>
      <c r="AA454" s="2322"/>
      <c r="AB454" s="2322"/>
      <c r="AC454" s="2322"/>
      <c r="AD454" s="2322"/>
      <c r="AE454" s="2322"/>
      <c r="AF454" s="2322"/>
      <c r="AG454" s="2322"/>
      <c r="AH454" s="2322"/>
      <c r="AI454" s="2322"/>
      <c r="AJ454" s="2322"/>
      <c r="AK454" s="2322"/>
      <c r="AL454" s="2322"/>
      <c r="AM454" s="2322"/>
    </row>
    <row r="455" spans="1:39">
      <c r="A455" s="89"/>
      <c r="B455" s="89"/>
      <c r="C455" s="89"/>
      <c r="D455" s="89"/>
      <c r="E455" s="89"/>
      <c r="F455" s="89"/>
      <c r="G455" s="89"/>
      <c r="H455" s="89"/>
      <c r="I455" s="3847"/>
      <c r="J455" s="3847"/>
      <c r="K455" s="3847"/>
      <c r="L455" s="3847"/>
      <c r="M455" s="3847"/>
      <c r="N455" s="3847"/>
      <c r="O455" s="3847"/>
      <c r="P455" s="3847"/>
      <c r="Q455" s="3847"/>
      <c r="R455" s="3847"/>
      <c r="S455" s="3847"/>
      <c r="T455" s="3847"/>
      <c r="U455" s="3847"/>
      <c r="V455" s="2322"/>
      <c r="W455" s="2322"/>
      <c r="X455" s="2322"/>
      <c r="Y455" s="2322"/>
      <c r="Z455" s="2322"/>
      <c r="AA455" s="2322"/>
      <c r="AB455" s="2322"/>
      <c r="AC455" s="2322"/>
      <c r="AD455" s="2322"/>
      <c r="AE455" s="2322"/>
      <c r="AF455" s="2322"/>
      <c r="AG455" s="2322"/>
      <c r="AH455" s="2322"/>
      <c r="AI455" s="2322"/>
      <c r="AJ455" s="2322"/>
      <c r="AK455" s="2322"/>
      <c r="AL455" s="2322"/>
      <c r="AM455" s="2322"/>
    </row>
    <row r="456" spans="1:39">
      <c r="A456" s="89"/>
      <c r="B456" s="89"/>
      <c r="C456" s="89"/>
      <c r="D456" s="89"/>
      <c r="E456" s="89"/>
      <c r="F456" s="89"/>
      <c r="G456" s="89"/>
      <c r="H456" s="89"/>
      <c r="I456" s="3847"/>
      <c r="J456" s="3847"/>
      <c r="K456" s="3847"/>
      <c r="L456" s="3847"/>
      <c r="M456" s="3847"/>
      <c r="N456" s="3847"/>
      <c r="O456" s="3847"/>
      <c r="P456" s="3847"/>
      <c r="Q456" s="3847"/>
      <c r="R456" s="3847"/>
      <c r="S456" s="3847"/>
      <c r="T456" s="3847"/>
      <c r="U456" s="3847"/>
      <c r="V456" s="2322"/>
      <c r="W456" s="2322"/>
      <c r="X456" s="2322"/>
      <c r="Y456" s="2322"/>
      <c r="Z456" s="2322"/>
      <c r="AA456" s="2322"/>
      <c r="AB456" s="2322"/>
      <c r="AC456" s="2322"/>
      <c r="AD456" s="2322"/>
      <c r="AE456" s="2322"/>
      <c r="AF456" s="2322"/>
      <c r="AG456" s="2322"/>
      <c r="AH456" s="2322"/>
      <c r="AI456" s="2322"/>
      <c r="AJ456" s="2322"/>
      <c r="AK456" s="2322"/>
      <c r="AL456" s="2322"/>
      <c r="AM456" s="2322"/>
    </row>
    <row r="457" spans="1:39">
      <c r="A457" s="89"/>
      <c r="B457" s="89"/>
      <c r="C457" s="89"/>
      <c r="D457" s="89"/>
      <c r="E457" s="89"/>
      <c r="F457" s="89"/>
      <c r="G457" s="89"/>
      <c r="H457" s="89"/>
      <c r="I457" s="3847"/>
      <c r="J457" s="3847"/>
      <c r="K457" s="3847"/>
      <c r="L457" s="3847"/>
      <c r="M457" s="3847"/>
      <c r="N457" s="3847"/>
      <c r="O457" s="3847"/>
      <c r="P457" s="3847"/>
      <c r="Q457" s="3847"/>
      <c r="R457" s="3847"/>
      <c r="S457" s="3847"/>
      <c r="T457" s="3847"/>
      <c r="U457" s="3847"/>
      <c r="V457" s="2322"/>
      <c r="W457" s="2322"/>
      <c r="X457" s="2322"/>
      <c r="Y457" s="2322"/>
      <c r="Z457" s="2322"/>
      <c r="AA457" s="2322"/>
      <c r="AB457" s="2322"/>
      <c r="AC457" s="2322"/>
      <c r="AD457" s="2322"/>
      <c r="AE457" s="2322"/>
      <c r="AF457" s="2322"/>
      <c r="AG457" s="2322"/>
      <c r="AH457" s="2322"/>
      <c r="AI457" s="2322"/>
      <c r="AJ457" s="2322"/>
      <c r="AK457" s="2322"/>
      <c r="AL457" s="2322"/>
      <c r="AM457" s="2322"/>
    </row>
    <row r="458" spans="1:39">
      <c r="A458" s="89"/>
      <c r="B458" s="89"/>
      <c r="C458" s="89"/>
      <c r="D458" s="89"/>
      <c r="E458" s="89"/>
      <c r="F458" s="89"/>
      <c r="G458" s="89"/>
      <c r="H458" s="89"/>
      <c r="I458" s="3847"/>
      <c r="J458" s="3847"/>
      <c r="K458" s="3847"/>
      <c r="L458" s="3847"/>
      <c r="M458" s="3847"/>
      <c r="N458" s="3847"/>
      <c r="O458" s="3847"/>
      <c r="P458" s="3847"/>
      <c r="Q458" s="3847"/>
      <c r="R458" s="3847"/>
      <c r="S458" s="3847"/>
      <c r="T458" s="3847"/>
      <c r="U458" s="3847"/>
      <c r="V458" s="2322"/>
      <c r="W458" s="2322"/>
      <c r="X458" s="2322"/>
      <c r="Y458" s="2322"/>
      <c r="Z458" s="2322"/>
      <c r="AA458" s="2322"/>
      <c r="AB458" s="2322"/>
      <c r="AC458" s="2322"/>
      <c r="AD458" s="2322"/>
      <c r="AE458" s="2322"/>
      <c r="AF458" s="2322"/>
      <c r="AG458" s="2322"/>
      <c r="AH458" s="2322"/>
      <c r="AI458" s="2322"/>
      <c r="AJ458" s="2322"/>
      <c r="AK458" s="2322"/>
      <c r="AL458" s="2322"/>
      <c r="AM458" s="2322"/>
    </row>
    <row r="459" spans="1:39">
      <c r="A459" s="89"/>
      <c r="B459" s="89"/>
      <c r="C459" s="89"/>
      <c r="D459" s="89"/>
      <c r="E459" s="89"/>
      <c r="F459" s="89"/>
      <c r="G459" s="89"/>
      <c r="H459" s="89"/>
      <c r="I459" s="3847"/>
      <c r="J459" s="3847"/>
      <c r="K459" s="3847"/>
      <c r="L459" s="3847"/>
      <c r="M459" s="3847"/>
      <c r="N459" s="3847"/>
      <c r="O459" s="3847"/>
      <c r="P459" s="3847"/>
      <c r="Q459" s="3847"/>
      <c r="R459" s="3847"/>
      <c r="S459" s="3847"/>
      <c r="T459" s="3847"/>
      <c r="U459" s="3847"/>
      <c r="V459" s="2322"/>
      <c r="W459" s="2322"/>
      <c r="X459" s="2322"/>
      <c r="Y459" s="2322"/>
      <c r="Z459" s="2322"/>
      <c r="AA459" s="2322"/>
      <c r="AB459" s="2322"/>
      <c r="AC459" s="2322"/>
      <c r="AD459" s="2322"/>
      <c r="AE459" s="2322"/>
      <c r="AF459" s="2322"/>
      <c r="AG459" s="2322"/>
      <c r="AH459" s="2322"/>
      <c r="AI459" s="2322"/>
      <c r="AJ459" s="2322"/>
      <c r="AK459" s="2322"/>
      <c r="AL459" s="2322"/>
      <c r="AM459" s="2322"/>
    </row>
    <row r="460" spans="1:39">
      <c r="A460" s="89"/>
      <c r="B460" s="89"/>
      <c r="C460" s="89"/>
      <c r="D460" s="89"/>
      <c r="E460" s="89"/>
      <c r="F460" s="89"/>
      <c r="G460" s="89"/>
      <c r="H460" s="89"/>
      <c r="I460" s="3847"/>
      <c r="J460" s="3847"/>
      <c r="K460" s="3847"/>
      <c r="L460" s="3847"/>
      <c r="M460" s="3847"/>
      <c r="N460" s="3847"/>
      <c r="O460" s="3847"/>
      <c r="P460" s="3847"/>
      <c r="Q460" s="3847"/>
      <c r="R460" s="3847"/>
      <c r="S460" s="3847"/>
      <c r="T460" s="3847"/>
      <c r="U460" s="3847"/>
      <c r="V460" s="2322"/>
      <c r="W460" s="2322"/>
      <c r="X460" s="2322"/>
      <c r="Y460" s="2322"/>
      <c r="Z460" s="2322"/>
      <c r="AA460" s="2322"/>
      <c r="AB460" s="2322"/>
      <c r="AC460" s="2322"/>
      <c r="AD460" s="2322"/>
      <c r="AE460" s="2322"/>
      <c r="AF460" s="2322"/>
      <c r="AG460" s="2322"/>
      <c r="AH460" s="2322"/>
      <c r="AI460" s="2322"/>
      <c r="AJ460" s="2322"/>
      <c r="AK460" s="2322"/>
      <c r="AL460" s="2322"/>
      <c r="AM460" s="2322"/>
    </row>
    <row r="461" spans="1:39">
      <c r="A461" s="89"/>
      <c r="B461" s="89"/>
      <c r="C461" s="89"/>
      <c r="D461" s="89"/>
      <c r="E461" s="89"/>
      <c r="F461" s="89"/>
      <c r="G461" s="89"/>
      <c r="H461" s="89"/>
      <c r="I461" s="3847"/>
      <c r="J461" s="3847"/>
      <c r="K461" s="3847"/>
      <c r="L461" s="3847"/>
      <c r="M461" s="3847"/>
      <c r="N461" s="3847"/>
      <c r="O461" s="3847"/>
      <c r="P461" s="3847"/>
      <c r="Q461" s="3847"/>
      <c r="R461" s="3847"/>
      <c r="S461" s="3847"/>
      <c r="T461" s="3847"/>
      <c r="U461" s="3847"/>
      <c r="V461" s="2322"/>
      <c r="W461" s="2322"/>
      <c r="X461" s="2322"/>
      <c r="Y461" s="2322"/>
      <c r="Z461" s="2322"/>
      <c r="AA461" s="2322"/>
      <c r="AB461" s="2322"/>
      <c r="AC461" s="2322"/>
      <c r="AD461" s="2322"/>
      <c r="AE461" s="2322"/>
      <c r="AF461" s="2322"/>
      <c r="AG461" s="2322"/>
      <c r="AH461" s="2322"/>
      <c r="AI461" s="2322"/>
      <c r="AJ461" s="2322"/>
      <c r="AK461" s="2322"/>
      <c r="AL461" s="2322"/>
      <c r="AM461" s="2322"/>
    </row>
    <row r="462" spans="1:39">
      <c r="A462" s="89"/>
      <c r="B462" s="89"/>
      <c r="C462" s="89"/>
      <c r="D462" s="89"/>
      <c r="E462" s="89"/>
      <c r="F462" s="89"/>
      <c r="G462" s="89"/>
      <c r="H462" s="89"/>
      <c r="I462" s="3847"/>
      <c r="J462" s="3847"/>
      <c r="K462" s="3847"/>
      <c r="L462" s="3847"/>
      <c r="M462" s="3847"/>
      <c r="N462" s="3847"/>
      <c r="O462" s="3847"/>
      <c r="P462" s="3847"/>
      <c r="Q462" s="3847"/>
      <c r="R462" s="3847"/>
      <c r="S462" s="3847"/>
      <c r="T462" s="3847"/>
      <c r="U462" s="3847"/>
      <c r="V462" s="2322"/>
      <c r="W462" s="2322"/>
      <c r="X462" s="2322"/>
      <c r="Y462" s="2322"/>
      <c r="Z462" s="2322"/>
      <c r="AA462" s="2322"/>
      <c r="AB462" s="2322"/>
      <c r="AC462" s="2322"/>
      <c r="AD462" s="2322"/>
      <c r="AE462" s="2322"/>
      <c r="AF462" s="2322"/>
      <c r="AG462" s="2322"/>
      <c r="AH462" s="2322"/>
      <c r="AI462" s="2322"/>
      <c r="AJ462" s="2322"/>
      <c r="AK462" s="2322"/>
      <c r="AL462" s="2322"/>
      <c r="AM462" s="2322"/>
    </row>
    <row r="463" spans="1:39">
      <c r="A463" s="89"/>
      <c r="B463" s="89"/>
      <c r="C463" s="89"/>
      <c r="D463" s="89"/>
      <c r="E463" s="89"/>
      <c r="F463" s="89"/>
      <c r="G463" s="89"/>
      <c r="H463" s="89"/>
      <c r="I463" s="3847"/>
      <c r="J463" s="3847"/>
      <c r="K463" s="3847"/>
      <c r="L463" s="3847"/>
      <c r="M463" s="3847"/>
      <c r="N463" s="3847"/>
      <c r="O463" s="3847"/>
      <c r="P463" s="3847"/>
      <c r="Q463" s="3847"/>
      <c r="R463" s="3847"/>
      <c r="S463" s="3847"/>
      <c r="T463" s="3847"/>
      <c r="U463" s="3847"/>
      <c r="V463" s="2322"/>
      <c r="W463" s="2322"/>
      <c r="X463" s="2322"/>
      <c r="Y463" s="2322"/>
      <c r="Z463" s="2322"/>
      <c r="AA463" s="2322"/>
      <c r="AB463" s="2322"/>
      <c r="AC463" s="2322"/>
      <c r="AD463" s="2322"/>
      <c r="AE463" s="2322"/>
      <c r="AF463" s="2322"/>
      <c r="AG463" s="2322"/>
      <c r="AH463" s="2322"/>
      <c r="AI463" s="2322"/>
      <c r="AJ463" s="2322"/>
      <c r="AK463" s="2322"/>
      <c r="AL463" s="2322"/>
      <c r="AM463" s="2322"/>
    </row>
    <row r="464" spans="1:39">
      <c r="A464" s="89"/>
      <c r="B464" s="89"/>
      <c r="C464" s="89"/>
      <c r="D464" s="89"/>
      <c r="E464" s="89"/>
      <c r="F464" s="89"/>
      <c r="G464" s="89"/>
      <c r="H464" s="89"/>
      <c r="I464" s="3847"/>
      <c r="J464" s="3847"/>
      <c r="K464" s="3847"/>
      <c r="L464" s="3847"/>
      <c r="M464" s="3847"/>
      <c r="N464" s="3847"/>
      <c r="O464" s="3847"/>
      <c r="P464" s="3847"/>
      <c r="Q464" s="3847"/>
      <c r="R464" s="3847"/>
      <c r="S464" s="3847"/>
      <c r="T464" s="3847"/>
      <c r="U464" s="3847"/>
      <c r="V464" s="2322"/>
      <c r="W464" s="2322"/>
      <c r="X464" s="2322"/>
      <c r="Y464" s="2322"/>
      <c r="Z464" s="2322"/>
      <c r="AA464" s="2322"/>
      <c r="AB464" s="2322"/>
      <c r="AC464" s="2322"/>
      <c r="AD464" s="2322"/>
      <c r="AE464" s="2322"/>
      <c r="AF464" s="2322"/>
      <c r="AG464" s="2322"/>
      <c r="AH464" s="2322"/>
      <c r="AI464" s="2322"/>
      <c r="AJ464" s="2322"/>
      <c r="AK464" s="2322"/>
      <c r="AL464" s="2322"/>
      <c r="AM464" s="2322"/>
    </row>
    <row r="465" spans="1:39">
      <c r="A465" s="89"/>
      <c r="B465" s="89"/>
      <c r="C465" s="89"/>
      <c r="D465" s="89"/>
      <c r="E465" s="89"/>
      <c r="F465" s="89"/>
      <c r="G465" s="89"/>
      <c r="H465" s="89"/>
      <c r="I465" s="3847"/>
      <c r="J465" s="3847"/>
      <c r="K465" s="3847"/>
      <c r="L465" s="3847"/>
      <c r="M465" s="3847"/>
      <c r="N465" s="3847"/>
      <c r="O465" s="3847"/>
      <c r="P465" s="3847"/>
      <c r="Q465" s="3847"/>
      <c r="R465" s="3847"/>
      <c r="S465" s="3847"/>
      <c r="T465" s="3847"/>
      <c r="U465" s="3847"/>
      <c r="V465" s="2322"/>
      <c r="W465" s="2322"/>
      <c r="X465" s="2322"/>
      <c r="Y465" s="2322"/>
      <c r="Z465" s="2322"/>
      <c r="AA465" s="2322"/>
      <c r="AB465" s="2322"/>
      <c r="AC465" s="2322"/>
      <c r="AD465" s="2322"/>
      <c r="AE465" s="2322"/>
      <c r="AF465" s="2322"/>
      <c r="AG465" s="2322"/>
      <c r="AH465" s="2322"/>
      <c r="AI465" s="2322"/>
      <c r="AJ465" s="2322"/>
      <c r="AK465" s="2322"/>
      <c r="AL465" s="2322"/>
      <c r="AM465" s="2322"/>
    </row>
    <row r="466" spans="1:39">
      <c r="A466" s="89"/>
      <c r="B466" s="89"/>
      <c r="C466" s="89"/>
      <c r="D466" s="89"/>
      <c r="E466" s="89"/>
      <c r="F466" s="89"/>
      <c r="G466" s="89"/>
      <c r="H466" s="89"/>
      <c r="I466" s="3847"/>
      <c r="J466" s="3847"/>
      <c r="K466" s="3847"/>
      <c r="L466" s="3847"/>
      <c r="M466" s="3847"/>
      <c r="N466" s="3847"/>
      <c r="O466" s="3847"/>
      <c r="P466" s="3847"/>
      <c r="Q466" s="3847"/>
      <c r="R466" s="3847"/>
      <c r="S466" s="3847"/>
      <c r="T466" s="3847"/>
      <c r="U466" s="3847"/>
      <c r="V466" s="2322"/>
      <c r="W466" s="2322"/>
      <c r="X466" s="2322"/>
      <c r="Y466" s="2322"/>
      <c r="Z466" s="2322"/>
      <c r="AA466" s="2322"/>
      <c r="AB466" s="2322"/>
      <c r="AC466" s="2322"/>
      <c r="AD466" s="2322"/>
      <c r="AE466" s="2322"/>
      <c r="AF466" s="2322"/>
      <c r="AG466" s="2322"/>
      <c r="AH466" s="2322"/>
      <c r="AI466" s="2322"/>
      <c r="AJ466" s="2322"/>
      <c r="AK466" s="2322"/>
      <c r="AL466" s="2322"/>
      <c r="AM466" s="2322"/>
    </row>
    <row r="467" spans="1:39">
      <c r="A467" s="89"/>
      <c r="B467" s="89"/>
      <c r="C467" s="89"/>
      <c r="D467" s="89"/>
      <c r="E467" s="89"/>
      <c r="F467" s="89"/>
      <c r="G467" s="89"/>
      <c r="H467" s="89"/>
      <c r="I467" s="3847"/>
      <c r="J467" s="3847"/>
      <c r="K467" s="3847"/>
      <c r="L467" s="3847"/>
      <c r="M467" s="3847"/>
      <c r="N467" s="3847"/>
      <c r="O467" s="3847"/>
      <c r="P467" s="3847"/>
      <c r="Q467" s="3847"/>
      <c r="R467" s="3847"/>
      <c r="S467" s="3847"/>
      <c r="T467" s="3847"/>
      <c r="U467" s="3847"/>
      <c r="V467" s="2322"/>
      <c r="W467" s="2322"/>
      <c r="X467" s="2322"/>
      <c r="Y467" s="2322"/>
      <c r="Z467" s="2322"/>
      <c r="AA467" s="2322"/>
      <c r="AB467" s="2322"/>
      <c r="AC467" s="2322"/>
      <c r="AD467" s="2322"/>
      <c r="AE467" s="2322"/>
      <c r="AF467" s="2322"/>
      <c r="AG467" s="2322"/>
      <c r="AH467" s="2322"/>
      <c r="AI467" s="2322"/>
      <c r="AJ467" s="2322"/>
      <c r="AK467" s="2322"/>
      <c r="AL467" s="2322"/>
      <c r="AM467" s="2322"/>
    </row>
    <row r="468" spans="1:39">
      <c r="A468" s="89"/>
      <c r="B468" s="89"/>
      <c r="C468" s="89"/>
      <c r="D468" s="89"/>
      <c r="E468" s="89"/>
      <c r="F468" s="89"/>
      <c r="G468" s="89"/>
      <c r="H468" s="89"/>
      <c r="I468" s="3847"/>
      <c r="J468" s="3847"/>
      <c r="K468" s="3847"/>
      <c r="L468" s="3847"/>
      <c r="M468" s="3847"/>
      <c r="N468" s="3847"/>
      <c r="O468" s="3847"/>
      <c r="P468" s="3847"/>
      <c r="Q468" s="3847"/>
      <c r="R468" s="3847"/>
      <c r="S468" s="3847"/>
      <c r="T468" s="3847"/>
      <c r="U468" s="3847"/>
      <c r="V468" s="2322"/>
      <c r="W468" s="2322"/>
      <c r="X468" s="2322"/>
      <c r="Y468" s="2322"/>
      <c r="Z468" s="2322"/>
      <c r="AA468" s="2322"/>
      <c r="AB468" s="2322"/>
      <c r="AC468" s="2322"/>
      <c r="AD468" s="2322"/>
      <c r="AE468" s="2322"/>
      <c r="AF468" s="2322"/>
      <c r="AG468" s="2322"/>
      <c r="AH468" s="2322"/>
      <c r="AI468" s="2322"/>
      <c r="AJ468" s="2322"/>
      <c r="AK468" s="2322"/>
      <c r="AL468" s="2322"/>
      <c r="AM468" s="2322"/>
    </row>
    <row r="469" spans="1:39">
      <c r="A469" s="89"/>
      <c r="B469" s="89"/>
      <c r="C469" s="89"/>
      <c r="D469" s="89"/>
      <c r="E469" s="89"/>
      <c r="F469" s="89"/>
      <c r="G469" s="89"/>
      <c r="H469" s="89"/>
      <c r="I469" s="3847"/>
      <c r="J469" s="3847"/>
      <c r="K469" s="3847"/>
      <c r="L469" s="3847"/>
      <c r="M469" s="3847"/>
      <c r="N469" s="3847"/>
      <c r="O469" s="3847"/>
      <c r="P469" s="3847"/>
      <c r="Q469" s="3847"/>
      <c r="R469" s="3847"/>
      <c r="S469" s="3847"/>
      <c r="T469" s="3847"/>
      <c r="U469" s="3847"/>
      <c r="V469" s="2322"/>
      <c r="W469" s="2322"/>
      <c r="X469" s="2322"/>
      <c r="Y469" s="2322"/>
      <c r="Z469" s="2322"/>
      <c r="AA469" s="2322"/>
      <c r="AB469" s="2322"/>
      <c r="AC469" s="2322"/>
      <c r="AD469" s="2322"/>
      <c r="AE469" s="2322"/>
      <c r="AF469" s="2322"/>
      <c r="AG469" s="2322"/>
      <c r="AH469" s="2322"/>
      <c r="AI469" s="2322"/>
      <c r="AJ469" s="2322"/>
      <c r="AK469" s="2322"/>
      <c r="AL469" s="2322"/>
      <c r="AM469" s="2322"/>
    </row>
    <row r="470" spans="1:39">
      <c r="A470" s="89"/>
      <c r="B470" s="89"/>
      <c r="C470" s="89"/>
      <c r="D470" s="89"/>
      <c r="E470" s="89"/>
      <c r="F470" s="89"/>
      <c r="G470" s="89"/>
      <c r="H470" s="89"/>
      <c r="I470" s="3847"/>
      <c r="J470" s="3847"/>
      <c r="K470" s="3847"/>
      <c r="L470" s="3847"/>
      <c r="M470" s="3847"/>
      <c r="N470" s="3847"/>
      <c r="O470" s="3847"/>
      <c r="P470" s="3847"/>
      <c r="Q470" s="3847"/>
      <c r="R470" s="3847"/>
      <c r="S470" s="3847"/>
      <c r="T470" s="3847"/>
      <c r="U470" s="3847"/>
      <c r="V470" s="2322"/>
      <c r="W470" s="2322"/>
      <c r="X470" s="2322"/>
      <c r="Y470" s="2322"/>
      <c r="Z470" s="2322"/>
      <c r="AA470" s="2322"/>
      <c r="AB470" s="2322"/>
      <c r="AC470" s="2322"/>
      <c r="AD470" s="2322"/>
      <c r="AE470" s="2322"/>
      <c r="AF470" s="2322"/>
      <c r="AG470" s="2322"/>
      <c r="AH470" s="2322"/>
      <c r="AI470" s="2322"/>
      <c r="AJ470" s="2322"/>
      <c r="AK470" s="2322"/>
      <c r="AL470" s="2322"/>
      <c r="AM470" s="2322"/>
    </row>
    <row r="471" spans="1:39">
      <c r="A471" s="89"/>
      <c r="B471" s="89"/>
      <c r="C471" s="89"/>
      <c r="D471" s="89"/>
      <c r="E471" s="89"/>
      <c r="F471" s="89"/>
      <c r="G471" s="89"/>
      <c r="H471" s="89"/>
      <c r="I471" s="3847"/>
      <c r="J471" s="3847"/>
      <c r="K471" s="3847"/>
      <c r="L471" s="3847"/>
      <c r="M471" s="3847"/>
      <c r="N471" s="3847"/>
      <c r="O471" s="3847"/>
      <c r="P471" s="3847"/>
      <c r="Q471" s="3847"/>
      <c r="R471" s="3847"/>
      <c r="S471" s="3847"/>
      <c r="T471" s="3847"/>
      <c r="U471" s="3847"/>
      <c r="V471" s="2322"/>
      <c r="W471" s="2322"/>
      <c r="X471" s="2322"/>
      <c r="Y471" s="2322"/>
      <c r="Z471" s="2322"/>
      <c r="AA471" s="2322"/>
      <c r="AB471" s="2322"/>
      <c r="AC471" s="2322"/>
      <c r="AD471" s="2322"/>
      <c r="AE471" s="2322"/>
      <c r="AF471" s="2322"/>
      <c r="AG471" s="2322"/>
      <c r="AH471" s="2322"/>
      <c r="AI471" s="2322"/>
      <c r="AJ471" s="2322"/>
      <c r="AK471" s="2322"/>
      <c r="AL471" s="2322"/>
      <c r="AM471" s="2322"/>
    </row>
    <row r="472" spans="1:39">
      <c r="A472" s="89"/>
      <c r="B472" s="89"/>
      <c r="C472" s="89"/>
      <c r="D472" s="89"/>
      <c r="E472" s="89"/>
      <c r="F472" s="89"/>
      <c r="G472" s="89"/>
      <c r="H472" s="89"/>
      <c r="I472" s="3847"/>
      <c r="J472" s="3847"/>
      <c r="K472" s="3847"/>
      <c r="L472" s="3847"/>
      <c r="M472" s="3847"/>
      <c r="N472" s="3847"/>
      <c r="O472" s="3847"/>
      <c r="P472" s="3847"/>
      <c r="Q472" s="3847"/>
      <c r="R472" s="3847"/>
      <c r="S472" s="3847"/>
      <c r="T472" s="3847"/>
      <c r="U472" s="3847"/>
      <c r="V472" s="2322"/>
      <c r="W472" s="2322"/>
      <c r="X472" s="2322"/>
      <c r="Y472" s="2322"/>
      <c r="Z472" s="2322"/>
      <c r="AA472" s="2322"/>
      <c r="AB472" s="2322"/>
      <c r="AC472" s="2322"/>
      <c r="AD472" s="2322"/>
      <c r="AE472" s="2322"/>
      <c r="AF472" s="2322"/>
      <c r="AG472" s="2322"/>
      <c r="AH472" s="2322"/>
      <c r="AI472" s="2322"/>
      <c r="AJ472" s="2322"/>
      <c r="AK472" s="2322"/>
      <c r="AL472" s="2322"/>
      <c r="AM472" s="2322"/>
    </row>
    <row r="473" spans="1:39">
      <c r="A473" s="89"/>
      <c r="B473" s="89"/>
      <c r="C473" s="89"/>
      <c r="D473" s="89"/>
      <c r="E473" s="89"/>
      <c r="F473" s="89"/>
      <c r="G473" s="89"/>
      <c r="H473" s="89"/>
      <c r="I473" s="3847"/>
      <c r="J473" s="3847"/>
      <c r="K473" s="3847"/>
      <c r="L473" s="3847"/>
      <c r="M473" s="3847"/>
      <c r="N473" s="3847"/>
      <c r="O473" s="3847"/>
      <c r="P473" s="3847"/>
      <c r="Q473" s="3847"/>
      <c r="R473" s="3847"/>
      <c r="S473" s="3847"/>
      <c r="T473" s="3847"/>
      <c r="U473" s="3847"/>
      <c r="V473" s="2322"/>
      <c r="W473" s="2322"/>
      <c r="X473" s="2322"/>
      <c r="Y473" s="2322"/>
      <c r="Z473" s="2322"/>
      <c r="AA473" s="2322"/>
      <c r="AB473" s="2322"/>
      <c r="AC473" s="2322"/>
      <c r="AD473" s="2322"/>
      <c r="AE473" s="2322"/>
      <c r="AF473" s="2322"/>
      <c r="AG473" s="2322"/>
      <c r="AH473" s="2322"/>
      <c r="AI473" s="2322"/>
      <c r="AJ473" s="2322"/>
      <c r="AK473" s="2322"/>
      <c r="AL473" s="2322"/>
      <c r="AM473" s="2322"/>
    </row>
    <row r="474" spans="1:39">
      <c r="A474" s="89"/>
      <c r="B474" s="89"/>
      <c r="C474" s="89"/>
      <c r="D474" s="89"/>
      <c r="E474" s="89"/>
      <c r="F474" s="89"/>
      <c r="G474" s="89"/>
      <c r="H474" s="89"/>
      <c r="I474" s="3847"/>
      <c r="J474" s="3847"/>
      <c r="K474" s="3847"/>
      <c r="L474" s="3847"/>
      <c r="M474" s="3847"/>
      <c r="N474" s="3847"/>
      <c r="O474" s="3847"/>
      <c r="P474" s="3847"/>
      <c r="Q474" s="3847"/>
      <c r="R474" s="3847"/>
      <c r="S474" s="3847"/>
      <c r="T474" s="3847"/>
      <c r="U474" s="3847"/>
      <c r="V474" s="2322"/>
      <c r="W474" s="2322"/>
      <c r="X474" s="2322"/>
      <c r="Y474" s="2322"/>
      <c r="Z474" s="2322"/>
      <c r="AA474" s="2322"/>
      <c r="AB474" s="2322"/>
      <c r="AC474" s="2322"/>
      <c r="AD474" s="2322"/>
      <c r="AE474" s="2322"/>
      <c r="AF474" s="2322"/>
      <c r="AG474" s="2322"/>
      <c r="AH474" s="2322"/>
      <c r="AI474" s="2322"/>
      <c r="AJ474" s="2322"/>
      <c r="AK474" s="2322"/>
      <c r="AL474" s="2322"/>
      <c r="AM474" s="2322"/>
    </row>
    <row r="475" spans="1:39">
      <c r="A475" s="89"/>
      <c r="B475" s="89"/>
      <c r="C475" s="89"/>
      <c r="D475" s="89"/>
      <c r="E475" s="89"/>
      <c r="F475" s="89"/>
      <c r="G475" s="89"/>
      <c r="H475" s="89"/>
      <c r="I475" s="3847"/>
      <c r="J475" s="3847"/>
      <c r="K475" s="3847"/>
      <c r="L475" s="3847"/>
      <c r="M475" s="3847"/>
      <c r="N475" s="3847"/>
      <c r="O475" s="3847"/>
      <c r="P475" s="3847"/>
      <c r="Q475" s="3847"/>
      <c r="R475" s="3847"/>
      <c r="S475" s="3847"/>
      <c r="T475" s="3847"/>
      <c r="U475" s="3847"/>
      <c r="V475" s="2322"/>
      <c r="W475" s="2322"/>
      <c r="X475" s="2322"/>
      <c r="Y475" s="2322"/>
      <c r="Z475" s="2322"/>
      <c r="AA475" s="2322"/>
      <c r="AB475" s="2322"/>
      <c r="AC475" s="2322"/>
      <c r="AD475" s="2322"/>
      <c r="AE475" s="2322"/>
      <c r="AF475" s="2322"/>
      <c r="AG475" s="2322"/>
      <c r="AH475" s="2322"/>
      <c r="AI475" s="2322"/>
      <c r="AJ475" s="2322"/>
      <c r="AK475" s="2322"/>
      <c r="AL475" s="2322"/>
      <c r="AM475" s="2322"/>
    </row>
    <row r="476" spans="1:39">
      <c r="A476" s="89"/>
      <c r="B476" s="89"/>
      <c r="C476" s="89"/>
      <c r="D476" s="89"/>
      <c r="E476" s="89"/>
      <c r="F476" s="89"/>
      <c r="G476" s="89"/>
      <c r="H476" s="89"/>
      <c r="I476" s="3847"/>
      <c r="J476" s="3847"/>
      <c r="K476" s="3847"/>
      <c r="L476" s="3847"/>
      <c r="M476" s="3847"/>
      <c r="N476" s="3847"/>
      <c r="O476" s="3847"/>
      <c r="P476" s="3847"/>
      <c r="Q476" s="3847"/>
      <c r="R476" s="3847"/>
      <c r="S476" s="3847"/>
      <c r="T476" s="3847"/>
      <c r="U476" s="3847"/>
      <c r="V476" s="2322"/>
      <c r="W476" s="2322"/>
      <c r="X476" s="2322"/>
      <c r="Y476" s="2322"/>
      <c r="Z476" s="2322"/>
      <c r="AA476" s="2322"/>
      <c r="AB476" s="2322"/>
      <c r="AC476" s="2322"/>
      <c r="AD476" s="2322"/>
      <c r="AE476" s="2322"/>
      <c r="AF476" s="2322"/>
      <c r="AG476" s="2322"/>
      <c r="AH476" s="2322"/>
      <c r="AI476" s="2322"/>
      <c r="AJ476" s="2322"/>
      <c r="AK476" s="2322"/>
      <c r="AL476" s="2322"/>
      <c r="AM476" s="2322"/>
    </row>
    <row r="477" spans="1:39">
      <c r="A477" s="89"/>
      <c r="B477" s="89"/>
      <c r="C477" s="89"/>
      <c r="D477" s="89"/>
      <c r="E477" s="89"/>
      <c r="F477" s="89"/>
      <c r="G477" s="89"/>
      <c r="H477" s="89"/>
      <c r="I477" s="3847"/>
      <c r="J477" s="3847"/>
      <c r="K477" s="3847"/>
      <c r="L477" s="3847"/>
      <c r="M477" s="3847"/>
      <c r="N477" s="3847"/>
      <c r="O477" s="3847"/>
      <c r="P477" s="3847"/>
      <c r="Q477" s="3847"/>
      <c r="R477" s="3847"/>
      <c r="S477" s="3847"/>
      <c r="T477" s="3847"/>
      <c r="U477" s="3847"/>
      <c r="V477" s="2322"/>
      <c r="W477" s="2322"/>
      <c r="X477" s="2322"/>
      <c r="Y477" s="2322"/>
      <c r="Z477" s="2322"/>
      <c r="AA477" s="2322"/>
      <c r="AB477" s="2322"/>
      <c r="AC477" s="2322"/>
      <c r="AD477" s="2322"/>
      <c r="AE477" s="2322"/>
      <c r="AF477" s="2322"/>
      <c r="AG477" s="2322"/>
      <c r="AH477" s="2322"/>
      <c r="AI477" s="2322"/>
      <c r="AJ477" s="2322"/>
      <c r="AK477" s="2322"/>
      <c r="AL477" s="2322"/>
      <c r="AM477" s="2322"/>
    </row>
    <row r="478" spans="1:39">
      <c r="A478" s="89"/>
      <c r="B478" s="89"/>
      <c r="C478" s="89"/>
      <c r="D478" s="89"/>
      <c r="E478" s="89"/>
      <c r="F478" s="89"/>
      <c r="G478" s="89"/>
      <c r="H478" s="89"/>
      <c r="I478" s="3847"/>
      <c r="J478" s="3847"/>
      <c r="K478" s="3847"/>
      <c r="L478" s="3847"/>
      <c r="M478" s="3847"/>
      <c r="N478" s="3847"/>
      <c r="O478" s="3847"/>
      <c r="P478" s="3847"/>
      <c r="Q478" s="3847"/>
      <c r="R478" s="3847"/>
      <c r="S478" s="3847"/>
      <c r="T478" s="3847"/>
      <c r="U478" s="3847"/>
      <c r="V478" s="2322"/>
      <c r="W478" s="2322"/>
      <c r="X478" s="2322"/>
      <c r="Y478" s="2322"/>
      <c r="Z478" s="2322"/>
      <c r="AA478" s="2322"/>
      <c r="AB478" s="2322"/>
      <c r="AC478" s="2322"/>
      <c r="AD478" s="2322"/>
      <c r="AE478" s="2322"/>
      <c r="AF478" s="2322"/>
      <c r="AG478" s="2322"/>
      <c r="AH478" s="2322"/>
      <c r="AI478" s="2322"/>
      <c r="AJ478" s="2322"/>
      <c r="AK478" s="2322"/>
      <c r="AL478" s="2322"/>
      <c r="AM478" s="2322"/>
    </row>
    <row r="479" spans="1:39">
      <c r="A479" s="89"/>
      <c r="B479" s="89"/>
      <c r="C479" s="89"/>
      <c r="D479" s="89"/>
      <c r="E479" s="89"/>
      <c r="F479" s="89"/>
      <c r="G479" s="89"/>
      <c r="H479" s="89"/>
      <c r="I479" s="3847"/>
      <c r="J479" s="3847"/>
      <c r="K479" s="3847"/>
      <c r="L479" s="3847"/>
      <c r="M479" s="3847"/>
      <c r="N479" s="3847"/>
      <c r="O479" s="3847"/>
      <c r="P479" s="3847"/>
      <c r="Q479" s="3847"/>
      <c r="R479" s="3847"/>
      <c r="S479" s="3847"/>
      <c r="T479" s="3847"/>
      <c r="U479" s="3847"/>
      <c r="V479" s="2322"/>
      <c r="W479" s="2322"/>
      <c r="X479" s="2322"/>
      <c r="Y479" s="2322"/>
      <c r="Z479" s="2322"/>
      <c r="AA479" s="2322"/>
      <c r="AB479" s="2322"/>
      <c r="AC479" s="2322"/>
      <c r="AD479" s="2322"/>
      <c r="AE479" s="2322"/>
      <c r="AF479" s="2322"/>
      <c r="AG479" s="2322"/>
      <c r="AH479" s="2322"/>
      <c r="AI479" s="2322"/>
      <c r="AJ479" s="2322"/>
      <c r="AK479" s="2322"/>
      <c r="AL479" s="2322"/>
      <c r="AM479" s="2322"/>
    </row>
    <row r="480" spans="1:39">
      <c r="A480" s="89"/>
      <c r="B480" s="89"/>
      <c r="C480" s="89"/>
      <c r="D480" s="89"/>
      <c r="E480" s="89"/>
      <c r="F480" s="89"/>
      <c r="G480" s="89"/>
      <c r="H480" s="89"/>
      <c r="I480" s="3847"/>
      <c r="J480" s="3847"/>
      <c r="K480" s="3847"/>
      <c r="L480" s="3847"/>
      <c r="M480" s="3847"/>
      <c r="N480" s="3847"/>
      <c r="O480" s="3847"/>
      <c r="P480" s="3847"/>
      <c r="Q480" s="3847"/>
      <c r="R480" s="3847"/>
      <c r="S480" s="3847"/>
      <c r="T480" s="3847"/>
      <c r="U480" s="3847"/>
      <c r="V480" s="2322"/>
      <c r="W480" s="2322"/>
      <c r="X480" s="2322"/>
      <c r="Y480" s="2322"/>
      <c r="Z480" s="2322"/>
      <c r="AA480" s="2322"/>
      <c r="AB480" s="2322"/>
      <c r="AC480" s="2322"/>
      <c r="AD480" s="2322"/>
      <c r="AE480" s="2322"/>
      <c r="AF480" s="2322"/>
      <c r="AG480" s="2322"/>
      <c r="AH480" s="2322"/>
      <c r="AI480" s="2322"/>
      <c r="AJ480" s="2322"/>
      <c r="AK480" s="2322"/>
      <c r="AL480" s="2322"/>
      <c r="AM480" s="2322"/>
    </row>
    <row r="481" spans="1:39">
      <c r="A481" s="89"/>
      <c r="B481" s="89"/>
      <c r="C481" s="89"/>
      <c r="D481" s="89"/>
      <c r="E481" s="89"/>
      <c r="F481" s="89"/>
      <c r="G481" s="89"/>
      <c r="H481" s="89"/>
      <c r="I481" s="3847"/>
      <c r="J481" s="3847"/>
      <c r="K481" s="3847"/>
      <c r="L481" s="3847"/>
      <c r="M481" s="3847"/>
      <c r="N481" s="3847"/>
      <c r="O481" s="3847"/>
      <c r="P481" s="3847"/>
      <c r="Q481" s="3847"/>
      <c r="R481" s="3847"/>
      <c r="S481" s="3847"/>
      <c r="T481" s="3847"/>
      <c r="U481" s="3847"/>
      <c r="V481" s="2322"/>
      <c r="W481" s="2322"/>
      <c r="X481" s="2322"/>
      <c r="Y481" s="2322"/>
      <c r="Z481" s="2322"/>
      <c r="AA481" s="2322"/>
      <c r="AB481" s="2322"/>
      <c r="AC481" s="2322"/>
      <c r="AD481" s="2322"/>
      <c r="AE481" s="2322"/>
      <c r="AF481" s="2322"/>
      <c r="AG481" s="2322"/>
      <c r="AH481" s="2322"/>
      <c r="AI481" s="2322"/>
      <c r="AJ481" s="2322"/>
      <c r="AK481" s="2322"/>
      <c r="AL481" s="2322"/>
      <c r="AM481" s="2322"/>
    </row>
    <row r="482" spans="1:39">
      <c r="A482" s="89"/>
      <c r="B482" s="89"/>
      <c r="C482" s="89"/>
      <c r="D482" s="89"/>
      <c r="E482" s="89"/>
      <c r="F482" s="89"/>
      <c r="G482" s="89"/>
      <c r="H482" s="89"/>
      <c r="I482" s="3847"/>
      <c r="J482" s="3847"/>
      <c r="K482" s="3847"/>
      <c r="L482" s="3847"/>
      <c r="M482" s="3847"/>
      <c r="N482" s="3847"/>
      <c r="O482" s="3847"/>
      <c r="P482" s="3847"/>
      <c r="Q482" s="3847"/>
      <c r="R482" s="3847"/>
      <c r="S482" s="3847"/>
      <c r="T482" s="3847"/>
      <c r="U482" s="3847"/>
      <c r="V482" s="2322"/>
      <c r="W482" s="2322"/>
      <c r="X482" s="2322"/>
      <c r="Y482" s="2322"/>
      <c r="Z482" s="2322"/>
      <c r="AA482" s="2322"/>
      <c r="AB482" s="2322"/>
      <c r="AC482" s="2322"/>
      <c r="AD482" s="2322"/>
      <c r="AE482" s="2322"/>
      <c r="AF482" s="2322"/>
      <c r="AG482" s="2322"/>
      <c r="AH482" s="2322"/>
      <c r="AI482" s="2322"/>
      <c r="AJ482" s="2322"/>
      <c r="AK482" s="2322"/>
      <c r="AL482" s="2322"/>
      <c r="AM482" s="2322"/>
    </row>
    <row r="483" spans="1:39">
      <c r="A483" s="89"/>
      <c r="B483" s="89"/>
      <c r="C483" s="89"/>
      <c r="D483" s="89"/>
      <c r="E483" s="89"/>
      <c r="F483" s="89"/>
      <c r="G483" s="89"/>
      <c r="H483" s="89"/>
      <c r="I483" s="3847"/>
      <c r="J483" s="3847"/>
      <c r="K483" s="3847"/>
      <c r="L483" s="3847"/>
      <c r="M483" s="3847"/>
      <c r="N483" s="3847"/>
      <c r="O483" s="3847"/>
      <c r="P483" s="3847"/>
      <c r="Q483" s="3847"/>
      <c r="R483" s="3847"/>
      <c r="S483" s="3847"/>
      <c r="T483" s="3847"/>
      <c r="U483" s="3847"/>
      <c r="V483" s="2322"/>
      <c r="W483" s="2322"/>
      <c r="X483" s="2322"/>
      <c r="Y483" s="2322"/>
      <c r="Z483" s="2322"/>
      <c r="AA483" s="2322"/>
      <c r="AB483" s="2322"/>
      <c r="AC483" s="2322"/>
      <c r="AD483" s="2322"/>
      <c r="AE483" s="2322"/>
      <c r="AF483" s="2322"/>
      <c r="AG483" s="2322"/>
      <c r="AH483" s="2322"/>
      <c r="AI483" s="2322"/>
      <c r="AJ483" s="2322"/>
      <c r="AK483" s="2322"/>
      <c r="AL483" s="2322"/>
      <c r="AM483" s="2322"/>
    </row>
    <row r="484" spans="1:39">
      <c r="A484" s="89"/>
      <c r="B484" s="89"/>
      <c r="C484" s="89"/>
      <c r="D484" s="89"/>
      <c r="E484" s="89"/>
      <c r="F484" s="89"/>
      <c r="G484" s="89"/>
      <c r="H484" s="89"/>
      <c r="I484" s="3847"/>
      <c r="J484" s="3847"/>
      <c r="K484" s="3847"/>
      <c r="L484" s="3847"/>
      <c r="M484" s="3847"/>
      <c r="N484" s="3847"/>
      <c r="O484" s="3847"/>
      <c r="P484" s="3847"/>
      <c r="Q484" s="3847"/>
      <c r="R484" s="3847"/>
      <c r="S484" s="3847"/>
      <c r="T484" s="3847"/>
      <c r="U484" s="3847"/>
      <c r="V484" s="2322"/>
      <c r="W484" s="2322"/>
      <c r="X484" s="2322"/>
      <c r="Y484" s="2322"/>
      <c r="Z484" s="2322"/>
      <c r="AA484" s="2322"/>
      <c r="AB484" s="2322"/>
      <c r="AC484" s="2322"/>
      <c r="AD484" s="2322"/>
      <c r="AE484" s="2322"/>
      <c r="AF484" s="2322"/>
      <c r="AG484" s="2322"/>
      <c r="AH484" s="2322"/>
      <c r="AI484" s="2322"/>
      <c r="AJ484" s="2322"/>
      <c r="AK484" s="2322"/>
      <c r="AL484" s="2322"/>
      <c r="AM484" s="2322"/>
    </row>
    <row r="485" spans="1:39">
      <c r="A485" s="89"/>
      <c r="B485" s="89"/>
      <c r="C485" s="89"/>
      <c r="D485" s="89"/>
      <c r="E485" s="89"/>
      <c r="F485" s="89"/>
      <c r="G485" s="89"/>
      <c r="H485" s="89"/>
      <c r="I485" s="3847"/>
      <c r="J485" s="3847"/>
      <c r="K485" s="3847"/>
      <c r="L485" s="3847"/>
      <c r="M485" s="3847"/>
      <c r="N485" s="3847"/>
      <c r="O485" s="3847"/>
      <c r="P485" s="3847"/>
      <c r="Q485" s="3847"/>
      <c r="R485" s="3847"/>
      <c r="S485" s="3847"/>
      <c r="T485" s="3847"/>
      <c r="U485" s="3847"/>
      <c r="V485" s="2322"/>
      <c r="W485" s="2322"/>
      <c r="X485" s="2322"/>
      <c r="Y485" s="2322"/>
      <c r="Z485" s="2322"/>
      <c r="AA485" s="2322"/>
      <c r="AB485" s="2322"/>
      <c r="AC485" s="2322"/>
      <c r="AD485" s="2322"/>
      <c r="AE485" s="2322"/>
      <c r="AF485" s="2322"/>
      <c r="AG485" s="2322"/>
      <c r="AH485" s="2322"/>
      <c r="AI485" s="2322"/>
      <c r="AJ485" s="2322"/>
      <c r="AK485" s="2322"/>
      <c r="AL485" s="2322"/>
      <c r="AM485" s="2322"/>
    </row>
    <row r="486" spans="1:39">
      <c r="A486" s="89"/>
      <c r="B486" s="89"/>
      <c r="C486" s="89"/>
      <c r="D486" s="89"/>
      <c r="E486" s="89"/>
      <c r="F486" s="89"/>
      <c r="G486" s="89"/>
      <c r="H486" s="89"/>
      <c r="I486" s="3847"/>
      <c r="J486" s="3847"/>
      <c r="K486" s="3847"/>
      <c r="L486" s="3847"/>
      <c r="M486" s="3847"/>
      <c r="N486" s="3847"/>
      <c r="O486" s="3847"/>
      <c r="P486" s="3847"/>
      <c r="Q486" s="3847"/>
      <c r="R486" s="3847"/>
      <c r="S486" s="3847"/>
      <c r="T486" s="3847"/>
      <c r="U486" s="3847"/>
      <c r="V486" s="2322"/>
      <c r="W486" s="2322"/>
      <c r="X486" s="2322"/>
      <c r="Y486" s="2322"/>
      <c r="Z486" s="2322"/>
      <c r="AA486" s="2322"/>
      <c r="AB486" s="2322"/>
      <c r="AC486" s="2322"/>
      <c r="AD486" s="2322"/>
      <c r="AE486" s="2322"/>
      <c r="AF486" s="2322"/>
      <c r="AG486" s="2322"/>
      <c r="AH486" s="2322"/>
      <c r="AI486" s="2322"/>
      <c r="AJ486" s="2322"/>
      <c r="AK486" s="2322"/>
      <c r="AL486" s="2322"/>
      <c r="AM486" s="2322"/>
    </row>
    <row r="487" spans="1:39">
      <c r="A487" s="89"/>
      <c r="B487" s="89"/>
      <c r="C487" s="89"/>
      <c r="D487" s="89"/>
      <c r="E487" s="89"/>
      <c r="F487" s="89"/>
      <c r="G487" s="89"/>
      <c r="H487" s="89"/>
      <c r="I487" s="3847"/>
      <c r="J487" s="3847"/>
      <c r="K487" s="3847"/>
      <c r="L487" s="3847"/>
      <c r="M487" s="3847"/>
      <c r="N487" s="3847"/>
      <c r="O487" s="3847"/>
      <c r="P487" s="3847"/>
      <c r="Q487" s="3847"/>
      <c r="R487" s="3847"/>
      <c r="S487" s="3847"/>
      <c r="T487" s="3847"/>
      <c r="U487" s="3847"/>
      <c r="V487" s="2322"/>
      <c r="W487" s="2322"/>
      <c r="X487" s="2322"/>
      <c r="Y487" s="2322"/>
      <c r="Z487" s="2322"/>
      <c r="AA487" s="2322"/>
      <c r="AB487" s="2322"/>
      <c r="AC487" s="2322"/>
      <c r="AD487" s="2322"/>
      <c r="AE487" s="2322"/>
      <c r="AF487" s="2322"/>
      <c r="AG487" s="2322"/>
      <c r="AH487" s="2322"/>
      <c r="AI487" s="2322"/>
      <c r="AJ487" s="2322"/>
      <c r="AK487" s="2322"/>
      <c r="AL487" s="2322"/>
      <c r="AM487" s="2322"/>
    </row>
    <row r="488" spans="1:39">
      <c r="A488" s="89"/>
      <c r="B488" s="89"/>
      <c r="C488" s="89"/>
      <c r="D488" s="89"/>
      <c r="E488" s="89"/>
      <c r="F488" s="89"/>
      <c r="G488" s="89"/>
      <c r="H488" s="89"/>
      <c r="I488" s="3847"/>
      <c r="J488" s="3847"/>
      <c r="K488" s="3847"/>
      <c r="L488" s="3847"/>
      <c r="M488" s="3847"/>
      <c r="N488" s="3847"/>
      <c r="O488" s="3847"/>
      <c r="P488" s="3847"/>
      <c r="Q488" s="3847"/>
      <c r="R488" s="3847"/>
      <c r="S488" s="3847"/>
      <c r="T488" s="3847"/>
      <c r="U488" s="3847"/>
      <c r="V488" s="2322"/>
      <c r="W488" s="2322"/>
      <c r="X488" s="2322"/>
      <c r="Y488" s="2322"/>
      <c r="Z488" s="2322"/>
      <c r="AA488" s="2322"/>
      <c r="AB488" s="2322"/>
      <c r="AC488" s="2322"/>
      <c r="AD488" s="2322"/>
      <c r="AE488" s="2322"/>
      <c r="AF488" s="2322"/>
      <c r="AG488" s="2322"/>
      <c r="AH488" s="2322"/>
      <c r="AI488" s="2322"/>
      <c r="AJ488" s="2322"/>
      <c r="AK488" s="2322"/>
      <c r="AL488" s="2322"/>
      <c r="AM488" s="2322"/>
    </row>
    <row r="489" spans="1:39">
      <c r="A489" s="89"/>
      <c r="B489" s="89"/>
      <c r="C489" s="89"/>
      <c r="D489" s="89"/>
      <c r="E489" s="89"/>
      <c r="F489" s="89"/>
      <c r="G489" s="89"/>
      <c r="H489" s="89"/>
      <c r="I489" s="3847"/>
      <c r="J489" s="3847"/>
      <c r="K489" s="3847"/>
      <c r="L489" s="3847"/>
      <c r="M489" s="3847"/>
      <c r="N489" s="3847"/>
      <c r="O489" s="3847"/>
      <c r="P489" s="3847"/>
      <c r="Q489" s="3847"/>
      <c r="R489" s="3847"/>
      <c r="S489" s="3847"/>
      <c r="T489" s="3847"/>
      <c r="U489" s="3847"/>
      <c r="V489" s="2322"/>
      <c r="W489" s="2322"/>
      <c r="X489" s="2322"/>
      <c r="Y489" s="2322"/>
      <c r="Z489" s="2322"/>
      <c r="AA489" s="2322"/>
      <c r="AB489" s="2322"/>
      <c r="AC489" s="2322"/>
      <c r="AD489" s="2322"/>
      <c r="AE489" s="2322"/>
      <c r="AF489" s="2322"/>
      <c r="AG489" s="2322"/>
      <c r="AH489" s="2322"/>
      <c r="AI489" s="2322"/>
      <c r="AJ489" s="2322"/>
      <c r="AK489" s="2322"/>
      <c r="AL489" s="2322"/>
      <c r="AM489" s="2322"/>
    </row>
    <row r="490" spans="1:39">
      <c r="A490" s="89"/>
      <c r="B490" s="89"/>
      <c r="C490" s="89"/>
      <c r="D490" s="89"/>
      <c r="E490" s="89"/>
      <c r="F490" s="89"/>
      <c r="G490" s="89"/>
      <c r="H490" s="89"/>
      <c r="I490" s="3847"/>
      <c r="J490" s="3847"/>
      <c r="K490" s="3847"/>
      <c r="L490" s="3847"/>
      <c r="M490" s="3847"/>
      <c r="N490" s="3847"/>
      <c r="O490" s="3847"/>
      <c r="P490" s="3847"/>
      <c r="Q490" s="3847"/>
      <c r="R490" s="3847"/>
      <c r="S490" s="3847"/>
      <c r="T490" s="3847"/>
      <c r="U490" s="3847"/>
      <c r="V490" s="2322"/>
      <c r="W490" s="2322"/>
      <c r="X490" s="2322"/>
      <c r="Y490" s="2322"/>
      <c r="Z490" s="2322"/>
      <c r="AA490" s="2322"/>
      <c r="AB490" s="2322"/>
      <c r="AC490" s="2322"/>
      <c r="AD490" s="2322"/>
      <c r="AE490" s="2322"/>
      <c r="AF490" s="2322"/>
      <c r="AG490" s="2322"/>
      <c r="AH490" s="2322"/>
      <c r="AI490" s="2322"/>
      <c r="AJ490" s="2322"/>
      <c r="AK490" s="2322"/>
      <c r="AL490" s="2322"/>
      <c r="AM490" s="2322"/>
    </row>
    <row r="491" spans="1:39">
      <c r="A491" s="89"/>
      <c r="B491" s="89"/>
      <c r="C491" s="89"/>
      <c r="D491" s="89"/>
      <c r="E491" s="89"/>
      <c r="F491" s="89"/>
      <c r="G491" s="89"/>
      <c r="H491" s="89"/>
      <c r="I491" s="3847"/>
      <c r="J491" s="3847"/>
      <c r="K491" s="3847"/>
      <c r="L491" s="3847"/>
      <c r="M491" s="3847"/>
      <c r="N491" s="3847"/>
      <c r="O491" s="3847"/>
      <c r="P491" s="3847"/>
      <c r="Q491" s="3847"/>
      <c r="R491" s="3847"/>
      <c r="S491" s="3847"/>
      <c r="T491" s="3847"/>
      <c r="U491" s="3847"/>
      <c r="V491" s="2322"/>
      <c r="W491" s="2322"/>
      <c r="X491" s="2322"/>
      <c r="Y491" s="2322"/>
      <c r="Z491" s="2322"/>
      <c r="AA491" s="2322"/>
      <c r="AB491" s="2322"/>
      <c r="AC491" s="2322"/>
      <c r="AD491" s="2322"/>
      <c r="AE491" s="2322"/>
      <c r="AF491" s="2322"/>
      <c r="AG491" s="2322"/>
      <c r="AH491" s="2322"/>
      <c r="AI491" s="2322"/>
      <c r="AJ491" s="2322"/>
      <c r="AK491" s="2322"/>
      <c r="AL491" s="2322"/>
      <c r="AM491" s="2322"/>
    </row>
    <row r="492" spans="1:39">
      <c r="A492" s="89"/>
      <c r="B492" s="89"/>
      <c r="C492" s="89"/>
      <c r="D492" s="89"/>
      <c r="E492" s="89"/>
      <c r="F492" s="89"/>
      <c r="G492" s="89"/>
      <c r="H492" s="89"/>
      <c r="I492" s="3847"/>
      <c r="J492" s="3847"/>
      <c r="K492" s="3847"/>
      <c r="L492" s="3847"/>
      <c r="M492" s="3847"/>
      <c r="N492" s="3847"/>
      <c r="O492" s="3847"/>
      <c r="P492" s="3847"/>
      <c r="Q492" s="3847"/>
      <c r="R492" s="3847"/>
      <c r="S492" s="3847"/>
      <c r="T492" s="3847"/>
      <c r="U492" s="3847"/>
      <c r="V492" s="2322"/>
      <c r="W492" s="2322"/>
      <c r="X492" s="2322"/>
      <c r="Y492" s="2322"/>
      <c r="Z492" s="2322"/>
      <c r="AA492" s="2322"/>
      <c r="AB492" s="2322"/>
      <c r="AC492" s="2322"/>
      <c r="AD492" s="2322"/>
      <c r="AE492" s="2322"/>
      <c r="AF492" s="2322"/>
      <c r="AG492" s="2322"/>
      <c r="AH492" s="2322"/>
      <c r="AI492" s="2322"/>
      <c r="AJ492" s="2322"/>
      <c r="AK492" s="2322"/>
      <c r="AL492" s="2322"/>
      <c r="AM492" s="2322"/>
    </row>
    <row r="493" spans="1:39">
      <c r="A493" s="89"/>
      <c r="B493" s="89"/>
      <c r="C493" s="89"/>
      <c r="D493" s="89"/>
      <c r="E493" s="89"/>
      <c r="F493" s="89"/>
      <c r="G493" s="89"/>
      <c r="H493" s="89"/>
      <c r="I493" s="3847"/>
      <c r="J493" s="3847"/>
      <c r="K493" s="3847"/>
      <c r="L493" s="3847"/>
      <c r="M493" s="3847"/>
      <c r="N493" s="3847"/>
      <c r="O493" s="3847"/>
      <c r="P493" s="3847"/>
      <c r="Q493" s="3847"/>
      <c r="R493" s="3847"/>
      <c r="S493" s="3847"/>
      <c r="T493" s="3847"/>
      <c r="U493" s="3847"/>
      <c r="V493" s="2322"/>
      <c r="W493" s="2322"/>
      <c r="X493" s="2322"/>
      <c r="Y493" s="2322"/>
      <c r="Z493" s="2322"/>
      <c r="AA493" s="2322"/>
      <c r="AB493" s="2322"/>
      <c r="AC493" s="2322"/>
      <c r="AD493" s="2322"/>
      <c r="AE493" s="2322"/>
      <c r="AF493" s="2322"/>
      <c r="AG493" s="2322"/>
      <c r="AH493" s="2322"/>
      <c r="AI493" s="2322"/>
      <c r="AJ493" s="2322"/>
      <c r="AK493" s="2322"/>
      <c r="AL493" s="2322"/>
      <c r="AM493" s="2322"/>
    </row>
    <row r="494" spans="1:39">
      <c r="A494" s="89"/>
      <c r="B494" s="89"/>
      <c r="C494" s="89"/>
      <c r="D494" s="89"/>
      <c r="E494" s="89"/>
      <c r="F494" s="89"/>
      <c r="G494" s="89"/>
      <c r="H494" s="89"/>
      <c r="I494" s="3847"/>
      <c r="J494" s="3847"/>
      <c r="K494" s="3847"/>
      <c r="L494" s="3847"/>
      <c r="M494" s="3847"/>
      <c r="N494" s="3847"/>
      <c r="O494" s="3847"/>
      <c r="P494" s="3847"/>
      <c r="Q494" s="3847"/>
      <c r="R494" s="3847"/>
      <c r="S494" s="3847"/>
      <c r="T494" s="3847"/>
      <c r="U494" s="3847"/>
      <c r="V494" s="2322"/>
      <c r="W494" s="2322"/>
      <c r="X494" s="2322"/>
      <c r="Y494" s="2322"/>
      <c r="Z494" s="2322"/>
      <c r="AA494" s="2322"/>
      <c r="AB494" s="2322"/>
      <c r="AC494" s="2322"/>
      <c r="AD494" s="2322"/>
      <c r="AE494" s="2322"/>
      <c r="AF494" s="2322"/>
      <c r="AG494" s="2322"/>
      <c r="AH494" s="2322"/>
      <c r="AI494" s="2322"/>
      <c r="AJ494" s="2322"/>
      <c r="AK494" s="2322"/>
      <c r="AL494" s="2322"/>
      <c r="AM494" s="2322"/>
    </row>
    <row r="495" spans="1:39">
      <c r="A495" s="89"/>
      <c r="B495" s="89"/>
      <c r="C495" s="89"/>
      <c r="D495" s="89"/>
      <c r="E495" s="89"/>
      <c r="F495" s="89"/>
      <c r="G495" s="89"/>
      <c r="H495" s="89"/>
      <c r="I495" s="3847"/>
      <c r="J495" s="3847"/>
      <c r="K495" s="3847"/>
      <c r="L495" s="3847"/>
      <c r="M495" s="3847"/>
      <c r="N495" s="3847"/>
      <c r="O495" s="3847"/>
      <c r="P495" s="3847"/>
      <c r="Q495" s="3847"/>
      <c r="R495" s="3847"/>
      <c r="S495" s="3847"/>
      <c r="T495" s="3847"/>
      <c r="U495" s="3847"/>
      <c r="V495" s="2322"/>
      <c r="W495" s="2322"/>
      <c r="X495" s="2322"/>
      <c r="Y495" s="2322"/>
      <c r="Z495" s="2322"/>
      <c r="AA495" s="2322"/>
      <c r="AB495" s="2322"/>
      <c r="AC495" s="2322"/>
      <c r="AD495" s="2322"/>
      <c r="AE495" s="2322"/>
      <c r="AF495" s="2322"/>
      <c r="AG495" s="2322"/>
      <c r="AH495" s="2322"/>
      <c r="AI495" s="2322"/>
      <c r="AJ495" s="2322"/>
      <c r="AK495" s="2322"/>
      <c r="AL495" s="2322"/>
      <c r="AM495" s="2322"/>
    </row>
    <row r="496" spans="1:39">
      <c r="A496" s="89"/>
      <c r="B496" s="89"/>
      <c r="C496" s="89"/>
      <c r="D496" s="89"/>
      <c r="E496" s="89"/>
      <c r="F496" s="89"/>
      <c r="G496" s="89"/>
      <c r="H496" s="89"/>
      <c r="I496" s="3847"/>
      <c r="J496" s="3847"/>
      <c r="K496" s="3847"/>
      <c r="L496" s="3847"/>
      <c r="M496" s="3847"/>
      <c r="N496" s="3847"/>
      <c r="O496" s="3847"/>
      <c r="P496" s="3847"/>
      <c r="Q496" s="3847"/>
      <c r="R496" s="3847"/>
      <c r="S496" s="3847"/>
      <c r="T496" s="3847"/>
      <c r="U496" s="3847"/>
      <c r="V496" s="2322"/>
      <c r="W496" s="2322"/>
      <c r="X496" s="2322"/>
      <c r="Y496" s="2322"/>
      <c r="Z496" s="2322"/>
      <c r="AA496" s="2322"/>
      <c r="AB496" s="2322"/>
      <c r="AC496" s="2322"/>
      <c r="AD496" s="2322"/>
      <c r="AE496" s="2322"/>
      <c r="AF496" s="2322"/>
      <c r="AG496" s="2322"/>
      <c r="AH496" s="2322"/>
      <c r="AI496" s="2322"/>
      <c r="AJ496" s="2322"/>
      <c r="AK496" s="2322"/>
      <c r="AL496" s="2322"/>
      <c r="AM496" s="2322"/>
    </row>
    <row r="497" spans="1:39">
      <c r="A497" s="89"/>
      <c r="B497" s="89"/>
      <c r="C497" s="89"/>
      <c r="D497" s="89"/>
      <c r="E497" s="89"/>
      <c r="F497" s="89"/>
      <c r="G497" s="89"/>
      <c r="H497" s="89"/>
      <c r="I497" s="3847"/>
      <c r="J497" s="3847"/>
      <c r="K497" s="3847"/>
      <c r="L497" s="3847"/>
      <c r="M497" s="3847"/>
      <c r="N497" s="3847"/>
      <c r="O497" s="3847"/>
      <c r="P497" s="3847"/>
      <c r="Q497" s="3847"/>
      <c r="R497" s="3847"/>
      <c r="S497" s="3847"/>
      <c r="T497" s="3847"/>
      <c r="U497" s="3847"/>
      <c r="V497" s="2322"/>
      <c r="W497" s="2322"/>
      <c r="X497" s="2322"/>
      <c r="Y497" s="2322"/>
      <c r="Z497" s="2322"/>
      <c r="AA497" s="2322"/>
      <c r="AB497" s="2322"/>
      <c r="AC497" s="2322"/>
      <c r="AD497" s="2322"/>
      <c r="AE497" s="2322"/>
      <c r="AF497" s="2322"/>
      <c r="AG497" s="2322"/>
      <c r="AH497" s="2322"/>
      <c r="AI497" s="2322"/>
      <c r="AJ497" s="2322"/>
      <c r="AK497" s="2322"/>
      <c r="AL497" s="2322"/>
      <c r="AM497" s="2322"/>
    </row>
    <row r="498" spans="1:39">
      <c r="A498" s="89"/>
      <c r="B498" s="89"/>
      <c r="C498" s="89"/>
      <c r="D498" s="89"/>
      <c r="E498" s="89"/>
      <c r="F498" s="89"/>
      <c r="G498" s="89"/>
      <c r="H498" s="89"/>
      <c r="I498" s="3847"/>
      <c r="J498" s="3847"/>
      <c r="K498" s="3847"/>
      <c r="L498" s="3847"/>
      <c r="M498" s="3847"/>
      <c r="N498" s="3847"/>
      <c r="O498" s="3847"/>
      <c r="P498" s="3847"/>
      <c r="Q498" s="3847"/>
      <c r="R498" s="3847"/>
      <c r="S498" s="3847"/>
      <c r="T498" s="3847"/>
      <c r="U498" s="3847"/>
      <c r="V498" s="2322"/>
      <c r="W498" s="2322"/>
      <c r="X498" s="2322"/>
      <c r="Y498" s="2322"/>
      <c r="Z498" s="2322"/>
      <c r="AA498" s="2322"/>
      <c r="AB498" s="2322"/>
      <c r="AC498" s="2322"/>
      <c r="AD498" s="2322"/>
      <c r="AE498" s="2322"/>
      <c r="AF498" s="2322"/>
      <c r="AG498" s="2322"/>
      <c r="AH498" s="2322"/>
      <c r="AI498" s="2322"/>
      <c r="AJ498" s="2322"/>
      <c r="AK498" s="2322"/>
      <c r="AL498" s="2322"/>
      <c r="AM498" s="2322"/>
    </row>
    <row r="499" spans="1:39">
      <c r="A499" s="89"/>
      <c r="B499" s="89"/>
      <c r="C499" s="89"/>
      <c r="D499" s="89"/>
      <c r="E499" s="89"/>
      <c r="F499" s="89"/>
      <c r="G499" s="89"/>
      <c r="H499" s="89"/>
      <c r="I499" s="3847"/>
      <c r="J499" s="3847"/>
      <c r="K499" s="3847"/>
      <c r="L499" s="3847"/>
      <c r="M499" s="3847"/>
      <c r="N499" s="3847"/>
      <c r="O499" s="3847"/>
      <c r="P499" s="3847"/>
      <c r="Q499" s="3847"/>
      <c r="R499" s="3847"/>
      <c r="S499" s="3847"/>
      <c r="T499" s="3847"/>
      <c r="U499" s="3847"/>
      <c r="V499" s="2322"/>
      <c r="W499" s="2322"/>
      <c r="X499" s="2322"/>
      <c r="Y499" s="2322"/>
      <c r="Z499" s="2322"/>
      <c r="AA499" s="2322"/>
      <c r="AB499" s="2322"/>
      <c r="AC499" s="2322"/>
      <c r="AD499" s="2322"/>
      <c r="AE499" s="2322"/>
      <c r="AF499" s="2322"/>
      <c r="AG499" s="2322"/>
      <c r="AH499" s="2322"/>
      <c r="AI499" s="2322"/>
      <c r="AJ499" s="2322"/>
      <c r="AK499" s="2322"/>
      <c r="AL499" s="2322"/>
      <c r="AM499" s="2322"/>
    </row>
    <row r="500" spans="1:39">
      <c r="A500" s="89"/>
      <c r="B500" s="89"/>
      <c r="C500" s="89"/>
      <c r="D500" s="89"/>
      <c r="E500" s="89"/>
      <c r="F500" s="89"/>
      <c r="G500" s="89"/>
      <c r="H500" s="89"/>
      <c r="I500" s="3847"/>
      <c r="J500" s="3847"/>
      <c r="K500" s="3847"/>
      <c r="L500" s="3847"/>
      <c r="M500" s="3847"/>
      <c r="N500" s="3847"/>
      <c r="O500" s="3847"/>
      <c r="P500" s="3847"/>
      <c r="Q500" s="3847"/>
      <c r="R500" s="3847"/>
      <c r="S500" s="3847"/>
      <c r="T500" s="3847"/>
      <c r="U500" s="3847"/>
      <c r="V500" s="2322"/>
      <c r="W500" s="2322"/>
      <c r="X500" s="2322"/>
      <c r="Y500" s="2322"/>
      <c r="Z500" s="2322"/>
      <c r="AA500" s="2322"/>
      <c r="AB500" s="2322"/>
      <c r="AC500" s="2322"/>
      <c r="AD500" s="2322"/>
      <c r="AE500" s="2322"/>
      <c r="AF500" s="2322"/>
      <c r="AG500" s="2322"/>
      <c r="AH500" s="2322"/>
      <c r="AI500" s="2322"/>
      <c r="AJ500" s="2322"/>
      <c r="AK500" s="2322"/>
      <c r="AL500" s="2322"/>
      <c r="AM500" s="2322"/>
    </row>
    <row r="501" spans="1:39">
      <c r="A501" s="89"/>
      <c r="B501" s="89"/>
      <c r="C501" s="89"/>
      <c r="D501" s="89"/>
      <c r="E501" s="89"/>
      <c r="F501" s="89"/>
      <c r="G501" s="89"/>
      <c r="H501" s="89"/>
      <c r="I501" s="3847"/>
      <c r="J501" s="3847"/>
      <c r="K501" s="3847"/>
      <c r="L501" s="3847"/>
      <c r="M501" s="3847"/>
      <c r="N501" s="3847"/>
      <c r="O501" s="3847"/>
      <c r="P501" s="3847"/>
      <c r="Q501" s="3847"/>
      <c r="R501" s="3847"/>
      <c r="S501" s="3847"/>
      <c r="T501" s="3847"/>
      <c r="U501" s="3847"/>
      <c r="V501" s="2322"/>
      <c r="W501" s="2322"/>
      <c r="X501" s="2322"/>
      <c r="Y501" s="2322"/>
      <c r="Z501" s="2322"/>
      <c r="AA501" s="2322"/>
      <c r="AB501" s="2322"/>
      <c r="AC501" s="2322"/>
      <c r="AD501" s="2322"/>
      <c r="AE501" s="2322"/>
      <c r="AF501" s="2322"/>
      <c r="AG501" s="2322"/>
      <c r="AH501" s="2322"/>
      <c r="AI501" s="2322"/>
      <c r="AJ501" s="2322"/>
      <c r="AK501" s="2322"/>
      <c r="AL501" s="2322"/>
      <c r="AM501" s="2322"/>
    </row>
    <row r="502" spans="1:39">
      <c r="A502" s="89"/>
      <c r="B502" s="89"/>
      <c r="C502" s="89"/>
      <c r="D502" s="89"/>
      <c r="E502" s="89"/>
      <c r="F502" s="89"/>
      <c r="G502" s="89"/>
      <c r="H502" s="89"/>
      <c r="I502" s="3847"/>
      <c r="J502" s="3847"/>
      <c r="K502" s="3847"/>
      <c r="L502" s="3847"/>
      <c r="M502" s="3847"/>
      <c r="N502" s="3847"/>
      <c r="O502" s="3847"/>
      <c r="P502" s="3847"/>
      <c r="Q502" s="3847"/>
      <c r="R502" s="3847"/>
      <c r="S502" s="3847"/>
      <c r="T502" s="3847"/>
      <c r="U502" s="3847"/>
      <c r="V502" s="2322"/>
      <c r="W502" s="2322"/>
      <c r="X502" s="2322"/>
      <c r="Y502" s="2322"/>
      <c r="Z502" s="2322"/>
      <c r="AA502" s="2322"/>
      <c r="AB502" s="2322"/>
      <c r="AC502" s="2322"/>
      <c r="AD502" s="2322"/>
      <c r="AE502" s="2322"/>
      <c r="AF502" s="2322"/>
      <c r="AG502" s="2322"/>
      <c r="AH502" s="2322"/>
      <c r="AI502" s="2322"/>
      <c r="AJ502" s="2322"/>
      <c r="AK502" s="2322"/>
      <c r="AL502" s="2322"/>
      <c r="AM502" s="2322"/>
    </row>
    <row r="503" spans="1:39">
      <c r="A503" s="89"/>
      <c r="B503" s="89"/>
      <c r="C503" s="89"/>
      <c r="D503" s="89"/>
      <c r="E503" s="89"/>
      <c r="F503" s="89"/>
      <c r="G503" s="89"/>
      <c r="H503" s="89"/>
      <c r="I503" s="3847"/>
      <c r="J503" s="3847"/>
      <c r="K503" s="3847"/>
      <c r="L503" s="3847"/>
      <c r="M503" s="3847"/>
      <c r="N503" s="3847"/>
      <c r="O503" s="3847"/>
      <c r="P503" s="3847"/>
      <c r="Q503" s="3847"/>
      <c r="R503" s="3847"/>
      <c r="S503" s="3847"/>
      <c r="T503" s="3847"/>
      <c r="U503" s="3847"/>
      <c r="V503" s="2322"/>
      <c r="W503" s="2322"/>
      <c r="X503" s="2322"/>
      <c r="Y503" s="2322"/>
      <c r="Z503" s="2322"/>
      <c r="AA503" s="2322"/>
      <c r="AB503" s="2322"/>
      <c r="AC503" s="2322"/>
      <c r="AD503" s="2322"/>
      <c r="AE503" s="2322"/>
      <c r="AF503" s="2322"/>
      <c r="AG503" s="2322"/>
      <c r="AH503" s="2322"/>
      <c r="AI503" s="2322"/>
      <c r="AJ503" s="2322"/>
      <c r="AK503" s="2322"/>
      <c r="AL503" s="2322"/>
      <c r="AM503" s="2322"/>
    </row>
    <row r="504" spans="1:39">
      <c r="A504" s="89"/>
      <c r="B504" s="89"/>
      <c r="C504" s="89"/>
      <c r="D504" s="89"/>
      <c r="E504" s="89"/>
      <c r="F504" s="89"/>
      <c r="G504" s="89"/>
      <c r="H504" s="89"/>
      <c r="I504" s="3847"/>
      <c r="J504" s="3847"/>
      <c r="K504" s="3847"/>
      <c r="L504" s="3847"/>
      <c r="M504" s="3847"/>
      <c r="N504" s="3847"/>
      <c r="O504" s="3847"/>
      <c r="P504" s="3847"/>
      <c r="Q504" s="3847"/>
      <c r="R504" s="3847"/>
      <c r="S504" s="3847"/>
      <c r="T504" s="3847"/>
      <c r="U504" s="3847"/>
      <c r="V504" s="2322"/>
      <c r="W504" s="2322"/>
      <c r="X504" s="2322"/>
      <c r="Y504" s="2322"/>
      <c r="Z504" s="2322"/>
      <c r="AA504" s="2322"/>
      <c r="AB504" s="2322"/>
      <c r="AC504" s="2322"/>
      <c r="AD504" s="2322"/>
      <c r="AE504" s="2322"/>
      <c r="AF504" s="2322"/>
      <c r="AG504" s="2322"/>
      <c r="AH504" s="2322"/>
      <c r="AI504" s="2322"/>
      <c r="AJ504" s="2322"/>
      <c r="AK504" s="2322"/>
      <c r="AL504" s="2322"/>
      <c r="AM504" s="2322"/>
    </row>
    <row r="505" spans="1:39">
      <c r="A505" s="89"/>
      <c r="B505" s="89"/>
      <c r="C505" s="89"/>
      <c r="D505" s="89"/>
      <c r="E505" s="89"/>
      <c r="F505" s="89"/>
      <c r="G505" s="89"/>
      <c r="H505" s="89"/>
      <c r="I505" s="3847"/>
      <c r="J505" s="3847"/>
      <c r="K505" s="3847"/>
      <c r="L505" s="3847"/>
      <c r="M505" s="3847"/>
      <c r="N505" s="3847"/>
      <c r="O505" s="3847"/>
      <c r="P505" s="3847"/>
      <c r="Q505" s="3847"/>
      <c r="R505" s="3847"/>
      <c r="S505" s="3847"/>
      <c r="T505" s="3847"/>
      <c r="U505" s="3847"/>
      <c r="V505" s="2322"/>
      <c r="W505" s="2322"/>
      <c r="X505" s="2322"/>
      <c r="Y505" s="2322"/>
      <c r="Z505" s="2322"/>
      <c r="AA505" s="2322"/>
      <c r="AB505" s="2322"/>
      <c r="AC505" s="2322"/>
      <c r="AD505" s="2322"/>
      <c r="AE505" s="2322"/>
      <c r="AF505" s="2322"/>
      <c r="AG505" s="2322"/>
      <c r="AH505" s="2322"/>
      <c r="AI505" s="2322"/>
      <c r="AJ505" s="2322"/>
      <c r="AK505" s="2322"/>
      <c r="AL505" s="2322"/>
      <c r="AM505" s="2322"/>
    </row>
    <row r="506" spans="1:39">
      <c r="A506" s="89"/>
      <c r="B506" s="89"/>
      <c r="C506" s="89"/>
      <c r="D506" s="89"/>
      <c r="E506" s="89"/>
      <c r="F506" s="89"/>
      <c r="G506" s="89"/>
      <c r="H506" s="89"/>
      <c r="I506" s="3847"/>
      <c r="J506" s="3847"/>
      <c r="K506" s="3847"/>
      <c r="L506" s="3847"/>
      <c r="M506" s="3847"/>
      <c r="N506" s="3847"/>
      <c r="O506" s="3847"/>
      <c r="P506" s="3847"/>
      <c r="Q506" s="3847"/>
      <c r="R506" s="3847"/>
      <c r="S506" s="3847"/>
      <c r="T506" s="3847"/>
      <c r="U506" s="3847"/>
      <c r="V506" s="2322"/>
      <c r="W506" s="2322"/>
      <c r="X506" s="2322"/>
      <c r="Y506" s="2322"/>
      <c r="Z506" s="2322"/>
      <c r="AA506" s="2322"/>
      <c r="AB506" s="2322"/>
      <c r="AC506" s="2322"/>
      <c r="AD506" s="2322"/>
      <c r="AE506" s="2322"/>
      <c r="AF506" s="2322"/>
      <c r="AG506" s="2322"/>
      <c r="AH506" s="2322"/>
      <c r="AI506" s="2322"/>
      <c r="AJ506" s="2322"/>
      <c r="AK506" s="2322"/>
      <c r="AL506" s="2322"/>
      <c r="AM506" s="2322"/>
    </row>
    <row r="507" spans="1:39">
      <c r="A507" s="89"/>
      <c r="B507" s="89"/>
      <c r="C507" s="89"/>
      <c r="D507" s="89"/>
      <c r="E507" s="89"/>
      <c r="F507" s="89"/>
      <c r="G507" s="89"/>
      <c r="H507" s="89"/>
      <c r="I507" s="3847"/>
      <c r="J507" s="3847"/>
      <c r="K507" s="3847"/>
      <c r="L507" s="3847"/>
      <c r="M507" s="3847"/>
      <c r="N507" s="3847"/>
      <c r="O507" s="3847"/>
      <c r="P507" s="3847"/>
      <c r="Q507" s="3847"/>
      <c r="R507" s="3847"/>
      <c r="S507" s="3847"/>
      <c r="T507" s="3847"/>
      <c r="U507" s="3847"/>
      <c r="V507" s="2322"/>
      <c r="W507" s="2322"/>
      <c r="X507" s="2322"/>
      <c r="Y507" s="2322"/>
      <c r="Z507" s="2322"/>
      <c r="AA507" s="2322"/>
      <c r="AB507" s="2322"/>
      <c r="AC507" s="2322"/>
      <c r="AD507" s="2322"/>
      <c r="AE507" s="2322"/>
      <c r="AF507" s="2322"/>
      <c r="AG507" s="2322"/>
      <c r="AH507" s="2322"/>
      <c r="AI507" s="2322"/>
      <c r="AJ507" s="2322"/>
      <c r="AK507" s="2322"/>
      <c r="AL507" s="2322"/>
      <c r="AM507" s="2322"/>
    </row>
    <row r="508" spans="1:39">
      <c r="A508" s="89"/>
      <c r="B508" s="89"/>
      <c r="C508" s="89"/>
      <c r="D508" s="89"/>
      <c r="E508" s="89"/>
      <c r="F508" s="89"/>
      <c r="G508" s="89"/>
      <c r="H508" s="89"/>
      <c r="I508" s="3847"/>
      <c r="J508" s="3847"/>
      <c r="K508" s="3847"/>
      <c r="L508" s="3847"/>
      <c r="M508" s="3847"/>
      <c r="N508" s="3847"/>
      <c r="O508" s="3847"/>
      <c r="P508" s="3847"/>
      <c r="Q508" s="3847"/>
      <c r="R508" s="3847"/>
      <c r="S508" s="3847"/>
      <c r="T508" s="3847"/>
      <c r="U508" s="3847"/>
      <c r="V508" s="2322"/>
      <c r="W508" s="2322"/>
      <c r="X508" s="2322"/>
      <c r="Y508" s="2322"/>
      <c r="Z508" s="2322"/>
      <c r="AA508" s="2322"/>
      <c r="AB508" s="2322"/>
      <c r="AC508" s="2322"/>
      <c r="AD508" s="2322"/>
      <c r="AE508" s="2322"/>
      <c r="AF508" s="2322"/>
      <c r="AG508" s="2322"/>
      <c r="AH508" s="2322"/>
      <c r="AI508" s="2322"/>
      <c r="AJ508" s="2322"/>
      <c r="AK508" s="2322"/>
      <c r="AL508" s="2322"/>
      <c r="AM508" s="2322"/>
    </row>
    <row r="509" spans="1:39">
      <c r="A509" s="89"/>
      <c r="B509" s="89"/>
      <c r="C509" s="89"/>
      <c r="D509" s="89"/>
      <c r="E509" s="89"/>
      <c r="F509" s="89"/>
      <c r="G509" s="89"/>
      <c r="H509" s="89"/>
      <c r="I509" s="3847"/>
      <c r="J509" s="3847"/>
      <c r="K509" s="3847"/>
      <c r="L509" s="3847"/>
      <c r="M509" s="3847"/>
      <c r="N509" s="3847"/>
      <c r="O509" s="3847"/>
      <c r="P509" s="3847"/>
      <c r="Q509" s="3847"/>
      <c r="R509" s="3847"/>
      <c r="S509" s="3847"/>
      <c r="T509" s="3847"/>
      <c r="U509" s="3847"/>
      <c r="V509" s="2322"/>
      <c r="W509" s="2322"/>
      <c r="X509" s="2322"/>
      <c r="Y509" s="2322"/>
      <c r="Z509" s="2322"/>
      <c r="AA509" s="2322"/>
      <c r="AB509" s="2322"/>
      <c r="AC509" s="2322"/>
      <c r="AD509" s="2322"/>
      <c r="AE509" s="2322"/>
      <c r="AF509" s="2322"/>
      <c r="AG509" s="2322"/>
      <c r="AH509" s="2322"/>
      <c r="AI509" s="2322"/>
      <c r="AJ509" s="2322"/>
      <c r="AK509" s="2322"/>
      <c r="AL509" s="2322"/>
      <c r="AM509" s="2322"/>
    </row>
    <row r="510" spans="1:39">
      <c r="A510" s="89"/>
      <c r="B510" s="89"/>
      <c r="C510" s="89"/>
      <c r="D510" s="89"/>
      <c r="E510" s="89"/>
      <c r="F510" s="89"/>
      <c r="G510" s="89"/>
      <c r="H510" s="89"/>
      <c r="I510" s="3847"/>
      <c r="J510" s="3847"/>
      <c r="K510" s="3847"/>
      <c r="L510" s="3847"/>
      <c r="M510" s="3847"/>
      <c r="N510" s="3847"/>
      <c r="O510" s="3847"/>
      <c r="P510" s="3847"/>
      <c r="Q510" s="3847"/>
      <c r="R510" s="3847"/>
      <c r="S510" s="3847"/>
      <c r="T510" s="3847"/>
      <c r="U510" s="3847"/>
      <c r="V510" s="2322"/>
      <c r="W510" s="2322"/>
      <c r="X510" s="2322"/>
      <c r="Y510" s="2322"/>
      <c r="Z510" s="2322"/>
      <c r="AA510" s="2322"/>
      <c r="AB510" s="2322"/>
      <c r="AC510" s="2322"/>
      <c r="AD510" s="2322"/>
      <c r="AE510" s="2322"/>
      <c r="AF510" s="2322"/>
      <c r="AG510" s="2322"/>
      <c r="AH510" s="2322"/>
      <c r="AI510" s="2322"/>
      <c r="AJ510" s="2322"/>
      <c r="AK510" s="2322"/>
      <c r="AL510" s="2322"/>
      <c r="AM510" s="2322"/>
    </row>
    <row r="511" spans="1:39">
      <c r="A511" s="89"/>
      <c r="B511" s="89"/>
      <c r="C511" s="89"/>
      <c r="D511" s="89"/>
      <c r="E511" s="89"/>
      <c r="F511" s="89"/>
      <c r="G511" s="89"/>
      <c r="H511" s="89"/>
      <c r="I511" s="3847"/>
      <c r="J511" s="3847"/>
      <c r="K511" s="3847"/>
      <c r="L511" s="3847"/>
      <c r="M511" s="3847"/>
      <c r="N511" s="3847"/>
      <c r="O511" s="3847"/>
      <c r="P511" s="3847"/>
      <c r="Q511" s="3847"/>
      <c r="R511" s="3847"/>
      <c r="S511" s="3847"/>
      <c r="T511" s="3847"/>
      <c r="U511" s="3847"/>
      <c r="V511" s="2322"/>
      <c r="W511" s="2322"/>
      <c r="X511" s="2322"/>
      <c r="Y511" s="2322"/>
      <c r="Z511" s="2322"/>
      <c r="AA511" s="2322"/>
      <c r="AB511" s="2322"/>
      <c r="AC511" s="2322"/>
      <c r="AD511" s="2322"/>
      <c r="AE511" s="2322"/>
      <c r="AF511" s="2322"/>
      <c r="AG511" s="2322"/>
      <c r="AH511" s="2322"/>
      <c r="AI511" s="2322"/>
      <c r="AJ511" s="2322"/>
      <c r="AK511" s="2322"/>
      <c r="AL511" s="2322"/>
      <c r="AM511" s="2322"/>
    </row>
    <row r="512" spans="1:39">
      <c r="A512" s="89"/>
      <c r="B512" s="89"/>
      <c r="C512" s="89"/>
      <c r="D512" s="89"/>
      <c r="E512" s="89"/>
      <c r="F512" s="89"/>
      <c r="G512" s="89"/>
      <c r="H512" s="89"/>
      <c r="I512" s="3847"/>
      <c r="J512" s="3847"/>
      <c r="K512" s="3847"/>
      <c r="L512" s="3847"/>
      <c r="M512" s="3847"/>
      <c r="N512" s="3847"/>
      <c r="O512" s="3847"/>
      <c r="P512" s="3847"/>
      <c r="Q512" s="3847"/>
      <c r="R512" s="3847"/>
      <c r="S512" s="3847"/>
      <c r="T512" s="3847"/>
      <c r="U512" s="3847"/>
      <c r="V512" s="2322"/>
      <c r="W512" s="2322"/>
      <c r="X512" s="2322"/>
      <c r="Y512" s="2322"/>
      <c r="Z512" s="2322"/>
      <c r="AA512" s="2322"/>
      <c r="AB512" s="2322"/>
      <c r="AC512" s="2322"/>
      <c r="AD512" s="2322"/>
      <c r="AE512" s="2322"/>
      <c r="AF512" s="2322"/>
      <c r="AG512" s="2322"/>
      <c r="AH512" s="2322"/>
      <c r="AI512" s="2322"/>
      <c r="AJ512" s="2322"/>
      <c r="AK512" s="2322"/>
      <c r="AL512" s="2322"/>
      <c r="AM512" s="2322"/>
    </row>
    <row r="513" spans="1:39">
      <c r="A513" s="89"/>
      <c r="B513" s="89"/>
      <c r="C513" s="89"/>
      <c r="D513" s="89"/>
      <c r="E513" s="89"/>
      <c r="F513" s="89"/>
      <c r="G513" s="89"/>
      <c r="H513" s="89"/>
      <c r="I513" s="3847"/>
      <c r="J513" s="3847"/>
      <c r="K513" s="3847"/>
      <c r="L513" s="3847"/>
      <c r="M513" s="3847"/>
      <c r="N513" s="3847"/>
      <c r="O513" s="3847"/>
      <c r="P513" s="3847"/>
      <c r="Q513" s="3847"/>
      <c r="R513" s="3847"/>
      <c r="S513" s="3847"/>
      <c r="T513" s="3847"/>
      <c r="U513" s="3847"/>
      <c r="V513" s="2322"/>
      <c r="W513" s="2322"/>
      <c r="X513" s="2322"/>
      <c r="Y513" s="2322"/>
      <c r="Z513" s="2322"/>
      <c r="AA513" s="2322"/>
      <c r="AB513" s="2322"/>
      <c r="AC513" s="2322"/>
      <c r="AD513" s="2322"/>
      <c r="AE513" s="2322"/>
      <c r="AF513" s="2322"/>
      <c r="AG513" s="2322"/>
      <c r="AH513" s="2322"/>
      <c r="AI513" s="2322"/>
      <c r="AJ513" s="2322"/>
      <c r="AK513" s="2322"/>
      <c r="AL513" s="2322"/>
      <c r="AM513" s="2322"/>
    </row>
    <row r="514" spans="1:39">
      <c r="A514" s="89"/>
      <c r="B514" s="89"/>
      <c r="C514" s="89"/>
      <c r="D514" s="89"/>
      <c r="E514" s="89"/>
      <c r="F514" s="89"/>
      <c r="G514" s="89"/>
      <c r="H514" s="89"/>
      <c r="I514" s="3847"/>
      <c r="J514" s="3847"/>
      <c r="K514" s="3847"/>
      <c r="L514" s="3847"/>
      <c r="M514" s="3847"/>
      <c r="N514" s="3847"/>
      <c r="O514" s="3847"/>
      <c r="P514" s="3847"/>
      <c r="Q514" s="3847"/>
      <c r="R514" s="3847"/>
      <c r="S514" s="3847"/>
      <c r="T514" s="3847"/>
      <c r="U514" s="3847"/>
      <c r="V514" s="2322"/>
      <c r="W514" s="2322"/>
      <c r="X514" s="2322"/>
      <c r="Y514" s="2322"/>
      <c r="Z514" s="2322"/>
      <c r="AA514" s="2322"/>
      <c r="AB514" s="2322"/>
      <c r="AC514" s="2322"/>
      <c r="AD514" s="2322"/>
      <c r="AE514" s="2322"/>
      <c r="AF514" s="2322"/>
      <c r="AG514" s="2322"/>
      <c r="AH514" s="2322"/>
      <c r="AI514" s="2322"/>
      <c r="AJ514" s="2322"/>
      <c r="AK514" s="2322"/>
      <c r="AL514" s="2322"/>
      <c r="AM514" s="2322"/>
    </row>
    <row r="515" spans="1:39">
      <c r="A515" s="89"/>
      <c r="B515" s="89"/>
      <c r="C515" s="89"/>
      <c r="D515" s="89"/>
      <c r="E515" s="89"/>
      <c r="F515" s="89"/>
      <c r="G515" s="89"/>
      <c r="H515" s="89"/>
      <c r="I515" s="3847"/>
      <c r="J515" s="3847"/>
      <c r="K515" s="3847"/>
      <c r="L515" s="3847"/>
      <c r="M515" s="3847"/>
      <c r="N515" s="3847"/>
      <c r="O515" s="3847"/>
      <c r="P515" s="3847"/>
      <c r="Q515" s="3847"/>
      <c r="R515" s="3847"/>
      <c r="S515" s="3847"/>
      <c r="T515" s="3847"/>
      <c r="U515" s="3847"/>
      <c r="V515" s="2322"/>
      <c r="W515" s="2322"/>
      <c r="X515" s="2322"/>
      <c r="Y515" s="2322"/>
      <c r="Z515" s="2322"/>
      <c r="AA515" s="2322"/>
      <c r="AB515" s="2322"/>
      <c r="AC515" s="2322"/>
      <c r="AD515" s="2322"/>
      <c r="AE515" s="2322"/>
      <c r="AF515" s="2322"/>
      <c r="AG515" s="2322"/>
      <c r="AH515" s="2322"/>
      <c r="AI515" s="2322"/>
      <c r="AJ515" s="2322"/>
      <c r="AK515" s="2322"/>
      <c r="AL515" s="2322"/>
      <c r="AM515" s="2322"/>
    </row>
    <row r="516" spans="1:39">
      <c r="A516" s="89"/>
      <c r="B516" s="89"/>
      <c r="C516" s="89"/>
      <c r="D516" s="89"/>
      <c r="E516" s="89"/>
      <c r="F516" s="89"/>
      <c r="G516" s="89"/>
      <c r="H516" s="89"/>
      <c r="I516" s="3847"/>
      <c r="J516" s="3847"/>
      <c r="K516" s="3847"/>
      <c r="L516" s="3847"/>
      <c r="M516" s="3847"/>
      <c r="N516" s="3847"/>
      <c r="O516" s="3847"/>
      <c r="P516" s="3847"/>
      <c r="Q516" s="3847"/>
      <c r="R516" s="3847"/>
      <c r="S516" s="3847"/>
      <c r="T516" s="3847"/>
      <c r="U516" s="3847"/>
      <c r="V516" s="2322"/>
      <c r="W516" s="2322"/>
      <c r="X516" s="2322"/>
      <c r="Y516" s="2322"/>
      <c r="Z516" s="2322"/>
      <c r="AA516" s="2322"/>
      <c r="AB516" s="2322"/>
      <c r="AC516" s="2322"/>
      <c r="AD516" s="2322"/>
      <c r="AE516" s="2322"/>
      <c r="AF516" s="2322"/>
      <c r="AG516" s="2322"/>
      <c r="AH516" s="2322"/>
      <c r="AI516" s="2322"/>
      <c r="AJ516" s="2322"/>
      <c r="AK516" s="2322"/>
      <c r="AL516" s="2322"/>
      <c r="AM516" s="2322"/>
    </row>
    <row r="517" spans="1:39">
      <c r="A517" s="89"/>
      <c r="B517" s="89"/>
      <c r="C517" s="89"/>
      <c r="D517" s="89"/>
      <c r="E517" s="89"/>
      <c r="F517" s="89"/>
      <c r="G517" s="89"/>
      <c r="H517" s="89"/>
      <c r="I517" s="3847"/>
      <c r="J517" s="3847"/>
      <c r="K517" s="3847"/>
      <c r="L517" s="3847"/>
      <c r="M517" s="3847"/>
      <c r="N517" s="3847"/>
      <c r="O517" s="3847"/>
      <c r="P517" s="3847"/>
      <c r="Q517" s="3847"/>
      <c r="R517" s="3847"/>
      <c r="S517" s="3847"/>
      <c r="T517" s="3847"/>
      <c r="U517" s="3847"/>
      <c r="V517" s="2322"/>
      <c r="W517" s="2322"/>
      <c r="X517" s="2322"/>
      <c r="Y517" s="2322"/>
      <c r="Z517" s="2322"/>
      <c r="AA517" s="2322"/>
      <c r="AB517" s="2322"/>
      <c r="AC517" s="2322"/>
      <c r="AD517" s="2322"/>
      <c r="AE517" s="2322"/>
      <c r="AF517" s="2322"/>
      <c r="AG517" s="2322"/>
      <c r="AH517" s="2322"/>
      <c r="AI517" s="2322"/>
      <c r="AJ517" s="2322"/>
      <c r="AK517" s="2322"/>
      <c r="AL517" s="2322"/>
      <c r="AM517" s="2322"/>
    </row>
    <row r="518" spans="1:39">
      <c r="A518" s="89"/>
      <c r="B518" s="89"/>
      <c r="C518" s="89"/>
      <c r="D518" s="89"/>
      <c r="E518" s="89"/>
      <c r="F518" s="89"/>
      <c r="G518" s="89"/>
      <c r="H518" s="89"/>
      <c r="I518" s="3847"/>
      <c r="J518" s="3847"/>
      <c r="K518" s="3847"/>
      <c r="L518" s="3847"/>
      <c r="M518" s="3847"/>
      <c r="N518" s="3847"/>
      <c r="O518" s="3847"/>
      <c r="P518" s="3847"/>
      <c r="Q518" s="3847"/>
      <c r="R518" s="3847"/>
      <c r="S518" s="3847"/>
      <c r="T518" s="3847"/>
      <c r="U518" s="3847"/>
      <c r="V518" s="2322"/>
      <c r="W518" s="2322"/>
      <c r="X518" s="2322"/>
      <c r="Y518" s="2322"/>
      <c r="Z518" s="2322"/>
      <c r="AA518" s="2322"/>
      <c r="AB518" s="2322"/>
      <c r="AC518" s="2322"/>
      <c r="AD518" s="2322"/>
      <c r="AE518" s="2322"/>
      <c r="AF518" s="2322"/>
      <c r="AG518" s="2322"/>
      <c r="AH518" s="2322"/>
      <c r="AI518" s="2322"/>
      <c r="AJ518" s="2322"/>
      <c r="AK518" s="2322"/>
      <c r="AL518" s="2322"/>
      <c r="AM518" s="2322"/>
    </row>
    <row r="519" spans="1:39">
      <c r="A519" s="89"/>
      <c r="B519" s="89"/>
      <c r="C519" s="89"/>
      <c r="D519" s="89"/>
      <c r="E519" s="89"/>
      <c r="F519" s="89"/>
      <c r="G519" s="89"/>
      <c r="H519" s="89"/>
      <c r="I519" s="3847"/>
      <c r="J519" s="3847"/>
      <c r="K519" s="3847"/>
      <c r="L519" s="3847"/>
      <c r="M519" s="3847"/>
      <c r="N519" s="3847"/>
      <c r="O519" s="3847"/>
      <c r="P519" s="3847"/>
      <c r="Q519" s="3847"/>
      <c r="R519" s="3847"/>
      <c r="S519" s="3847"/>
      <c r="T519" s="3847"/>
      <c r="U519" s="3847"/>
      <c r="V519" s="2322"/>
      <c r="W519" s="2322"/>
      <c r="X519" s="2322"/>
      <c r="Y519" s="2322"/>
      <c r="Z519" s="2322"/>
      <c r="AA519" s="2322"/>
      <c r="AB519" s="2322"/>
      <c r="AC519" s="2322"/>
      <c r="AD519" s="2322"/>
      <c r="AE519" s="2322"/>
      <c r="AF519" s="2322"/>
      <c r="AG519" s="2322"/>
      <c r="AH519" s="2322"/>
      <c r="AI519" s="2322"/>
      <c r="AJ519" s="2322"/>
      <c r="AK519" s="2322"/>
      <c r="AL519" s="2322"/>
      <c r="AM519" s="2322"/>
    </row>
    <row r="520" spans="1:39">
      <c r="A520" s="89"/>
      <c r="B520" s="89"/>
      <c r="C520" s="89"/>
      <c r="D520" s="89"/>
      <c r="E520" s="89"/>
      <c r="F520" s="89"/>
      <c r="G520" s="89"/>
      <c r="H520" s="89"/>
      <c r="I520" s="3847"/>
      <c r="J520" s="3847"/>
      <c r="K520" s="3847"/>
      <c r="L520" s="3847"/>
      <c r="M520" s="3847"/>
      <c r="N520" s="3847"/>
      <c r="O520" s="3847"/>
      <c r="P520" s="3847"/>
      <c r="Q520" s="3847"/>
      <c r="R520" s="3847"/>
      <c r="S520" s="3847"/>
      <c r="T520" s="3847"/>
      <c r="U520" s="3847"/>
      <c r="V520" s="2322"/>
      <c r="W520" s="2322"/>
      <c r="X520" s="2322"/>
      <c r="Y520" s="2322"/>
      <c r="Z520" s="2322"/>
      <c r="AA520" s="2322"/>
      <c r="AB520" s="2322"/>
      <c r="AC520" s="2322"/>
      <c r="AD520" s="2322"/>
      <c r="AE520" s="2322"/>
      <c r="AF520" s="2322"/>
      <c r="AG520" s="2322"/>
      <c r="AH520" s="2322"/>
      <c r="AI520" s="2322"/>
      <c r="AJ520" s="2322"/>
      <c r="AK520" s="2322"/>
      <c r="AL520" s="2322"/>
      <c r="AM520" s="2322"/>
    </row>
    <row r="521" spans="1:39">
      <c r="A521" s="89"/>
      <c r="B521" s="89"/>
      <c r="C521" s="89"/>
      <c r="D521" s="89"/>
      <c r="E521" s="89"/>
      <c r="F521" s="89"/>
      <c r="G521" s="89"/>
      <c r="H521" s="89"/>
      <c r="I521" s="3847"/>
      <c r="J521" s="3847"/>
      <c r="K521" s="3847"/>
      <c r="L521" s="3847"/>
      <c r="M521" s="3847"/>
      <c r="N521" s="3847"/>
      <c r="O521" s="3847"/>
      <c r="P521" s="3847"/>
      <c r="Q521" s="3847"/>
      <c r="R521" s="3847"/>
      <c r="S521" s="3847"/>
      <c r="T521" s="3847"/>
      <c r="U521" s="3847"/>
      <c r="V521" s="2322"/>
      <c r="W521" s="2322"/>
      <c r="X521" s="2322"/>
      <c r="Y521" s="2322"/>
      <c r="Z521" s="2322"/>
      <c r="AA521" s="2322"/>
      <c r="AB521" s="2322"/>
      <c r="AC521" s="2322"/>
      <c r="AD521" s="2322"/>
      <c r="AE521" s="2322"/>
      <c r="AF521" s="2322"/>
      <c r="AG521" s="2322"/>
      <c r="AH521" s="2322"/>
      <c r="AI521" s="2322"/>
      <c r="AJ521" s="2322"/>
      <c r="AK521" s="2322"/>
      <c r="AL521" s="2322"/>
      <c r="AM521" s="2322"/>
    </row>
    <row r="522" spans="1:39">
      <c r="A522" s="89"/>
      <c r="B522" s="89"/>
      <c r="C522" s="89"/>
      <c r="D522" s="89"/>
      <c r="E522" s="89"/>
      <c r="F522" s="89"/>
      <c r="G522" s="89"/>
      <c r="H522" s="89"/>
      <c r="I522" s="3847"/>
      <c r="J522" s="3847"/>
      <c r="K522" s="3847"/>
      <c r="L522" s="3847"/>
      <c r="M522" s="3847"/>
      <c r="N522" s="3847"/>
      <c r="O522" s="3847"/>
      <c r="P522" s="3847"/>
      <c r="Q522" s="3847"/>
      <c r="R522" s="3847"/>
      <c r="S522" s="3847"/>
      <c r="T522" s="3847"/>
      <c r="U522" s="3847"/>
      <c r="V522" s="2322"/>
      <c r="W522" s="2322"/>
      <c r="X522" s="2322"/>
      <c r="Y522" s="2322"/>
      <c r="Z522" s="2322"/>
      <c r="AA522" s="2322"/>
      <c r="AB522" s="2322"/>
      <c r="AC522" s="2322"/>
      <c r="AD522" s="2322"/>
      <c r="AE522" s="2322"/>
      <c r="AF522" s="2322"/>
      <c r="AG522" s="2322"/>
      <c r="AH522" s="2322"/>
      <c r="AI522" s="2322"/>
      <c r="AJ522" s="2322"/>
      <c r="AK522" s="2322"/>
      <c r="AL522" s="2322"/>
      <c r="AM522" s="2322"/>
    </row>
    <row r="523" spans="1:39">
      <c r="A523" s="89"/>
      <c r="B523" s="89"/>
      <c r="C523" s="89"/>
      <c r="D523" s="89"/>
      <c r="E523" s="89"/>
      <c r="F523" s="89"/>
      <c r="G523" s="89"/>
      <c r="H523" s="89"/>
      <c r="I523" s="3847"/>
      <c r="J523" s="3847"/>
      <c r="K523" s="3847"/>
      <c r="L523" s="3847"/>
      <c r="M523" s="3847"/>
      <c r="N523" s="3847"/>
      <c r="O523" s="3847"/>
      <c r="P523" s="3847"/>
      <c r="Q523" s="3847"/>
      <c r="R523" s="3847"/>
      <c r="S523" s="3847"/>
      <c r="T523" s="3847"/>
      <c r="U523" s="3847"/>
      <c r="V523" s="2322"/>
      <c r="W523" s="2322"/>
      <c r="X523" s="2322"/>
      <c r="Y523" s="2322"/>
      <c r="Z523" s="2322"/>
      <c r="AA523" s="2322"/>
      <c r="AB523" s="2322"/>
      <c r="AC523" s="2322"/>
      <c r="AD523" s="2322"/>
      <c r="AE523" s="2322"/>
      <c r="AF523" s="2322"/>
      <c r="AG523" s="2322"/>
      <c r="AH523" s="2322"/>
      <c r="AI523" s="2322"/>
      <c r="AJ523" s="2322"/>
      <c r="AK523" s="2322"/>
      <c r="AL523" s="2322"/>
      <c r="AM523" s="2322"/>
    </row>
    <row r="524" spans="1:39">
      <c r="A524" s="89"/>
      <c r="B524" s="89"/>
      <c r="C524" s="89"/>
      <c r="D524" s="89"/>
      <c r="E524" s="89"/>
      <c r="F524" s="89"/>
      <c r="G524" s="89"/>
      <c r="H524" s="89"/>
      <c r="I524" s="3847"/>
      <c r="J524" s="3847"/>
      <c r="K524" s="3847"/>
      <c r="L524" s="3847"/>
      <c r="M524" s="3847"/>
      <c r="N524" s="3847"/>
      <c r="O524" s="3847"/>
      <c r="P524" s="3847"/>
      <c r="Q524" s="3847"/>
      <c r="R524" s="3847"/>
      <c r="S524" s="3847"/>
      <c r="T524" s="3847"/>
      <c r="U524" s="3847"/>
      <c r="V524" s="2322"/>
      <c r="W524" s="2322"/>
      <c r="X524" s="2322"/>
      <c r="Y524" s="2322"/>
      <c r="Z524" s="2322"/>
      <c r="AA524" s="2322"/>
      <c r="AB524" s="2322"/>
      <c r="AC524" s="2322"/>
      <c r="AD524" s="2322"/>
      <c r="AE524" s="2322"/>
      <c r="AF524" s="2322"/>
      <c r="AG524" s="2322"/>
      <c r="AH524" s="2322"/>
      <c r="AI524" s="2322"/>
      <c r="AJ524" s="2322"/>
      <c r="AK524" s="2322"/>
      <c r="AL524" s="2322"/>
      <c r="AM524" s="2322"/>
    </row>
    <row r="525" spans="1:39">
      <c r="A525" s="89"/>
      <c r="B525" s="89"/>
      <c r="C525" s="89"/>
      <c r="D525" s="89"/>
      <c r="E525" s="89"/>
      <c r="F525" s="89"/>
      <c r="G525" s="89"/>
      <c r="H525" s="89"/>
      <c r="I525" s="3847"/>
      <c r="J525" s="3847"/>
      <c r="K525" s="3847"/>
      <c r="L525" s="3847"/>
      <c r="M525" s="3847"/>
      <c r="N525" s="3847"/>
      <c r="O525" s="3847"/>
      <c r="P525" s="3847"/>
      <c r="Q525" s="3847"/>
      <c r="R525" s="3847"/>
      <c r="S525" s="3847"/>
      <c r="T525" s="3847"/>
      <c r="U525" s="3847"/>
      <c r="V525" s="2322"/>
      <c r="W525" s="2322"/>
      <c r="X525" s="2322"/>
      <c r="Y525" s="2322"/>
      <c r="Z525" s="2322"/>
      <c r="AA525" s="2322"/>
      <c r="AB525" s="2322"/>
      <c r="AC525" s="2322"/>
      <c r="AD525" s="2322"/>
      <c r="AE525" s="2322"/>
      <c r="AF525" s="2322"/>
      <c r="AG525" s="2322"/>
      <c r="AH525" s="2322"/>
      <c r="AI525" s="2322"/>
      <c r="AJ525" s="2322"/>
      <c r="AK525" s="2322"/>
      <c r="AL525" s="2322"/>
      <c r="AM525" s="2322"/>
    </row>
    <row r="526" spans="1:39">
      <c r="A526" s="89"/>
      <c r="B526" s="89"/>
      <c r="C526" s="89"/>
      <c r="D526" s="89"/>
      <c r="E526" s="89"/>
      <c r="F526" s="89"/>
      <c r="G526" s="89"/>
      <c r="H526" s="89"/>
      <c r="I526" s="3847"/>
      <c r="J526" s="3847"/>
      <c r="K526" s="3847"/>
      <c r="L526" s="3847"/>
      <c r="M526" s="3847"/>
      <c r="N526" s="3847"/>
      <c r="O526" s="3847"/>
      <c r="P526" s="3847"/>
      <c r="Q526" s="3847"/>
      <c r="R526" s="3847"/>
      <c r="S526" s="3847"/>
      <c r="T526" s="3847"/>
      <c r="U526" s="3847"/>
      <c r="V526" s="2322"/>
      <c r="W526" s="2322"/>
      <c r="X526" s="2322"/>
      <c r="Y526" s="2322"/>
      <c r="Z526" s="2322"/>
      <c r="AA526" s="2322"/>
      <c r="AB526" s="2322"/>
      <c r="AC526" s="2322"/>
      <c r="AD526" s="2322"/>
      <c r="AE526" s="2322"/>
      <c r="AF526" s="2322"/>
      <c r="AG526" s="2322"/>
      <c r="AH526" s="2322"/>
      <c r="AI526" s="2322"/>
      <c r="AJ526" s="2322"/>
      <c r="AK526" s="2322"/>
      <c r="AL526" s="2322"/>
      <c r="AM526" s="2322"/>
    </row>
    <row r="527" spans="1:39">
      <c r="A527" s="89"/>
      <c r="B527" s="89"/>
      <c r="C527" s="89"/>
      <c r="D527" s="89"/>
      <c r="E527" s="89"/>
      <c r="F527" s="89"/>
      <c r="G527" s="89"/>
      <c r="H527" s="89"/>
      <c r="I527" s="3847"/>
      <c r="J527" s="3847"/>
      <c r="K527" s="3847"/>
      <c r="L527" s="3847"/>
      <c r="M527" s="3847"/>
      <c r="N527" s="3847"/>
      <c r="O527" s="3847"/>
      <c r="P527" s="3847"/>
      <c r="Q527" s="3847"/>
      <c r="R527" s="3847"/>
      <c r="S527" s="3847"/>
      <c r="T527" s="3847"/>
      <c r="U527" s="3847"/>
      <c r="V527" s="2322"/>
      <c r="W527" s="2322"/>
      <c r="X527" s="2322"/>
      <c r="Y527" s="2322"/>
      <c r="Z527" s="2322"/>
      <c r="AA527" s="2322"/>
      <c r="AB527" s="2322"/>
      <c r="AC527" s="2322"/>
      <c r="AD527" s="2322"/>
      <c r="AE527" s="2322"/>
      <c r="AF527" s="2322"/>
      <c r="AG527" s="2322"/>
      <c r="AH527" s="2322"/>
      <c r="AI527" s="2322"/>
      <c r="AJ527" s="2322"/>
      <c r="AK527" s="2322"/>
      <c r="AL527" s="2322"/>
      <c r="AM527" s="2322"/>
    </row>
    <row r="528" spans="1:39">
      <c r="A528" s="89"/>
      <c r="B528" s="89"/>
      <c r="C528" s="89"/>
      <c r="D528" s="89"/>
      <c r="E528" s="89"/>
      <c r="F528" s="89"/>
      <c r="G528" s="89"/>
      <c r="H528" s="89"/>
      <c r="I528" s="3847"/>
      <c r="J528" s="3847"/>
      <c r="K528" s="3847"/>
      <c r="L528" s="3847"/>
      <c r="M528" s="3847"/>
      <c r="N528" s="3847"/>
      <c r="O528" s="3847"/>
      <c r="P528" s="3847"/>
      <c r="Q528" s="3847"/>
      <c r="R528" s="3847"/>
      <c r="S528" s="3847"/>
      <c r="T528" s="3847"/>
      <c r="U528" s="3847"/>
      <c r="V528" s="2322"/>
      <c r="W528" s="2322"/>
      <c r="X528" s="2322"/>
      <c r="Y528" s="2322"/>
      <c r="Z528" s="2322"/>
      <c r="AA528" s="2322"/>
      <c r="AB528" s="2322"/>
      <c r="AC528" s="2322"/>
      <c r="AD528" s="2322"/>
      <c r="AE528" s="2322"/>
      <c r="AF528" s="2322"/>
      <c r="AG528" s="2322"/>
      <c r="AH528" s="2322"/>
      <c r="AI528" s="2322"/>
      <c r="AJ528" s="2322"/>
      <c r="AK528" s="2322"/>
      <c r="AL528" s="2322"/>
      <c r="AM528" s="2322"/>
    </row>
    <row r="529" spans="1:39">
      <c r="A529" s="89"/>
      <c r="B529" s="89"/>
      <c r="C529" s="89"/>
      <c r="D529" s="89"/>
      <c r="E529" s="89"/>
      <c r="F529" s="89"/>
      <c r="G529" s="89"/>
      <c r="H529" s="89"/>
      <c r="I529" s="3847"/>
      <c r="J529" s="3847"/>
      <c r="K529" s="3847"/>
      <c r="L529" s="3847"/>
      <c r="M529" s="3847"/>
      <c r="N529" s="3847"/>
      <c r="O529" s="3847"/>
      <c r="P529" s="3847"/>
      <c r="Q529" s="3847"/>
      <c r="R529" s="3847"/>
      <c r="S529" s="3847"/>
      <c r="T529" s="3847"/>
      <c r="U529" s="3847"/>
      <c r="V529" s="2322"/>
      <c r="W529" s="2322"/>
      <c r="X529" s="2322"/>
      <c r="Y529" s="2322"/>
      <c r="Z529" s="2322"/>
      <c r="AA529" s="2322"/>
      <c r="AB529" s="2322"/>
      <c r="AC529" s="2322"/>
      <c r="AD529" s="2322"/>
      <c r="AE529" s="2322"/>
      <c r="AF529" s="2322"/>
      <c r="AG529" s="2322"/>
      <c r="AH529" s="2322"/>
      <c r="AI529" s="2322"/>
      <c r="AJ529" s="2322"/>
      <c r="AK529" s="2322"/>
      <c r="AL529" s="2322"/>
      <c r="AM529" s="2322"/>
    </row>
    <row r="530" spans="1:39">
      <c r="A530" s="89"/>
      <c r="B530" s="89"/>
      <c r="C530" s="89"/>
      <c r="D530" s="89"/>
      <c r="E530" s="89"/>
      <c r="F530" s="89"/>
      <c r="G530" s="89"/>
      <c r="H530" s="89"/>
      <c r="I530" s="3847"/>
      <c r="J530" s="3847"/>
      <c r="K530" s="3847"/>
      <c r="L530" s="3847"/>
      <c r="M530" s="3847"/>
      <c r="N530" s="3847"/>
      <c r="O530" s="3847"/>
      <c r="P530" s="3847"/>
      <c r="Q530" s="3847"/>
      <c r="R530" s="3847"/>
      <c r="S530" s="3847"/>
      <c r="T530" s="3847"/>
      <c r="U530" s="3847"/>
      <c r="V530" s="2322"/>
      <c r="W530" s="2322"/>
      <c r="X530" s="2322"/>
      <c r="Y530" s="2322"/>
      <c r="Z530" s="2322"/>
      <c r="AA530" s="2322"/>
      <c r="AB530" s="2322"/>
      <c r="AC530" s="2322"/>
      <c r="AD530" s="2322"/>
      <c r="AE530" s="2322"/>
      <c r="AF530" s="2322"/>
      <c r="AG530" s="2322"/>
      <c r="AH530" s="2322"/>
      <c r="AI530" s="2322"/>
      <c r="AJ530" s="2322"/>
      <c r="AK530" s="2322"/>
      <c r="AL530" s="2322"/>
      <c r="AM530" s="2322"/>
    </row>
    <row r="531" spans="1:39">
      <c r="A531" s="89"/>
      <c r="B531" s="89"/>
      <c r="C531" s="89"/>
      <c r="D531" s="89"/>
      <c r="E531" s="89"/>
      <c r="F531" s="89"/>
      <c r="G531" s="89"/>
      <c r="H531" s="89"/>
      <c r="I531" s="3847"/>
      <c r="J531" s="3847"/>
      <c r="K531" s="3847"/>
      <c r="L531" s="3847"/>
      <c r="M531" s="3847"/>
      <c r="N531" s="3847"/>
      <c r="O531" s="3847"/>
      <c r="P531" s="3847"/>
      <c r="Q531" s="3847"/>
      <c r="R531" s="3847"/>
      <c r="S531" s="3847"/>
      <c r="T531" s="3847"/>
      <c r="U531" s="3847"/>
      <c r="V531" s="2322"/>
      <c r="W531" s="2322"/>
      <c r="X531" s="2322"/>
      <c r="Y531" s="2322"/>
      <c r="Z531" s="2322"/>
      <c r="AA531" s="2322"/>
      <c r="AB531" s="2322"/>
      <c r="AC531" s="2322"/>
      <c r="AD531" s="2322"/>
      <c r="AE531" s="2322"/>
      <c r="AF531" s="2322"/>
      <c r="AG531" s="2322"/>
      <c r="AH531" s="2322"/>
      <c r="AI531" s="2322"/>
      <c r="AJ531" s="2322"/>
      <c r="AK531" s="2322"/>
      <c r="AL531" s="2322"/>
      <c r="AM531" s="2322"/>
    </row>
    <row r="532" spans="1:39">
      <c r="A532" s="89"/>
      <c r="B532" s="89"/>
      <c r="C532" s="89"/>
      <c r="D532" s="89"/>
      <c r="E532" s="89"/>
      <c r="F532" s="89"/>
      <c r="G532" s="89"/>
      <c r="H532" s="89"/>
      <c r="I532" s="3847"/>
      <c r="J532" s="3847"/>
      <c r="K532" s="3847"/>
      <c r="L532" s="3847"/>
      <c r="M532" s="3847"/>
      <c r="N532" s="3847"/>
      <c r="O532" s="3847"/>
      <c r="P532" s="3847"/>
      <c r="Q532" s="3847"/>
      <c r="R532" s="3847"/>
      <c r="S532" s="3847"/>
      <c r="T532" s="3847"/>
      <c r="U532" s="3847"/>
      <c r="V532" s="2322"/>
      <c r="W532" s="2322"/>
      <c r="X532" s="2322"/>
      <c r="Y532" s="2322"/>
      <c r="Z532" s="2322"/>
      <c r="AA532" s="2322"/>
      <c r="AB532" s="2322"/>
      <c r="AC532" s="2322"/>
      <c r="AD532" s="2322"/>
      <c r="AE532" s="2322"/>
      <c r="AF532" s="2322"/>
      <c r="AG532" s="2322"/>
      <c r="AH532" s="2322"/>
      <c r="AI532" s="2322"/>
      <c r="AJ532" s="2322"/>
      <c r="AK532" s="2322"/>
      <c r="AL532" s="2322"/>
      <c r="AM532" s="2322"/>
    </row>
    <row r="533" spans="1:39">
      <c r="A533" s="89"/>
      <c r="B533" s="89"/>
      <c r="C533" s="89"/>
      <c r="D533" s="89"/>
      <c r="E533" s="89"/>
      <c r="F533" s="89"/>
      <c r="G533" s="89"/>
      <c r="H533" s="89"/>
      <c r="I533" s="3847"/>
      <c r="J533" s="3847"/>
      <c r="K533" s="3847"/>
      <c r="L533" s="3847"/>
      <c r="M533" s="3847"/>
      <c r="N533" s="3847"/>
      <c r="O533" s="3847"/>
      <c r="P533" s="3847"/>
      <c r="Q533" s="3847"/>
      <c r="R533" s="3847"/>
      <c r="S533" s="3847"/>
      <c r="T533" s="3847"/>
      <c r="U533" s="3847"/>
      <c r="V533" s="2322"/>
      <c r="W533" s="2322"/>
      <c r="X533" s="2322"/>
      <c r="Y533" s="2322"/>
      <c r="Z533" s="2322"/>
      <c r="AA533" s="2322"/>
      <c r="AB533" s="2322"/>
      <c r="AC533" s="2322"/>
      <c r="AD533" s="2322"/>
      <c r="AE533" s="2322"/>
      <c r="AF533" s="2322"/>
      <c r="AG533" s="2322"/>
      <c r="AH533" s="2322"/>
      <c r="AI533" s="2322"/>
      <c r="AJ533" s="2322"/>
      <c r="AK533" s="2322"/>
      <c r="AL533" s="2322"/>
      <c r="AM533" s="2322"/>
    </row>
    <row r="534" spans="1:39">
      <c r="A534" s="89"/>
      <c r="B534" s="89"/>
      <c r="C534" s="89"/>
      <c r="D534" s="89"/>
      <c r="E534" s="89"/>
      <c r="F534" s="89"/>
      <c r="G534" s="89"/>
      <c r="H534" s="89"/>
      <c r="I534" s="3847"/>
      <c r="J534" s="3847"/>
      <c r="K534" s="3847"/>
      <c r="L534" s="3847"/>
      <c r="M534" s="3847"/>
      <c r="N534" s="3847"/>
      <c r="O534" s="3847"/>
      <c r="P534" s="3847"/>
      <c r="Q534" s="3847"/>
      <c r="R534" s="3847"/>
      <c r="S534" s="3847"/>
      <c r="T534" s="3847"/>
      <c r="U534" s="3847"/>
      <c r="V534" s="2322"/>
      <c r="W534" s="2322"/>
      <c r="X534" s="2322"/>
      <c r="Y534" s="2322"/>
      <c r="Z534" s="2322"/>
      <c r="AA534" s="2322"/>
      <c r="AB534" s="2322"/>
      <c r="AC534" s="2322"/>
      <c r="AD534" s="2322"/>
      <c r="AE534" s="2322"/>
      <c r="AF534" s="2322"/>
      <c r="AG534" s="2322"/>
      <c r="AH534" s="2322"/>
      <c r="AI534" s="2322"/>
      <c r="AJ534" s="2322"/>
      <c r="AK534" s="2322"/>
      <c r="AL534" s="2322"/>
      <c r="AM534" s="2322"/>
    </row>
    <row r="535" spans="1:39">
      <c r="A535" s="89"/>
      <c r="B535" s="89"/>
      <c r="C535" s="89"/>
      <c r="D535" s="89"/>
      <c r="E535" s="89"/>
      <c r="F535" s="89"/>
      <c r="G535" s="89"/>
      <c r="H535" s="89"/>
      <c r="I535" s="3847"/>
      <c r="J535" s="3847"/>
      <c r="K535" s="3847"/>
      <c r="L535" s="3847"/>
      <c r="M535" s="3847"/>
      <c r="N535" s="3847"/>
      <c r="O535" s="3847"/>
      <c r="P535" s="3847"/>
      <c r="Q535" s="3847"/>
      <c r="R535" s="3847"/>
      <c r="S535" s="3847"/>
      <c r="T535" s="3847"/>
      <c r="U535" s="3847"/>
      <c r="V535" s="2322"/>
      <c r="W535" s="2322"/>
      <c r="X535" s="2322"/>
      <c r="Y535" s="2322"/>
      <c r="Z535" s="2322"/>
      <c r="AA535" s="2322"/>
      <c r="AB535" s="2322"/>
      <c r="AC535" s="2322"/>
      <c r="AD535" s="2322"/>
      <c r="AE535" s="2322"/>
      <c r="AF535" s="2322"/>
      <c r="AG535" s="2322"/>
      <c r="AH535" s="2322"/>
      <c r="AI535" s="2322"/>
      <c r="AJ535" s="2322"/>
      <c r="AK535" s="2322"/>
      <c r="AL535" s="2322"/>
      <c r="AM535" s="2322"/>
    </row>
    <row r="536" spans="1:39">
      <c r="A536" s="89"/>
      <c r="B536" s="89"/>
      <c r="C536" s="89"/>
      <c r="D536" s="89"/>
      <c r="E536" s="89"/>
      <c r="F536" s="89"/>
      <c r="G536" s="89"/>
      <c r="H536" s="89"/>
      <c r="I536" s="3847"/>
      <c r="J536" s="3847"/>
      <c r="K536" s="3847"/>
      <c r="L536" s="3847"/>
      <c r="M536" s="3847"/>
      <c r="N536" s="3847"/>
      <c r="O536" s="3847"/>
      <c r="P536" s="3847"/>
      <c r="Q536" s="3847"/>
      <c r="R536" s="3847"/>
      <c r="S536" s="3847"/>
      <c r="T536" s="3847"/>
      <c r="U536" s="3847"/>
      <c r="V536" s="2322"/>
      <c r="W536" s="2322"/>
      <c r="X536" s="2322"/>
      <c r="Y536" s="2322"/>
      <c r="Z536" s="2322"/>
      <c r="AA536" s="2322"/>
      <c r="AB536" s="2322"/>
      <c r="AC536" s="2322"/>
      <c r="AD536" s="2322"/>
      <c r="AE536" s="2322"/>
      <c r="AF536" s="2322"/>
      <c r="AG536" s="2322"/>
      <c r="AH536" s="2322"/>
      <c r="AI536" s="2322"/>
      <c r="AJ536" s="2322"/>
      <c r="AK536" s="2322"/>
      <c r="AL536" s="2322"/>
      <c r="AM536" s="2322"/>
    </row>
    <row r="537" spans="1:39">
      <c r="A537" s="89"/>
      <c r="B537" s="89"/>
      <c r="C537" s="89"/>
      <c r="D537" s="89"/>
      <c r="E537" s="89"/>
      <c r="F537" s="89"/>
      <c r="G537" s="89"/>
      <c r="H537" s="89"/>
      <c r="I537" s="3847"/>
      <c r="J537" s="3847"/>
      <c r="K537" s="3847"/>
      <c r="L537" s="3847"/>
      <c r="M537" s="3847"/>
      <c r="N537" s="3847"/>
      <c r="O537" s="3847"/>
      <c r="P537" s="3847"/>
      <c r="Q537" s="3847"/>
      <c r="R537" s="3847"/>
      <c r="S537" s="3847"/>
      <c r="T537" s="3847"/>
      <c r="U537" s="3847"/>
      <c r="V537" s="2322"/>
      <c r="W537" s="2322"/>
      <c r="X537" s="2322"/>
      <c r="Y537" s="2322"/>
      <c r="Z537" s="2322"/>
      <c r="AA537" s="2322"/>
      <c r="AB537" s="2322"/>
      <c r="AC537" s="2322"/>
      <c r="AD537" s="2322"/>
      <c r="AE537" s="2322"/>
      <c r="AF537" s="2322"/>
      <c r="AG537" s="2322"/>
      <c r="AH537" s="2322"/>
      <c r="AI537" s="2322"/>
      <c r="AJ537" s="2322"/>
      <c r="AK537" s="2322"/>
      <c r="AL537" s="2322"/>
      <c r="AM537" s="2322"/>
    </row>
    <row r="538" spans="1:39">
      <c r="A538" s="89"/>
      <c r="B538" s="89"/>
      <c r="C538" s="89"/>
      <c r="D538" s="89"/>
      <c r="E538" s="89"/>
      <c r="F538" s="89"/>
      <c r="G538" s="89"/>
      <c r="H538" s="89"/>
      <c r="I538" s="3847"/>
      <c r="J538" s="3847"/>
      <c r="K538" s="3847"/>
      <c r="L538" s="3847"/>
      <c r="M538" s="3847"/>
      <c r="N538" s="3847"/>
      <c r="O538" s="3847"/>
      <c r="P538" s="3847"/>
      <c r="Q538" s="3847"/>
      <c r="R538" s="3847"/>
      <c r="S538" s="3847"/>
      <c r="T538" s="3847"/>
      <c r="U538" s="3847"/>
      <c r="V538" s="2322"/>
      <c r="W538" s="2322"/>
      <c r="X538" s="2322"/>
      <c r="Y538" s="2322"/>
      <c r="Z538" s="2322"/>
      <c r="AA538" s="2322"/>
      <c r="AB538" s="2322"/>
      <c r="AC538" s="2322"/>
      <c r="AD538" s="2322"/>
      <c r="AE538" s="2322"/>
      <c r="AF538" s="2322"/>
      <c r="AG538" s="2322"/>
      <c r="AH538" s="2322"/>
      <c r="AI538" s="2322"/>
      <c r="AJ538" s="2322"/>
      <c r="AK538" s="2322"/>
      <c r="AL538" s="2322"/>
      <c r="AM538" s="2322"/>
    </row>
    <row r="539" spans="1:39">
      <c r="A539" s="89"/>
      <c r="B539" s="89"/>
      <c r="C539" s="89"/>
      <c r="D539" s="89"/>
      <c r="E539" s="89"/>
      <c r="F539" s="89"/>
      <c r="G539" s="89"/>
      <c r="H539" s="89"/>
      <c r="I539" s="3847"/>
      <c r="J539" s="3847"/>
      <c r="K539" s="3847"/>
      <c r="L539" s="3847"/>
      <c r="M539" s="3847"/>
      <c r="N539" s="3847"/>
      <c r="O539" s="3847"/>
      <c r="P539" s="3847"/>
      <c r="Q539" s="3847"/>
      <c r="R539" s="3847"/>
      <c r="S539" s="3847"/>
      <c r="T539" s="3847"/>
      <c r="U539" s="3847"/>
      <c r="V539" s="2322"/>
      <c r="W539" s="2322"/>
      <c r="X539" s="2322"/>
      <c r="Y539" s="2322"/>
      <c r="Z539" s="2322"/>
      <c r="AA539" s="2322"/>
      <c r="AB539" s="2322"/>
      <c r="AC539" s="2322"/>
      <c r="AD539" s="2322"/>
      <c r="AE539" s="2322"/>
      <c r="AF539" s="2322"/>
      <c r="AG539" s="2322"/>
      <c r="AH539" s="2322"/>
      <c r="AI539" s="2322"/>
      <c r="AJ539" s="2322"/>
      <c r="AK539" s="2322"/>
      <c r="AL539" s="2322"/>
      <c r="AM539" s="2322"/>
    </row>
    <row r="540" spans="1:39">
      <c r="A540" s="89"/>
      <c r="B540" s="89"/>
      <c r="C540" s="89"/>
      <c r="D540" s="89"/>
      <c r="E540" s="89"/>
      <c r="F540" s="89"/>
      <c r="G540" s="89"/>
      <c r="H540" s="89"/>
      <c r="I540" s="3847"/>
      <c r="J540" s="3847"/>
      <c r="K540" s="3847"/>
      <c r="L540" s="3847"/>
      <c r="M540" s="3847"/>
      <c r="N540" s="3847"/>
      <c r="O540" s="3847"/>
      <c r="P540" s="3847"/>
      <c r="Q540" s="3847"/>
      <c r="R540" s="3847"/>
      <c r="S540" s="3847"/>
      <c r="T540" s="3847"/>
      <c r="U540" s="3847"/>
      <c r="V540" s="2322"/>
      <c r="W540" s="2322"/>
      <c r="X540" s="2322"/>
      <c r="Y540" s="2322"/>
      <c r="Z540" s="2322"/>
      <c r="AA540" s="2322"/>
      <c r="AB540" s="2322"/>
      <c r="AC540" s="2322"/>
      <c r="AD540" s="2322"/>
      <c r="AE540" s="2322"/>
      <c r="AF540" s="2322"/>
      <c r="AG540" s="2322"/>
      <c r="AH540" s="2322"/>
      <c r="AI540" s="2322"/>
      <c r="AJ540" s="2322"/>
      <c r="AK540" s="2322"/>
      <c r="AL540" s="2322"/>
      <c r="AM540" s="2322"/>
    </row>
    <row r="541" spans="1:39">
      <c r="A541" s="89"/>
      <c r="B541" s="89"/>
      <c r="C541" s="89"/>
      <c r="D541" s="89"/>
      <c r="E541" s="89"/>
      <c r="F541" s="89"/>
      <c r="G541" s="89"/>
      <c r="H541" s="89"/>
      <c r="I541" s="3847"/>
      <c r="J541" s="3847"/>
      <c r="K541" s="3847"/>
      <c r="L541" s="3847"/>
      <c r="M541" s="3847"/>
      <c r="N541" s="3847"/>
      <c r="O541" s="3847"/>
      <c r="P541" s="3847"/>
      <c r="Q541" s="3847"/>
      <c r="R541" s="3847"/>
      <c r="S541" s="3847"/>
      <c r="T541" s="3847"/>
      <c r="U541" s="3847"/>
      <c r="V541" s="2322"/>
      <c r="W541" s="2322"/>
      <c r="X541" s="2322"/>
      <c r="Y541" s="2322"/>
      <c r="Z541" s="2322"/>
      <c r="AA541" s="2322"/>
      <c r="AB541" s="2322"/>
      <c r="AC541" s="2322"/>
      <c r="AD541" s="2322"/>
      <c r="AE541" s="2322"/>
      <c r="AF541" s="2322"/>
      <c r="AG541" s="2322"/>
      <c r="AH541" s="2322"/>
      <c r="AI541" s="2322"/>
      <c r="AJ541" s="2322"/>
      <c r="AK541" s="2322"/>
      <c r="AL541" s="2322"/>
      <c r="AM541" s="2322"/>
    </row>
    <row r="542" spans="1:39">
      <c r="A542" s="89"/>
      <c r="B542" s="89"/>
      <c r="C542" s="89"/>
      <c r="D542" s="89"/>
      <c r="E542" s="89"/>
      <c r="F542" s="89"/>
      <c r="G542" s="89"/>
      <c r="H542" s="89"/>
      <c r="I542" s="3847"/>
      <c r="J542" s="3847"/>
      <c r="K542" s="3847"/>
      <c r="L542" s="3847"/>
      <c r="M542" s="3847"/>
      <c r="N542" s="3847"/>
      <c r="O542" s="3847"/>
      <c r="P542" s="3847"/>
      <c r="Q542" s="3847"/>
      <c r="R542" s="3847"/>
      <c r="S542" s="3847"/>
      <c r="T542" s="3847"/>
      <c r="U542" s="3847"/>
      <c r="V542" s="2322"/>
      <c r="W542" s="2322"/>
      <c r="X542" s="2322"/>
      <c r="Y542" s="2322"/>
      <c r="Z542" s="2322"/>
      <c r="AA542" s="2322"/>
      <c r="AB542" s="2322"/>
      <c r="AC542" s="2322"/>
      <c r="AD542" s="2322"/>
      <c r="AE542" s="2322"/>
      <c r="AF542" s="2322"/>
      <c r="AG542" s="2322"/>
      <c r="AH542" s="2322"/>
      <c r="AI542" s="2322"/>
      <c r="AJ542" s="2322"/>
      <c r="AK542" s="2322"/>
      <c r="AL542" s="2322"/>
      <c r="AM542" s="2322"/>
    </row>
    <row r="543" spans="1:39">
      <c r="A543" s="89"/>
      <c r="B543" s="89"/>
      <c r="C543" s="89"/>
      <c r="D543" s="89"/>
      <c r="E543" s="89"/>
      <c r="F543" s="89"/>
      <c r="G543" s="89"/>
      <c r="H543" s="89"/>
      <c r="I543" s="3847"/>
      <c r="J543" s="3847"/>
      <c r="K543" s="3847"/>
      <c r="L543" s="3847"/>
      <c r="M543" s="3847"/>
      <c r="N543" s="3847"/>
      <c r="O543" s="3847"/>
      <c r="P543" s="3847"/>
      <c r="Q543" s="3847"/>
      <c r="R543" s="3847"/>
      <c r="S543" s="3847"/>
      <c r="T543" s="3847"/>
      <c r="U543" s="3847"/>
      <c r="V543" s="2322"/>
      <c r="W543" s="2322"/>
      <c r="X543" s="2322"/>
      <c r="Y543" s="2322"/>
      <c r="Z543" s="2322"/>
      <c r="AA543" s="2322"/>
      <c r="AB543" s="2322"/>
      <c r="AC543" s="2322"/>
      <c r="AD543" s="2322"/>
      <c r="AE543" s="2322"/>
      <c r="AF543" s="2322"/>
      <c r="AG543" s="2322"/>
      <c r="AH543" s="2322"/>
      <c r="AI543" s="2322"/>
      <c r="AJ543" s="2322"/>
      <c r="AK543" s="2322"/>
      <c r="AL543" s="2322"/>
      <c r="AM543" s="2322"/>
    </row>
    <row r="544" spans="1:39">
      <c r="A544" s="89"/>
      <c r="B544" s="89"/>
      <c r="C544" s="89"/>
      <c r="D544" s="89"/>
      <c r="E544" s="89"/>
      <c r="F544" s="89"/>
      <c r="G544" s="89"/>
      <c r="H544" s="89"/>
      <c r="I544" s="3847"/>
      <c r="J544" s="3847"/>
      <c r="K544" s="3847"/>
      <c r="L544" s="3847"/>
      <c r="M544" s="3847"/>
      <c r="N544" s="3847"/>
      <c r="O544" s="3847"/>
      <c r="P544" s="3847"/>
      <c r="Q544" s="3847"/>
      <c r="R544" s="3847"/>
      <c r="S544" s="3847"/>
      <c r="T544" s="3847"/>
      <c r="U544" s="3847"/>
      <c r="V544" s="2322"/>
      <c r="W544" s="2322"/>
      <c r="X544" s="2322"/>
      <c r="Y544" s="2322"/>
      <c r="Z544" s="2322"/>
      <c r="AA544" s="2322"/>
      <c r="AB544" s="2322"/>
      <c r="AC544" s="2322"/>
      <c r="AD544" s="2322"/>
      <c r="AE544" s="2322"/>
      <c r="AF544" s="2322"/>
      <c r="AG544" s="2322"/>
      <c r="AH544" s="2322"/>
      <c r="AI544" s="2322"/>
      <c r="AJ544" s="2322"/>
      <c r="AK544" s="2322"/>
      <c r="AL544" s="2322"/>
      <c r="AM544" s="2322"/>
    </row>
    <row r="545" spans="1:39">
      <c r="A545" s="89"/>
      <c r="B545" s="89"/>
      <c r="C545" s="89"/>
      <c r="D545" s="89"/>
      <c r="E545" s="89"/>
      <c r="F545" s="89"/>
      <c r="G545" s="89"/>
      <c r="H545" s="89"/>
      <c r="I545" s="3847"/>
      <c r="J545" s="3847"/>
      <c r="K545" s="3847"/>
      <c r="L545" s="3847"/>
      <c r="M545" s="3847"/>
      <c r="N545" s="3847"/>
      <c r="O545" s="3847"/>
      <c r="P545" s="3847"/>
      <c r="Q545" s="3847"/>
      <c r="R545" s="3847"/>
      <c r="S545" s="3847"/>
      <c r="T545" s="3847"/>
      <c r="U545" s="3847"/>
      <c r="V545" s="2322"/>
      <c r="W545" s="2322"/>
      <c r="X545" s="2322"/>
      <c r="Y545" s="2322"/>
      <c r="Z545" s="2322"/>
      <c r="AA545" s="2322"/>
      <c r="AB545" s="2322"/>
      <c r="AC545" s="2322"/>
      <c r="AD545" s="2322"/>
      <c r="AE545" s="2322"/>
      <c r="AF545" s="2322"/>
      <c r="AG545" s="2322"/>
      <c r="AH545" s="2322"/>
      <c r="AI545" s="2322"/>
      <c r="AJ545" s="2322"/>
      <c r="AK545" s="2322"/>
      <c r="AL545" s="2322"/>
      <c r="AM545" s="2322"/>
    </row>
    <row r="546" spans="1:39">
      <c r="A546" s="89"/>
      <c r="B546" s="89"/>
      <c r="C546" s="89"/>
      <c r="D546" s="89"/>
      <c r="E546" s="89"/>
      <c r="F546" s="89"/>
      <c r="G546" s="89"/>
      <c r="H546" s="89"/>
      <c r="I546" s="3847"/>
      <c r="J546" s="3847"/>
      <c r="K546" s="3847"/>
      <c r="L546" s="3847"/>
      <c r="M546" s="3847"/>
      <c r="N546" s="3847"/>
      <c r="O546" s="3847"/>
      <c r="P546" s="3847"/>
      <c r="Q546" s="3847"/>
      <c r="R546" s="3847"/>
      <c r="S546" s="3847"/>
      <c r="T546" s="3847"/>
      <c r="U546" s="3847"/>
      <c r="V546" s="2322"/>
      <c r="W546" s="2322"/>
      <c r="X546" s="2322"/>
      <c r="Y546" s="2322"/>
      <c r="Z546" s="2322"/>
      <c r="AA546" s="2322"/>
      <c r="AB546" s="2322"/>
      <c r="AC546" s="2322"/>
      <c r="AD546" s="2322"/>
      <c r="AE546" s="2322"/>
      <c r="AF546" s="2322"/>
      <c r="AG546" s="2322"/>
      <c r="AH546" s="2322"/>
      <c r="AI546" s="2322"/>
      <c r="AJ546" s="2322"/>
      <c r="AK546" s="2322"/>
      <c r="AL546" s="2322"/>
      <c r="AM546" s="2322"/>
    </row>
    <row r="547" spans="1:39">
      <c r="A547" s="89"/>
      <c r="B547" s="89"/>
      <c r="C547" s="89"/>
      <c r="D547" s="89"/>
      <c r="E547" s="89"/>
      <c r="F547" s="89"/>
      <c r="G547" s="89"/>
      <c r="H547" s="89"/>
      <c r="I547" s="3847"/>
      <c r="J547" s="3847"/>
      <c r="K547" s="3847"/>
      <c r="L547" s="3847"/>
      <c r="M547" s="3847"/>
      <c r="N547" s="3847"/>
      <c r="O547" s="3847"/>
      <c r="P547" s="3847"/>
      <c r="Q547" s="3847"/>
      <c r="R547" s="3847"/>
      <c r="S547" s="3847"/>
      <c r="T547" s="3847"/>
      <c r="U547" s="3847"/>
      <c r="V547" s="2322"/>
      <c r="W547" s="2322"/>
      <c r="X547" s="2322"/>
      <c r="Y547" s="2322"/>
      <c r="Z547" s="2322"/>
      <c r="AA547" s="2322"/>
      <c r="AB547" s="2322"/>
      <c r="AC547" s="2322"/>
      <c r="AD547" s="2322"/>
      <c r="AE547" s="2322"/>
      <c r="AF547" s="2322"/>
      <c r="AG547" s="2322"/>
      <c r="AH547" s="2322"/>
      <c r="AI547" s="2322"/>
      <c r="AJ547" s="2322"/>
      <c r="AK547" s="2322"/>
      <c r="AL547" s="2322"/>
      <c r="AM547" s="2322"/>
    </row>
    <row r="548" spans="1:39">
      <c r="A548" s="89"/>
      <c r="B548" s="89"/>
      <c r="C548" s="89"/>
      <c r="D548" s="89"/>
      <c r="E548" s="89"/>
      <c r="F548" s="89"/>
      <c r="G548" s="89"/>
      <c r="H548" s="89"/>
      <c r="I548" s="3847"/>
      <c r="J548" s="3847"/>
      <c r="K548" s="3847"/>
      <c r="L548" s="3847"/>
      <c r="M548" s="3847"/>
      <c r="N548" s="3847"/>
      <c r="O548" s="3847"/>
      <c r="P548" s="3847"/>
      <c r="Q548" s="3847"/>
      <c r="R548" s="3847"/>
      <c r="S548" s="3847"/>
      <c r="T548" s="3847"/>
      <c r="U548" s="3847"/>
      <c r="V548" s="2322"/>
      <c r="W548" s="2322"/>
      <c r="X548" s="2322"/>
      <c r="Y548" s="2322"/>
      <c r="Z548" s="2322"/>
      <c r="AA548" s="2322"/>
      <c r="AB548" s="2322"/>
      <c r="AC548" s="2322"/>
      <c r="AD548" s="2322"/>
      <c r="AE548" s="2322"/>
      <c r="AF548" s="2322"/>
      <c r="AG548" s="2322"/>
      <c r="AH548" s="2322"/>
      <c r="AI548" s="2322"/>
      <c r="AJ548" s="2322"/>
      <c r="AK548" s="2322"/>
      <c r="AL548" s="2322"/>
      <c r="AM548" s="2322"/>
    </row>
    <row r="549" spans="1:39">
      <c r="A549" s="89"/>
      <c r="B549" s="89"/>
      <c r="C549" s="89"/>
      <c r="D549" s="89"/>
      <c r="E549" s="89"/>
      <c r="F549" s="89"/>
      <c r="G549" s="89"/>
      <c r="H549" s="89"/>
      <c r="I549" s="3847"/>
      <c r="J549" s="3847"/>
      <c r="K549" s="3847"/>
      <c r="L549" s="3847"/>
      <c r="M549" s="3847"/>
      <c r="N549" s="3847"/>
      <c r="O549" s="3847"/>
      <c r="P549" s="3847"/>
      <c r="Q549" s="3847"/>
      <c r="R549" s="3847"/>
      <c r="S549" s="3847"/>
      <c r="T549" s="3847"/>
      <c r="U549" s="3847"/>
      <c r="V549" s="2322"/>
      <c r="W549" s="2322"/>
      <c r="X549" s="2322"/>
      <c r="Y549" s="2322"/>
      <c r="Z549" s="2322"/>
      <c r="AA549" s="2322"/>
      <c r="AB549" s="2322"/>
      <c r="AC549" s="2322"/>
      <c r="AD549" s="2322"/>
      <c r="AE549" s="2322"/>
      <c r="AF549" s="2322"/>
      <c r="AG549" s="2322"/>
      <c r="AH549" s="2322"/>
      <c r="AI549" s="2322"/>
      <c r="AJ549" s="2322"/>
      <c r="AK549" s="2322"/>
      <c r="AL549" s="2322"/>
      <c r="AM549" s="2322"/>
    </row>
    <row r="550" spans="1:39">
      <c r="A550" s="89"/>
      <c r="B550" s="89"/>
      <c r="C550" s="89"/>
      <c r="D550" s="89"/>
      <c r="E550" s="89"/>
      <c r="F550" s="89"/>
      <c r="G550" s="89"/>
      <c r="H550" s="89"/>
      <c r="I550" s="3847"/>
      <c r="J550" s="3847"/>
      <c r="K550" s="3847"/>
      <c r="L550" s="3847"/>
      <c r="M550" s="3847"/>
      <c r="N550" s="3847"/>
      <c r="O550" s="3847"/>
      <c r="P550" s="3847"/>
      <c r="Q550" s="3847"/>
      <c r="R550" s="3847"/>
      <c r="S550" s="3847"/>
      <c r="T550" s="3847"/>
      <c r="U550" s="3847"/>
      <c r="V550" s="2322"/>
      <c r="W550" s="2322"/>
      <c r="X550" s="2322"/>
      <c r="Y550" s="2322"/>
      <c r="Z550" s="2322"/>
      <c r="AA550" s="2322"/>
      <c r="AB550" s="2322"/>
      <c r="AC550" s="2322"/>
      <c r="AD550" s="2322"/>
      <c r="AE550" s="2322"/>
      <c r="AF550" s="2322"/>
      <c r="AG550" s="2322"/>
      <c r="AH550" s="2322"/>
      <c r="AI550" s="2322"/>
      <c r="AJ550" s="2322"/>
      <c r="AK550" s="2322"/>
      <c r="AL550" s="2322"/>
      <c r="AM550" s="2322"/>
    </row>
    <row r="551" spans="1:39">
      <c r="A551" s="89"/>
      <c r="B551" s="89"/>
      <c r="C551" s="89"/>
      <c r="D551" s="89"/>
      <c r="E551" s="89"/>
      <c r="F551" s="89"/>
      <c r="G551" s="89"/>
      <c r="H551" s="89"/>
      <c r="I551" s="3847"/>
      <c r="J551" s="3847"/>
      <c r="K551" s="3847"/>
      <c r="L551" s="3847"/>
      <c r="M551" s="3847"/>
      <c r="N551" s="3847"/>
      <c r="O551" s="3847"/>
      <c r="P551" s="3847"/>
      <c r="Q551" s="3847"/>
      <c r="R551" s="3847"/>
      <c r="S551" s="3847"/>
      <c r="T551" s="3847"/>
      <c r="U551" s="3847"/>
      <c r="V551" s="2322"/>
      <c r="W551" s="2322"/>
      <c r="X551" s="2322"/>
      <c r="Y551" s="2322"/>
      <c r="Z551" s="2322"/>
      <c r="AA551" s="2322"/>
      <c r="AB551" s="2322"/>
      <c r="AC551" s="2322"/>
      <c r="AD551" s="2322"/>
      <c r="AE551" s="2322"/>
      <c r="AF551" s="2322"/>
      <c r="AG551" s="2322"/>
      <c r="AH551" s="2322"/>
      <c r="AI551" s="2322"/>
      <c r="AJ551" s="2322"/>
      <c r="AK551" s="2322"/>
      <c r="AL551" s="2322"/>
      <c r="AM551" s="2322"/>
    </row>
    <row r="552" spans="1:39">
      <c r="A552" s="89"/>
      <c r="B552" s="89"/>
      <c r="C552" s="89"/>
      <c r="D552" s="89"/>
      <c r="E552" s="89"/>
      <c r="F552" s="89"/>
      <c r="G552" s="89"/>
      <c r="H552" s="89"/>
      <c r="I552" s="3847"/>
      <c r="J552" s="3847"/>
      <c r="K552" s="3847"/>
      <c r="L552" s="3847"/>
      <c r="M552" s="3847"/>
      <c r="N552" s="3847"/>
      <c r="O552" s="3847"/>
      <c r="P552" s="3847"/>
      <c r="Q552" s="3847"/>
      <c r="R552" s="3847"/>
      <c r="S552" s="3847"/>
      <c r="T552" s="3847"/>
      <c r="U552" s="3847"/>
      <c r="V552" s="2322"/>
      <c r="W552" s="2322"/>
      <c r="X552" s="2322"/>
      <c r="Y552" s="2322"/>
      <c r="Z552" s="2322"/>
      <c r="AA552" s="2322"/>
      <c r="AB552" s="2322"/>
      <c r="AC552" s="2322"/>
      <c r="AD552" s="2322"/>
      <c r="AE552" s="2322"/>
      <c r="AF552" s="2322"/>
      <c r="AG552" s="2322"/>
      <c r="AH552" s="2322"/>
      <c r="AI552" s="2322"/>
      <c r="AJ552" s="2322"/>
      <c r="AK552" s="2322"/>
      <c r="AL552" s="2322"/>
      <c r="AM552" s="2322"/>
    </row>
    <row r="553" spans="1:39">
      <c r="A553" s="89"/>
      <c r="B553" s="89"/>
      <c r="C553" s="89"/>
      <c r="D553" s="89"/>
      <c r="E553" s="89"/>
      <c r="F553" s="89"/>
      <c r="G553" s="89"/>
      <c r="H553" s="89"/>
      <c r="I553" s="3847"/>
      <c r="J553" s="3847"/>
      <c r="K553" s="3847"/>
      <c r="L553" s="3847"/>
      <c r="M553" s="3847"/>
      <c r="N553" s="3847"/>
      <c r="O553" s="3847"/>
      <c r="P553" s="3847"/>
      <c r="Q553" s="3847"/>
      <c r="R553" s="3847"/>
      <c r="S553" s="3847"/>
      <c r="T553" s="3847"/>
      <c r="U553" s="3847"/>
      <c r="V553" s="2322"/>
      <c r="W553" s="2322"/>
      <c r="X553" s="2322"/>
      <c r="Y553" s="2322"/>
      <c r="Z553" s="2322"/>
      <c r="AA553" s="2322"/>
      <c r="AB553" s="2322"/>
      <c r="AC553" s="2322"/>
      <c r="AD553" s="2322"/>
      <c r="AE553" s="2322"/>
      <c r="AF553" s="2322"/>
      <c r="AG553" s="2322"/>
      <c r="AH553" s="2322"/>
      <c r="AI553" s="2322"/>
      <c r="AJ553" s="2322"/>
      <c r="AK553" s="2322"/>
      <c r="AL553" s="2322"/>
      <c r="AM553" s="2322"/>
    </row>
    <row r="554" spans="1:39">
      <c r="A554" s="89"/>
      <c r="B554" s="89"/>
      <c r="C554" s="89"/>
      <c r="D554" s="89"/>
      <c r="E554" s="89"/>
      <c r="F554" s="89"/>
      <c r="G554" s="89"/>
      <c r="H554" s="89"/>
      <c r="I554" s="3847"/>
      <c r="J554" s="3847"/>
      <c r="K554" s="3847"/>
      <c r="L554" s="3847"/>
      <c r="M554" s="3847"/>
      <c r="N554" s="3847"/>
      <c r="O554" s="3847"/>
      <c r="P554" s="3847"/>
      <c r="Q554" s="3847"/>
      <c r="R554" s="3847"/>
      <c r="S554" s="3847"/>
      <c r="T554" s="3847"/>
      <c r="U554" s="3847"/>
      <c r="V554" s="2322"/>
      <c r="W554" s="2322"/>
      <c r="X554" s="2322"/>
      <c r="Y554" s="2322"/>
      <c r="Z554" s="2322"/>
      <c r="AA554" s="2322"/>
      <c r="AB554" s="2322"/>
      <c r="AC554" s="2322"/>
      <c r="AD554" s="2322"/>
      <c r="AE554" s="2322"/>
      <c r="AF554" s="2322"/>
      <c r="AG554" s="2322"/>
      <c r="AH554" s="2322"/>
      <c r="AI554" s="2322"/>
      <c r="AJ554" s="2322"/>
      <c r="AK554" s="2322"/>
      <c r="AL554" s="2322"/>
      <c r="AM554" s="2322"/>
    </row>
    <row r="555" spans="1:39">
      <c r="A555" s="89"/>
      <c r="B555" s="89"/>
      <c r="C555" s="89"/>
      <c r="D555" s="89"/>
      <c r="E555" s="89"/>
      <c r="F555" s="89"/>
      <c r="G555" s="89"/>
      <c r="H555" s="89"/>
      <c r="I555" s="3847"/>
      <c r="J555" s="3847"/>
      <c r="K555" s="3847"/>
      <c r="L555" s="3847"/>
      <c r="M555" s="3847"/>
      <c r="N555" s="3847"/>
      <c r="O555" s="3847"/>
      <c r="P555" s="3847"/>
      <c r="Q555" s="3847"/>
      <c r="R555" s="3847"/>
      <c r="S555" s="3847"/>
      <c r="T555" s="3847"/>
      <c r="U555" s="3847"/>
      <c r="V555" s="2322"/>
      <c r="W555" s="2322"/>
      <c r="X555" s="2322"/>
      <c r="Y555" s="2322"/>
      <c r="Z555" s="2322"/>
      <c r="AA555" s="2322"/>
      <c r="AB555" s="2322"/>
      <c r="AC555" s="2322"/>
      <c r="AD555" s="2322"/>
      <c r="AE555" s="2322"/>
      <c r="AF555" s="2322"/>
      <c r="AG555" s="2322"/>
      <c r="AH555" s="2322"/>
      <c r="AI555" s="2322"/>
      <c r="AJ555" s="2322"/>
      <c r="AK555" s="2322"/>
      <c r="AL555" s="2322"/>
      <c r="AM555" s="2322"/>
    </row>
    <row r="556" spans="1:39">
      <c r="A556" s="89"/>
      <c r="B556" s="89"/>
      <c r="C556" s="89"/>
      <c r="D556" s="89"/>
      <c r="E556" s="89"/>
      <c r="F556" s="89"/>
      <c r="G556" s="89"/>
      <c r="H556" s="89"/>
      <c r="I556" s="3847"/>
      <c r="J556" s="3847"/>
      <c r="K556" s="3847"/>
      <c r="L556" s="3847"/>
      <c r="M556" s="3847"/>
      <c r="N556" s="3847"/>
      <c r="O556" s="3847"/>
      <c r="P556" s="3847"/>
      <c r="Q556" s="3847"/>
      <c r="R556" s="3847"/>
      <c r="S556" s="3847"/>
      <c r="T556" s="3847"/>
      <c r="U556" s="3847"/>
      <c r="V556" s="2322"/>
      <c r="W556" s="2322"/>
      <c r="X556" s="2322"/>
      <c r="Y556" s="2322"/>
      <c r="Z556" s="2322"/>
      <c r="AA556" s="2322"/>
      <c r="AB556" s="2322"/>
      <c r="AC556" s="2322"/>
      <c r="AD556" s="2322"/>
      <c r="AE556" s="2322"/>
      <c r="AF556" s="2322"/>
      <c r="AG556" s="2322"/>
      <c r="AH556" s="2322"/>
      <c r="AI556" s="2322"/>
      <c r="AJ556" s="2322"/>
      <c r="AK556" s="2322"/>
      <c r="AL556" s="2322"/>
      <c r="AM556" s="2322"/>
    </row>
    <row r="557" spans="1:39">
      <c r="A557" s="89"/>
      <c r="B557" s="89"/>
      <c r="C557" s="89"/>
      <c r="D557" s="89"/>
      <c r="E557" s="89"/>
      <c r="F557" s="89"/>
      <c r="G557" s="89"/>
      <c r="H557" s="89"/>
      <c r="I557" s="3847"/>
      <c r="J557" s="3847"/>
      <c r="K557" s="3847"/>
      <c r="L557" s="3847"/>
      <c r="M557" s="3847"/>
      <c r="N557" s="3847"/>
      <c r="O557" s="3847"/>
      <c r="P557" s="3847"/>
      <c r="Q557" s="3847"/>
      <c r="R557" s="3847"/>
      <c r="S557" s="3847"/>
      <c r="T557" s="3847"/>
      <c r="U557" s="3847"/>
      <c r="V557" s="2322"/>
      <c r="W557" s="2322"/>
      <c r="X557" s="2322"/>
      <c r="Y557" s="2322"/>
      <c r="Z557" s="2322"/>
      <c r="AA557" s="2322"/>
      <c r="AB557" s="2322"/>
      <c r="AC557" s="2322"/>
      <c r="AD557" s="2322"/>
      <c r="AE557" s="2322"/>
      <c r="AF557" s="2322"/>
      <c r="AG557" s="2322"/>
      <c r="AH557" s="2322"/>
      <c r="AI557" s="2322"/>
      <c r="AJ557" s="2322"/>
      <c r="AK557" s="2322"/>
      <c r="AL557" s="2322"/>
      <c r="AM557" s="2322"/>
    </row>
    <row r="558" spans="1:39">
      <c r="A558" s="89"/>
      <c r="B558" s="89"/>
      <c r="C558" s="89"/>
      <c r="D558" s="89"/>
      <c r="E558" s="89"/>
      <c r="F558" s="89"/>
      <c r="G558" s="89"/>
      <c r="H558" s="89"/>
      <c r="I558" s="3847"/>
      <c r="J558" s="3847"/>
      <c r="K558" s="3847"/>
      <c r="L558" s="3847"/>
      <c r="M558" s="3847"/>
      <c r="N558" s="3847"/>
      <c r="O558" s="3847"/>
      <c r="P558" s="3847"/>
      <c r="Q558" s="3847"/>
      <c r="R558" s="3847"/>
      <c r="S558" s="3847"/>
      <c r="T558" s="3847"/>
      <c r="U558" s="3847"/>
      <c r="V558" s="2322"/>
      <c r="W558" s="2322"/>
      <c r="X558" s="2322"/>
      <c r="Y558" s="2322"/>
      <c r="Z558" s="2322"/>
      <c r="AA558" s="2322"/>
      <c r="AB558" s="2322"/>
      <c r="AC558" s="2322"/>
      <c r="AD558" s="2322"/>
      <c r="AE558" s="2322"/>
      <c r="AF558" s="2322"/>
      <c r="AG558" s="2322"/>
      <c r="AH558" s="2322"/>
      <c r="AI558" s="2322"/>
      <c r="AJ558" s="2322"/>
      <c r="AK558" s="2322"/>
      <c r="AL558" s="2322"/>
      <c r="AM558" s="2322"/>
    </row>
    <row r="559" spans="1:39">
      <c r="A559" s="89"/>
      <c r="B559" s="89"/>
      <c r="C559" s="89"/>
      <c r="D559" s="89"/>
      <c r="E559" s="89"/>
      <c r="F559" s="89"/>
      <c r="G559" s="89"/>
      <c r="H559" s="89"/>
      <c r="I559" s="3847"/>
      <c r="J559" s="3847"/>
      <c r="K559" s="3847"/>
      <c r="L559" s="3847"/>
      <c r="M559" s="3847"/>
      <c r="N559" s="3847"/>
      <c r="O559" s="3847"/>
      <c r="P559" s="3847"/>
      <c r="Q559" s="3847"/>
      <c r="R559" s="3847"/>
      <c r="S559" s="3847"/>
      <c r="T559" s="3847"/>
      <c r="U559" s="3847"/>
      <c r="V559" s="2322"/>
      <c r="W559" s="2322"/>
      <c r="X559" s="2322"/>
      <c r="Y559" s="2322"/>
      <c r="Z559" s="2322"/>
      <c r="AA559" s="2322"/>
      <c r="AB559" s="2322"/>
      <c r="AC559" s="2322"/>
      <c r="AD559" s="2322"/>
      <c r="AE559" s="2322"/>
      <c r="AF559" s="2322"/>
      <c r="AG559" s="2322"/>
      <c r="AH559" s="2322"/>
      <c r="AI559" s="2322"/>
      <c r="AJ559" s="2322"/>
      <c r="AK559" s="2322"/>
      <c r="AL559" s="2322"/>
      <c r="AM559" s="2322"/>
    </row>
    <row r="560" spans="1:39">
      <c r="A560" s="89"/>
      <c r="B560" s="89"/>
      <c r="C560" s="89"/>
      <c r="D560" s="89"/>
      <c r="E560" s="89"/>
      <c r="F560" s="89"/>
      <c r="G560" s="89"/>
      <c r="H560" s="89"/>
      <c r="I560" s="3847"/>
      <c r="J560" s="3847"/>
      <c r="K560" s="3847"/>
      <c r="L560" s="3847"/>
      <c r="M560" s="3847"/>
      <c r="N560" s="3847"/>
      <c r="O560" s="3847"/>
      <c r="P560" s="3847"/>
      <c r="Q560" s="3847"/>
      <c r="R560" s="3847"/>
      <c r="S560" s="3847"/>
      <c r="T560" s="3847"/>
      <c r="U560" s="3847"/>
      <c r="V560" s="2322"/>
      <c r="W560" s="2322"/>
      <c r="X560" s="2322"/>
      <c r="Y560" s="2322"/>
      <c r="Z560" s="2322"/>
      <c r="AA560" s="2322"/>
      <c r="AB560" s="2322"/>
      <c r="AC560" s="2322"/>
      <c r="AD560" s="2322"/>
      <c r="AE560" s="2322"/>
      <c r="AF560" s="2322"/>
      <c r="AG560" s="2322"/>
      <c r="AH560" s="2322"/>
      <c r="AI560" s="2322"/>
      <c r="AJ560" s="2322"/>
      <c r="AK560" s="2322"/>
      <c r="AL560" s="2322"/>
      <c r="AM560" s="2322"/>
    </row>
    <row r="561" spans="1:39">
      <c r="A561" s="89"/>
      <c r="B561" s="89"/>
      <c r="C561" s="89"/>
      <c r="D561" s="89"/>
      <c r="E561" s="89"/>
      <c r="F561" s="89"/>
      <c r="G561" s="89"/>
      <c r="H561" s="89"/>
      <c r="I561" s="3847"/>
      <c r="J561" s="3847"/>
      <c r="K561" s="3847"/>
      <c r="L561" s="3847"/>
      <c r="M561" s="3847"/>
      <c r="N561" s="3847"/>
      <c r="O561" s="3847"/>
      <c r="P561" s="3847"/>
      <c r="Q561" s="3847"/>
      <c r="R561" s="3847"/>
      <c r="S561" s="3847"/>
      <c r="T561" s="3847"/>
      <c r="U561" s="3847"/>
      <c r="V561" s="2322"/>
      <c r="W561" s="2322"/>
      <c r="X561" s="2322"/>
      <c r="Y561" s="2322"/>
      <c r="Z561" s="2322"/>
      <c r="AA561" s="2322"/>
      <c r="AB561" s="2322"/>
      <c r="AC561" s="2322"/>
      <c r="AD561" s="2322"/>
      <c r="AE561" s="2322"/>
      <c r="AF561" s="2322"/>
      <c r="AG561" s="2322"/>
      <c r="AH561" s="2322"/>
      <c r="AI561" s="2322"/>
      <c r="AJ561" s="2322"/>
      <c r="AK561" s="2322"/>
      <c r="AL561" s="2322"/>
      <c r="AM561" s="2322"/>
    </row>
    <row r="562" spans="1:39">
      <c r="A562" s="89"/>
      <c r="B562" s="89"/>
      <c r="C562" s="89"/>
      <c r="D562" s="89"/>
      <c r="E562" s="89"/>
      <c r="F562" s="89"/>
      <c r="G562" s="89"/>
      <c r="H562" s="89"/>
      <c r="I562" s="3847"/>
      <c r="J562" s="3847"/>
      <c r="K562" s="3847"/>
      <c r="L562" s="3847"/>
      <c r="M562" s="3847"/>
      <c r="N562" s="3847"/>
      <c r="O562" s="3847"/>
      <c r="P562" s="3847"/>
      <c r="Q562" s="3847"/>
      <c r="R562" s="3847"/>
      <c r="S562" s="3847"/>
      <c r="T562" s="3847"/>
      <c r="U562" s="3847"/>
      <c r="V562" s="2322"/>
      <c r="W562" s="2322"/>
      <c r="X562" s="2322"/>
      <c r="Y562" s="2322"/>
      <c r="Z562" s="2322"/>
      <c r="AA562" s="2322"/>
      <c r="AB562" s="2322"/>
      <c r="AC562" s="2322"/>
      <c r="AD562" s="2322"/>
      <c r="AE562" s="2322"/>
      <c r="AF562" s="2322"/>
      <c r="AG562" s="2322"/>
      <c r="AH562" s="2322"/>
      <c r="AI562" s="2322"/>
      <c r="AJ562" s="2322"/>
      <c r="AK562" s="2322"/>
      <c r="AL562" s="2322"/>
      <c r="AM562" s="2322"/>
    </row>
    <row r="563" spans="1:39">
      <c r="A563" s="89"/>
      <c r="B563" s="89"/>
      <c r="C563" s="89"/>
      <c r="D563" s="89"/>
      <c r="E563" s="89"/>
      <c r="F563" s="89"/>
      <c r="G563" s="89"/>
      <c r="H563" s="89"/>
      <c r="I563" s="3847"/>
      <c r="J563" s="3847"/>
      <c r="K563" s="3847"/>
      <c r="L563" s="3847"/>
      <c r="M563" s="3847"/>
      <c r="N563" s="3847"/>
      <c r="O563" s="3847"/>
      <c r="P563" s="3847"/>
      <c r="Q563" s="3847"/>
      <c r="R563" s="3847"/>
      <c r="S563" s="3847"/>
      <c r="T563" s="3847"/>
      <c r="U563" s="3847"/>
      <c r="V563" s="2322"/>
      <c r="W563" s="2322"/>
      <c r="X563" s="2322"/>
      <c r="Y563" s="2322"/>
      <c r="Z563" s="2322"/>
      <c r="AA563" s="2322"/>
      <c r="AB563" s="2322"/>
      <c r="AC563" s="2322"/>
      <c r="AD563" s="2322"/>
      <c r="AE563" s="2322"/>
      <c r="AF563" s="2322"/>
      <c r="AG563" s="2322"/>
      <c r="AH563" s="2322"/>
      <c r="AI563" s="2322"/>
      <c r="AJ563" s="2322"/>
      <c r="AK563" s="2322"/>
      <c r="AL563" s="2322"/>
      <c r="AM563" s="2322"/>
    </row>
    <row r="564" spans="1:39">
      <c r="A564" s="89"/>
      <c r="B564" s="89"/>
      <c r="C564" s="89"/>
      <c r="D564" s="89"/>
      <c r="E564" s="89"/>
      <c r="F564" s="89"/>
      <c r="G564" s="89"/>
      <c r="H564" s="89"/>
      <c r="I564" s="3847"/>
      <c r="J564" s="3847"/>
      <c r="K564" s="3847"/>
      <c r="L564" s="3847"/>
      <c r="M564" s="3847"/>
      <c r="N564" s="3847"/>
      <c r="O564" s="3847"/>
      <c r="P564" s="3847"/>
      <c r="Q564" s="3847"/>
      <c r="R564" s="3847"/>
      <c r="S564" s="3847"/>
      <c r="T564" s="3847"/>
      <c r="U564" s="3847"/>
      <c r="V564" s="2322"/>
      <c r="W564" s="2322"/>
      <c r="X564" s="2322"/>
      <c r="Y564" s="2322"/>
      <c r="Z564" s="2322"/>
      <c r="AA564" s="2322"/>
      <c r="AB564" s="2322"/>
      <c r="AC564" s="2322"/>
      <c r="AD564" s="2322"/>
      <c r="AE564" s="2322"/>
      <c r="AF564" s="2322"/>
      <c r="AG564" s="2322"/>
      <c r="AH564" s="2322"/>
      <c r="AI564" s="2322"/>
      <c r="AJ564" s="2322"/>
      <c r="AK564" s="2322"/>
      <c r="AL564" s="2322"/>
      <c r="AM564" s="2322"/>
    </row>
    <row r="565" spans="1:39">
      <c r="A565" s="89"/>
      <c r="B565" s="89"/>
      <c r="C565" s="89"/>
      <c r="D565" s="89"/>
      <c r="E565" s="89"/>
      <c r="F565" s="89"/>
      <c r="G565" s="89"/>
      <c r="H565" s="89"/>
      <c r="I565" s="3847"/>
      <c r="J565" s="3847"/>
      <c r="K565" s="3847"/>
      <c r="L565" s="3847"/>
      <c r="M565" s="3847"/>
      <c r="N565" s="3847"/>
      <c r="O565" s="3847"/>
      <c r="P565" s="3847"/>
      <c r="Q565" s="3847"/>
      <c r="R565" s="3847"/>
      <c r="S565" s="3847"/>
      <c r="T565" s="3847"/>
      <c r="U565" s="3847"/>
      <c r="V565" s="2322"/>
      <c r="W565" s="2322"/>
      <c r="X565" s="2322"/>
      <c r="Y565" s="2322"/>
      <c r="Z565" s="2322"/>
      <c r="AA565" s="2322"/>
      <c r="AB565" s="2322"/>
      <c r="AC565" s="2322"/>
      <c r="AD565" s="2322"/>
      <c r="AE565" s="2322"/>
      <c r="AF565" s="2322"/>
      <c r="AG565" s="2322"/>
      <c r="AH565" s="2322"/>
      <c r="AI565" s="2322"/>
      <c r="AJ565" s="2322"/>
      <c r="AK565" s="2322"/>
      <c r="AL565" s="2322"/>
      <c r="AM565" s="2322"/>
    </row>
    <row r="566" spans="1:39">
      <c r="A566" s="89"/>
      <c r="B566" s="89"/>
      <c r="C566" s="89"/>
      <c r="D566" s="89"/>
      <c r="E566" s="89"/>
      <c r="F566" s="89"/>
      <c r="G566" s="89"/>
      <c r="H566" s="89"/>
      <c r="I566" s="3847"/>
      <c r="J566" s="3847"/>
      <c r="K566" s="3847"/>
      <c r="L566" s="3847"/>
      <c r="M566" s="3847"/>
      <c r="N566" s="3847"/>
      <c r="O566" s="3847"/>
      <c r="P566" s="3847"/>
      <c r="Q566" s="3847"/>
      <c r="R566" s="3847"/>
      <c r="S566" s="3847"/>
      <c r="T566" s="3847"/>
      <c r="U566" s="3847"/>
      <c r="V566" s="2322"/>
      <c r="W566" s="2322"/>
      <c r="X566" s="2322"/>
      <c r="Y566" s="2322"/>
      <c r="Z566" s="2322"/>
      <c r="AA566" s="2322"/>
      <c r="AB566" s="2322"/>
      <c r="AC566" s="2322"/>
      <c r="AD566" s="2322"/>
      <c r="AE566" s="2322"/>
      <c r="AF566" s="2322"/>
      <c r="AG566" s="2322"/>
      <c r="AH566" s="2322"/>
      <c r="AI566" s="2322"/>
      <c r="AJ566" s="2322"/>
      <c r="AK566" s="2322"/>
      <c r="AL566" s="2322"/>
      <c r="AM566" s="2322"/>
    </row>
    <row r="567" spans="1:39">
      <c r="A567" s="89"/>
      <c r="B567" s="89"/>
      <c r="C567" s="89"/>
      <c r="D567" s="89"/>
      <c r="E567" s="89"/>
      <c r="F567" s="89"/>
      <c r="G567" s="89"/>
      <c r="H567" s="89"/>
      <c r="I567" s="3847"/>
      <c r="J567" s="3847"/>
      <c r="K567" s="3847"/>
      <c r="L567" s="3847"/>
      <c r="M567" s="3847"/>
      <c r="N567" s="3847"/>
      <c r="O567" s="3847"/>
      <c r="P567" s="3847"/>
      <c r="Q567" s="3847"/>
      <c r="R567" s="3847"/>
      <c r="S567" s="3847"/>
      <c r="T567" s="3847"/>
      <c r="U567" s="3847"/>
      <c r="V567" s="2322"/>
      <c r="W567" s="2322"/>
      <c r="X567" s="2322"/>
      <c r="Y567" s="2322"/>
      <c r="Z567" s="2322"/>
      <c r="AA567" s="2322"/>
      <c r="AB567" s="2322"/>
      <c r="AC567" s="2322"/>
      <c r="AD567" s="2322"/>
      <c r="AE567" s="2322"/>
      <c r="AF567" s="2322"/>
      <c r="AG567" s="2322"/>
      <c r="AH567" s="2322"/>
      <c r="AI567" s="2322"/>
      <c r="AJ567" s="2322"/>
      <c r="AK567" s="2322"/>
      <c r="AL567" s="2322"/>
      <c r="AM567" s="2322"/>
    </row>
    <row r="568" spans="1:39">
      <c r="A568" s="89"/>
      <c r="B568" s="89"/>
      <c r="C568" s="89"/>
      <c r="D568" s="89"/>
      <c r="E568" s="89"/>
      <c r="F568" s="89"/>
      <c r="G568" s="89"/>
      <c r="H568" s="89"/>
      <c r="I568" s="3847"/>
      <c r="J568" s="3847"/>
      <c r="K568" s="3847"/>
      <c r="L568" s="3847"/>
      <c r="M568" s="3847"/>
      <c r="N568" s="3847"/>
      <c r="O568" s="3847"/>
      <c r="P568" s="3847"/>
      <c r="Q568" s="3847"/>
      <c r="R568" s="3847"/>
      <c r="S568" s="3847"/>
      <c r="T568" s="3847"/>
      <c r="U568" s="3847"/>
      <c r="V568" s="2322"/>
      <c r="W568" s="2322"/>
      <c r="X568" s="2322"/>
      <c r="Y568" s="2322"/>
      <c r="Z568" s="2322"/>
      <c r="AA568" s="2322"/>
      <c r="AB568" s="2322"/>
      <c r="AC568" s="2322"/>
      <c r="AD568" s="2322"/>
      <c r="AE568" s="2322"/>
      <c r="AF568" s="2322"/>
      <c r="AG568" s="2322"/>
      <c r="AH568" s="2322"/>
      <c r="AI568" s="2322"/>
      <c r="AJ568" s="2322"/>
      <c r="AK568" s="2322"/>
      <c r="AL568" s="2322"/>
      <c r="AM568" s="2322"/>
    </row>
    <row r="569" spans="1:39">
      <c r="A569" s="89"/>
      <c r="B569" s="89"/>
      <c r="C569" s="89"/>
      <c r="D569" s="89"/>
      <c r="E569" s="89"/>
      <c r="F569" s="89"/>
      <c r="G569" s="89"/>
      <c r="H569" s="89"/>
      <c r="I569" s="3847"/>
      <c r="J569" s="3847"/>
      <c r="K569" s="3847"/>
      <c r="L569" s="3847"/>
      <c r="M569" s="3847"/>
      <c r="N569" s="3847"/>
      <c r="O569" s="3847"/>
      <c r="P569" s="3847"/>
      <c r="Q569" s="3847"/>
      <c r="R569" s="3847"/>
      <c r="S569" s="3847"/>
      <c r="T569" s="3847"/>
      <c r="U569" s="3847"/>
      <c r="V569" s="2322"/>
      <c r="W569" s="2322"/>
      <c r="X569" s="2322"/>
      <c r="Y569" s="2322"/>
      <c r="Z569" s="2322"/>
      <c r="AA569" s="2322"/>
      <c r="AB569" s="2322"/>
      <c r="AC569" s="2322"/>
      <c r="AD569" s="2322"/>
      <c r="AE569" s="2322"/>
      <c r="AF569" s="2322"/>
      <c r="AG569" s="2322"/>
      <c r="AH569" s="2322"/>
      <c r="AI569" s="2322"/>
      <c r="AJ569" s="2322"/>
      <c r="AK569" s="2322"/>
      <c r="AL569" s="2322"/>
      <c r="AM569" s="2322"/>
    </row>
    <row r="570" spans="1:39">
      <c r="A570" s="89"/>
      <c r="B570" s="89"/>
      <c r="C570" s="89"/>
      <c r="D570" s="89"/>
      <c r="E570" s="89"/>
      <c r="F570" s="89"/>
      <c r="G570" s="89"/>
      <c r="H570" s="89"/>
      <c r="I570" s="3847"/>
      <c r="J570" s="3847"/>
      <c r="K570" s="3847"/>
      <c r="L570" s="3847"/>
      <c r="M570" s="3847"/>
      <c r="N570" s="3847"/>
      <c r="O570" s="3847"/>
      <c r="P570" s="3847"/>
      <c r="Q570" s="3847"/>
      <c r="R570" s="3847"/>
      <c r="S570" s="3847"/>
      <c r="T570" s="3847"/>
      <c r="U570" s="3847"/>
      <c r="V570" s="2322"/>
      <c r="W570" s="2322"/>
      <c r="X570" s="2322"/>
      <c r="Y570" s="2322"/>
      <c r="Z570" s="2322"/>
      <c r="AA570" s="2322"/>
      <c r="AB570" s="2322"/>
      <c r="AC570" s="2322"/>
      <c r="AD570" s="2322"/>
      <c r="AE570" s="2322"/>
      <c r="AF570" s="2322"/>
      <c r="AG570" s="2322"/>
      <c r="AH570" s="2322"/>
      <c r="AI570" s="2322"/>
      <c r="AJ570" s="2322"/>
      <c r="AK570" s="2322"/>
      <c r="AL570" s="2322"/>
      <c r="AM570" s="2322"/>
    </row>
    <row r="571" spans="1:39">
      <c r="A571" s="89"/>
      <c r="B571" s="89"/>
      <c r="C571" s="89"/>
      <c r="D571" s="89"/>
      <c r="E571" s="89"/>
      <c r="F571" s="89"/>
      <c r="G571" s="89"/>
      <c r="H571" s="89"/>
      <c r="I571" s="3847"/>
      <c r="J571" s="3847"/>
      <c r="K571" s="3847"/>
      <c r="L571" s="3847"/>
      <c r="M571" s="3847"/>
      <c r="N571" s="3847"/>
      <c r="O571" s="3847"/>
      <c r="P571" s="3847"/>
      <c r="Q571" s="3847"/>
      <c r="R571" s="3847"/>
      <c r="S571" s="3847"/>
      <c r="T571" s="3847"/>
      <c r="U571" s="3847"/>
      <c r="V571" s="2322"/>
      <c r="W571" s="2322"/>
      <c r="X571" s="2322"/>
      <c r="Y571" s="2322"/>
      <c r="Z571" s="2322"/>
      <c r="AA571" s="2322"/>
      <c r="AB571" s="2322"/>
      <c r="AC571" s="2322"/>
      <c r="AD571" s="2322"/>
      <c r="AE571" s="2322"/>
      <c r="AF571" s="2322"/>
      <c r="AG571" s="2322"/>
      <c r="AH571" s="2322"/>
      <c r="AI571" s="2322"/>
      <c r="AJ571" s="2322"/>
      <c r="AK571" s="2322"/>
      <c r="AL571" s="2322"/>
      <c r="AM571" s="2322"/>
    </row>
    <row r="572" spans="1:39">
      <c r="A572" s="89"/>
      <c r="B572" s="89"/>
      <c r="C572" s="89"/>
      <c r="D572" s="89"/>
      <c r="E572" s="89"/>
      <c r="F572" s="89"/>
      <c r="G572" s="89"/>
      <c r="H572" s="89"/>
      <c r="I572" s="3847"/>
      <c r="J572" s="3847"/>
      <c r="K572" s="3847"/>
      <c r="L572" s="3847"/>
      <c r="M572" s="3847"/>
      <c r="N572" s="3847"/>
      <c r="O572" s="3847"/>
      <c r="P572" s="3847"/>
      <c r="Q572" s="3847"/>
      <c r="R572" s="3847"/>
      <c r="S572" s="3847"/>
      <c r="T572" s="3847"/>
      <c r="U572" s="3847"/>
      <c r="V572" s="2322"/>
      <c r="W572" s="2322"/>
      <c r="X572" s="2322"/>
      <c r="Y572" s="2322"/>
      <c r="Z572" s="2322"/>
      <c r="AA572" s="2322"/>
      <c r="AB572" s="2322"/>
      <c r="AC572" s="2322"/>
      <c r="AD572" s="2322"/>
      <c r="AE572" s="2322"/>
      <c r="AF572" s="2322"/>
      <c r="AG572" s="2322"/>
      <c r="AH572" s="2322"/>
      <c r="AI572" s="2322"/>
      <c r="AJ572" s="2322"/>
      <c r="AK572" s="2322"/>
      <c r="AL572" s="2322"/>
      <c r="AM572" s="2322"/>
    </row>
    <row r="573" spans="1:39">
      <c r="A573" s="89"/>
      <c r="B573" s="89"/>
      <c r="C573" s="89"/>
      <c r="D573" s="89"/>
      <c r="E573" s="89"/>
      <c r="F573" s="89"/>
      <c r="G573" s="89"/>
      <c r="H573" s="89"/>
      <c r="I573" s="3847"/>
      <c r="J573" s="3847"/>
      <c r="K573" s="3847"/>
      <c r="L573" s="3847"/>
      <c r="M573" s="3847"/>
      <c r="N573" s="3847"/>
      <c r="O573" s="3847"/>
      <c r="P573" s="3847"/>
      <c r="Q573" s="3847"/>
      <c r="R573" s="3847"/>
      <c r="S573" s="3847"/>
      <c r="T573" s="3847"/>
      <c r="U573" s="3847"/>
      <c r="V573" s="2322"/>
      <c r="W573" s="2322"/>
      <c r="X573" s="2322"/>
      <c r="Y573" s="2322"/>
      <c r="Z573" s="2322"/>
      <c r="AA573" s="2322"/>
      <c r="AB573" s="2322"/>
      <c r="AC573" s="2322"/>
      <c r="AD573" s="2322"/>
      <c r="AE573" s="2322"/>
      <c r="AF573" s="2322"/>
      <c r="AG573" s="2322"/>
      <c r="AH573" s="2322"/>
      <c r="AI573" s="2322"/>
      <c r="AJ573" s="2322"/>
      <c r="AK573" s="2322"/>
      <c r="AL573" s="2322"/>
      <c r="AM573" s="2322"/>
    </row>
    <row r="574" spans="1:39">
      <c r="A574" s="89"/>
      <c r="B574" s="89"/>
      <c r="C574" s="89"/>
      <c r="D574" s="89"/>
      <c r="E574" s="89"/>
      <c r="F574" s="89"/>
      <c r="G574" s="89"/>
      <c r="H574" s="89"/>
      <c r="I574" s="3847"/>
      <c r="J574" s="3847"/>
      <c r="K574" s="3847"/>
      <c r="L574" s="3847"/>
      <c r="M574" s="3847"/>
      <c r="N574" s="3847"/>
      <c r="O574" s="3847"/>
      <c r="P574" s="3847"/>
      <c r="Q574" s="3847"/>
      <c r="R574" s="3847"/>
      <c r="S574" s="3847"/>
      <c r="T574" s="3847"/>
      <c r="U574" s="3847"/>
      <c r="V574" s="2322"/>
      <c r="W574" s="2322"/>
      <c r="X574" s="2322"/>
      <c r="Y574" s="2322"/>
      <c r="Z574" s="2322"/>
      <c r="AA574" s="2322"/>
      <c r="AB574" s="2322"/>
      <c r="AC574" s="2322"/>
      <c r="AD574" s="2322"/>
      <c r="AE574" s="2322"/>
      <c r="AF574" s="2322"/>
      <c r="AG574" s="2322"/>
      <c r="AH574" s="2322"/>
      <c r="AI574" s="2322"/>
      <c r="AJ574" s="2322"/>
      <c r="AK574" s="2322"/>
      <c r="AL574" s="2322"/>
      <c r="AM574" s="2322"/>
    </row>
    <row r="575" spans="1:39">
      <c r="A575" s="89"/>
      <c r="B575" s="89"/>
      <c r="C575" s="89"/>
      <c r="D575" s="89"/>
      <c r="E575" s="89"/>
      <c r="F575" s="89"/>
      <c r="G575" s="89"/>
      <c r="H575" s="89"/>
      <c r="I575" s="3847"/>
      <c r="J575" s="3847"/>
      <c r="K575" s="3847"/>
      <c r="L575" s="3847"/>
      <c r="M575" s="3847"/>
      <c r="N575" s="3847"/>
      <c r="O575" s="3847"/>
      <c r="P575" s="3847"/>
      <c r="Q575" s="3847"/>
      <c r="R575" s="3847"/>
      <c r="S575" s="3847"/>
      <c r="T575" s="3847"/>
      <c r="U575" s="3847"/>
      <c r="V575" s="2322"/>
      <c r="W575" s="2322"/>
      <c r="X575" s="2322"/>
      <c r="Y575" s="2322"/>
      <c r="Z575" s="2322"/>
      <c r="AA575" s="2322"/>
      <c r="AB575" s="2322"/>
      <c r="AC575" s="2322"/>
      <c r="AD575" s="2322"/>
      <c r="AE575" s="2322"/>
      <c r="AF575" s="2322"/>
      <c r="AG575" s="2322"/>
      <c r="AH575" s="2322"/>
      <c r="AI575" s="2322"/>
      <c r="AJ575" s="2322"/>
      <c r="AK575" s="2322"/>
      <c r="AL575" s="2322"/>
      <c r="AM575" s="2322"/>
    </row>
    <row r="576" spans="1:39">
      <c r="A576" s="89"/>
      <c r="B576" s="89"/>
      <c r="C576" s="89"/>
      <c r="D576" s="89"/>
      <c r="E576" s="89"/>
      <c r="F576" s="89"/>
      <c r="G576" s="89"/>
      <c r="H576" s="89"/>
      <c r="I576" s="3847"/>
      <c r="J576" s="3847"/>
      <c r="K576" s="3847"/>
      <c r="L576" s="3847"/>
      <c r="M576" s="3847"/>
      <c r="N576" s="3847"/>
      <c r="O576" s="3847"/>
      <c r="P576" s="3847"/>
      <c r="Q576" s="3847"/>
      <c r="R576" s="3847"/>
      <c r="S576" s="3847"/>
      <c r="T576" s="3847"/>
      <c r="U576" s="3847"/>
      <c r="V576" s="2322"/>
      <c r="W576" s="2322"/>
      <c r="X576" s="2322"/>
      <c r="Y576" s="2322"/>
      <c r="Z576" s="2322"/>
      <c r="AA576" s="2322"/>
      <c r="AB576" s="2322"/>
      <c r="AC576" s="2322"/>
      <c r="AD576" s="2322"/>
      <c r="AE576" s="2322"/>
      <c r="AF576" s="2322"/>
      <c r="AG576" s="2322"/>
      <c r="AH576" s="2322"/>
      <c r="AI576" s="2322"/>
      <c r="AJ576" s="2322"/>
      <c r="AK576" s="2322"/>
      <c r="AL576" s="2322"/>
      <c r="AM576" s="2322"/>
    </row>
    <row r="577" spans="1:39">
      <c r="A577" s="89"/>
      <c r="B577" s="89"/>
      <c r="C577" s="89"/>
      <c r="D577" s="89"/>
      <c r="E577" s="89"/>
      <c r="F577" s="89"/>
      <c r="G577" s="89"/>
      <c r="H577" s="89"/>
      <c r="I577" s="3847"/>
      <c r="J577" s="3847"/>
      <c r="K577" s="3847"/>
      <c r="L577" s="3847"/>
      <c r="M577" s="3847"/>
      <c r="N577" s="3847"/>
      <c r="O577" s="3847"/>
      <c r="P577" s="3847"/>
      <c r="Q577" s="3847"/>
      <c r="R577" s="3847"/>
      <c r="S577" s="3847"/>
      <c r="T577" s="3847"/>
      <c r="U577" s="3847"/>
      <c r="V577" s="2322"/>
      <c r="W577" s="2322"/>
      <c r="X577" s="2322"/>
      <c r="Y577" s="2322"/>
      <c r="Z577" s="2322"/>
      <c r="AA577" s="2322"/>
      <c r="AB577" s="2322"/>
      <c r="AC577" s="2322"/>
      <c r="AD577" s="2322"/>
      <c r="AE577" s="2322"/>
      <c r="AF577" s="2322"/>
      <c r="AG577" s="2322"/>
      <c r="AH577" s="2322"/>
      <c r="AI577" s="2322"/>
      <c r="AJ577" s="2322"/>
      <c r="AK577" s="2322"/>
      <c r="AL577" s="2322"/>
      <c r="AM577" s="2322"/>
    </row>
    <row r="578" spans="1:39">
      <c r="A578" s="89"/>
      <c r="B578" s="89"/>
      <c r="C578" s="89"/>
      <c r="D578" s="89"/>
      <c r="E578" s="89"/>
      <c r="F578" s="89"/>
      <c r="G578" s="89"/>
      <c r="H578" s="89"/>
      <c r="I578" s="3847"/>
      <c r="J578" s="3847"/>
      <c r="K578" s="3847"/>
      <c r="L578" s="3847"/>
      <c r="M578" s="3847"/>
      <c r="N578" s="3847"/>
      <c r="O578" s="3847"/>
      <c r="P578" s="3847"/>
      <c r="Q578" s="3847"/>
      <c r="R578" s="3847"/>
      <c r="S578" s="3847"/>
      <c r="T578" s="3847"/>
      <c r="U578" s="3847"/>
      <c r="V578" s="2322"/>
      <c r="W578" s="2322"/>
      <c r="X578" s="2322"/>
      <c r="Y578" s="2322"/>
      <c r="Z578" s="2322"/>
      <c r="AA578" s="2322"/>
      <c r="AB578" s="2322"/>
      <c r="AC578" s="2322"/>
      <c r="AD578" s="2322"/>
      <c r="AE578" s="2322"/>
      <c r="AF578" s="2322"/>
      <c r="AG578" s="2322"/>
      <c r="AH578" s="2322"/>
      <c r="AI578" s="2322"/>
      <c r="AJ578" s="2322"/>
      <c r="AK578" s="2322"/>
      <c r="AL578" s="2322"/>
      <c r="AM578" s="2322"/>
    </row>
    <row r="579" spans="1:39">
      <c r="A579" s="89"/>
      <c r="B579" s="89"/>
      <c r="C579" s="89"/>
      <c r="D579" s="89"/>
      <c r="E579" s="89"/>
      <c r="F579" s="89"/>
      <c r="G579" s="89"/>
      <c r="H579" s="89"/>
      <c r="I579" s="3847"/>
      <c r="J579" s="3847"/>
      <c r="K579" s="3847"/>
      <c r="L579" s="3847"/>
      <c r="M579" s="3847"/>
      <c r="N579" s="3847"/>
      <c r="O579" s="3847"/>
      <c r="P579" s="3847"/>
      <c r="Q579" s="3847"/>
      <c r="R579" s="3847"/>
      <c r="S579" s="3847"/>
      <c r="T579" s="3847"/>
      <c r="U579" s="3847"/>
      <c r="V579" s="2322"/>
      <c r="W579" s="2322"/>
      <c r="X579" s="2322"/>
      <c r="Y579" s="2322"/>
      <c r="Z579" s="2322"/>
      <c r="AA579" s="2322"/>
      <c r="AB579" s="2322"/>
      <c r="AC579" s="2322"/>
      <c r="AD579" s="2322"/>
      <c r="AE579" s="2322"/>
      <c r="AF579" s="2322"/>
      <c r="AG579" s="2322"/>
      <c r="AH579" s="2322"/>
      <c r="AI579" s="2322"/>
      <c r="AJ579" s="2322"/>
      <c r="AK579" s="2322"/>
      <c r="AL579" s="2322"/>
      <c r="AM579" s="2322"/>
    </row>
    <row r="580" spans="1:39">
      <c r="A580" s="89"/>
      <c r="B580" s="89"/>
      <c r="C580" s="89"/>
      <c r="D580" s="89"/>
      <c r="E580" s="89"/>
      <c r="F580" s="89"/>
      <c r="G580" s="89"/>
      <c r="H580" s="89"/>
      <c r="I580" s="3847"/>
      <c r="J580" s="3847"/>
      <c r="K580" s="3847"/>
      <c r="L580" s="3847"/>
      <c r="M580" s="3847"/>
      <c r="N580" s="3847"/>
      <c r="O580" s="3847"/>
      <c r="P580" s="3847"/>
      <c r="Q580" s="3847"/>
      <c r="R580" s="3847"/>
      <c r="S580" s="3847"/>
      <c r="T580" s="3847"/>
      <c r="U580" s="3847"/>
      <c r="V580" s="2322"/>
      <c r="W580" s="2322"/>
      <c r="X580" s="2322"/>
      <c r="Y580" s="2322"/>
      <c r="Z580" s="2322"/>
      <c r="AA580" s="2322"/>
      <c r="AB580" s="2322"/>
      <c r="AC580" s="2322"/>
      <c r="AD580" s="2322"/>
      <c r="AE580" s="2322"/>
      <c r="AF580" s="2322"/>
      <c r="AG580" s="2322"/>
      <c r="AH580" s="2322"/>
      <c r="AI580" s="2322"/>
      <c r="AJ580" s="2322"/>
      <c r="AK580" s="2322"/>
      <c r="AL580" s="2322"/>
      <c r="AM580" s="2322"/>
    </row>
    <row r="581" spans="1:39">
      <c r="A581" s="89"/>
      <c r="B581" s="89"/>
      <c r="C581" s="89"/>
      <c r="D581" s="89"/>
      <c r="E581" s="89"/>
      <c r="F581" s="89"/>
      <c r="G581" s="89"/>
      <c r="H581" s="89"/>
      <c r="I581" s="3847"/>
      <c r="J581" s="3847"/>
      <c r="K581" s="3847"/>
      <c r="L581" s="3847"/>
      <c r="M581" s="3847"/>
      <c r="N581" s="3847"/>
      <c r="O581" s="3847"/>
      <c r="P581" s="3847"/>
      <c r="Q581" s="3847"/>
      <c r="R581" s="3847"/>
      <c r="S581" s="3847"/>
      <c r="T581" s="3847"/>
      <c r="U581" s="3847"/>
      <c r="V581" s="2322"/>
      <c r="W581" s="2322"/>
      <c r="X581" s="2322"/>
      <c r="Y581" s="2322"/>
      <c r="Z581" s="2322"/>
      <c r="AA581" s="2322"/>
      <c r="AB581" s="2322"/>
      <c r="AC581" s="2322"/>
      <c r="AD581" s="2322"/>
      <c r="AE581" s="2322"/>
      <c r="AF581" s="2322"/>
      <c r="AG581" s="2322"/>
      <c r="AH581" s="2322"/>
      <c r="AI581" s="2322"/>
      <c r="AJ581" s="2322"/>
      <c r="AK581" s="2322"/>
      <c r="AL581" s="2322"/>
      <c r="AM581" s="2322"/>
    </row>
    <row r="582" spans="1:39">
      <c r="A582" s="89"/>
      <c r="B582" s="89"/>
      <c r="C582" s="89"/>
      <c r="D582" s="89"/>
      <c r="E582" s="89"/>
      <c r="F582" s="89"/>
      <c r="G582" s="89"/>
      <c r="H582" s="89"/>
      <c r="I582" s="3847"/>
      <c r="J582" s="3847"/>
      <c r="K582" s="3847"/>
      <c r="L582" s="3847"/>
      <c r="M582" s="3847"/>
      <c r="N582" s="3847"/>
      <c r="O582" s="3847"/>
      <c r="P582" s="3847"/>
      <c r="Q582" s="3847"/>
      <c r="R582" s="3847"/>
      <c r="S582" s="3847"/>
      <c r="T582" s="3847"/>
      <c r="U582" s="3847"/>
      <c r="V582" s="2322"/>
      <c r="W582" s="2322"/>
      <c r="X582" s="2322"/>
      <c r="Y582" s="2322"/>
      <c r="Z582" s="2322"/>
      <c r="AA582" s="2322"/>
      <c r="AB582" s="2322"/>
      <c r="AC582" s="2322"/>
      <c r="AD582" s="2322"/>
      <c r="AE582" s="2322"/>
      <c r="AF582" s="2322"/>
      <c r="AG582" s="2322"/>
      <c r="AH582" s="2322"/>
      <c r="AI582" s="2322"/>
      <c r="AJ582" s="2322"/>
      <c r="AK582" s="2322"/>
      <c r="AL582" s="2322"/>
      <c r="AM582" s="2322"/>
    </row>
    <row r="583" spans="1:39">
      <c r="A583" s="89"/>
      <c r="B583" s="89"/>
      <c r="C583" s="89"/>
      <c r="D583" s="89"/>
      <c r="E583" s="89"/>
      <c r="F583" s="89"/>
      <c r="G583" s="89"/>
      <c r="H583" s="89"/>
      <c r="I583" s="3847"/>
      <c r="J583" s="3847"/>
      <c r="K583" s="3847"/>
      <c r="L583" s="3847"/>
      <c r="M583" s="3847"/>
      <c r="N583" s="3847"/>
      <c r="O583" s="3847"/>
      <c r="P583" s="3847"/>
      <c r="Q583" s="3847"/>
      <c r="R583" s="3847"/>
      <c r="S583" s="3847"/>
      <c r="T583" s="3847"/>
      <c r="U583" s="3847"/>
      <c r="V583" s="2322"/>
      <c r="W583" s="2322"/>
      <c r="X583" s="2322"/>
      <c r="Y583" s="2322"/>
      <c r="Z583" s="2322"/>
      <c r="AA583" s="2322"/>
      <c r="AB583" s="2322"/>
      <c r="AC583" s="2322"/>
      <c r="AD583" s="2322"/>
      <c r="AE583" s="2322"/>
      <c r="AF583" s="2322"/>
      <c r="AG583" s="2322"/>
      <c r="AH583" s="2322"/>
      <c r="AI583" s="2322"/>
      <c r="AJ583" s="2322"/>
      <c r="AK583" s="2322"/>
      <c r="AL583" s="2322"/>
      <c r="AM583" s="2322"/>
    </row>
    <row r="584" spans="1:39">
      <c r="A584" s="89"/>
      <c r="B584" s="89"/>
      <c r="C584" s="89"/>
      <c r="D584" s="89"/>
      <c r="E584" s="89"/>
      <c r="F584" s="89"/>
      <c r="G584" s="89"/>
      <c r="H584" s="89"/>
      <c r="I584" s="3847"/>
      <c r="J584" s="3847"/>
      <c r="K584" s="3847"/>
      <c r="L584" s="3847"/>
      <c r="M584" s="3847"/>
      <c r="N584" s="3847"/>
      <c r="O584" s="3847"/>
      <c r="P584" s="3847"/>
      <c r="Q584" s="3847"/>
      <c r="R584" s="3847"/>
      <c r="S584" s="3847"/>
      <c r="T584" s="3847"/>
      <c r="U584" s="3847"/>
      <c r="V584" s="2322"/>
      <c r="W584" s="2322"/>
      <c r="X584" s="2322"/>
      <c r="Y584" s="2322"/>
      <c r="Z584" s="2322"/>
      <c r="AA584" s="2322"/>
      <c r="AB584" s="2322"/>
      <c r="AC584" s="2322"/>
      <c r="AD584" s="2322"/>
      <c r="AE584" s="2322"/>
      <c r="AF584" s="2322"/>
      <c r="AG584" s="2322"/>
      <c r="AH584" s="2322"/>
      <c r="AI584" s="2322"/>
      <c r="AJ584" s="2322"/>
      <c r="AK584" s="2322"/>
      <c r="AL584" s="2322"/>
      <c r="AM584" s="2322"/>
    </row>
    <row r="585" spans="1:39">
      <c r="A585" s="89"/>
      <c r="B585" s="89"/>
      <c r="C585" s="89"/>
      <c r="D585" s="89"/>
      <c r="E585" s="89"/>
      <c r="F585" s="89"/>
      <c r="G585" s="89"/>
      <c r="H585" s="89"/>
      <c r="I585" s="3847"/>
      <c r="J585" s="3847"/>
      <c r="K585" s="3847"/>
      <c r="L585" s="3847"/>
      <c r="M585" s="3847"/>
      <c r="N585" s="3847"/>
      <c r="O585" s="3847"/>
      <c r="P585" s="3847"/>
      <c r="Q585" s="3847"/>
      <c r="R585" s="3847"/>
      <c r="S585" s="3847"/>
      <c r="T585" s="3847"/>
      <c r="U585" s="3847"/>
      <c r="V585" s="2322"/>
      <c r="W585" s="2322"/>
      <c r="X585" s="2322"/>
      <c r="Y585" s="2322"/>
      <c r="Z585" s="2322"/>
      <c r="AA585" s="2322"/>
      <c r="AB585" s="2322"/>
      <c r="AC585" s="2322"/>
      <c r="AD585" s="2322"/>
      <c r="AE585" s="2322"/>
      <c r="AF585" s="2322"/>
      <c r="AG585" s="2322"/>
      <c r="AH585" s="2322"/>
      <c r="AI585" s="2322"/>
      <c r="AJ585" s="2322"/>
      <c r="AK585" s="2322"/>
      <c r="AL585" s="2322"/>
      <c r="AM585" s="2322"/>
    </row>
    <row r="586" spans="1:39">
      <c r="A586" s="89"/>
      <c r="B586" s="89"/>
      <c r="C586" s="89"/>
      <c r="D586" s="89"/>
      <c r="E586" s="89"/>
      <c r="F586" s="89"/>
      <c r="G586" s="89"/>
      <c r="H586" s="89"/>
      <c r="I586" s="3847"/>
      <c r="J586" s="3847"/>
      <c r="K586" s="3847"/>
      <c r="L586" s="3847"/>
      <c r="M586" s="3847"/>
      <c r="N586" s="3847"/>
      <c r="O586" s="3847"/>
      <c r="P586" s="3847"/>
      <c r="Q586" s="3847"/>
      <c r="R586" s="3847"/>
      <c r="S586" s="3847"/>
      <c r="T586" s="3847"/>
      <c r="U586" s="3847"/>
      <c r="V586" s="2322"/>
      <c r="W586" s="2322"/>
      <c r="X586" s="2322"/>
      <c r="Y586" s="2322"/>
      <c r="Z586" s="2322"/>
      <c r="AA586" s="2322"/>
      <c r="AB586" s="2322"/>
      <c r="AC586" s="2322"/>
      <c r="AD586" s="2322"/>
      <c r="AE586" s="2322"/>
      <c r="AF586" s="2322"/>
      <c r="AG586" s="2322"/>
      <c r="AH586" s="2322"/>
      <c r="AI586" s="2322"/>
      <c r="AJ586" s="2322"/>
      <c r="AK586" s="2322"/>
      <c r="AL586" s="2322"/>
      <c r="AM586" s="2322"/>
    </row>
    <row r="587" spans="1:39">
      <c r="A587" s="89"/>
      <c r="B587" s="89"/>
      <c r="C587" s="89"/>
      <c r="D587" s="89"/>
      <c r="E587" s="89"/>
      <c r="F587" s="89"/>
      <c r="G587" s="89"/>
      <c r="H587" s="89"/>
      <c r="I587" s="3847"/>
      <c r="J587" s="3847"/>
      <c r="K587" s="3847"/>
      <c r="L587" s="3847"/>
      <c r="M587" s="3847"/>
      <c r="N587" s="3847"/>
      <c r="O587" s="3847"/>
      <c r="P587" s="3847"/>
      <c r="Q587" s="3847"/>
      <c r="R587" s="3847"/>
      <c r="S587" s="3847"/>
      <c r="T587" s="3847"/>
      <c r="U587" s="3847"/>
      <c r="V587" s="2322"/>
      <c r="W587" s="2322"/>
      <c r="X587" s="2322"/>
      <c r="Y587" s="2322"/>
      <c r="Z587" s="2322"/>
      <c r="AA587" s="2322"/>
      <c r="AB587" s="2322"/>
      <c r="AC587" s="2322"/>
      <c r="AD587" s="2322"/>
      <c r="AE587" s="2322"/>
      <c r="AF587" s="2322"/>
      <c r="AG587" s="2322"/>
      <c r="AH587" s="2322"/>
      <c r="AI587" s="2322"/>
      <c r="AJ587" s="2322"/>
      <c r="AK587" s="2322"/>
      <c r="AL587" s="2322"/>
      <c r="AM587" s="2322"/>
    </row>
    <row r="588" spans="1:39">
      <c r="A588" s="89"/>
      <c r="B588" s="89"/>
      <c r="C588" s="89"/>
      <c r="D588" s="89"/>
      <c r="E588" s="89"/>
      <c r="F588" s="89"/>
      <c r="G588" s="89"/>
      <c r="H588" s="89"/>
      <c r="I588" s="3847"/>
      <c r="J588" s="3847"/>
      <c r="K588" s="3847"/>
      <c r="L588" s="3847"/>
      <c r="M588" s="3847"/>
      <c r="N588" s="3847"/>
      <c r="O588" s="3847"/>
      <c r="P588" s="3847"/>
      <c r="Q588" s="3847"/>
      <c r="R588" s="3847"/>
      <c r="S588" s="3847"/>
      <c r="T588" s="3847"/>
      <c r="U588" s="3847"/>
      <c r="V588" s="2322"/>
      <c r="W588" s="2322"/>
      <c r="X588" s="2322"/>
      <c r="Y588" s="2322"/>
      <c r="Z588" s="2322"/>
      <c r="AA588" s="2322"/>
      <c r="AB588" s="2322"/>
      <c r="AC588" s="2322"/>
      <c r="AD588" s="2322"/>
      <c r="AE588" s="2322"/>
      <c r="AF588" s="2322"/>
      <c r="AG588" s="2322"/>
      <c r="AH588" s="2322"/>
      <c r="AI588" s="2322"/>
      <c r="AJ588" s="2322"/>
      <c r="AK588" s="2322"/>
      <c r="AL588" s="2322"/>
      <c r="AM588" s="2322"/>
    </row>
    <row r="589" spans="1:39">
      <c r="A589" s="89"/>
      <c r="B589" s="89"/>
      <c r="C589" s="89"/>
      <c r="D589" s="89"/>
      <c r="E589" s="89"/>
      <c r="F589" s="89"/>
      <c r="G589" s="89"/>
      <c r="H589" s="89"/>
      <c r="I589" s="3847"/>
      <c r="J589" s="3847"/>
      <c r="K589" s="3847"/>
      <c r="L589" s="3847"/>
      <c r="M589" s="3847"/>
      <c r="N589" s="3847"/>
      <c r="O589" s="3847"/>
      <c r="P589" s="3847"/>
      <c r="Q589" s="3847"/>
      <c r="R589" s="3847"/>
      <c r="S589" s="3847"/>
      <c r="T589" s="3847"/>
      <c r="U589" s="3847"/>
      <c r="V589" s="2322"/>
      <c r="W589" s="2322"/>
      <c r="X589" s="2322"/>
      <c r="Y589" s="2322"/>
      <c r="Z589" s="2322"/>
      <c r="AA589" s="2322"/>
      <c r="AB589" s="2322"/>
      <c r="AC589" s="2322"/>
      <c r="AD589" s="2322"/>
      <c r="AE589" s="2322"/>
      <c r="AF589" s="2322"/>
      <c r="AG589" s="2322"/>
      <c r="AH589" s="2322"/>
      <c r="AI589" s="2322"/>
      <c r="AJ589" s="2322"/>
      <c r="AK589" s="2322"/>
      <c r="AL589" s="2322"/>
      <c r="AM589" s="2322"/>
    </row>
    <row r="590" spans="1:39">
      <c r="A590" s="89"/>
      <c r="B590" s="89"/>
      <c r="C590" s="89"/>
      <c r="D590" s="89"/>
      <c r="E590" s="89"/>
      <c r="F590" s="89"/>
      <c r="G590" s="89"/>
      <c r="H590" s="89"/>
      <c r="I590" s="3847"/>
      <c r="J590" s="3847"/>
      <c r="K590" s="3847"/>
      <c r="L590" s="3847"/>
      <c r="M590" s="3847"/>
      <c r="N590" s="3847"/>
      <c r="O590" s="3847"/>
      <c r="P590" s="3847"/>
      <c r="Q590" s="3847"/>
      <c r="R590" s="3847"/>
      <c r="S590" s="3847"/>
      <c r="T590" s="3847"/>
      <c r="U590" s="3847"/>
      <c r="V590" s="2322"/>
      <c r="W590" s="2322"/>
      <c r="X590" s="2322"/>
      <c r="Y590" s="2322"/>
      <c r="Z590" s="2322"/>
      <c r="AA590" s="2322"/>
      <c r="AB590" s="2322"/>
      <c r="AC590" s="2322"/>
      <c r="AD590" s="2322"/>
      <c r="AE590" s="2322"/>
      <c r="AF590" s="2322"/>
      <c r="AG590" s="2322"/>
      <c r="AH590" s="2322"/>
      <c r="AI590" s="2322"/>
      <c r="AJ590" s="2322"/>
      <c r="AK590" s="2322"/>
      <c r="AL590" s="2322"/>
      <c r="AM590" s="2322"/>
    </row>
    <row r="591" spans="1:39">
      <c r="A591" s="89"/>
      <c r="B591" s="89"/>
      <c r="C591" s="89"/>
      <c r="D591" s="89"/>
      <c r="E591" s="89"/>
      <c r="F591" s="89"/>
      <c r="G591" s="89"/>
      <c r="H591" s="89"/>
      <c r="I591" s="3847"/>
      <c r="J591" s="3847"/>
      <c r="K591" s="3847"/>
      <c r="L591" s="3847"/>
      <c r="M591" s="3847"/>
      <c r="N591" s="3847"/>
      <c r="O591" s="3847"/>
      <c r="P591" s="3847"/>
      <c r="Q591" s="3847"/>
      <c r="R591" s="3847"/>
      <c r="S591" s="3847"/>
      <c r="T591" s="3847"/>
      <c r="U591" s="3847"/>
      <c r="V591" s="2322"/>
      <c r="W591" s="2322"/>
      <c r="X591" s="2322"/>
      <c r="Y591" s="2322"/>
      <c r="Z591" s="2322"/>
      <c r="AA591" s="2322"/>
      <c r="AB591" s="2322"/>
      <c r="AC591" s="2322"/>
      <c r="AD591" s="2322"/>
      <c r="AE591" s="2322"/>
      <c r="AF591" s="2322"/>
      <c r="AG591" s="2322"/>
      <c r="AH591" s="2322"/>
      <c r="AI591" s="2322"/>
      <c r="AJ591" s="2322"/>
      <c r="AK591" s="2322"/>
      <c r="AL591" s="2322"/>
      <c r="AM591" s="2322"/>
    </row>
    <row r="592" spans="1:39">
      <c r="A592" s="89"/>
      <c r="B592" s="89"/>
      <c r="C592" s="89"/>
      <c r="D592" s="89"/>
      <c r="E592" s="89"/>
      <c r="F592" s="89"/>
      <c r="G592" s="89"/>
      <c r="H592" s="89"/>
      <c r="I592" s="3847"/>
      <c r="J592" s="3847"/>
      <c r="K592" s="3847"/>
      <c r="L592" s="3847"/>
      <c r="M592" s="3847"/>
      <c r="N592" s="3847"/>
      <c r="O592" s="3847"/>
      <c r="P592" s="3847"/>
      <c r="Q592" s="3847"/>
      <c r="R592" s="3847"/>
      <c r="S592" s="3847"/>
      <c r="T592" s="3847"/>
      <c r="U592" s="3847"/>
      <c r="V592" s="2322"/>
      <c r="W592" s="2322"/>
      <c r="X592" s="2322"/>
      <c r="Y592" s="2322"/>
      <c r="Z592" s="2322"/>
      <c r="AA592" s="2322"/>
      <c r="AB592" s="2322"/>
      <c r="AC592" s="2322"/>
      <c r="AD592" s="2322"/>
      <c r="AE592" s="2322"/>
      <c r="AF592" s="2322"/>
      <c r="AG592" s="2322"/>
      <c r="AH592" s="2322"/>
      <c r="AI592" s="2322"/>
      <c r="AJ592" s="2322"/>
      <c r="AK592" s="2322"/>
      <c r="AL592" s="2322"/>
      <c r="AM592" s="2322"/>
    </row>
    <row r="593" spans="1:39">
      <c r="A593" s="89"/>
      <c r="B593" s="89"/>
      <c r="C593" s="89"/>
      <c r="D593" s="89"/>
      <c r="E593" s="89"/>
      <c r="F593" s="89"/>
      <c r="G593" s="89"/>
      <c r="H593" s="89"/>
      <c r="I593" s="3847"/>
      <c r="J593" s="3847"/>
      <c r="K593" s="3847"/>
      <c r="L593" s="3847"/>
      <c r="M593" s="3847"/>
      <c r="N593" s="3847"/>
      <c r="O593" s="3847"/>
      <c r="P593" s="3847"/>
      <c r="Q593" s="3847"/>
      <c r="R593" s="3847"/>
      <c r="S593" s="3847"/>
      <c r="T593" s="3847"/>
      <c r="U593" s="3847"/>
      <c r="V593" s="2322"/>
      <c r="W593" s="2322"/>
      <c r="X593" s="2322"/>
      <c r="Y593" s="2322"/>
      <c r="Z593" s="2322"/>
      <c r="AA593" s="2322"/>
      <c r="AB593" s="2322"/>
      <c r="AC593" s="2322"/>
      <c r="AD593" s="2322"/>
      <c r="AE593" s="2322"/>
      <c r="AF593" s="2322"/>
      <c r="AG593" s="2322"/>
      <c r="AH593" s="2322"/>
      <c r="AI593" s="2322"/>
      <c r="AJ593" s="2322"/>
      <c r="AK593" s="2322"/>
      <c r="AL593" s="2322"/>
      <c r="AM593" s="2322"/>
    </row>
    <row r="594" spans="1:39">
      <c r="A594" s="89"/>
      <c r="B594" s="89"/>
      <c r="C594" s="89"/>
      <c r="D594" s="89"/>
      <c r="E594" s="89"/>
      <c r="F594" s="89"/>
      <c r="G594" s="89"/>
      <c r="H594" s="89"/>
      <c r="I594" s="3847"/>
      <c r="J594" s="3847"/>
      <c r="K594" s="3847"/>
      <c r="L594" s="3847"/>
      <c r="M594" s="3847"/>
      <c r="N594" s="3847"/>
      <c r="O594" s="3847"/>
      <c r="P594" s="3847"/>
      <c r="Q594" s="3847"/>
      <c r="R594" s="3847"/>
      <c r="S594" s="3847"/>
      <c r="T594" s="3847"/>
      <c r="U594" s="3847"/>
      <c r="V594" s="2322"/>
      <c r="W594" s="2322"/>
      <c r="X594" s="2322"/>
      <c r="Y594" s="2322"/>
      <c r="Z594" s="2322"/>
      <c r="AA594" s="2322"/>
      <c r="AB594" s="2322"/>
      <c r="AC594" s="2322"/>
      <c r="AD594" s="2322"/>
      <c r="AE594" s="2322"/>
      <c r="AF594" s="2322"/>
      <c r="AG594" s="2322"/>
      <c r="AH594" s="2322"/>
      <c r="AI594" s="2322"/>
      <c r="AJ594" s="2322"/>
      <c r="AK594" s="2322"/>
      <c r="AL594" s="2322"/>
      <c r="AM594" s="2322"/>
    </row>
    <row r="595" spans="1:39">
      <c r="A595" s="89"/>
      <c r="B595" s="89"/>
      <c r="C595" s="89"/>
      <c r="D595" s="89"/>
      <c r="E595" s="89"/>
      <c r="F595" s="89"/>
      <c r="G595" s="89"/>
      <c r="H595" s="89"/>
      <c r="I595" s="3847"/>
      <c r="J595" s="3847"/>
      <c r="K595" s="3847"/>
      <c r="L595" s="3847"/>
      <c r="M595" s="3847"/>
      <c r="N595" s="3847"/>
      <c r="O595" s="3847"/>
      <c r="P595" s="3847"/>
      <c r="Q595" s="3847"/>
      <c r="R595" s="3847"/>
      <c r="S595" s="3847"/>
      <c r="T595" s="3847"/>
      <c r="U595" s="3847"/>
      <c r="V595" s="2322"/>
      <c r="W595" s="2322"/>
      <c r="X595" s="2322"/>
      <c r="Y595" s="2322"/>
      <c r="Z595" s="2322"/>
      <c r="AA595" s="2322"/>
      <c r="AB595" s="2322"/>
      <c r="AC595" s="2322"/>
      <c r="AD595" s="2322"/>
      <c r="AE595" s="2322"/>
      <c r="AF595" s="2322"/>
      <c r="AG595" s="2322"/>
      <c r="AH595" s="2322"/>
      <c r="AI595" s="2322"/>
      <c r="AJ595" s="2322"/>
      <c r="AK595" s="2322"/>
      <c r="AL595" s="2322"/>
      <c r="AM595" s="2322"/>
    </row>
    <row r="596" spans="1:39">
      <c r="A596" s="89"/>
      <c r="B596" s="89"/>
      <c r="C596" s="89"/>
      <c r="D596" s="89"/>
      <c r="E596" s="89"/>
      <c r="F596" s="89"/>
      <c r="G596" s="89"/>
      <c r="H596" s="89"/>
      <c r="I596" s="3847"/>
      <c r="J596" s="3847"/>
      <c r="K596" s="3847"/>
      <c r="L596" s="3847"/>
      <c r="M596" s="3847"/>
      <c r="N596" s="3847"/>
      <c r="O596" s="3847"/>
      <c r="P596" s="3847"/>
      <c r="Q596" s="3847"/>
      <c r="R596" s="3847"/>
      <c r="S596" s="3847"/>
      <c r="T596" s="3847"/>
      <c r="U596" s="3847"/>
      <c r="V596" s="2322"/>
      <c r="W596" s="2322"/>
      <c r="X596" s="2322"/>
      <c r="Y596" s="2322"/>
      <c r="Z596" s="2322"/>
      <c r="AA596" s="2322"/>
      <c r="AB596" s="2322"/>
      <c r="AC596" s="2322"/>
      <c r="AD596" s="2322"/>
      <c r="AE596" s="2322"/>
      <c r="AF596" s="2322"/>
      <c r="AG596" s="2322"/>
      <c r="AH596" s="2322"/>
      <c r="AI596" s="2322"/>
      <c r="AJ596" s="2322"/>
      <c r="AK596" s="2322"/>
      <c r="AL596" s="2322"/>
      <c r="AM596" s="2322"/>
    </row>
    <row r="597" spans="1:39">
      <c r="A597" s="89"/>
      <c r="B597" s="89"/>
      <c r="C597" s="89"/>
      <c r="D597" s="89"/>
      <c r="E597" s="89"/>
      <c r="F597" s="89"/>
      <c r="G597" s="89"/>
      <c r="H597" s="89"/>
      <c r="I597" s="3847"/>
      <c r="J597" s="3847"/>
      <c r="K597" s="3847"/>
      <c r="L597" s="3847"/>
      <c r="M597" s="3847"/>
      <c r="N597" s="3847"/>
      <c r="O597" s="3847"/>
      <c r="P597" s="3847"/>
      <c r="Q597" s="3847"/>
      <c r="R597" s="3847"/>
      <c r="S597" s="3847"/>
      <c r="T597" s="3847"/>
      <c r="U597" s="3847"/>
      <c r="V597" s="2322"/>
      <c r="W597" s="2322"/>
      <c r="X597" s="2322"/>
      <c r="Y597" s="2322"/>
      <c r="Z597" s="2322"/>
      <c r="AA597" s="2322"/>
      <c r="AB597" s="2322"/>
      <c r="AC597" s="2322"/>
      <c r="AD597" s="2322"/>
      <c r="AE597" s="2322"/>
      <c r="AF597" s="2322"/>
      <c r="AG597" s="2322"/>
      <c r="AH597" s="2322"/>
      <c r="AI597" s="2322"/>
      <c r="AJ597" s="2322"/>
      <c r="AK597" s="2322"/>
      <c r="AL597" s="2322"/>
      <c r="AM597" s="2322"/>
    </row>
    <row r="598" spans="1:39">
      <c r="A598" s="89"/>
      <c r="B598" s="89"/>
      <c r="C598" s="89"/>
      <c r="D598" s="89"/>
      <c r="E598" s="89"/>
      <c r="F598" s="89"/>
      <c r="G598" s="89"/>
      <c r="H598" s="89"/>
      <c r="I598" s="3847"/>
      <c r="J598" s="3847"/>
      <c r="K598" s="3847"/>
      <c r="L598" s="3847"/>
      <c r="M598" s="3847"/>
      <c r="N598" s="3847"/>
      <c r="O598" s="3847"/>
      <c r="P598" s="3847"/>
      <c r="Q598" s="3847"/>
      <c r="R598" s="3847"/>
      <c r="S598" s="3847"/>
      <c r="T598" s="3847"/>
      <c r="U598" s="3847"/>
      <c r="V598" s="2322"/>
      <c r="W598" s="2322"/>
      <c r="X598" s="2322"/>
      <c r="Y598" s="2322"/>
      <c r="Z598" s="2322"/>
      <c r="AA598" s="2322"/>
      <c r="AB598" s="2322"/>
      <c r="AC598" s="2322"/>
      <c r="AD598" s="2322"/>
      <c r="AE598" s="2322"/>
      <c r="AF598" s="2322"/>
      <c r="AG598" s="2322"/>
      <c r="AH598" s="2322"/>
      <c r="AI598" s="2322"/>
      <c r="AJ598" s="2322"/>
      <c r="AK598" s="2322"/>
      <c r="AL598" s="2322"/>
      <c r="AM598" s="2322"/>
    </row>
    <row r="599" spans="1:39">
      <c r="A599" s="89"/>
      <c r="B599" s="89"/>
      <c r="C599" s="89"/>
      <c r="D599" s="89"/>
      <c r="E599" s="89"/>
      <c r="F599" s="89"/>
      <c r="G599" s="89"/>
      <c r="H599" s="89"/>
      <c r="I599" s="3847"/>
      <c r="J599" s="3847"/>
      <c r="K599" s="3847"/>
      <c r="L599" s="3847"/>
      <c r="M599" s="3847"/>
      <c r="N599" s="3847"/>
      <c r="O599" s="3847"/>
      <c r="P599" s="3847"/>
      <c r="Q599" s="3847"/>
      <c r="R599" s="3847"/>
      <c r="S599" s="3847"/>
      <c r="T599" s="3847"/>
      <c r="U599" s="3847"/>
      <c r="V599" s="2322"/>
      <c r="W599" s="2322"/>
      <c r="X599" s="2322"/>
      <c r="Y599" s="2322"/>
      <c r="Z599" s="2322"/>
      <c r="AA599" s="2322"/>
      <c r="AB599" s="2322"/>
      <c r="AC599" s="2322"/>
      <c r="AD599" s="2322"/>
      <c r="AE599" s="2322"/>
      <c r="AF599" s="2322"/>
      <c r="AG599" s="2322"/>
      <c r="AH599" s="2322"/>
      <c r="AI599" s="2322"/>
      <c r="AJ599" s="2322"/>
      <c r="AK599" s="2322"/>
      <c r="AL599" s="2322"/>
      <c r="AM599" s="2322"/>
    </row>
    <row r="600" spans="1:39">
      <c r="A600" s="89"/>
      <c r="B600" s="89"/>
      <c r="C600" s="89"/>
      <c r="D600" s="89"/>
      <c r="E600" s="89"/>
      <c r="F600" s="89"/>
      <c r="G600" s="89"/>
      <c r="H600" s="89"/>
      <c r="I600" s="3847"/>
      <c r="J600" s="3847"/>
      <c r="K600" s="3847"/>
      <c r="L600" s="3847"/>
      <c r="M600" s="3847"/>
      <c r="N600" s="3847"/>
      <c r="O600" s="3847"/>
      <c r="P600" s="3847"/>
      <c r="Q600" s="3847"/>
      <c r="R600" s="3847"/>
      <c r="S600" s="3847"/>
      <c r="T600" s="3847"/>
      <c r="U600" s="3847"/>
      <c r="V600" s="2322"/>
      <c r="W600" s="2322"/>
      <c r="X600" s="2322"/>
      <c r="Y600" s="2322"/>
      <c r="Z600" s="2322"/>
      <c r="AA600" s="2322"/>
      <c r="AB600" s="2322"/>
      <c r="AC600" s="2322"/>
      <c r="AD600" s="2322"/>
      <c r="AE600" s="2322"/>
      <c r="AF600" s="2322"/>
      <c r="AG600" s="2322"/>
      <c r="AH600" s="2322"/>
      <c r="AI600" s="2322"/>
      <c r="AJ600" s="2322"/>
      <c r="AK600" s="2322"/>
      <c r="AL600" s="2322"/>
      <c r="AM600" s="2322"/>
    </row>
    <row r="601" spans="1:39">
      <c r="A601" s="89"/>
      <c r="B601" s="89"/>
      <c r="C601" s="89"/>
      <c r="D601" s="89"/>
      <c r="E601" s="89"/>
      <c r="F601" s="89"/>
      <c r="G601" s="89"/>
      <c r="H601" s="89"/>
      <c r="I601" s="3847"/>
      <c r="J601" s="3847"/>
      <c r="K601" s="3847"/>
      <c r="L601" s="3847"/>
      <c r="M601" s="3847"/>
      <c r="N601" s="3847"/>
      <c r="O601" s="3847"/>
      <c r="P601" s="3847"/>
      <c r="Q601" s="3847"/>
      <c r="R601" s="3847"/>
      <c r="S601" s="3847"/>
      <c r="T601" s="3847"/>
      <c r="U601" s="3847"/>
      <c r="V601" s="2322"/>
      <c r="W601" s="2322"/>
      <c r="X601" s="2322"/>
      <c r="Y601" s="2322"/>
      <c r="Z601" s="2322"/>
      <c r="AA601" s="2322"/>
      <c r="AB601" s="2322"/>
      <c r="AC601" s="2322"/>
      <c r="AD601" s="2322"/>
      <c r="AE601" s="2322"/>
      <c r="AF601" s="2322"/>
      <c r="AG601" s="2322"/>
      <c r="AH601" s="2322"/>
      <c r="AI601" s="2322"/>
      <c r="AJ601" s="2322"/>
      <c r="AK601" s="2322"/>
      <c r="AL601" s="2322"/>
      <c r="AM601" s="2322"/>
    </row>
    <row r="602" spans="1:39">
      <c r="A602" s="89"/>
      <c r="B602" s="89"/>
      <c r="C602" s="89"/>
      <c r="D602" s="89"/>
      <c r="E602" s="89"/>
      <c r="F602" s="89"/>
      <c r="G602" s="89"/>
      <c r="H602" s="89"/>
      <c r="I602" s="3847"/>
      <c r="J602" s="3847"/>
      <c r="K602" s="3847"/>
      <c r="L602" s="3847"/>
      <c r="M602" s="3847"/>
      <c r="N602" s="3847"/>
      <c r="O602" s="3847"/>
      <c r="P602" s="3847"/>
      <c r="Q602" s="3847"/>
      <c r="R602" s="3847"/>
      <c r="S602" s="3847"/>
      <c r="T602" s="3847"/>
      <c r="U602" s="3847"/>
      <c r="V602" s="2322"/>
      <c r="W602" s="2322"/>
      <c r="X602" s="2322"/>
      <c r="Y602" s="2322"/>
      <c r="Z602" s="2322"/>
      <c r="AA602" s="2322"/>
      <c r="AB602" s="2322"/>
      <c r="AC602" s="2322"/>
      <c r="AD602" s="2322"/>
      <c r="AE602" s="2322"/>
      <c r="AF602" s="2322"/>
      <c r="AG602" s="2322"/>
      <c r="AH602" s="2322"/>
      <c r="AI602" s="2322"/>
      <c r="AJ602" s="2322"/>
      <c r="AK602" s="2322"/>
      <c r="AL602" s="2322"/>
      <c r="AM602" s="2322"/>
    </row>
    <row r="603" spans="1:39">
      <c r="A603" s="89"/>
      <c r="B603" s="89"/>
      <c r="C603" s="89"/>
      <c r="D603" s="89"/>
      <c r="E603" s="89"/>
      <c r="F603" s="89"/>
      <c r="G603" s="89"/>
      <c r="H603" s="89"/>
      <c r="I603" s="3847"/>
      <c r="J603" s="3847"/>
      <c r="K603" s="3847"/>
      <c r="L603" s="3847"/>
      <c r="M603" s="3847"/>
      <c r="N603" s="3847"/>
      <c r="O603" s="3847"/>
      <c r="P603" s="3847"/>
      <c r="Q603" s="3847"/>
      <c r="R603" s="3847"/>
      <c r="S603" s="3847"/>
      <c r="T603" s="3847"/>
      <c r="U603" s="3847"/>
      <c r="V603" s="2322"/>
      <c r="W603" s="2322"/>
      <c r="X603" s="2322"/>
      <c r="Y603" s="2322"/>
      <c r="Z603" s="2322"/>
      <c r="AA603" s="2322"/>
      <c r="AB603" s="2322"/>
      <c r="AC603" s="2322"/>
      <c r="AD603" s="2322"/>
      <c r="AE603" s="2322"/>
      <c r="AF603" s="2322"/>
      <c r="AG603" s="2322"/>
      <c r="AH603" s="2322"/>
      <c r="AI603" s="2322"/>
      <c r="AJ603" s="2322"/>
      <c r="AK603" s="2322"/>
      <c r="AL603" s="2322"/>
      <c r="AM603" s="2322"/>
    </row>
    <row r="604" spans="1:39">
      <c r="A604" s="89"/>
      <c r="B604" s="89"/>
      <c r="C604" s="89"/>
      <c r="D604" s="89"/>
      <c r="E604" s="89"/>
      <c r="F604" s="89"/>
      <c r="G604" s="89"/>
      <c r="H604" s="89"/>
      <c r="I604" s="3847"/>
      <c r="J604" s="3847"/>
      <c r="K604" s="3847"/>
      <c r="L604" s="3847"/>
      <c r="M604" s="3847"/>
      <c r="N604" s="3847"/>
      <c r="O604" s="3847"/>
      <c r="P604" s="3847"/>
      <c r="Q604" s="3847"/>
      <c r="R604" s="3847"/>
      <c r="S604" s="3847"/>
      <c r="T604" s="3847"/>
      <c r="U604" s="3847"/>
      <c r="V604" s="2322"/>
      <c r="W604" s="2322"/>
      <c r="X604" s="2322"/>
      <c r="Y604" s="2322"/>
      <c r="Z604" s="2322"/>
      <c r="AA604" s="2322"/>
      <c r="AB604" s="2322"/>
      <c r="AC604" s="2322"/>
      <c r="AD604" s="2322"/>
      <c r="AE604" s="2322"/>
      <c r="AF604" s="2322"/>
      <c r="AG604" s="2322"/>
      <c r="AH604" s="2322"/>
      <c r="AI604" s="2322"/>
      <c r="AJ604" s="2322"/>
      <c r="AK604" s="2322"/>
      <c r="AL604" s="2322"/>
      <c r="AM604" s="2322"/>
    </row>
    <row r="605" spans="1:39">
      <c r="A605" s="89"/>
      <c r="B605" s="89"/>
      <c r="C605" s="89"/>
      <c r="D605" s="89"/>
      <c r="E605" s="89"/>
      <c r="F605" s="89"/>
      <c r="G605" s="89"/>
      <c r="H605" s="89"/>
      <c r="I605" s="3847"/>
      <c r="J605" s="3847"/>
      <c r="K605" s="3847"/>
      <c r="L605" s="3847"/>
      <c r="M605" s="3847"/>
      <c r="N605" s="3847"/>
      <c r="O605" s="3847"/>
      <c r="P605" s="3847"/>
      <c r="Q605" s="3847"/>
      <c r="R605" s="3847"/>
      <c r="S605" s="3847"/>
      <c r="T605" s="3847"/>
      <c r="U605" s="3847"/>
      <c r="V605" s="2322"/>
      <c r="W605" s="2322"/>
      <c r="X605" s="2322"/>
      <c r="Y605" s="2322"/>
      <c r="Z605" s="2322"/>
      <c r="AA605" s="2322"/>
      <c r="AB605" s="2322"/>
      <c r="AC605" s="2322"/>
      <c r="AD605" s="2322"/>
      <c r="AE605" s="2322"/>
      <c r="AF605" s="2322"/>
      <c r="AG605" s="2322"/>
      <c r="AH605" s="2322"/>
      <c r="AI605" s="2322"/>
      <c r="AJ605" s="2322"/>
      <c r="AK605" s="2322"/>
      <c r="AL605" s="2322"/>
      <c r="AM605" s="2322"/>
    </row>
    <row r="606" spans="1:39">
      <c r="A606" s="89"/>
      <c r="B606" s="89"/>
      <c r="C606" s="89"/>
      <c r="D606" s="89"/>
      <c r="E606" s="89"/>
      <c r="F606" s="89"/>
      <c r="G606" s="89"/>
      <c r="H606" s="89"/>
      <c r="I606" s="3847"/>
      <c r="J606" s="3847"/>
      <c r="K606" s="3847"/>
      <c r="L606" s="3847"/>
      <c r="M606" s="3847"/>
      <c r="N606" s="3847"/>
      <c r="O606" s="3847"/>
      <c r="P606" s="3847"/>
      <c r="Q606" s="3847"/>
      <c r="R606" s="3847"/>
      <c r="S606" s="3847"/>
      <c r="T606" s="3847"/>
      <c r="U606" s="3847"/>
      <c r="V606" s="2322"/>
      <c r="W606" s="2322"/>
      <c r="X606" s="2322"/>
      <c r="Y606" s="2322"/>
      <c r="Z606" s="2322"/>
      <c r="AA606" s="2322"/>
      <c r="AB606" s="2322"/>
      <c r="AC606" s="2322"/>
      <c r="AD606" s="2322"/>
      <c r="AE606" s="2322"/>
      <c r="AF606" s="2322"/>
      <c r="AG606" s="2322"/>
      <c r="AH606" s="2322"/>
      <c r="AI606" s="2322"/>
      <c r="AJ606" s="2322"/>
      <c r="AK606" s="2322"/>
      <c r="AL606" s="2322"/>
      <c r="AM606" s="2322"/>
    </row>
    <row r="607" spans="1:39">
      <c r="A607" s="89"/>
      <c r="B607" s="89"/>
      <c r="C607" s="89"/>
      <c r="D607" s="89"/>
      <c r="E607" s="89"/>
      <c r="F607" s="89"/>
      <c r="G607" s="89"/>
      <c r="H607" s="89"/>
      <c r="I607" s="3847"/>
      <c r="J607" s="3847"/>
      <c r="K607" s="3847"/>
      <c r="L607" s="3847"/>
      <c r="M607" s="3847"/>
      <c r="N607" s="3847"/>
      <c r="O607" s="3847"/>
      <c r="P607" s="3847"/>
      <c r="Q607" s="3847"/>
      <c r="R607" s="3847"/>
      <c r="S607" s="3847"/>
      <c r="T607" s="3847"/>
      <c r="U607" s="3847"/>
      <c r="V607" s="2322"/>
      <c r="W607" s="2322"/>
      <c r="X607" s="2322"/>
      <c r="Y607" s="2322"/>
      <c r="Z607" s="2322"/>
      <c r="AA607" s="2322"/>
      <c r="AB607" s="2322"/>
      <c r="AC607" s="2322"/>
      <c r="AD607" s="2322"/>
      <c r="AE607" s="2322"/>
      <c r="AF607" s="2322"/>
      <c r="AG607" s="2322"/>
      <c r="AH607" s="2322"/>
      <c r="AI607" s="2322"/>
      <c r="AJ607" s="2322"/>
      <c r="AK607" s="2322"/>
      <c r="AL607" s="2322"/>
      <c r="AM607" s="2322"/>
    </row>
    <row r="608" spans="1:39">
      <c r="A608" s="89"/>
      <c r="B608" s="89"/>
      <c r="C608" s="89"/>
      <c r="D608" s="89"/>
      <c r="E608" s="89"/>
      <c r="F608" s="89"/>
      <c r="G608" s="89"/>
      <c r="H608" s="89"/>
      <c r="I608" s="3847"/>
      <c r="J608" s="3847"/>
      <c r="K608" s="3847"/>
      <c r="L608" s="3847"/>
      <c r="M608" s="3847"/>
      <c r="N608" s="3847"/>
      <c r="O608" s="3847"/>
      <c r="P608" s="3847"/>
      <c r="Q608" s="3847"/>
      <c r="R608" s="3847"/>
      <c r="S608" s="3847"/>
      <c r="T608" s="3847"/>
      <c r="U608" s="3847"/>
      <c r="V608" s="2322"/>
      <c r="W608" s="2322"/>
      <c r="X608" s="2322"/>
      <c r="Y608" s="2322"/>
      <c r="Z608" s="2322"/>
      <c r="AA608" s="2322"/>
      <c r="AB608" s="2322"/>
      <c r="AC608" s="2322"/>
      <c r="AD608" s="2322"/>
      <c r="AE608" s="2322"/>
      <c r="AF608" s="2322"/>
      <c r="AG608" s="2322"/>
      <c r="AH608" s="2322"/>
      <c r="AI608" s="2322"/>
      <c r="AJ608" s="2322"/>
      <c r="AK608" s="2322"/>
      <c r="AL608" s="2322"/>
      <c r="AM608" s="2322"/>
    </row>
    <row r="609" spans="1:39">
      <c r="A609" s="89"/>
      <c r="B609" s="89"/>
      <c r="C609" s="89"/>
      <c r="D609" s="89"/>
      <c r="E609" s="89"/>
      <c r="F609" s="89"/>
      <c r="G609" s="89"/>
      <c r="H609" s="89"/>
      <c r="I609" s="3847"/>
      <c r="J609" s="3847"/>
      <c r="K609" s="3847"/>
      <c r="L609" s="3847"/>
      <c r="M609" s="3847"/>
      <c r="N609" s="3847"/>
      <c r="O609" s="3847"/>
      <c r="P609" s="3847"/>
      <c r="Q609" s="3847"/>
      <c r="R609" s="3847"/>
      <c r="S609" s="3847"/>
      <c r="T609" s="3847"/>
      <c r="U609" s="3847"/>
      <c r="V609" s="2322"/>
      <c r="W609" s="2322"/>
      <c r="X609" s="2322"/>
      <c r="Y609" s="2322"/>
      <c r="Z609" s="2322"/>
      <c r="AA609" s="2322"/>
      <c r="AB609" s="2322"/>
      <c r="AC609" s="2322"/>
      <c r="AD609" s="2322"/>
      <c r="AE609" s="2322"/>
      <c r="AF609" s="2322"/>
      <c r="AG609" s="2322"/>
      <c r="AH609" s="2322"/>
      <c r="AI609" s="2322"/>
      <c r="AJ609" s="2322"/>
      <c r="AK609" s="2322"/>
      <c r="AL609" s="2322"/>
      <c r="AM609" s="2322"/>
    </row>
    <row r="610" spans="1:39">
      <c r="A610" s="89"/>
      <c r="B610" s="89"/>
      <c r="C610" s="89"/>
      <c r="D610" s="89"/>
      <c r="E610" s="89"/>
      <c r="F610" s="89"/>
      <c r="G610" s="89"/>
      <c r="H610" s="89"/>
      <c r="I610" s="3847"/>
      <c r="J610" s="3847"/>
      <c r="K610" s="3847"/>
      <c r="L610" s="3847"/>
      <c r="M610" s="3847"/>
      <c r="N610" s="3847"/>
      <c r="O610" s="3847"/>
      <c r="P610" s="3847"/>
      <c r="Q610" s="3847"/>
      <c r="R610" s="3847"/>
      <c r="S610" s="3847"/>
      <c r="T610" s="3847"/>
      <c r="U610" s="3847"/>
      <c r="V610" s="2322"/>
      <c r="W610" s="2322"/>
      <c r="X610" s="2322"/>
      <c r="Y610" s="2322"/>
      <c r="Z610" s="2322"/>
      <c r="AA610" s="2322"/>
      <c r="AB610" s="2322"/>
      <c r="AC610" s="2322"/>
      <c r="AD610" s="2322"/>
      <c r="AE610" s="2322"/>
      <c r="AF610" s="2322"/>
      <c r="AG610" s="2322"/>
      <c r="AH610" s="2322"/>
      <c r="AI610" s="2322"/>
      <c r="AJ610" s="2322"/>
      <c r="AK610" s="2322"/>
      <c r="AL610" s="2322"/>
      <c r="AM610" s="2322"/>
    </row>
    <row r="611" spans="1:39">
      <c r="A611" s="89"/>
      <c r="B611" s="89"/>
      <c r="C611" s="89"/>
      <c r="D611" s="89"/>
      <c r="E611" s="89"/>
      <c r="F611" s="89"/>
      <c r="G611" s="89"/>
      <c r="H611" s="89"/>
      <c r="I611" s="3847"/>
      <c r="J611" s="3847"/>
      <c r="K611" s="3847"/>
      <c r="L611" s="3847"/>
      <c r="M611" s="3847"/>
      <c r="N611" s="3847"/>
      <c r="O611" s="3847"/>
      <c r="P611" s="3847"/>
      <c r="Q611" s="3847"/>
      <c r="R611" s="3847"/>
      <c r="S611" s="3847"/>
      <c r="T611" s="3847"/>
      <c r="U611" s="3847"/>
      <c r="V611" s="2322"/>
      <c r="W611" s="2322"/>
      <c r="X611" s="2322"/>
      <c r="Y611" s="2322"/>
      <c r="Z611" s="2322"/>
      <c r="AA611" s="2322"/>
      <c r="AB611" s="2322"/>
      <c r="AC611" s="2322"/>
      <c r="AD611" s="2322"/>
      <c r="AE611" s="2322"/>
      <c r="AF611" s="2322"/>
      <c r="AG611" s="2322"/>
      <c r="AH611" s="2322"/>
      <c r="AI611" s="2322"/>
      <c r="AJ611" s="2322"/>
      <c r="AK611" s="2322"/>
      <c r="AL611" s="2322"/>
      <c r="AM611" s="2322"/>
    </row>
    <row r="612" spans="1:39">
      <c r="A612" s="89"/>
      <c r="B612" s="89"/>
      <c r="C612" s="89"/>
      <c r="D612" s="89"/>
      <c r="E612" s="89"/>
      <c r="F612" s="89"/>
      <c r="G612" s="89"/>
      <c r="H612" s="89"/>
      <c r="I612" s="3847"/>
      <c r="J612" s="3847"/>
      <c r="K612" s="3847"/>
      <c r="L612" s="3847"/>
      <c r="M612" s="3847"/>
      <c r="N612" s="3847"/>
      <c r="O612" s="3847"/>
      <c r="P612" s="3847"/>
      <c r="Q612" s="3847"/>
      <c r="R612" s="3847"/>
      <c r="S612" s="3847"/>
      <c r="T612" s="3847"/>
      <c r="U612" s="3847"/>
      <c r="V612" s="2322"/>
      <c r="W612" s="2322"/>
      <c r="X612" s="2322"/>
      <c r="Y612" s="2322"/>
      <c r="Z612" s="2322"/>
      <c r="AA612" s="2322"/>
      <c r="AB612" s="2322"/>
      <c r="AC612" s="2322"/>
      <c r="AD612" s="2322"/>
      <c r="AE612" s="2322"/>
      <c r="AF612" s="2322"/>
      <c r="AG612" s="2322"/>
      <c r="AH612" s="2322"/>
      <c r="AI612" s="2322"/>
      <c r="AJ612" s="2322"/>
      <c r="AK612" s="2322"/>
      <c r="AL612" s="2322"/>
      <c r="AM612" s="2322"/>
    </row>
    <row r="613" spans="1:39">
      <c r="A613" s="89"/>
      <c r="B613" s="89"/>
      <c r="C613" s="89"/>
      <c r="D613" s="89"/>
      <c r="E613" s="89"/>
      <c r="F613" s="89"/>
      <c r="G613" s="89"/>
      <c r="H613" s="89"/>
      <c r="I613" s="3847"/>
      <c r="J613" s="3847"/>
      <c r="K613" s="3847"/>
      <c r="L613" s="3847"/>
      <c r="M613" s="3847"/>
      <c r="N613" s="3847"/>
      <c r="O613" s="3847"/>
      <c r="P613" s="3847"/>
      <c r="Q613" s="3847"/>
      <c r="R613" s="3847"/>
      <c r="S613" s="3847"/>
      <c r="T613" s="3847"/>
      <c r="U613" s="3847"/>
      <c r="V613" s="2322"/>
      <c r="W613" s="2322"/>
      <c r="X613" s="2322"/>
      <c r="Y613" s="2322"/>
      <c r="Z613" s="2322"/>
      <c r="AA613" s="2322"/>
      <c r="AB613" s="2322"/>
      <c r="AC613" s="2322"/>
      <c r="AD613" s="2322"/>
      <c r="AE613" s="2322"/>
      <c r="AF613" s="2322"/>
      <c r="AG613" s="2322"/>
      <c r="AH613" s="2322"/>
      <c r="AI613" s="2322"/>
      <c r="AJ613" s="2322"/>
      <c r="AK613" s="2322"/>
      <c r="AL613" s="2322"/>
      <c r="AM613" s="2322"/>
    </row>
    <row r="614" spans="1:39">
      <c r="A614" s="89"/>
      <c r="B614" s="89"/>
      <c r="C614" s="89"/>
      <c r="D614" s="89"/>
      <c r="E614" s="89"/>
      <c r="F614" s="89"/>
      <c r="G614" s="89"/>
      <c r="H614" s="89"/>
      <c r="I614" s="3847"/>
      <c r="J614" s="3847"/>
      <c r="K614" s="3847"/>
      <c r="L614" s="3847"/>
      <c r="M614" s="3847"/>
      <c r="N614" s="3847"/>
      <c r="O614" s="3847"/>
      <c r="P614" s="3847"/>
      <c r="Q614" s="3847"/>
      <c r="R614" s="3847"/>
      <c r="S614" s="3847"/>
      <c r="T614" s="3847"/>
      <c r="U614" s="3847"/>
      <c r="V614" s="2322"/>
      <c r="W614" s="2322"/>
      <c r="X614" s="2322"/>
      <c r="Y614" s="2322"/>
      <c r="Z614" s="2322"/>
      <c r="AA614" s="2322"/>
      <c r="AB614" s="2322"/>
      <c r="AC614" s="2322"/>
      <c r="AD614" s="2322"/>
      <c r="AE614" s="2322"/>
      <c r="AF614" s="2322"/>
      <c r="AG614" s="2322"/>
      <c r="AH614" s="2322"/>
      <c r="AI614" s="2322"/>
      <c r="AJ614" s="2322"/>
      <c r="AK614" s="2322"/>
      <c r="AL614" s="2322"/>
      <c r="AM614" s="2322"/>
    </row>
    <row r="615" spans="1:39">
      <c r="A615" s="89"/>
      <c r="B615" s="89"/>
      <c r="C615" s="89"/>
      <c r="D615" s="89"/>
      <c r="E615" s="89"/>
      <c r="F615" s="89"/>
      <c r="G615" s="89"/>
      <c r="H615" s="89"/>
      <c r="I615" s="3847"/>
      <c r="J615" s="3847"/>
      <c r="K615" s="3847"/>
      <c r="L615" s="3847"/>
      <c r="M615" s="3847"/>
      <c r="N615" s="3847"/>
      <c r="O615" s="3847"/>
      <c r="P615" s="3847"/>
      <c r="Q615" s="3847"/>
      <c r="R615" s="3847"/>
      <c r="S615" s="3847"/>
      <c r="T615" s="3847"/>
      <c r="U615" s="3847"/>
      <c r="V615" s="2322"/>
      <c r="W615" s="2322"/>
      <c r="X615" s="2322"/>
      <c r="Y615" s="2322"/>
      <c r="Z615" s="2322"/>
      <c r="AA615" s="2322"/>
      <c r="AB615" s="2322"/>
      <c r="AC615" s="2322"/>
      <c r="AD615" s="2322"/>
      <c r="AE615" s="2322"/>
      <c r="AF615" s="2322"/>
      <c r="AG615" s="2322"/>
      <c r="AH615" s="2322"/>
      <c r="AI615" s="2322"/>
      <c r="AJ615" s="2322"/>
      <c r="AK615" s="2322"/>
      <c r="AL615" s="2322"/>
      <c r="AM615" s="2322"/>
    </row>
    <row r="616" spans="1:39">
      <c r="A616" s="89"/>
      <c r="B616" s="89"/>
      <c r="C616" s="89"/>
      <c r="D616" s="89"/>
      <c r="E616" s="89"/>
      <c r="F616" s="89"/>
      <c r="G616" s="89"/>
      <c r="H616" s="89"/>
      <c r="I616" s="3847"/>
      <c r="J616" s="3847"/>
      <c r="K616" s="3847"/>
      <c r="L616" s="3847"/>
      <c r="M616" s="3847"/>
      <c r="N616" s="3847"/>
      <c r="O616" s="3847"/>
      <c r="P616" s="3847"/>
      <c r="Q616" s="3847"/>
      <c r="R616" s="3847"/>
      <c r="S616" s="3847"/>
      <c r="T616" s="3847"/>
      <c r="U616" s="3847"/>
      <c r="V616" s="2322"/>
      <c r="W616" s="2322"/>
      <c r="X616" s="2322"/>
      <c r="Y616" s="2322"/>
      <c r="Z616" s="2322"/>
      <c r="AA616" s="2322"/>
      <c r="AB616" s="2322"/>
      <c r="AC616" s="2322"/>
      <c r="AD616" s="2322"/>
      <c r="AE616" s="2322"/>
      <c r="AF616" s="2322"/>
      <c r="AG616" s="2322"/>
      <c r="AH616" s="2322"/>
      <c r="AI616" s="2322"/>
      <c r="AJ616" s="2322"/>
      <c r="AK616" s="2322"/>
      <c r="AL616" s="2322"/>
      <c r="AM616" s="2322"/>
    </row>
    <row r="617" spans="1:39">
      <c r="A617" s="89"/>
      <c r="B617" s="89"/>
      <c r="C617" s="89"/>
      <c r="D617" s="89"/>
      <c r="E617" s="89"/>
      <c r="F617" s="89"/>
      <c r="G617" s="89"/>
      <c r="H617" s="89"/>
      <c r="I617" s="3847"/>
      <c r="J617" s="3847"/>
      <c r="K617" s="3847"/>
      <c r="L617" s="3847"/>
      <c r="M617" s="3847"/>
      <c r="N617" s="3847"/>
      <c r="O617" s="3847"/>
      <c r="P617" s="3847"/>
      <c r="Q617" s="3847"/>
      <c r="R617" s="3847"/>
      <c r="S617" s="3847"/>
      <c r="T617" s="3847"/>
      <c r="U617" s="3847"/>
      <c r="V617" s="2322"/>
      <c r="W617" s="2322"/>
      <c r="X617" s="2322"/>
      <c r="Y617" s="2322"/>
      <c r="Z617" s="2322"/>
      <c r="AA617" s="2322"/>
      <c r="AB617" s="2322"/>
      <c r="AC617" s="2322"/>
      <c r="AD617" s="2322"/>
      <c r="AE617" s="2322"/>
      <c r="AF617" s="2322"/>
      <c r="AG617" s="2322"/>
      <c r="AH617" s="2322"/>
      <c r="AI617" s="2322"/>
      <c r="AJ617" s="2322"/>
      <c r="AK617" s="2322"/>
      <c r="AL617" s="2322"/>
      <c r="AM617" s="2322"/>
    </row>
    <row r="618" spans="1:39">
      <c r="A618" s="89"/>
      <c r="B618" s="89"/>
      <c r="C618" s="89"/>
      <c r="D618" s="89"/>
      <c r="E618" s="89"/>
      <c r="F618" s="89"/>
      <c r="G618" s="89"/>
      <c r="H618" s="89"/>
      <c r="I618" s="3847"/>
      <c r="J618" s="3847"/>
      <c r="K618" s="3847"/>
      <c r="L618" s="3847"/>
      <c r="M618" s="3847"/>
      <c r="N618" s="3847"/>
      <c r="O618" s="3847"/>
      <c r="P618" s="3847"/>
      <c r="Q618" s="3847"/>
      <c r="R618" s="3847"/>
      <c r="S618" s="3847"/>
      <c r="T618" s="3847"/>
      <c r="U618" s="3847"/>
      <c r="V618" s="2322"/>
      <c r="W618" s="2322"/>
      <c r="X618" s="2322"/>
      <c r="Y618" s="2322"/>
      <c r="Z618" s="2322"/>
      <c r="AA618" s="2322"/>
      <c r="AB618" s="2322"/>
      <c r="AC618" s="2322"/>
      <c r="AD618" s="2322"/>
      <c r="AE618" s="2322"/>
      <c r="AF618" s="2322"/>
      <c r="AG618" s="2322"/>
      <c r="AH618" s="2322"/>
      <c r="AI618" s="2322"/>
      <c r="AJ618" s="2322"/>
      <c r="AK618" s="2322"/>
      <c r="AL618" s="2322"/>
      <c r="AM618" s="2322"/>
    </row>
    <row r="619" spans="1:39">
      <c r="A619" s="89"/>
      <c r="B619" s="89"/>
      <c r="C619" s="89"/>
      <c r="D619" s="89"/>
      <c r="E619" s="89"/>
      <c r="F619" s="89"/>
      <c r="G619" s="89"/>
      <c r="H619" s="89"/>
      <c r="I619" s="3847"/>
      <c r="J619" s="3847"/>
      <c r="K619" s="3847"/>
      <c r="L619" s="3847"/>
      <c r="M619" s="3847"/>
      <c r="N619" s="3847"/>
      <c r="O619" s="3847"/>
      <c r="P619" s="3847"/>
      <c r="Q619" s="3847"/>
      <c r="R619" s="3847"/>
      <c r="S619" s="3847"/>
      <c r="T619" s="3847"/>
      <c r="U619" s="3847"/>
      <c r="V619" s="2322"/>
      <c r="W619" s="2322"/>
      <c r="X619" s="2322"/>
      <c r="Y619" s="2322"/>
      <c r="Z619" s="2322"/>
      <c r="AA619" s="2322"/>
      <c r="AB619" s="2322"/>
      <c r="AC619" s="2322"/>
      <c r="AD619" s="2322"/>
      <c r="AE619" s="2322"/>
      <c r="AF619" s="2322"/>
      <c r="AG619" s="2322"/>
      <c r="AH619" s="2322"/>
      <c r="AI619" s="2322"/>
      <c r="AJ619" s="2322"/>
      <c r="AK619" s="2322"/>
      <c r="AL619" s="2322"/>
      <c r="AM619" s="2322"/>
    </row>
    <row r="620" spans="1:39">
      <c r="A620" s="89"/>
      <c r="B620" s="89"/>
      <c r="C620" s="89"/>
      <c r="D620" s="89"/>
      <c r="E620" s="89"/>
      <c r="F620" s="89"/>
      <c r="G620" s="89"/>
      <c r="H620" s="89"/>
      <c r="I620" s="3847"/>
      <c r="J620" s="3847"/>
      <c r="K620" s="3847"/>
      <c r="L620" s="3847"/>
      <c r="M620" s="3847"/>
      <c r="N620" s="3847"/>
      <c r="O620" s="3847"/>
      <c r="P620" s="3847"/>
      <c r="Q620" s="3847"/>
      <c r="R620" s="3847"/>
      <c r="S620" s="3847"/>
      <c r="T620" s="3847"/>
      <c r="U620" s="3847"/>
      <c r="V620" s="2322"/>
      <c r="W620" s="2322"/>
      <c r="X620" s="2322"/>
      <c r="Y620" s="2322"/>
      <c r="Z620" s="2322"/>
      <c r="AA620" s="2322"/>
      <c r="AB620" s="2322"/>
      <c r="AC620" s="2322"/>
      <c r="AD620" s="2322"/>
      <c r="AE620" s="2322"/>
      <c r="AF620" s="2322"/>
      <c r="AG620" s="2322"/>
      <c r="AH620" s="2322"/>
      <c r="AI620" s="2322"/>
      <c r="AJ620" s="2322"/>
      <c r="AK620" s="2322"/>
      <c r="AL620" s="2322"/>
      <c r="AM620" s="2322"/>
    </row>
    <row r="621" spans="1:39">
      <c r="A621" s="89"/>
      <c r="B621" s="89"/>
      <c r="C621" s="89"/>
      <c r="D621" s="89"/>
      <c r="E621" s="89"/>
      <c r="F621" s="89"/>
      <c r="G621" s="89"/>
      <c r="H621" s="89"/>
      <c r="I621" s="3847"/>
      <c r="J621" s="3847"/>
      <c r="K621" s="3847"/>
      <c r="L621" s="3847"/>
      <c r="M621" s="3847"/>
      <c r="N621" s="3847"/>
      <c r="O621" s="3847"/>
      <c r="P621" s="3847"/>
      <c r="Q621" s="3847"/>
      <c r="R621" s="3847"/>
      <c r="S621" s="3847"/>
      <c r="T621" s="3847"/>
      <c r="U621" s="3847"/>
      <c r="V621" s="2322"/>
      <c r="W621" s="2322"/>
      <c r="X621" s="2322"/>
      <c r="Y621" s="2322"/>
      <c r="Z621" s="2322"/>
      <c r="AA621" s="2322"/>
      <c r="AB621" s="2322"/>
      <c r="AC621" s="2322"/>
      <c r="AD621" s="2322"/>
      <c r="AE621" s="2322"/>
      <c r="AF621" s="2322"/>
      <c r="AG621" s="2322"/>
      <c r="AH621" s="2322"/>
      <c r="AI621" s="2322"/>
      <c r="AJ621" s="2322"/>
      <c r="AK621" s="2322"/>
      <c r="AL621" s="2322"/>
      <c r="AM621" s="2322"/>
    </row>
    <row r="622" spans="1:39">
      <c r="A622" s="89"/>
      <c r="B622" s="89"/>
      <c r="C622" s="89"/>
      <c r="D622" s="89"/>
      <c r="E622" s="89"/>
      <c r="F622" s="89"/>
      <c r="G622" s="89"/>
      <c r="H622" s="89"/>
      <c r="I622" s="3847"/>
      <c r="J622" s="3847"/>
      <c r="K622" s="3847"/>
      <c r="L622" s="3847"/>
      <c r="M622" s="3847"/>
      <c r="N622" s="3847"/>
      <c r="O622" s="3847"/>
      <c r="P622" s="3847"/>
      <c r="Q622" s="3847"/>
      <c r="R622" s="3847"/>
      <c r="S622" s="3847"/>
      <c r="T622" s="3847"/>
      <c r="U622" s="3847"/>
      <c r="V622" s="2322"/>
      <c r="W622" s="2322"/>
      <c r="X622" s="2322"/>
      <c r="Y622" s="2322"/>
      <c r="Z622" s="2322"/>
      <c r="AA622" s="2322"/>
      <c r="AB622" s="2322"/>
      <c r="AC622" s="2322"/>
      <c r="AD622" s="2322"/>
      <c r="AE622" s="2322"/>
      <c r="AF622" s="2322"/>
      <c r="AG622" s="2322"/>
      <c r="AH622" s="2322"/>
      <c r="AI622" s="2322"/>
      <c r="AJ622" s="2322"/>
      <c r="AK622" s="2322"/>
      <c r="AL622" s="2322"/>
      <c r="AM622" s="2322"/>
    </row>
    <row r="623" spans="1:39">
      <c r="A623" s="89"/>
      <c r="B623" s="89"/>
      <c r="C623" s="89"/>
      <c r="D623" s="89"/>
      <c r="E623" s="89"/>
      <c r="F623" s="89"/>
      <c r="G623" s="89"/>
      <c r="H623" s="89"/>
      <c r="I623" s="3847"/>
      <c r="J623" s="3847"/>
      <c r="K623" s="3847"/>
      <c r="L623" s="3847"/>
      <c r="M623" s="3847"/>
      <c r="N623" s="3847"/>
      <c r="O623" s="3847"/>
      <c r="P623" s="3847"/>
      <c r="Q623" s="3847"/>
      <c r="R623" s="3847"/>
      <c r="S623" s="3847"/>
      <c r="T623" s="3847"/>
      <c r="U623" s="3847"/>
      <c r="V623" s="2322"/>
      <c r="W623" s="2322"/>
      <c r="X623" s="2322"/>
      <c r="Y623" s="2322"/>
      <c r="Z623" s="2322"/>
      <c r="AA623" s="2322"/>
      <c r="AB623" s="2322"/>
      <c r="AC623" s="2322"/>
      <c r="AD623" s="2322"/>
      <c r="AE623" s="2322"/>
      <c r="AF623" s="2322"/>
      <c r="AG623" s="2322"/>
      <c r="AH623" s="2322"/>
      <c r="AI623" s="2322"/>
      <c r="AJ623" s="2322"/>
      <c r="AK623" s="2322"/>
      <c r="AL623" s="2322"/>
      <c r="AM623" s="2322"/>
    </row>
    <row r="624" spans="1:39">
      <c r="A624" s="89"/>
      <c r="B624" s="89"/>
      <c r="C624" s="89"/>
      <c r="D624" s="89"/>
      <c r="E624" s="89"/>
      <c r="F624" s="89"/>
      <c r="G624" s="89"/>
      <c r="H624" s="89"/>
      <c r="I624" s="3847"/>
      <c r="J624" s="3847"/>
      <c r="K624" s="3847"/>
      <c r="L624" s="3847"/>
      <c r="M624" s="3847"/>
      <c r="N624" s="3847"/>
      <c r="O624" s="3847"/>
      <c r="P624" s="3847"/>
      <c r="Q624" s="3847"/>
      <c r="R624" s="3847"/>
      <c r="S624" s="3847"/>
      <c r="T624" s="3847"/>
      <c r="U624" s="3847"/>
      <c r="V624" s="2322"/>
      <c r="W624" s="2322"/>
      <c r="X624" s="2322"/>
      <c r="Y624" s="2322"/>
      <c r="Z624" s="2322"/>
      <c r="AA624" s="2322"/>
      <c r="AB624" s="2322"/>
      <c r="AC624" s="2322"/>
      <c r="AD624" s="2322"/>
      <c r="AE624" s="2322"/>
      <c r="AF624" s="2322"/>
      <c r="AG624" s="2322"/>
      <c r="AH624" s="2322"/>
      <c r="AI624" s="2322"/>
      <c r="AJ624" s="2322"/>
      <c r="AK624" s="2322"/>
      <c r="AL624" s="2322"/>
      <c r="AM624" s="2322"/>
    </row>
    <row r="625" spans="1:39">
      <c r="A625" s="89"/>
      <c r="B625" s="89"/>
      <c r="C625" s="89"/>
      <c r="D625" s="89"/>
      <c r="E625" s="89"/>
      <c r="F625" s="89"/>
      <c r="G625" s="89"/>
      <c r="H625" s="89"/>
      <c r="I625" s="3847"/>
      <c r="J625" s="3847"/>
      <c r="K625" s="3847"/>
      <c r="L625" s="3847"/>
      <c r="M625" s="3847"/>
      <c r="N625" s="3847"/>
      <c r="O625" s="3847"/>
      <c r="P625" s="3847"/>
      <c r="Q625" s="3847"/>
      <c r="R625" s="3847"/>
      <c r="S625" s="3847"/>
      <c r="T625" s="3847"/>
      <c r="U625" s="3847"/>
      <c r="V625" s="2322"/>
      <c r="W625" s="2322"/>
      <c r="X625" s="2322"/>
      <c r="Y625" s="2322"/>
      <c r="Z625" s="2322"/>
      <c r="AA625" s="2322"/>
      <c r="AB625" s="2322"/>
      <c r="AC625" s="2322"/>
      <c r="AD625" s="2322"/>
      <c r="AE625" s="2322"/>
      <c r="AF625" s="2322"/>
      <c r="AG625" s="2322"/>
      <c r="AH625" s="2322"/>
      <c r="AI625" s="2322"/>
      <c r="AJ625" s="2322"/>
      <c r="AK625" s="2322"/>
      <c r="AL625" s="2322"/>
      <c r="AM625" s="2322"/>
    </row>
    <row r="626" spans="1:39">
      <c r="A626" s="89"/>
      <c r="B626" s="89"/>
      <c r="C626" s="89"/>
      <c r="D626" s="89"/>
      <c r="E626" s="89"/>
      <c r="F626" s="89"/>
      <c r="G626" s="89"/>
      <c r="H626" s="89"/>
      <c r="I626" s="3847"/>
      <c r="J626" s="3847"/>
      <c r="K626" s="3847"/>
      <c r="L626" s="3847"/>
      <c r="M626" s="3847"/>
      <c r="N626" s="3847"/>
      <c r="O626" s="3847"/>
      <c r="P626" s="3847"/>
      <c r="Q626" s="3847"/>
      <c r="R626" s="3847"/>
      <c r="S626" s="3847"/>
      <c r="T626" s="3847"/>
      <c r="U626" s="3847"/>
      <c r="V626" s="2322"/>
      <c r="W626" s="2322"/>
      <c r="X626" s="2322"/>
      <c r="Y626" s="2322"/>
      <c r="Z626" s="2322"/>
      <c r="AA626" s="2322"/>
      <c r="AB626" s="2322"/>
      <c r="AC626" s="2322"/>
      <c r="AD626" s="2322"/>
      <c r="AE626" s="2322"/>
      <c r="AF626" s="2322"/>
      <c r="AG626" s="2322"/>
      <c r="AH626" s="2322"/>
      <c r="AI626" s="2322"/>
      <c r="AJ626" s="2322"/>
      <c r="AK626" s="2322"/>
      <c r="AL626" s="2322"/>
      <c r="AM626" s="2322"/>
    </row>
    <row r="627" spans="1:39">
      <c r="A627" s="89"/>
      <c r="B627" s="89"/>
      <c r="C627" s="89"/>
      <c r="D627" s="89"/>
      <c r="E627" s="89"/>
      <c r="F627" s="89"/>
      <c r="G627" s="89"/>
      <c r="H627" s="89"/>
      <c r="I627" s="3847"/>
      <c r="J627" s="3847"/>
      <c r="K627" s="3847"/>
      <c r="L627" s="3847"/>
      <c r="M627" s="3847"/>
      <c r="N627" s="3847"/>
      <c r="O627" s="3847"/>
      <c r="P627" s="3847"/>
      <c r="Q627" s="3847"/>
      <c r="R627" s="3847"/>
      <c r="S627" s="3847"/>
      <c r="T627" s="3847"/>
      <c r="U627" s="3847"/>
      <c r="V627" s="2322"/>
      <c r="W627" s="2322"/>
      <c r="X627" s="2322"/>
      <c r="Y627" s="2322"/>
      <c r="Z627" s="2322"/>
      <c r="AA627" s="2322"/>
      <c r="AB627" s="2322"/>
      <c r="AC627" s="2322"/>
      <c r="AD627" s="2322"/>
      <c r="AE627" s="2322"/>
      <c r="AF627" s="2322"/>
      <c r="AG627" s="2322"/>
      <c r="AH627" s="2322"/>
      <c r="AI627" s="2322"/>
      <c r="AJ627" s="2322"/>
      <c r="AK627" s="2322"/>
      <c r="AL627" s="2322"/>
      <c r="AM627" s="2322"/>
    </row>
    <row r="628" spans="1:39">
      <c r="A628" s="89"/>
      <c r="B628" s="89"/>
      <c r="C628" s="89"/>
      <c r="D628" s="89"/>
      <c r="E628" s="89"/>
      <c r="F628" s="89"/>
      <c r="G628" s="89"/>
      <c r="H628" s="89"/>
      <c r="I628" s="3847"/>
      <c r="J628" s="3847"/>
      <c r="K628" s="3847"/>
      <c r="L628" s="3847"/>
      <c r="M628" s="3847"/>
      <c r="N628" s="3847"/>
      <c r="O628" s="3847"/>
      <c r="P628" s="3847"/>
      <c r="Q628" s="3847"/>
      <c r="R628" s="3847"/>
      <c r="S628" s="3847"/>
      <c r="T628" s="3847"/>
      <c r="U628" s="3847"/>
      <c r="V628" s="2322"/>
      <c r="W628" s="2322"/>
      <c r="X628" s="2322"/>
      <c r="Y628" s="2322"/>
      <c r="Z628" s="2322"/>
      <c r="AA628" s="2322"/>
      <c r="AB628" s="2322"/>
      <c r="AC628" s="2322"/>
      <c r="AD628" s="2322"/>
      <c r="AE628" s="2322"/>
      <c r="AF628" s="2322"/>
      <c r="AG628" s="2322"/>
      <c r="AH628" s="2322"/>
      <c r="AI628" s="2322"/>
      <c r="AJ628" s="2322"/>
      <c r="AK628" s="2322"/>
      <c r="AL628" s="2322"/>
      <c r="AM628" s="2322"/>
    </row>
    <row r="629" spans="1:39">
      <c r="A629" s="89"/>
      <c r="B629" s="89"/>
      <c r="C629" s="89"/>
      <c r="D629" s="89"/>
      <c r="E629" s="89"/>
      <c r="F629" s="89"/>
      <c r="G629" s="89"/>
      <c r="H629" s="89"/>
      <c r="I629" s="3847"/>
      <c r="J629" s="3847"/>
      <c r="K629" s="3847"/>
      <c r="L629" s="3847"/>
      <c r="M629" s="3847"/>
      <c r="N629" s="3847"/>
      <c r="O629" s="3847"/>
      <c r="P629" s="3847"/>
      <c r="Q629" s="3847"/>
      <c r="R629" s="3847"/>
      <c r="S629" s="3847"/>
      <c r="T629" s="3847"/>
      <c r="U629" s="3847"/>
      <c r="V629" s="2322"/>
      <c r="W629" s="2322"/>
      <c r="X629" s="2322"/>
      <c r="Y629" s="2322"/>
      <c r="Z629" s="2322"/>
      <c r="AA629" s="2322"/>
      <c r="AB629" s="2322"/>
      <c r="AC629" s="2322"/>
      <c r="AD629" s="2322"/>
      <c r="AE629" s="2322"/>
      <c r="AF629" s="2322"/>
      <c r="AG629" s="2322"/>
      <c r="AH629" s="2322"/>
      <c r="AI629" s="2322"/>
      <c r="AJ629" s="2322"/>
      <c r="AK629" s="2322"/>
      <c r="AL629" s="2322"/>
      <c r="AM629" s="2322"/>
    </row>
    <row r="630" spans="1:39">
      <c r="A630" s="89"/>
      <c r="B630" s="89"/>
      <c r="C630" s="89"/>
      <c r="D630" s="89"/>
      <c r="E630" s="89"/>
      <c r="F630" s="89"/>
      <c r="G630" s="89"/>
      <c r="H630" s="89"/>
      <c r="I630" s="3847"/>
      <c r="J630" s="3847"/>
      <c r="K630" s="3847"/>
      <c r="L630" s="3847"/>
      <c r="M630" s="3847"/>
      <c r="N630" s="3847"/>
      <c r="O630" s="3847"/>
      <c r="P630" s="3847"/>
      <c r="Q630" s="3847"/>
      <c r="R630" s="3847"/>
      <c r="S630" s="3847"/>
      <c r="T630" s="3847"/>
      <c r="U630" s="3847"/>
      <c r="V630" s="2322"/>
      <c r="W630" s="2322"/>
      <c r="X630" s="2322"/>
      <c r="Y630" s="2322"/>
      <c r="Z630" s="2322"/>
      <c r="AA630" s="2322"/>
      <c r="AB630" s="2322"/>
      <c r="AC630" s="2322"/>
      <c r="AD630" s="2322"/>
      <c r="AE630" s="2322"/>
      <c r="AF630" s="2322"/>
      <c r="AG630" s="2322"/>
      <c r="AH630" s="2322"/>
      <c r="AI630" s="2322"/>
      <c r="AJ630" s="2322"/>
      <c r="AK630" s="2322"/>
      <c r="AL630" s="2322"/>
      <c r="AM630" s="2322"/>
    </row>
    <row r="631" spans="1:39">
      <c r="A631" s="89"/>
      <c r="B631" s="89"/>
      <c r="C631" s="89"/>
      <c r="D631" s="89"/>
      <c r="E631" s="89"/>
      <c r="F631" s="89"/>
      <c r="G631" s="89"/>
      <c r="H631" s="89"/>
      <c r="I631" s="3847"/>
      <c r="J631" s="3847"/>
      <c r="K631" s="3847"/>
      <c r="L631" s="3847"/>
      <c r="M631" s="3847"/>
      <c r="N631" s="3847"/>
      <c r="O631" s="3847"/>
      <c r="P631" s="3847"/>
      <c r="Q631" s="3847"/>
      <c r="R631" s="3847"/>
      <c r="S631" s="3847"/>
      <c r="T631" s="3847"/>
      <c r="U631" s="3847"/>
      <c r="V631" s="2322"/>
      <c r="W631" s="2322"/>
      <c r="X631" s="2322"/>
      <c r="Y631" s="2322"/>
      <c r="Z631" s="2322"/>
      <c r="AA631" s="2322"/>
      <c r="AB631" s="2322"/>
      <c r="AC631" s="2322"/>
      <c r="AD631" s="2322"/>
      <c r="AE631" s="2322"/>
      <c r="AF631" s="2322"/>
      <c r="AG631" s="2322"/>
      <c r="AH631" s="2322"/>
      <c r="AI631" s="2322"/>
      <c r="AJ631" s="2322"/>
      <c r="AK631" s="2322"/>
      <c r="AL631" s="2322"/>
      <c r="AM631" s="2322"/>
    </row>
    <row r="632" spans="1:39">
      <c r="A632" s="89"/>
      <c r="B632" s="89"/>
      <c r="C632" s="89"/>
      <c r="D632" s="89"/>
      <c r="E632" s="89"/>
      <c r="F632" s="89"/>
      <c r="G632" s="89"/>
      <c r="H632" s="89"/>
      <c r="I632" s="3847"/>
      <c r="J632" s="3847"/>
      <c r="K632" s="3847"/>
      <c r="L632" s="3847"/>
      <c r="M632" s="3847"/>
      <c r="N632" s="3847"/>
      <c r="O632" s="3847"/>
      <c r="P632" s="3847"/>
      <c r="Q632" s="3847"/>
      <c r="R632" s="3847"/>
      <c r="S632" s="3847"/>
      <c r="T632" s="3847"/>
      <c r="U632" s="3847"/>
      <c r="V632" s="2322"/>
      <c r="W632" s="2322"/>
      <c r="X632" s="2322"/>
      <c r="Y632" s="2322"/>
      <c r="Z632" s="2322"/>
      <c r="AA632" s="2322"/>
      <c r="AB632" s="2322"/>
      <c r="AC632" s="2322"/>
      <c r="AD632" s="2322"/>
      <c r="AE632" s="2322"/>
      <c r="AF632" s="2322"/>
      <c r="AG632" s="2322"/>
      <c r="AH632" s="2322"/>
      <c r="AI632" s="2322"/>
      <c r="AJ632" s="2322"/>
      <c r="AK632" s="2322"/>
      <c r="AL632" s="2322"/>
      <c r="AM632" s="2322"/>
    </row>
    <row r="633" spans="1:39">
      <c r="A633" s="89"/>
      <c r="B633" s="89"/>
      <c r="C633" s="89"/>
      <c r="D633" s="89"/>
      <c r="E633" s="89"/>
      <c r="F633" s="89"/>
      <c r="G633" s="89"/>
      <c r="H633" s="89"/>
      <c r="I633" s="3847"/>
      <c r="J633" s="3847"/>
      <c r="K633" s="3847"/>
      <c r="L633" s="3847"/>
      <c r="M633" s="3847"/>
      <c r="N633" s="3847"/>
      <c r="O633" s="3847"/>
      <c r="P633" s="3847"/>
      <c r="Q633" s="3847"/>
      <c r="R633" s="3847"/>
      <c r="S633" s="3847"/>
      <c r="T633" s="3847"/>
      <c r="U633" s="3847"/>
      <c r="V633" s="2322"/>
      <c r="W633" s="2322"/>
      <c r="X633" s="2322"/>
      <c r="Y633" s="2322"/>
      <c r="Z633" s="2322"/>
      <c r="AA633" s="2322"/>
      <c r="AB633" s="2322"/>
      <c r="AC633" s="2322"/>
      <c r="AD633" s="2322"/>
      <c r="AE633" s="2322"/>
      <c r="AF633" s="2322"/>
      <c r="AG633" s="2322"/>
      <c r="AH633" s="2322"/>
      <c r="AI633" s="2322"/>
      <c r="AJ633" s="2322"/>
      <c r="AK633" s="2322"/>
      <c r="AL633" s="2322"/>
      <c r="AM633" s="2322"/>
    </row>
    <row r="634" spans="1:39">
      <c r="A634" s="89"/>
      <c r="B634" s="89"/>
      <c r="C634" s="89"/>
      <c r="D634" s="89"/>
      <c r="E634" s="89"/>
      <c r="F634" s="89"/>
      <c r="G634" s="89"/>
      <c r="H634" s="89"/>
      <c r="I634" s="3847"/>
      <c r="J634" s="3847"/>
      <c r="K634" s="3847"/>
      <c r="L634" s="3847"/>
      <c r="M634" s="3847"/>
      <c r="N634" s="3847"/>
      <c r="O634" s="3847"/>
      <c r="P634" s="3847"/>
      <c r="Q634" s="3847"/>
      <c r="R634" s="3847"/>
      <c r="S634" s="3847"/>
      <c r="T634" s="3847"/>
      <c r="U634" s="3847"/>
      <c r="V634" s="2322"/>
      <c r="W634" s="2322"/>
      <c r="X634" s="2322"/>
      <c r="Y634" s="2322"/>
      <c r="Z634" s="2322"/>
      <c r="AA634" s="2322"/>
      <c r="AB634" s="2322"/>
      <c r="AC634" s="2322"/>
      <c r="AD634" s="2322"/>
      <c r="AE634" s="2322"/>
      <c r="AF634" s="2322"/>
      <c r="AG634" s="2322"/>
      <c r="AH634" s="2322"/>
      <c r="AI634" s="2322"/>
      <c r="AJ634" s="2322"/>
      <c r="AK634" s="2322"/>
      <c r="AL634" s="2322"/>
      <c r="AM634" s="2322"/>
    </row>
    <row r="635" spans="1:39">
      <c r="A635" s="89"/>
      <c r="B635" s="89"/>
      <c r="C635" s="89"/>
      <c r="D635" s="89"/>
      <c r="E635" s="89"/>
      <c r="F635" s="89"/>
      <c r="G635" s="89"/>
      <c r="H635" s="89"/>
      <c r="I635" s="3847"/>
      <c r="J635" s="3847"/>
      <c r="K635" s="3847"/>
      <c r="L635" s="3847"/>
      <c r="M635" s="3847"/>
      <c r="N635" s="3847"/>
      <c r="O635" s="3847"/>
      <c r="P635" s="3847"/>
      <c r="Q635" s="3847"/>
      <c r="R635" s="3847"/>
      <c r="S635" s="3847"/>
      <c r="T635" s="3847"/>
      <c r="U635" s="3847"/>
      <c r="V635" s="2322"/>
      <c r="W635" s="2322"/>
      <c r="X635" s="2322"/>
      <c r="Y635" s="2322"/>
      <c r="Z635" s="2322"/>
      <c r="AA635" s="2322"/>
      <c r="AB635" s="2322"/>
      <c r="AC635" s="2322"/>
      <c r="AD635" s="2322"/>
      <c r="AE635" s="2322"/>
      <c r="AF635" s="2322"/>
      <c r="AG635" s="2322"/>
      <c r="AH635" s="2322"/>
      <c r="AI635" s="2322"/>
      <c r="AJ635" s="2322"/>
      <c r="AK635" s="2322"/>
      <c r="AL635" s="2322"/>
      <c r="AM635" s="2322"/>
    </row>
    <row r="636" spans="1:39">
      <c r="A636" s="89"/>
      <c r="B636" s="89"/>
      <c r="C636" s="89"/>
      <c r="D636" s="89"/>
      <c r="E636" s="89"/>
      <c r="F636" s="89"/>
      <c r="G636" s="89"/>
      <c r="H636" s="89"/>
      <c r="I636" s="3847"/>
      <c r="J636" s="3847"/>
      <c r="K636" s="3847"/>
      <c r="L636" s="3847"/>
      <c r="M636" s="3847"/>
      <c r="N636" s="3847"/>
      <c r="O636" s="3847"/>
      <c r="P636" s="3847"/>
      <c r="Q636" s="3847"/>
      <c r="R636" s="3847"/>
      <c r="S636" s="3847"/>
      <c r="T636" s="3847"/>
      <c r="U636" s="3847"/>
      <c r="V636" s="2322"/>
      <c r="W636" s="2322"/>
      <c r="X636" s="2322"/>
      <c r="Y636" s="2322"/>
      <c r="Z636" s="2322"/>
      <c r="AA636" s="2322"/>
      <c r="AB636" s="2322"/>
      <c r="AC636" s="2322"/>
      <c r="AD636" s="2322"/>
      <c r="AE636" s="2322"/>
      <c r="AF636" s="2322"/>
      <c r="AG636" s="2322"/>
      <c r="AH636" s="2322"/>
      <c r="AI636" s="2322"/>
      <c r="AJ636" s="2322"/>
      <c r="AK636" s="2322"/>
      <c r="AL636" s="2322"/>
      <c r="AM636" s="2322"/>
    </row>
    <row r="637" spans="1:39">
      <c r="A637" s="89"/>
      <c r="B637" s="89"/>
      <c r="C637" s="89"/>
      <c r="D637" s="89"/>
      <c r="E637" s="89"/>
      <c r="F637" s="89"/>
      <c r="G637" s="89"/>
      <c r="H637" s="89"/>
      <c r="I637" s="3847"/>
      <c r="J637" s="3847"/>
      <c r="K637" s="3847"/>
      <c r="L637" s="3847"/>
      <c r="M637" s="3847"/>
      <c r="N637" s="3847"/>
      <c r="O637" s="3847"/>
      <c r="P637" s="3847"/>
      <c r="Q637" s="3847"/>
      <c r="R637" s="3847"/>
      <c r="S637" s="3847"/>
      <c r="T637" s="3847"/>
      <c r="U637" s="3847"/>
      <c r="V637" s="2322"/>
      <c r="W637" s="2322"/>
      <c r="X637" s="2322"/>
      <c r="Y637" s="2322"/>
      <c r="Z637" s="2322"/>
      <c r="AA637" s="2322"/>
      <c r="AB637" s="2322"/>
      <c r="AC637" s="2322"/>
      <c r="AD637" s="2322"/>
      <c r="AE637" s="2322"/>
      <c r="AF637" s="2322"/>
      <c r="AG637" s="2322"/>
      <c r="AH637" s="2322"/>
      <c r="AI637" s="2322"/>
      <c r="AJ637" s="2322"/>
      <c r="AK637" s="2322"/>
      <c r="AL637" s="2322"/>
      <c r="AM637" s="2322"/>
    </row>
    <row r="638" spans="1:39">
      <c r="A638" s="89"/>
      <c r="B638" s="89"/>
      <c r="C638" s="89"/>
      <c r="D638" s="89"/>
      <c r="E638" s="89"/>
      <c r="F638" s="89"/>
      <c r="G638" s="89"/>
      <c r="H638" s="89"/>
      <c r="I638" s="3847"/>
      <c r="J638" s="3847"/>
      <c r="K638" s="3847"/>
      <c r="L638" s="3847"/>
      <c r="M638" s="3847"/>
      <c r="N638" s="3847"/>
      <c r="O638" s="3847"/>
      <c r="P638" s="3847"/>
      <c r="Q638" s="3847"/>
      <c r="R638" s="3847"/>
      <c r="S638" s="3847"/>
      <c r="T638" s="3847"/>
      <c r="U638" s="3847"/>
      <c r="V638" s="2322"/>
      <c r="W638" s="2322"/>
      <c r="X638" s="2322"/>
      <c r="Y638" s="2322"/>
      <c r="Z638" s="2322"/>
      <c r="AA638" s="2322"/>
      <c r="AB638" s="2322"/>
      <c r="AC638" s="2322"/>
      <c r="AD638" s="2322"/>
      <c r="AE638" s="2322"/>
      <c r="AF638" s="2322"/>
      <c r="AG638" s="2322"/>
      <c r="AH638" s="2322"/>
      <c r="AI638" s="2322"/>
      <c r="AJ638" s="2322"/>
      <c r="AK638" s="2322"/>
      <c r="AL638" s="2322"/>
      <c r="AM638" s="2322"/>
    </row>
    <row r="639" spans="1:39">
      <c r="A639" s="89"/>
      <c r="B639" s="89"/>
      <c r="C639" s="89"/>
      <c r="D639" s="89"/>
      <c r="E639" s="89"/>
      <c r="F639" s="89"/>
      <c r="G639" s="89"/>
      <c r="H639" s="89"/>
      <c r="I639" s="3847"/>
      <c r="J639" s="3847"/>
      <c r="K639" s="3847"/>
      <c r="L639" s="3847"/>
      <c r="M639" s="3847"/>
      <c r="N639" s="3847"/>
      <c r="O639" s="3847"/>
      <c r="P639" s="3847"/>
      <c r="Q639" s="3847"/>
      <c r="R639" s="3847"/>
      <c r="S639" s="3847"/>
      <c r="T639" s="3847"/>
      <c r="U639" s="3847"/>
      <c r="V639" s="2322"/>
      <c r="W639" s="2322"/>
      <c r="X639" s="2322"/>
      <c r="Y639" s="2322"/>
      <c r="Z639" s="2322"/>
      <c r="AA639" s="2322"/>
      <c r="AB639" s="2322"/>
      <c r="AC639" s="2322"/>
      <c r="AD639" s="2322"/>
      <c r="AE639" s="2322"/>
      <c r="AF639" s="2322"/>
      <c r="AG639" s="2322"/>
      <c r="AH639" s="2322"/>
      <c r="AI639" s="2322"/>
      <c r="AJ639" s="2322"/>
      <c r="AK639" s="2322"/>
      <c r="AL639" s="2322"/>
      <c r="AM639" s="2322"/>
    </row>
    <row r="640" spans="1:39">
      <c r="A640" s="89"/>
      <c r="B640" s="89"/>
      <c r="C640" s="89"/>
      <c r="D640" s="89"/>
      <c r="E640" s="89"/>
      <c r="F640" s="89"/>
      <c r="G640" s="89"/>
      <c r="H640" s="89"/>
      <c r="I640" s="3847"/>
      <c r="J640" s="3847"/>
      <c r="K640" s="3847"/>
      <c r="L640" s="3847"/>
      <c r="M640" s="3847"/>
      <c r="N640" s="3847"/>
      <c r="O640" s="3847"/>
      <c r="P640" s="3847"/>
      <c r="Q640" s="3847"/>
      <c r="R640" s="3847"/>
      <c r="S640" s="3847"/>
      <c r="T640" s="3847"/>
      <c r="U640" s="3847"/>
      <c r="V640" s="2322"/>
      <c r="W640" s="2322"/>
      <c r="X640" s="2322"/>
      <c r="Y640" s="2322"/>
      <c r="Z640" s="2322"/>
      <c r="AA640" s="2322"/>
      <c r="AB640" s="2322"/>
      <c r="AC640" s="2322"/>
      <c r="AD640" s="2322"/>
      <c r="AE640" s="2322"/>
      <c r="AF640" s="2322"/>
      <c r="AG640" s="2322"/>
      <c r="AH640" s="2322"/>
      <c r="AI640" s="2322"/>
      <c r="AJ640" s="2322"/>
      <c r="AK640" s="2322"/>
      <c r="AL640" s="2322"/>
      <c r="AM640" s="2322"/>
    </row>
    <row r="641" spans="1:39">
      <c r="A641" s="89"/>
      <c r="B641" s="89"/>
      <c r="C641" s="89"/>
      <c r="D641" s="89"/>
      <c r="E641" s="89"/>
      <c r="F641" s="89"/>
      <c r="G641" s="89"/>
      <c r="H641" s="89"/>
      <c r="I641" s="3847"/>
      <c r="J641" s="3847"/>
      <c r="K641" s="3847"/>
      <c r="L641" s="3847"/>
      <c r="M641" s="3847"/>
      <c r="N641" s="3847"/>
      <c r="O641" s="3847"/>
      <c r="P641" s="3847"/>
      <c r="Q641" s="3847"/>
      <c r="R641" s="3847"/>
      <c r="S641" s="3847"/>
      <c r="T641" s="3847"/>
      <c r="U641" s="3847"/>
      <c r="V641" s="2322"/>
      <c r="W641" s="2322"/>
      <c r="X641" s="2322"/>
      <c r="Y641" s="2322"/>
      <c r="Z641" s="2322"/>
      <c r="AA641" s="2322"/>
      <c r="AB641" s="2322"/>
      <c r="AC641" s="2322"/>
      <c r="AD641" s="2322"/>
      <c r="AE641" s="2322"/>
      <c r="AF641" s="2322"/>
      <c r="AG641" s="2322"/>
      <c r="AH641" s="2322"/>
      <c r="AI641" s="2322"/>
      <c r="AJ641" s="2322"/>
      <c r="AK641" s="2322"/>
      <c r="AL641" s="2322"/>
      <c r="AM641" s="2322"/>
    </row>
    <row r="642" spans="1:39">
      <c r="A642" s="89"/>
      <c r="B642" s="89"/>
      <c r="C642" s="89"/>
      <c r="D642" s="89"/>
      <c r="E642" s="89"/>
      <c r="F642" s="89"/>
      <c r="G642" s="89"/>
      <c r="H642" s="89"/>
      <c r="I642" s="3847"/>
      <c r="J642" s="3847"/>
      <c r="K642" s="3847"/>
      <c r="L642" s="3847"/>
      <c r="M642" s="3847"/>
      <c r="N642" s="3847"/>
      <c r="O642" s="3847"/>
      <c r="P642" s="3847"/>
      <c r="Q642" s="3847"/>
      <c r="R642" s="3847"/>
      <c r="S642" s="3847"/>
      <c r="T642" s="3847"/>
      <c r="U642" s="3847"/>
      <c r="V642" s="2322"/>
      <c r="W642" s="2322"/>
      <c r="X642" s="2322"/>
      <c r="Y642" s="2322"/>
      <c r="Z642" s="2322"/>
      <c r="AA642" s="2322"/>
      <c r="AB642" s="2322"/>
      <c r="AC642" s="2322"/>
      <c r="AD642" s="2322"/>
      <c r="AE642" s="2322"/>
      <c r="AF642" s="2322"/>
      <c r="AG642" s="2322"/>
      <c r="AH642" s="2322"/>
      <c r="AI642" s="2322"/>
      <c r="AJ642" s="2322"/>
      <c r="AK642" s="2322"/>
      <c r="AL642" s="2322"/>
      <c r="AM642" s="2322"/>
    </row>
    <row r="643" spans="1:39">
      <c r="A643" s="89"/>
      <c r="B643" s="89"/>
      <c r="C643" s="89"/>
      <c r="D643" s="89"/>
      <c r="E643" s="89"/>
      <c r="F643" s="89"/>
      <c r="G643" s="89"/>
      <c r="H643" s="89"/>
      <c r="I643" s="3847"/>
      <c r="J643" s="3847"/>
      <c r="K643" s="3847"/>
      <c r="L643" s="3847"/>
      <c r="M643" s="3847"/>
      <c r="N643" s="3847"/>
      <c r="O643" s="3847"/>
      <c r="P643" s="3847"/>
      <c r="Q643" s="3847"/>
      <c r="R643" s="3847"/>
      <c r="S643" s="3847"/>
      <c r="T643" s="3847"/>
      <c r="U643" s="3847"/>
      <c r="V643" s="2322"/>
      <c r="W643" s="2322"/>
      <c r="X643" s="2322"/>
      <c r="Y643" s="2322"/>
      <c r="Z643" s="2322"/>
      <c r="AA643" s="2322"/>
      <c r="AB643" s="2322"/>
      <c r="AC643" s="2322"/>
      <c r="AD643" s="2322"/>
      <c r="AE643" s="2322"/>
      <c r="AF643" s="2322"/>
      <c r="AG643" s="2322"/>
      <c r="AH643" s="2322"/>
      <c r="AI643" s="2322"/>
      <c r="AJ643" s="2322"/>
      <c r="AK643" s="2322"/>
      <c r="AL643" s="2322"/>
      <c r="AM643" s="2322"/>
    </row>
    <row r="644" spans="1:39">
      <c r="A644" s="89"/>
      <c r="B644" s="89"/>
      <c r="C644" s="89"/>
      <c r="D644" s="89"/>
      <c r="E644" s="89"/>
      <c r="F644" s="89"/>
      <c r="G644" s="89"/>
      <c r="H644" s="89"/>
      <c r="I644" s="3847"/>
      <c r="J644" s="3847"/>
      <c r="K644" s="3847"/>
      <c r="L644" s="3847"/>
      <c r="M644" s="3847"/>
      <c r="N644" s="3847"/>
      <c r="O644" s="3847"/>
      <c r="P644" s="3847"/>
      <c r="Q644" s="3847"/>
      <c r="R644" s="3847"/>
      <c r="S644" s="3847"/>
      <c r="T644" s="3847"/>
      <c r="U644" s="3847"/>
      <c r="V644" s="2322"/>
      <c r="W644" s="2322"/>
      <c r="X644" s="2322"/>
      <c r="Y644" s="2322"/>
      <c r="Z644" s="2322"/>
      <c r="AA644" s="2322"/>
      <c r="AB644" s="2322"/>
      <c r="AC644" s="2322"/>
      <c r="AD644" s="2322"/>
      <c r="AE644" s="2322"/>
      <c r="AF644" s="2322"/>
      <c r="AG644" s="2322"/>
      <c r="AH644" s="2322"/>
      <c r="AI644" s="2322"/>
      <c r="AJ644" s="2322"/>
      <c r="AK644" s="2322"/>
      <c r="AL644" s="2322"/>
      <c r="AM644" s="2322"/>
    </row>
    <row r="645" spans="1:39">
      <c r="A645" s="89"/>
      <c r="B645" s="89"/>
      <c r="C645" s="89"/>
      <c r="D645" s="89"/>
      <c r="E645" s="89"/>
      <c r="F645" s="89"/>
      <c r="G645" s="89"/>
      <c r="H645" s="89"/>
      <c r="I645" s="3847"/>
      <c r="J645" s="3847"/>
      <c r="K645" s="3847"/>
      <c r="L645" s="3847"/>
      <c r="M645" s="3847"/>
      <c r="N645" s="3847"/>
      <c r="O645" s="3847"/>
      <c r="P645" s="3847"/>
      <c r="Q645" s="3847"/>
      <c r="R645" s="3847"/>
      <c r="S645" s="3847"/>
      <c r="T645" s="3847"/>
      <c r="U645" s="3847"/>
      <c r="V645" s="2322"/>
      <c r="W645" s="2322"/>
      <c r="X645" s="2322"/>
      <c r="Y645" s="2322"/>
      <c r="Z645" s="2322"/>
      <c r="AA645" s="2322"/>
      <c r="AB645" s="2322"/>
      <c r="AC645" s="2322"/>
      <c r="AD645" s="2322"/>
      <c r="AE645" s="2322"/>
      <c r="AF645" s="2322"/>
      <c r="AG645" s="2322"/>
      <c r="AH645" s="2322"/>
      <c r="AI645" s="2322"/>
      <c r="AJ645" s="2322"/>
      <c r="AK645" s="2322"/>
      <c r="AL645" s="2322"/>
      <c r="AM645" s="2322"/>
    </row>
    <row r="646" spans="1:39">
      <c r="A646" s="89"/>
      <c r="B646" s="89"/>
      <c r="C646" s="89"/>
      <c r="D646" s="89"/>
      <c r="E646" s="89"/>
      <c r="F646" s="89"/>
      <c r="G646" s="89"/>
      <c r="H646" s="89"/>
      <c r="I646" s="3847"/>
      <c r="J646" s="3847"/>
      <c r="K646" s="3847"/>
      <c r="L646" s="3847"/>
      <c r="M646" s="3847"/>
      <c r="N646" s="3847"/>
      <c r="O646" s="3847"/>
      <c r="P646" s="3847"/>
      <c r="Q646" s="3847"/>
      <c r="R646" s="3847"/>
      <c r="S646" s="3847"/>
      <c r="T646" s="3847"/>
      <c r="U646" s="3847"/>
      <c r="V646" s="2322"/>
      <c r="W646" s="2322"/>
      <c r="X646" s="2322"/>
      <c r="Y646" s="2322"/>
      <c r="Z646" s="2322"/>
      <c r="AA646" s="2322"/>
      <c r="AB646" s="2322"/>
      <c r="AC646" s="2322"/>
      <c r="AD646" s="2322"/>
      <c r="AE646" s="2322"/>
      <c r="AF646" s="2322"/>
      <c r="AG646" s="2322"/>
      <c r="AH646" s="2322"/>
      <c r="AI646" s="2322"/>
      <c r="AJ646" s="2322"/>
      <c r="AK646" s="2322"/>
      <c r="AL646" s="2322"/>
      <c r="AM646" s="2322"/>
    </row>
    <row r="647" spans="1:39">
      <c r="A647" s="89"/>
      <c r="B647" s="89"/>
      <c r="C647" s="89"/>
      <c r="D647" s="89"/>
      <c r="E647" s="89"/>
      <c r="F647" s="89"/>
      <c r="G647" s="89"/>
      <c r="H647" s="89"/>
      <c r="I647" s="3847"/>
      <c r="J647" s="3847"/>
      <c r="K647" s="3847"/>
      <c r="L647" s="3847"/>
      <c r="M647" s="3847"/>
      <c r="N647" s="3847"/>
      <c r="O647" s="3847"/>
      <c r="P647" s="3847"/>
      <c r="Q647" s="3847"/>
      <c r="R647" s="3847"/>
      <c r="S647" s="3847"/>
      <c r="T647" s="3847"/>
      <c r="U647" s="3847"/>
      <c r="V647" s="2322"/>
      <c r="W647" s="2322"/>
      <c r="X647" s="2322"/>
      <c r="Y647" s="2322"/>
      <c r="Z647" s="2322"/>
      <c r="AA647" s="2322"/>
      <c r="AB647" s="2322"/>
      <c r="AC647" s="2322"/>
      <c r="AD647" s="2322"/>
      <c r="AE647" s="2322"/>
      <c r="AF647" s="2322"/>
      <c r="AG647" s="2322"/>
      <c r="AH647" s="2322"/>
      <c r="AI647" s="2322"/>
      <c r="AJ647" s="2322"/>
      <c r="AK647" s="2322"/>
      <c r="AL647" s="2322"/>
      <c r="AM647" s="2322"/>
    </row>
    <row r="648" spans="1:39">
      <c r="A648" s="89"/>
      <c r="B648" s="89"/>
      <c r="C648" s="89"/>
      <c r="D648" s="89"/>
      <c r="E648" s="89"/>
      <c r="F648" s="89"/>
      <c r="G648" s="89"/>
      <c r="H648" s="89"/>
      <c r="I648" s="3847"/>
      <c r="J648" s="3847"/>
      <c r="K648" s="3847"/>
      <c r="L648" s="3847"/>
      <c r="M648" s="3847"/>
      <c r="N648" s="3847"/>
      <c r="O648" s="3847"/>
      <c r="P648" s="3847"/>
      <c r="Q648" s="3847"/>
      <c r="R648" s="3847"/>
      <c r="S648" s="3847"/>
      <c r="T648" s="3847"/>
      <c r="U648" s="3847"/>
      <c r="V648" s="2322"/>
      <c r="W648" s="2322"/>
      <c r="X648" s="2322"/>
      <c r="Y648" s="2322"/>
      <c r="Z648" s="2322"/>
      <c r="AA648" s="2322"/>
      <c r="AB648" s="2322"/>
      <c r="AC648" s="2322"/>
      <c r="AD648" s="2322"/>
      <c r="AE648" s="2322"/>
      <c r="AF648" s="2322"/>
      <c r="AG648" s="2322"/>
      <c r="AH648" s="2322"/>
      <c r="AI648" s="2322"/>
      <c r="AJ648" s="2322"/>
      <c r="AK648" s="2322"/>
      <c r="AL648" s="2322"/>
      <c r="AM648" s="2322"/>
    </row>
    <row r="649" spans="1:39">
      <c r="A649" s="89"/>
      <c r="B649" s="89"/>
      <c r="C649" s="89"/>
      <c r="D649" s="89"/>
      <c r="E649" s="89"/>
      <c r="F649" s="89"/>
      <c r="G649" s="89"/>
      <c r="H649" s="89"/>
      <c r="I649" s="3847"/>
      <c r="J649" s="3847"/>
      <c r="K649" s="3847"/>
      <c r="L649" s="3847"/>
      <c r="M649" s="3847"/>
      <c r="N649" s="3847"/>
      <c r="O649" s="3847"/>
      <c r="P649" s="3847"/>
      <c r="Q649" s="3847"/>
      <c r="R649" s="3847"/>
      <c r="S649" s="3847"/>
      <c r="T649" s="3847"/>
      <c r="U649" s="3847"/>
      <c r="V649" s="2322"/>
      <c r="W649" s="2322"/>
      <c r="X649" s="2322"/>
      <c r="Y649" s="2322"/>
      <c r="Z649" s="2322"/>
      <c r="AA649" s="2322"/>
      <c r="AB649" s="2322"/>
      <c r="AC649" s="2322"/>
      <c r="AD649" s="2322"/>
      <c r="AE649" s="2322"/>
      <c r="AF649" s="2322"/>
      <c r="AG649" s="2322"/>
      <c r="AH649" s="2322"/>
      <c r="AI649" s="2322"/>
      <c r="AJ649" s="2322"/>
      <c r="AK649" s="2322"/>
      <c r="AL649" s="2322"/>
      <c r="AM649" s="2322"/>
    </row>
    <row r="650" spans="1:39">
      <c r="A650" s="89"/>
      <c r="B650" s="89"/>
      <c r="C650" s="89"/>
      <c r="D650" s="89"/>
      <c r="E650" s="89"/>
      <c r="F650" s="89"/>
      <c r="G650" s="89"/>
      <c r="H650" s="89"/>
      <c r="I650" s="3847"/>
      <c r="J650" s="3847"/>
      <c r="K650" s="3847"/>
      <c r="L650" s="3847"/>
      <c r="M650" s="3847"/>
      <c r="N650" s="3847"/>
      <c r="O650" s="3847"/>
      <c r="P650" s="3847"/>
      <c r="Q650" s="3847"/>
      <c r="R650" s="3847"/>
      <c r="S650" s="3847"/>
      <c r="T650" s="3847"/>
      <c r="U650" s="3847"/>
      <c r="V650" s="2322"/>
      <c r="W650" s="2322"/>
      <c r="X650" s="2322"/>
      <c r="Y650" s="2322"/>
      <c r="Z650" s="2322"/>
      <c r="AA650" s="2322"/>
      <c r="AB650" s="2322"/>
      <c r="AC650" s="2322"/>
      <c r="AD650" s="2322"/>
      <c r="AE650" s="2322"/>
      <c r="AF650" s="2322"/>
      <c r="AG650" s="2322"/>
      <c r="AH650" s="2322"/>
      <c r="AI650" s="2322"/>
      <c r="AJ650" s="2322"/>
      <c r="AK650" s="2322"/>
      <c r="AL650" s="2322"/>
      <c r="AM650" s="2322"/>
    </row>
    <row r="651" spans="1:39">
      <c r="A651" s="89"/>
      <c r="B651" s="89"/>
      <c r="C651" s="89"/>
      <c r="D651" s="89"/>
      <c r="E651" s="89"/>
      <c r="F651" s="89"/>
      <c r="G651" s="89"/>
      <c r="H651" s="89"/>
      <c r="I651" s="3847"/>
      <c r="J651" s="3847"/>
      <c r="K651" s="3847"/>
      <c r="L651" s="3847"/>
      <c r="M651" s="3847"/>
      <c r="N651" s="3847"/>
      <c r="O651" s="3847"/>
      <c r="P651" s="3847"/>
      <c r="Q651" s="3847"/>
      <c r="R651" s="3847"/>
      <c r="S651" s="3847"/>
      <c r="T651" s="3847"/>
      <c r="U651" s="3847"/>
      <c r="V651" s="2322"/>
      <c r="W651" s="2322"/>
      <c r="X651" s="2322"/>
      <c r="Y651" s="2322"/>
      <c r="Z651" s="2322"/>
      <c r="AA651" s="2322"/>
      <c r="AB651" s="2322"/>
      <c r="AC651" s="2322"/>
      <c r="AD651" s="2322"/>
      <c r="AE651" s="2322"/>
      <c r="AF651" s="2322"/>
      <c r="AG651" s="2322"/>
      <c r="AH651" s="2322"/>
      <c r="AI651" s="2322"/>
      <c r="AJ651" s="2322"/>
      <c r="AK651" s="2322"/>
      <c r="AL651" s="2322"/>
      <c r="AM651" s="2322"/>
    </row>
    <row r="652" spans="1:39">
      <c r="A652" s="89"/>
      <c r="B652" s="89"/>
      <c r="C652" s="89"/>
      <c r="D652" s="89"/>
      <c r="E652" s="89"/>
      <c r="F652" s="89"/>
      <c r="G652" s="89"/>
      <c r="H652" s="89"/>
      <c r="I652" s="3847"/>
      <c r="J652" s="3847"/>
      <c r="K652" s="3847"/>
      <c r="L652" s="3847"/>
      <c r="M652" s="3847"/>
      <c r="N652" s="3847"/>
      <c r="O652" s="3847"/>
      <c r="P652" s="3847"/>
      <c r="Q652" s="3847"/>
      <c r="R652" s="3847"/>
      <c r="S652" s="3847"/>
      <c r="T652" s="3847"/>
      <c r="U652" s="3847"/>
      <c r="V652" s="2322"/>
      <c r="W652" s="2322"/>
      <c r="X652" s="2322"/>
      <c r="Y652" s="2322"/>
      <c r="Z652" s="2322"/>
      <c r="AA652" s="2322"/>
      <c r="AB652" s="2322"/>
      <c r="AC652" s="2322"/>
      <c r="AD652" s="2322"/>
      <c r="AE652" s="2322"/>
      <c r="AF652" s="2322"/>
      <c r="AG652" s="2322"/>
      <c r="AH652" s="2322"/>
      <c r="AI652" s="2322"/>
      <c r="AJ652" s="2322"/>
      <c r="AK652" s="2322"/>
      <c r="AL652" s="2322"/>
      <c r="AM652" s="2322"/>
    </row>
    <row r="653" spans="1:39">
      <c r="A653" s="89"/>
      <c r="B653" s="89"/>
      <c r="C653" s="89"/>
      <c r="D653" s="89"/>
      <c r="E653" s="89"/>
      <c r="F653" s="89"/>
      <c r="G653" s="89"/>
      <c r="H653" s="89"/>
      <c r="I653" s="3847"/>
      <c r="J653" s="3847"/>
      <c r="K653" s="3847"/>
      <c r="L653" s="3847"/>
      <c r="M653" s="3847"/>
      <c r="N653" s="3847"/>
      <c r="O653" s="3847"/>
      <c r="P653" s="3847"/>
      <c r="Q653" s="3847"/>
      <c r="R653" s="3847"/>
      <c r="S653" s="3847"/>
      <c r="T653" s="3847"/>
      <c r="U653" s="3847"/>
      <c r="V653" s="2322"/>
      <c r="W653" s="2322"/>
      <c r="X653" s="2322"/>
      <c r="Y653" s="2322"/>
      <c r="Z653" s="2322"/>
      <c r="AA653" s="2322"/>
      <c r="AB653" s="2322"/>
      <c r="AC653" s="2322"/>
      <c r="AD653" s="2322"/>
      <c r="AE653" s="2322"/>
      <c r="AF653" s="2322"/>
      <c r="AG653" s="2322"/>
      <c r="AH653" s="2322"/>
      <c r="AI653" s="2322"/>
      <c r="AJ653" s="2322"/>
      <c r="AK653" s="2322"/>
      <c r="AL653" s="2322"/>
      <c r="AM653" s="2322"/>
    </row>
    <row r="654" spans="1:39">
      <c r="A654" s="89"/>
      <c r="B654" s="89"/>
      <c r="C654" s="89"/>
      <c r="D654" s="89"/>
      <c r="E654" s="89"/>
      <c r="F654" s="89"/>
      <c r="G654" s="89"/>
      <c r="H654" s="89"/>
      <c r="I654" s="3847"/>
      <c r="J654" s="3847"/>
      <c r="K654" s="3847"/>
      <c r="L654" s="3847"/>
      <c r="M654" s="3847"/>
      <c r="N654" s="3847"/>
      <c r="O654" s="3847"/>
      <c r="P654" s="3847"/>
      <c r="Q654" s="3847"/>
      <c r="R654" s="3847"/>
      <c r="S654" s="3847"/>
      <c r="T654" s="3847"/>
      <c r="U654" s="3847"/>
      <c r="V654" s="2322"/>
      <c r="W654" s="2322"/>
      <c r="X654" s="2322"/>
      <c r="Y654" s="2322"/>
      <c r="Z654" s="2322"/>
      <c r="AA654" s="2322"/>
      <c r="AB654" s="2322"/>
      <c r="AC654" s="2322"/>
      <c r="AD654" s="2322"/>
      <c r="AE654" s="2322"/>
      <c r="AF654" s="2322"/>
      <c r="AG654" s="2322"/>
      <c r="AH654" s="2322"/>
      <c r="AI654" s="2322"/>
      <c r="AJ654" s="2322"/>
      <c r="AK654" s="2322"/>
      <c r="AL654" s="2322"/>
      <c r="AM654" s="2322"/>
    </row>
    <row r="655" spans="1:39">
      <c r="A655" s="89"/>
      <c r="B655" s="89"/>
      <c r="C655" s="89"/>
      <c r="D655" s="89"/>
      <c r="E655" s="89"/>
      <c r="F655" s="89"/>
      <c r="G655" s="89"/>
      <c r="H655" s="89"/>
      <c r="I655" s="3847"/>
      <c r="J655" s="3847"/>
      <c r="K655" s="3847"/>
      <c r="L655" s="3847"/>
      <c r="M655" s="3847"/>
      <c r="N655" s="3847"/>
      <c r="O655" s="3847"/>
      <c r="P655" s="3847"/>
      <c r="Q655" s="3847"/>
      <c r="R655" s="3847"/>
      <c r="S655" s="3847"/>
      <c r="T655" s="3847"/>
      <c r="U655" s="3847"/>
      <c r="V655" s="2322"/>
      <c r="W655" s="2322"/>
      <c r="X655" s="2322"/>
      <c r="Y655" s="2322"/>
      <c r="Z655" s="2322"/>
      <c r="AA655" s="2322"/>
      <c r="AB655" s="2322"/>
      <c r="AC655" s="2322"/>
      <c r="AD655" s="2322"/>
      <c r="AE655" s="2322"/>
      <c r="AF655" s="2322"/>
      <c r="AG655" s="2322"/>
      <c r="AH655" s="2322"/>
      <c r="AI655" s="2322"/>
      <c r="AJ655" s="2322"/>
      <c r="AK655" s="2322"/>
      <c r="AL655" s="2322"/>
      <c r="AM655" s="2322"/>
    </row>
    <row r="656" spans="1:39">
      <c r="A656" s="89"/>
      <c r="B656" s="89"/>
      <c r="C656" s="89"/>
      <c r="D656" s="89"/>
      <c r="E656" s="89"/>
      <c r="F656" s="89"/>
      <c r="G656" s="89"/>
      <c r="H656" s="89"/>
      <c r="I656" s="3847"/>
      <c r="J656" s="3847"/>
      <c r="K656" s="3847"/>
      <c r="L656" s="3847"/>
      <c r="M656" s="3847"/>
      <c r="N656" s="3847"/>
      <c r="O656" s="3847"/>
      <c r="P656" s="3847"/>
      <c r="Q656" s="3847"/>
      <c r="R656" s="3847"/>
      <c r="S656" s="3847"/>
      <c r="T656" s="3847"/>
      <c r="U656" s="3847"/>
      <c r="V656" s="2322"/>
      <c r="W656" s="2322"/>
      <c r="X656" s="2322"/>
      <c r="Y656" s="2322"/>
      <c r="Z656" s="2322"/>
      <c r="AA656" s="2322"/>
      <c r="AB656" s="2322"/>
      <c r="AC656" s="2322"/>
      <c r="AD656" s="2322"/>
      <c r="AE656" s="2322"/>
      <c r="AF656" s="2322"/>
      <c r="AG656" s="2322"/>
      <c r="AH656" s="2322"/>
      <c r="AI656" s="2322"/>
      <c r="AJ656" s="2322"/>
      <c r="AK656" s="2322"/>
      <c r="AL656" s="2322"/>
      <c r="AM656" s="2322"/>
    </row>
    <row r="657" spans="1:39">
      <c r="A657" s="89"/>
      <c r="B657" s="89"/>
      <c r="C657" s="89"/>
      <c r="D657" s="89"/>
      <c r="E657" s="89"/>
      <c r="F657" s="89"/>
      <c r="G657" s="89"/>
      <c r="H657" s="89"/>
      <c r="I657" s="3847"/>
      <c r="J657" s="3847"/>
      <c r="K657" s="3847"/>
      <c r="L657" s="3847"/>
      <c r="M657" s="3847"/>
      <c r="N657" s="3847"/>
      <c r="O657" s="3847"/>
      <c r="P657" s="3847"/>
      <c r="Q657" s="3847"/>
      <c r="R657" s="3847"/>
      <c r="S657" s="3847"/>
      <c r="T657" s="3847"/>
      <c r="U657" s="3847"/>
      <c r="V657" s="2322"/>
      <c r="W657" s="2322"/>
      <c r="X657" s="2322"/>
      <c r="Y657" s="2322"/>
      <c r="Z657" s="2322"/>
      <c r="AA657" s="2322"/>
      <c r="AB657" s="2322"/>
      <c r="AC657" s="2322"/>
      <c r="AD657" s="2322"/>
      <c r="AE657" s="2322"/>
      <c r="AF657" s="2322"/>
      <c r="AG657" s="2322"/>
      <c r="AH657" s="2322"/>
      <c r="AI657" s="2322"/>
      <c r="AJ657" s="2322"/>
      <c r="AK657" s="2322"/>
      <c r="AL657" s="2322"/>
      <c r="AM657" s="2322"/>
    </row>
    <row r="658" spans="1:39">
      <c r="A658" s="89"/>
      <c r="B658" s="89"/>
      <c r="C658" s="89"/>
      <c r="D658" s="89"/>
      <c r="E658" s="89"/>
      <c r="F658" s="89"/>
      <c r="G658" s="89"/>
      <c r="H658" s="89"/>
      <c r="I658" s="3847"/>
      <c r="J658" s="3847"/>
      <c r="K658" s="3847"/>
      <c r="L658" s="3847"/>
      <c r="M658" s="3847"/>
      <c r="N658" s="3847"/>
      <c r="O658" s="3847"/>
      <c r="P658" s="3847"/>
      <c r="Q658" s="3847"/>
      <c r="R658" s="3847"/>
      <c r="S658" s="3847"/>
      <c r="T658" s="3847"/>
      <c r="U658" s="3847"/>
      <c r="V658" s="2322"/>
      <c r="W658" s="2322"/>
      <c r="X658" s="2322"/>
      <c r="Y658" s="2322"/>
      <c r="Z658" s="2322"/>
      <c r="AA658" s="2322"/>
      <c r="AB658" s="2322"/>
      <c r="AC658" s="2322"/>
      <c r="AD658" s="2322"/>
      <c r="AE658" s="2322"/>
      <c r="AF658" s="2322"/>
      <c r="AG658" s="2322"/>
      <c r="AH658" s="2322"/>
      <c r="AI658" s="2322"/>
      <c r="AJ658" s="2322"/>
      <c r="AK658" s="2322"/>
      <c r="AL658" s="2322"/>
      <c r="AM658" s="2322"/>
    </row>
    <row r="659" spans="1:39">
      <c r="A659" s="89"/>
      <c r="B659" s="89"/>
      <c r="C659" s="89"/>
      <c r="D659" s="89"/>
      <c r="E659" s="89"/>
      <c r="F659" s="89"/>
      <c r="G659" s="89"/>
      <c r="H659" s="89"/>
      <c r="I659" s="3847"/>
      <c r="J659" s="3847"/>
      <c r="K659" s="3847"/>
      <c r="L659" s="3847"/>
      <c r="M659" s="3847"/>
      <c r="N659" s="3847"/>
      <c r="O659" s="3847"/>
      <c r="P659" s="3847"/>
      <c r="Q659" s="3847"/>
      <c r="R659" s="3847"/>
      <c r="S659" s="3847"/>
      <c r="T659" s="3847"/>
      <c r="U659" s="3847"/>
      <c r="V659" s="2322"/>
      <c r="W659" s="2322"/>
      <c r="X659" s="2322"/>
      <c r="Y659" s="2322"/>
      <c r="Z659" s="2322"/>
      <c r="AA659" s="2322"/>
      <c r="AB659" s="2322"/>
      <c r="AC659" s="2322"/>
      <c r="AD659" s="2322"/>
      <c r="AE659" s="2322"/>
      <c r="AF659" s="2322"/>
      <c r="AG659" s="2322"/>
      <c r="AH659" s="2322"/>
      <c r="AI659" s="2322"/>
      <c r="AJ659" s="2322"/>
      <c r="AK659" s="2322"/>
      <c r="AL659" s="2322"/>
      <c r="AM659" s="2322"/>
    </row>
    <row r="660" spans="1:39">
      <c r="A660" s="89"/>
      <c r="B660" s="89"/>
      <c r="C660" s="89"/>
      <c r="D660" s="89"/>
      <c r="E660" s="89"/>
      <c r="F660" s="89"/>
      <c r="G660" s="89"/>
      <c r="H660" s="89"/>
      <c r="I660" s="3847"/>
      <c r="J660" s="3847"/>
      <c r="K660" s="3847"/>
      <c r="L660" s="3847"/>
      <c r="M660" s="3847"/>
      <c r="N660" s="3847"/>
      <c r="O660" s="3847"/>
      <c r="P660" s="3847"/>
      <c r="Q660" s="3847"/>
      <c r="R660" s="3847"/>
      <c r="S660" s="3847"/>
      <c r="T660" s="3847"/>
      <c r="U660" s="3847"/>
      <c r="V660" s="2322"/>
      <c r="W660" s="2322"/>
      <c r="X660" s="2322"/>
      <c r="Y660" s="2322"/>
      <c r="Z660" s="2322"/>
      <c r="AA660" s="2322"/>
      <c r="AB660" s="2322"/>
      <c r="AC660" s="2322"/>
      <c r="AD660" s="2322"/>
      <c r="AE660" s="2322"/>
      <c r="AF660" s="2322"/>
      <c r="AG660" s="2322"/>
      <c r="AH660" s="2322"/>
      <c r="AI660" s="2322"/>
      <c r="AJ660" s="2322"/>
      <c r="AK660" s="2322"/>
      <c r="AL660" s="2322"/>
      <c r="AM660" s="2322"/>
    </row>
    <row r="661" spans="1:39">
      <c r="A661" s="89"/>
      <c r="B661" s="89"/>
      <c r="C661" s="89"/>
      <c r="D661" s="89"/>
      <c r="E661" s="89"/>
      <c r="F661" s="89"/>
      <c r="G661" s="89"/>
      <c r="H661" s="89"/>
      <c r="I661" s="3847"/>
      <c r="J661" s="3847"/>
      <c r="K661" s="3847"/>
      <c r="L661" s="3847"/>
      <c r="M661" s="3847"/>
      <c r="N661" s="3847"/>
      <c r="O661" s="3847"/>
      <c r="P661" s="3847"/>
      <c r="Q661" s="3847"/>
      <c r="R661" s="3847"/>
      <c r="S661" s="3847"/>
      <c r="T661" s="3847"/>
      <c r="U661" s="3847"/>
      <c r="V661" s="2322"/>
      <c r="W661" s="2322"/>
      <c r="X661" s="2322"/>
      <c r="Y661" s="2322"/>
      <c r="Z661" s="2322"/>
      <c r="AA661" s="2322"/>
      <c r="AB661" s="2322"/>
      <c r="AC661" s="2322"/>
      <c r="AD661" s="2322"/>
      <c r="AE661" s="2322"/>
      <c r="AF661" s="2322"/>
      <c r="AG661" s="2322"/>
      <c r="AH661" s="2322"/>
      <c r="AI661" s="2322"/>
      <c r="AJ661" s="2322"/>
      <c r="AK661" s="2322"/>
      <c r="AL661" s="2322"/>
      <c r="AM661" s="2322"/>
    </row>
    <row r="662" spans="1:39">
      <c r="A662" s="89"/>
      <c r="B662" s="89"/>
      <c r="C662" s="89"/>
      <c r="D662" s="89"/>
      <c r="E662" s="89"/>
      <c r="F662" s="89"/>
      <c r="G662" s="89"/>
      <c r="H662" s="89"/>
      <c r="I662" s="3847"/>
      <c r="J662" s="3847"/>
      <c r="K662" s="3847"/>
      <c r="L662" s="3847"/>
      <c r="M662" s="3847"/>
      <c r="N662" s="3847"/>
      <c r="O662" s="3847"/>
      <c r="P662" s="3847"/>
      <c r="Q662" s="3847"/>
      <c r="R662" s="3847"/>
      <c r="S662" s="3847"/>
      <c r="T662" s="3847"/>
      <c r="U662" s="3847"/>
      <c r="V662" s="2322"/>
      <c r="W662" s="2322"/>
      <c r="X662" s="2322"/>
      <c r="Y662" s="2322"/>
      <c r="Z662" s="2322"/>
      <c r="AA662" s="2322"/>
      <c r="AB662" s="2322"/>
      <c r="AC662" s="2322"/>
      <c r="AD662" s="2322"/>
      <c r="AE662" s="2322"/>
      <c r="AF662" s="2322"/>
      <c r="AG662" s="2322"/>
      <c r="AH662" s="2322"/>
      <c r="AI662" s="2322"/>
      <c r="AJ662" s="2322"/>
      <c r="AK662" s="2322"/>
      <c r="AL662" s="2322"/>
      <c r="AM662" s="2322"/>
    </row>
    <row r="663" spans="1:39">
      <c r="A663" s="89"/>
      <c r="B663" s="89"/>
      <c r="C663" s="89"/>
      <c r="D663" s="89"/>
      <c r="E663" s="89"/>
      <c r="F663" s="89"/>
      <c r="G663" s="89"/>
      <c r="H663" s="89"/>
      <c r="I663" s="3847"/>
      <c r="J663" s="3847"/>
      <c r="K663" s="3847"/>
      <c r="L663" s="3847"/>
      <c r="M663" s="3847"/>
      <c r="N663" s="3847"/>
      <c r="O663" s="3847"/>
      <c r="P663" s="3847"/>
      <c r="Q663" s="3847"/>
      <c r="R663" s="3847"/>
      <c r="S663" s="3847"/>
      <c r="T663" s="3847"/>
      <c r="U663" s="3847"/>
      <c r="V663" s="2322"/>
      <c r="W663" s="2322"/>
      <c r="X663" s="2322"/>
      <c r="Y663" s="2322"/>
      <c r="Z663" s="2322"/>
      <c r="AA663" s="2322"/>
      <c r="AB663" s="2322"/>
      <c r="AC663" s="2322"/>
      <c r="AD663" s="2322"/>
      <c r="AE663" s="2322"/>
      <c r="AF663" s="2322"/>
      <c r="AG663" s="2322"/>
      <c r="AH663" s="2322"/>
      <c r="AI663" s="2322"/>
      <c r="AJ663" s="2322"/>
      <c r="AK663" s="2322"/>
      <c r="AL663" s="2322"/>
      <c r="AM663" s="2322"/>
    </row>
    <row r="664" spans="1:39">
      <c r="A664" s="89"/>
      <c r="B664" s="89"/>
      <c r="C664" s="89"/>
      <c r="D664" s="89"/>
      <c r="E664" s="89"/>
      <c r="F664" s="89"/>
      <c r="G664" s="89"/>
      <c r="H664" s="89"/>
      <c r="I664" s="3847"/>
      <c r="J664" s="3847"/>
      <c r="K664" s="3847"/>
      <c r="L664" s="3847"/>
      <c r="M664" s="3847"/>
      <c r="N664" s="3847"/>
      <c r="O664" s="3847"/>
      <c r="P664" s="3847"/>
      <c r="Q664" s="3847"/>
      <c r="R664" s="3847"/>
      <c r="S664" s="3847"/>
      <c r="T664" s="3847"/>
      <c r="U664" s="3847"/>
      <c r="V664" s="2322"/>
      <c r="W664" s="2322"/>
      <c r="X664" s="2322"/>
      <c r="Y664" s="2322"/>
      <c r="Z664" s="2322"/>
      <c r="AA664" s="2322"/>
      <c r="AB664" s="2322"/>
      <c r="AC664" s="2322"/>
      <c r="AD664" s="2322"/>
      <c r="AE664" s="2322"/>
      <c r="AF664" s="2322"/>
      <c r="AG664" s="2322"/>
      <c r="AH664" s="2322"/>
      <c r="AI664" s="2322"/>
      <c r="AJ664" s="2322"/>
      <c r="AK664" s="2322"/>
      <c r="AL664" s="2322"/>
      <c r="AM664" s="2322"/>
    </row>
    <row r="665" spans="1:39">
      <c r="A665" s="89"/>
      <c r="B665" s="89"/>
      <c r="C665" s="89"/>
      <c r="D665" s="89"/>
      <c r="E665" s="89"/>
      <c r="F665" s="89"/>
      <c r="G665" s="89"/>
      <c r="H665" s="89"/>
      <c r="I665" s="3847"/>
      <c r="J665" s="3847"/>
      <c r="K665" s="3847"/>
      <c r="L665" s="3847"/>
      <c r="M665" s="3847"/>
      <c r="N665" s="3847"/>
      <c r="O665" s="3847"/>
      <c r="P665" s="3847"/>
      <c r="Q665" s="3847"/>
      <c r="R665" s="3847"/>
      <c r="S665" s="3847"/>
      <c r="T665" s="3847"/>
      <c r="U665" s="3847"/>
      <c r="V665" s="2322"/>
      <c r="W665" s="2322"/>
      <c r="X665" s="2322"/>
      <c r="Y665" s="2322"/>
      <c r="Z665" s="2322"/>
      <c r="AA665" s="2322"/>
      <c r="AB665" s="2322"/>
      <c r="AC665" s="2322"/>
      <c r="AD665" s="2322"/>
      <c r="AE665" s="2322"/>
      <c r="AF665" s="2322"/>
      <c r="AG665" s="2322"/>
      <c r="AH665" s="2322"/>
      <c r="AI665" s="2322"/>
      <c r="AJ665" s="2322"/>
      <c r="AK665" s="2322"/>
      <c r="AL665" s="2322"/>
      <c r="AM665" s="2322"/>
    </row>
    <row r="666" spans="1:39">
      <c r="A666" s="89"/>
      <c r="B666" s="89"/>
      <c r="C666" s="89"/>
      <c r="D666" s="89"/>
      <c r="E666" s="89"/>
      <c r="F666" s="89"/>
      <c r="G666" s="89"/>
      <c r="H666" s="89"/>
      <c r="I666" s="3847"/>
      <c r="J666" s="3847"/>
      <c r="K666" s="3847"/>
      <c r="L666" s="3847"/>
      <c r="M666" s="3847"/>
      <c r="N666" s="3847"/>
      <c r="O666" s="3847"/>
      <c r="P666" s="3847"/>
      <c r="Q666" s="3847"/>
      <c r="R666" s="3847"/>
      <c r="S666" s="3847"/>
      <c r="T666" s="3847"/>
      <c r="U666" s="3847"/>
      <c r="V666" s="2322"/>
      <c r="W666" s="2322"/>
      <c r="X666" s="2322"/>
      <c r="Y666" s="2322"/>
      <c r="Z666" s="2322"/>
      <c r="AA666" s="2322"/>
      <c r="AB666" s="2322"/>
      <c r="AC666" s="2322"/>
      <c r="AD666" s="2322"/>
      <c r="AE666" s="2322"/>
      <c r="AF666" s="2322"/>
      <c r="AG666" s="2322"/>
      <c r="AH666" s="2322"/>
      <c r="AI666" s="2322"/>
      <c r="AJ666" s="2322"/>
      <c r="AK666" s="2322"/>
      <c r="AL666" s="2322"/>
      <c r="AM666" s="2322"/>
    </row>
    <row r="667" spans="1:39">
      <c r="A667" s="89"/>
      <c r="B667" s="89"/>
      <c r="C667" s="89"/>
      <c r="D667" s="89"/>
      <c r="E667" s="89"/>
      <c r="F667" s="89"/>
      <c r="G667" s="89"/>
      <c r="H667" s="89"/>
      <c r="I667" s="3847"/>
      <c r="J667" s="3847"/>
      <c r="K667" s="3847"/>
      <c r="L667" s="3847"/>
      <c r="M667" s="3847"/>
      <c r="N667" s="3847"/>
      <c r="O667" s="3847"/>
      <c r="P667" s="3847"/>
      <c r="Q667" s="3847"/>
      <c r="R667" s="3847"/>
      <c r="S667" s="3847"/>
      <c r="T667" s="3847"/>
      <c r="U667" s="3847"/>
      <c r="V667" s="2322"/>
      <c r="W667" s="2322"/>
      <c r="X667" s="2322"/>
      <c r="Y667" s="2322"/>
      <c r="Z667" s="2322"/>
      <c r="AA667" s="2322"/>
      <c r="AB667" s="2322"/>
      <c r="AC667" s="2322"/>
      <c r="AD667" s="2322"/>
      <c r="AE667" s="2322"/>
      <c r="AF667" s="2322"/>
      <c r="AG667" s="2322"/>
      <c r="AH667" s="2322"/>
      <c r="AI667" s="2322"/>
      <c r="AJ667" s="2322"/>
      <c r="AK667" s="2322"/>
      <c r="AL667" s="2322"/>
      <c r="AM667" s="2322"/>
    </row>
    <row r="668" spans="1:39">
      <c r="A668" s="89"/>
      <c r="B668" s="89"/>
      <c r="C668" s="89"/>
      <c r="D668" s="89"/>
      <c r="E668" s="89"/>
      <c r="F668" s="89"/>
      <c r="G668" s="89"/>
      <c r="H668" s="89"/>
      <c r="I668" s="3847"/>
      <c r="J668" s="3847"/>
      <c r="K668" s="3847"/>
      <c r="L668" s="3847"/>
      <c r="M668" s="3847"/>
      <c r="N668" s="3847"/>
      <c r="O668" s="3847"/>
      <c r="P668" s="3847"/>
      <c r="Q668" s="3847"/>
      <c r="R668" s="3847"/>
      <c r="S668" s="3847"/>
      <c r="T668" s="3847"/>
      <c r="U668" s="3847"/>
      <c r="V668" s="2322"/>
      <c r="W668" s="2322"/>
      <c r="X668" s="2322"/>
      <c r="Y668" s="2322"/>
      <c r="Z668" s="2322"/>
      <c r="AA668" s="2322"/>
      <c r="AB668" s="2322"/>
      <c r="AC668" s="2322"/>
      <c r="AD668" s="2322"/>
      <c r="AE668" s="2322"/>
      <c r="AF668" s="2322"/>
      <c r="AG668" s="2322"/>
      <c r="AH668" s="2322"/>
      <c r="AI668" s="2322"/>
      <c r="AJ668" s="2322"/>
      <c r="AK668" s="2322"/>
      <c r="AL668" s="2322"/>
      <c r="AM668" s="2322"/>
    </row>
    <row r="669" spans="1:39">
      <c r="A669" s="89"/>
      <c r="B669" s="89"/>
      <c r="C669" s="89"/>
      <c r="D669" s="89"/>
      <c r="E669" s="89"/>
      <c r="F669" s="89"/>
      <c r="G669" s="89"/>
      <c r="H669" s="89"/>
      <c r="I669" s="3847"/>
      <c r="J669" s="3847"/>
      <c r="K669" s="3847"/>
      <c r="L669" s="3847"/>
      <c r="M669" s="3847"/>
      <c r="N669" s="3847"/>
      <c r="O669" s="3847"/>
      <c r="P669" s="3847"/>
      <c r="Q669" s="3847"/>
      <c r="R669" s="3847"/>
      <c r="S669" s="3847"/>
      <c r="T669" s="3847"/>
      <c r="U669" s="3847"/>
      <c r="V669" s="2322"/>
      <c r="W669" s="2322"/>
      <c r="X669" s="2322"/>
      <c r="Y669" s="2322"/>
      <c r="Z669" s="2322"/>
      <c r="AA669" s="2322"/>
      <c r="AB669" s="2322"/>
      <c r="AC669" s="2322"/>
      <c r="AD669" s="2322"/>
      <c r="AE669" s="2322"/>
      <c r="AF669" s="2322"/>
      <c r="AG669" s="2322"/>
      <c r="AH669" s="2322"/>
      <c r="AI669" s="2322"/>
      <c r="AJ669" s="2322"/>
      <c r="AK669" s="2322"/>
      <c r="AL669" s="2322"/>
      <c r="AM669" s="2322"/>
    </row>
    <row r="670" spans="1:39">
      <c r="A670" s="89"/>
      <c r="B670" s="89"/>
      <c r="C670" s="89"/>
      <c r="D670" s="89"/>
      <c r="E670" s="89"/>
      <c r="F670" s="89"/>
      <c r="G670" s="89"/>
      <c r="H670" s="89"/>
      <c r="I670" s="3847"/>
      <c r="J670" s="3847"/>
      <c r="K670" s="3847"/>
      <c r="L670" s="3847"/>
      <c r="M670" s="3847"/>
      <c r="N670" s="3847"/>
      <c r="O670" s="3847"/>
      <c r="P670" s="3847"/>
      <c r="Q670" s="3847"/>
      <c r="R670" s="3847"/>
      <c r="S670" s="3847"/>
      <c r="T670" s="3847"/>
      <c r="U670" s="3847"/>
      <c r="V670" s="2322"/>
      <c r="W670" s="2322"/>
      <c r="X670" s="2322"/>
      <c r="Y670" s="2322"/>
      <c r="Z670" s="2322"/>
      <c r="AA670" s="2322"/>
      <c r="AB670" s="2322"/>
      <c r="AC670" s="2322"/>
      <c r="AD670" s="2322"/>
      <c r="AE670" s="2322"/>
      <c r="AF670" s="2322"/>
      <c r="AG670" s="2322"/>
      <c r="AH670" s="2322"/>
      <c r="AI670" s="2322"/>
      <c r="AJ670" s="2322"/>
      <c r="AK670" s="2322"/>
      <c r="AL670" s="2322"/>
      <c r="AM670" s="2322"/>
    </row>
    <row r="671" spans="1:39">
      <c r="A671" s="89"/>
      <c r="B671" s="89"/>
      <c r="C671" s="89"/>
      <c r="D671" s="89"/>
      <c r="E671" s="89"/>
      <c r="F671" s="89"/>
      <c r="G671" s="89"/>
      <c r="H671" s="89"/>
      <c r="I671" s="3847"/>
      <c r="J671" s="3847"/>
      <c r="K671" s="3847"/>
      <c r="L671" s="3847"/>
      <c r="M671" s="3847"/>
      <c r="N671" s="3847"/>
      <c r="O671" s="3847"/>
      <c r="P671" s="3847"/>
      <c r="Q671" s="3847"/>
      <c r="R671" s="3847"/>
      <c r="S671" s="3847"/>
      <c r="T671" s="3847"/>
      <c r="U671" s="3847"/>
      <c r="V671" s="2322"/>
      <c r="W671" s="2322"/>
      <c r="X671" s="2322"/>
      <c r="Y671" s="2322"/>
      <c r="Z671" s="2322"/>
      <c r="AA671" s="2322"/>
      <c r="AB671" s="2322"/>
      <c r="AC671" s="2322"/>
      <c r="AD671" s="2322"/>
      <c r="AE671" s="2322"/>
      <c r="AF671" s="2322"/>
      <c r="AG671" s="2322"/>
      <c r="AH671" s="2322"/>
      <c r="AI671" s="2322"/>
      <c r="AJ671" s="2322"/>
      <c r="AK671" s="2322"/>
      <c r="AL671" s="2322"/>
      <c r="AM671" s="2322"/>
    </row>
    <row r="672" spans="1:39">
      <c r="A672" s="89"/>
      <c r="B672" s="89"/>
      <c r="C672" s="89"/>
      <c r="D672" s="89"/>
      <c r="E672" s="89"/>
      <c r="F672" s="89"/>
      <c r="G672" s="89"/>
      <c r="H672" s="89"/>
      <c r="I672" s="3847"/>
      <c r="J672" s="3847"/>
      <c r="K672" s="3847"/>
      <c r="L672" s="3847"/>
      <c r="M672" s="3847"/>
      <c r="N672" s="3847"/>
      <c r="O672" s="3847"/>
      <c r="P672" s="3847"/>
      <c r="Q672" s="3847"/>
      <c r="R672" s="3847"/>
      <c r="S672" s="3847"/>
      <c r="T672" s="3847"/>
      <c r="U672" s="3847"/>
      <c r="V672" s="2322"/>
      <c r="W672" s="2322"/>
      <c r="X672" s="2322"/>
      <c r="Y672" s="2322"/>
      <c r="Z672" s="2322"/>
      <c r="AA672" s="2322"/>
      <c r="AB672" s="2322"/>
      <c r="AC672" s="2322"/>
      <c r="AD672" s="2322"/>
      <c r="AE672" s="2322"/>
      <c r="AF672" s="2322"/>
      <c r="AG672" s="2322"/>
      <c r="AH672" s="2322"/>
      <c r="AI672" s="2322"/>
      <c r="AJ672" s="2322"/>
      <c r="AK672" s="2322"/>
      <c r="AL672" s="2322"/>
      <c r="AM672" s="2322"/>
    </row>
    <row r="673" spans="1:39">
      <c r="A673" s="89"/>
      <c r="B673" s="89"/>
      <c r="C673" s="89"/>
      <c r="D673" s="89"/>
      <c r="E673" s="89"/>
      <c r="F673" s="89"/>
      <c r="G673" s="89"/>
      <c r="H673" s="89"/>
      <c r="I673" s="3847"/>
      <c r="J673" s="3847"/>
      <c r="K673" s="3847"/>
      <c r="L673" s="3847"/>
      <c r="M673" s="3847"/>
      <c r="N673" s="3847"/>
      <c r="O673" s="3847"/>
      <c r="P673" s="3847"/>
      <c r="Q673" s="3847"/>
      <c r="R673" s="3847"/>
      <c r="S673" s="3847"/>
      <c r="T673" s="3847"/>
      <c r="U673" s="3847"/>
      <c r="V673" s="2322"/>
      <c r="W673" s="2322"/>
      <c r="X673" s="2322"/>
      <c r="Y673" s="2322"/>
      <c r="Z673" s="2322"/>
      <c r="AA673" s="2322"/>
      <c r="AB673" s="2322"/>
      <c r="AC673" s="2322"/>
      <c r="AD673" s="2322"/>
      <c r="AE673" s="2322"/>
      <c r="AF673" s="2322"/>
      <c r="AG673" s="2322"/>
      <c r="AH673" s="2322"/>
      <c r="AI673" s="2322"/>
      <c r="AJ673" s="2322"/>
      <c r="AK673" s="2322"/>
      <c r="AL673" s="2322"/>
      <c r="AM673" s="2322"/>
    </row>
    <row r="674" spans="1:39">
      <c r="A674" s="89"/>
      <c r="B674" s="89"/>
      <c r="C674" s="89"/>
      <c r="D674" s="89"/>
      <c r="E674" s="89"/>
      <c r="F674" s="89"/>
      <c r="G674" s="89"/>
      <c r="H674" s="89"/>
      <c r="I674" s="3847"/>
      <c r="J674" s="3847"/>
      <c r="K674" s="3847"/>
      <c r="L674" s="3847"/>
      <c r="M674" s="3847"/>
      <c r="N674" s="3847"/>
      <c r="O674" s="3847"/>
      <c r="P674" s="3847"/>
      <c r="Q674" s="3847"/>
      <c r="R674" s="3847"/>
      <c r="S674" s="3847"/>
      <c r="T674" s="3847"/>
      <c r="U674" s="3847"/>
      <c r="V674" s="2322"/>
      <c r="W674" s="2322"/>
      <c r="X674" s="2322"/>
      <c r="Y674" s="2322"/>
      <c r="Z674" s="2322"/>
      <c r="AA674" s="2322"/>
      <c r="AB674" s="2322"/>
      <c r="AC674" s="2322"/>
      <c r="AD674" s="2322"/>
      <c r="AE674" s="2322"/>
      <c r="AF674" s="2322"/>
      <c r="AG674" s="2322"/>
      <c r="AH674" s="2322"/>
      <c r="AI674" s="2322"/>
      <c r="AJ674" s="2322"/>
      <c r="AK674" s="2322"/>
      <c r="AL674" s="2322"/>
      <c r="AM674" s="2322"/>
    </row>
    <row r="675" spans="1:39">
      <c r="A675" s="89"/>
      <c r="B675" s="89"/>
      <c r="C675" s="89"/>
      <c r="D675" s="89"/>
      <c r="E675" s="89"/>
      <c r="F675" s="89"/>
      <c r="G675" s="89"/>
      <c r="H675" s="89"/>
      <c r="I675" s="3847"/>
      <c r="J675" s="3847"/>
      <c r="K675" s="3847"/>
      <c r="L675" s="3847"/>
      <c r="M675" s="3847"/>
      <c r="N675" s="3847"/>
      <c r="O675" s="3847"/>
      <c r="P675" s="3847"/>
      <c r="Q675" s="3847"/>
      <c r="R675" s="3847"/>
      <c r="S675" s="3847"/>
      <c r="T675" s="3847"/>
      <c r="U675" s="3847"/>
      <c r="V675" s="2322"/>
      <c r="W675" s="2322"/>
      <c r="X675" s="2322"/>
      <c r="Y675" s="2322"/>
      <c r="Z675" s="2322"/>
      <c r="AA675" s="2322"/>
      <c r="AB675" s="2322"/>
      <c r="AC675" s="2322"/>
      <c r="AD675" s="2322"/>
      <c r="AE675" s="2322"/>
      <c r="AF675" s="2322"/>
      <c r="AG675" s="2322"/>
      <c r="AH675" s="2322"/>
      <c r="AI675" s="2322"/>
      <c r="AJ675" s="2322"/>
      <c r="AK675" s="2322"/>
      <c r="AL675" s="2322"/>
      <c r="AM675" s="2322"/>
    </row>
    <row r="676" spans="1:39">
      <c r="A676" s="89"/>
      <c r="B676" s="89"/>
      <c r="C676" s="89"/>
      <c r="D676" s="89"/>
      <c r="E676" s="89"/>
      <c r="F676" s="89"/>
      <c r="G676" s="89"/>
      <c r="H676" s="89"/>
      <c r="I676" s="3847"/>
      <c r="J676" s="3847"/>
      <c r="K676" s="3847"/>
      <c r="L676" s="3847"/>
      <c r="M676" s="3847"/>
      <c r="N676" s="3847"/>
      <c r="O676" s="3847"/>
      <c r="P676" s="3847"/>
      <c r="Q676" s="3847"/>
      <c r="R676" s="3847"/>
      <c r="S676" s="3847"/>
      <c r="T676" s="3847"/>
      <c r="U676" s="3847"/>
      <c r="V676" s="2322"/>
      <c r="W676" s="2322"/>
      <c r="X676" s="2322"/>
      <c r="Y676" s="2322"/>
      <c r="Z676" s="2322"/>
      <c r="AA676" s="2322"/>
      <c r="AB676" s="2322"/>
      <c r="AC676" s="2322"/>
      <c r="AD676" s="2322"/>
      <c r="AE676" s="2322"/>
      <c r="AF676" s="2322"/>
      <c r="AG676" s="2322"/>
      <c r="AH676" s="2322"/>
      <c r="AI676" s="2322"/>
      <c r="AJ676" s="2322"/>
      <c r="AK676" s="2322"/>
      <c r="AL676" s="2322"/>
      <c r="AM676" s="2322"/>
    </row>
    <row r="677" spans="1:39">
      <c r="A677" s="89"/>
      <c r="B677" s="89"/>
      <c r="C677" s="89"/>
      <c r="D677" s="89"/>
      <c r="E677" s="89"/>
      <c r="F677" s="89"/>
      <c r="G677" s="89"/>
      <c r="H677" s="89"/>
      <c r="I677" s="3847"/>
      <c r="J677" s="3847"/>
      <c r="K677" s="3847"/>
      <c r="L677" s="3847"/>
      <c r="M677" s="3847"/>
      <c r="N677" s="3847"/>
      <c r="O677" s="3847"/>
      <c r="P677" s="3847"/>
      <c r="Q677" s="3847"/>
      <c r="R677" s="3847"/>
      <c r="S677" s="3847"/>
      <c r="T677" s="3847"/>
      <c r="U677" s="3847"/>
      <c r="V677" s="2322"/>
      <c r="W677" s="2322"/>
      <c r="X677" s="2322"/>
      <c r="Y677" s="2322"/>
      <c r="Z677" s="2322"/>
      <c r="AA677" s="2322"/>
      <c r="AB677" s="2322"/>
      <c r="AC677" s="2322"/>
      <c r="AD677" s="2322"/>
      <c r="AE677" s="2322"/>
      <c r="AF677" s="2322"/>
      <c r="AG677" s="2322"/>
      <c r="AH677" s="2322"/>
      <c r="AI677" s="2322"/>
      <c r="AJ677" s="2322"/>
      <c r="AK677" s="2322"/>
      <c r="AL677" s="2322"/>
      <c r="AM677" s="2322"/>
    </row>
    <row r="678" spans="1:39">
      <c r="A678" s="89"/>
      <c r="B678" s="89"/>
      <c r="C678" s="89"/>
      <c r="D678" s="89"/>
      <c r="E678" s="89"/>
      <c r="F678" s="89"/>
      <c r="G678" s="89"/>
      <c r="H678" s="89"/>
      <c r="I678" s="3847"/>
      <c r="J678" s="3847"/>
      <c r="K678" s="3847"/>
      <c r="L678" s="3847"/>
      <c r="M678" s="3847"/>
      <c r="N678" s="3847"/>
      <c r="O678" s="3847"/>
      <c r="P678" s="3847"/>
      <c r="Q678" s="3847"/>
      <c r="R678" s="3847"/>
      <c r="S678" s="3847"/>
      <c r="T678" s="3847"/>
      <c r="U678" s="3847"/>
      <c r="V678" s="2322"/>
      <c r="W678" s="2322"/>
      <c r="X678" s="2322"/>
      <c r="Y678" s="2322"/>
      <c r="Z678" s="2322"/>
      <c r="AA678" s="2322"/>
      <c r="AB678" s="2322"/>
      <c r="AC678" s="2322"/>
      <c r="AD678" s="2322"/>
      <c r="AE678" s="2322"/>
      <c r="AF678" s="2322"/>
      <c r="AG678" s="2322"/>
      <c r="AH678" s="2322"/>
      <c r="AI678" s="2322"/>
      <c r="AJ678" s="2322"/>
      <c r="AK678" s="2322"/>
      <c r="AL678" s="2322"/>
      <c r="AM678" s="2322"/>
    </row>
    <row r="679" spans="1:39">
      <c r="A679" s="89"/>
      <c r="B679" s="89"/>
      <c r="C679" s="89"/>
      <c r="D679" s="89"/>
      <c r="E679" s="89"/>
      <c r="F679" s="89"/>
      <c r="G679" s="89"/>
      <c r="H679" s="89"/>
      <c r="I679" s="3847"/>
      <c r="J679" s="3847"/>
      <c r="K679" s="3847"/>
      <c r="L679" s="3847"/>
      <c r="M679" s="3847"/>
      <c r="N679" s="3847"/>
      <c r="O679" s="3847"/>
      <c r="P679" s="3847"/>
      <c r="Q679" s="3847"/>
      <c r="R679" s="3847"/>
      <c r="S679" s="3847"/>
      <c r="T679" s="3847"/>
      <c r="U679" s="3847"/>
      <c r="V679" s="2322"/>
      <c r="W679" s="2322"/>
      <c r="X679" s="2322"/>
      <c r="Y679" s="2322"/>
      <c r="Z679" s="2322"/>
      <c r="AA679" s="2322"/>
      <c r="AB679" s="2322"/>
      <c r="AC679" s="2322"/>
      <c r="AD679" s="2322"/>
      <c r="AE679" s="2322"/>
      <c r="AF679" s="2322"/>
      <c r="AG679" s="2322"/>
      <c r="AH679" s="2322"/>
      <c r="AI679" s="2322"/>
      <c r="AJ679" s="2322"/>
      <c r="AK679" s="2322"/>
      <c r="AL679" s="2322"/>
      <c r="AM679" s="2322"/>
    </row>
    <row r="680" spans="1:39">
      <c r="A680" s="89"/>
      <c r="B680" s="89"/>
      <c r="C680" s="89"/>
      <c r="D680" s="89"/>
      <c r="E680" s="89"/>
      <c r="F680" s="89"/>
      <c r="G680" s="89"/>
      <c r="H680" s="89"/>
      <c r="I680" s="3847"/>
      <c r="J680" s="3847"/>
      <c r="K680" s="3847"/>
      <c r="L680" s="3847"/>
      <c r="M680" s="3847"/>
      <c r="N680" s="3847"/>
      <c r="O680" s="3847"/>
      <c r="P680" s="3847"/>
      <c r="Q680" s="3847"/>
      <c r="R680" s="3847"/>
      <c r="S680" s="3847"/>
      <c r="T680" s="3847"/>
      <c r="U680" s="3847"/>
      <c r="V680" s="2322"/>
      <c r="W680" s="2322"/>
      <c r="X680" s="2322"/>
      <c r="Y680" s="2322"/>
      <c r="Z680" s="2322"/>
      <c r="AA680" s="2322"/>
      <c r="AB680" s="2322"/>
      <c r="AC680" s="2322"/>
      <c r="AD680" s="2322"/>
      <c r="AE680" s="2322"/>
      <c r="AF680" s="2322"/>
      <c r="AG680" s="2322"/>
      <c r="AH680" s="2322"/>
      <c r="AI680" s="2322"/>
      <c r="AJ680" s="2322"/>
      <c r="AK680" s="2322"/>
      <c r="AL680" s="2322"/>
      <c r="AM680" s="2322"/>
    </row>
    <row r="681" spans="1:39">
      <c r="A681" s="89"/>
      <c r="B681" s="89"/>
      <c r="C681" s="89"/>
      <c r="D681" s="89"/>
      <c r="E681" s="89"/>
      <c r="F681" s="89"/>
      <c r="G681" s="89"/>
      <c r="H681" s="89"/>
      <c r="I681" s="3847"/>
      <c r="J681" s="3847"/>
      <c r="K681" s="3847"/>
      <c r="L681" s="3847"/>
      <c r="M681" s="3847"/>
      <c r="N681" s="3847"/>
      <c r="O681" s="3847"/>
      <c r="P681" s="3847"/>
      <c r="Q681" s="3847"/>
      <c r="R681" s="3847"/>
      <c r="S681" s="3847"/>
      <c r="T681" s="3847"/>
      <c r="U681" s="3847"/>
      <c r="V681" s="2322"/>
      <c r="W681" s="2322"/>
      <c r="X681" s="2322"/>
      <c r="Y681" s="2322"/>
      <c r="Z681" s="2322"/>
      <c r="AA681" s="2322"/>
      <c r="AB681" s="2322"/>
      <c r="AC681" s="2322"/>
      <c r="AD681" s="2322"/>
      <c r="AE681" s="2322"/>
      <c r="AF681" s="2322"/>
      <c r="AG681" s="2322"/>
      <c r="AH681" s="2322"/>
      <c r="AI681" s="2322"/>
      <c r="AJ681" s="2322"/>
      <c r="AK681" s="2322"/>
      <c r="AL681" s="2322"/>
      <c r="AM681" s="2322"/>
    </row>
    <row r="682" spans="1:39">
      <c r="A682" s="89"/>
      <c r="B682" s="89"/>
      <c r="C682" s="89"/>
      <c r="D682" s="89"/>
      <c r="E682" s="89"/>
      <c r="F682" s="89"/>
      <c r="G682" s="89"/>
      <c r="H682" s="89"/>
      <c r="I682" s="3847"/>
      <c r="J682" s="3847"/>
      <c r="K682" s="3847"/>
      <c r="L682" s="3847"/>
      <c r="M682" s="3847"/>
      <c r="N682" s="3847"/>
      <c r="O682" s="3847"/>
      <c r="P682" s="3847"/>
      <c r="Q682" s="3847"/>
      <c r="R682" s="3847"/>
      <c r="S682" s="3847"/>
      <c r="T682" s="3847"/>
      <c r="U682" s="3847"/>
      <c r="V682" s="2322"/>
      <c r="W682" s="2322"/>
      <c r="X682" s="2322"/>
      <c r="Y682" s="2322"/>
      <c r="Z682" s="2322"/>
      <c r="AA682" s="2322"/>
      <c r="AB682" s="2322"/>
      <c r="AC682" s="2322"/>
      <c r="AD682" s="2322"/>
      <c r="AE682" s="2322"/>
      <c r="AF682" s="2322"/>
      <c r="AG682" s="2322"/>
      <c r="AH682" s="2322"/>
      <c r="AI682" s="2322"/>
      <c r="AJ682" s="2322"/>
      <c r="AK682" s="2322"/>
      <c r="AL682" s="2322"/>
      <c r="AM682" s="2322"/>
    </row>
    <row r="683" spans="1:39">
      <c r="A683" s="89"/>
      <c r="B683" s="89"/>
      <c r="C683" s="89"/>
      <c r="D683" s="89"/>
      <c r="E683" s="89"/>
      <c r="F683" s="89"/>
      <c r="G683" s="89"/>
      <c r="H683" s="89"/>
      <c r="I683" s="3847"/>
      <c r="J683" s="3847"/>
      <c r="K683" s="3847"/>
      <c r="L683" s="3847"/>
      <c r="M683" s="3847"/>
      <c r="N683" s="3847"/>
      <c r="O683" s="3847"/>
      <c r="P683" s="3847"/>
      <c r="Q683" s="3847"/>
      <c r="R683" s="3847"/>
      <c r="S683" s="3847"/>
      <c r="T683" s="3847"/>
      <c r="U683" s="3847"/>
      <c r="V683" s="2322"/>
      <c r="W683" s="2322"/>
      <c r="X683" s="2322"/>
      <c r="Y683" s="2322"/>
      <c r="Z683" s="2322"/>
      <c r="AA683" s="2322"/>
      <c r="AB683" s="2322"/>
      <c r="AC683" s="2322"/>
      <c r="AD683" s="2322"/>
      <c r="AE683" s="2322"/>
      <c r="AF683" s="2322"/>
      <c r="AG683" s="2322"/>
      <c r="AH683" s="2322"/>
      <c r="AI683" s="2322"/>
      <c r="AJ683" s="2322"/>
      <c r="AK683" s="2322"/>
      <c r="AL683" s="2322"/>
      <c r="AM683" s="2322"/>
    </row>
    <row r="684" spans="1:39">
      <c r="A684" s="89"/>
      <c r="B684" s="89"/>
      <c r="C684" s="89"/>
      <c r="D684" s="89"/>
      <c r="E684" s="89"/>
      <c r="F684" s="89"/>
      <c r="G684" s="89"/>
      <c r="H684" s="89"/>
      <c r="I684" s="3847"/>
      <c r="J684" s="3847"/>
      <c r="K684" s="3847"/>
      <c r="L684" s="3847"/>
      <c r="M684" s="3847"/>
      <c r="N684" s="3847"/>
      <c r="O684" s="3847"/>
      <c r="P684" s="3847"/>
      <c r="Q684" s="3847"/>
      <c r="R684" s="3847"/>
      <c r="S684" s="3847"/>
      <c r="T684" s="3847"/>
      <c r="U684" s="3847"/>
      <c r="V684" s="2322"/>
      <c r="W684" s="2322"/>
      <c r="X684" s="2322"/>
      <c r="Y684" s="2322"/>
      <c r="Z684" s="2322"/>
      <c r="AA684" s="2322"/>
      <c r="AB684" s="2322"/>
      <c r="AC684" s="2322"/>
      <c r="AD684" s="2322"/>
      <c r="AE684" s="2322"/>
      <c r="AF684" s="2322"/>
      <c r="AG684" s="2322"/>
      <c r="AH684" s="2322"/>
      <c r="AI684" s="2322"/>
      <c r="AJ684" s="2322"/>
      <c r="AK684" s="2322"/>
      <c r="AL684" s="2322"/>
      <c r="AM684" s="2322"/>
    </row>
    <row r="685" spans="1:39">
      <c r="A685" s="89"/>
      <c r="B685" s="89"/>
      <c r="C685" s="89"/>
      <c r="D685" s="89"/>
      <c r="E685" s="89"/>
      <c r="F685" s="89"/>
      <c r="G685" s="89"/>
      <c r="H685" s="89"/>
      <c r="I685" s="3847"/>
      <c r="J685" s="3847"/>
      <c r="K685" s="3847"/>
      <c r="L685" s="3847"/>
      <c r="M685" s="3847"/>
      <c r="N685" s="3847"/>
      <c r="O685" s="3847"/>
      <c r="P685" s="3847"/>
      <c r="Q685" s="3847"/>
      <c r="R685" s="3847"/>
      <c r="S685" s="3847"/>
      <c r="T685" s="3847"/>
      <c r="U685" s="3847"/>
      <c r="V685" s="2322"/>
      <c r="W685" s="2322"/>
      <c r="X685" s="2322"/>
      <c r="Y685" s="2322"/>
      <c r="Z685" s="2322"/>
      <c r="AA685" s="2322"/>
      <c r="AB685" s="2322"/>
      <c r="AC685" s="2322"/>
      <c r="AD685" s="2322"/>
      <c r="AE685" s="2322"/>
      <c r="AF685" s="2322"/>
      <c r="AG685" s="2322"/>
      <c r="AH685" s="2322"/>
      <c r="AI685" s="2322"/>
      <c r="AJ685" s="2322"/>
      <c r="AK685" s="2322"/>
      <c r="AL685" s="2322"/>
      <c r="AM685" s="2322"/>
    </row>
    <row r="686" spans="1:39">
      <c r="A686" s="89"/>
      <c r="B686" s="89"/>
      <c r="C686" s="89"/>
      <c r="D686" s="89"/>
      <c r="E686" s="89"/>
      <c r="F686" s="89"/>
      <c r="G686" s="89"/>
      <c r="H686" s="89"/>
      <c r="I686" s="3847"/>
      <c r="J686" s="3847"/>
      <c r="K686" s="3847"/>
      <c r="L686" s="3847"/>
      <c r="M686" s="3847"/>
      <c r="N686" s="3847"/>
      <c r="O686" s="3847"/>
      <c r="P686" s="3847"/>
      <c r="Q686" s="3847"/>
      <c r="R686" s="3847"/>
      <c r="S686" s="3847"/>
      <c r="T686" s="3847"/>
      <c r="U686" s="3847"/>
      <c r="V686" s="2322"/>
      <c r="W686" s="2322"/>
      <c r="X686" s="2322"/>
      <c r="Y686" s="2322"/>
      <c r="Z686" s="2322"/>
      <c r="AA686" s="2322"/>
      <c r="AB686" s="2322"/>
      <c r="AC686" s="2322"/>
      <c r="AD686" s="2322"/>
      <c r="AE686" s="2322"/>
      <c r="AF686" s="2322"/>
      <c r="AG686" s="2322"/>
      <c r="AH686" s="2322"/>
      <c r="AI686" s="2322"/>
      <c r="AJ686" s="2322"/>
      <c r="AK686" s="2322"/>
      <c r="AL686" s="2322"/>
      <c r="AM686" s="2322"/>
    </row>
    <row r="687" spans="1:39">
      <c r="A687" s="89"/>
      <c r="B687" s="89"/>
      <c r="C687" s="89"/>
      <c r="D687" s="89"/>
      <c r="E687" s="89"/>
      <c r="F687" s="89"/>
      <c r="G687" s="89"/>
      <c r="H687" s="89"/>
      <c r="I687" s="3847"/>
      <c r="J687" s="3847"/>
      <c r="K687" s="3847"/>
      <c r="L687" s="3847"/>
      <c r="M687" s="3847"/>
      <c r="N687" s="3847"/>
      <c r="O687" s="3847"/>
      <c r="P687" s="3847"/>
      <c r="Q687" s="3847"/>
      <c r="R687" s="3847"/>
      <c r="S687" s="3847"/>
      <c r="T687" s="3847"/>
      <c r="U687" s="3847"/>
      <c r="V687" s="2322"/>
      <c r="W687" s="2322"/>
      <c r="X687" s="2322"/>
      <c r="Y687" s="2322"/>
      <c r="Z687" s="2322"/>
      <c r="AA687" s="2322"/>
      <c r="AB687" s="2322"/>
      <c r="AC687" s="2322"/>
      <c r="AD687" s="2322"/>
      <c r="AE687" s="2322"/>
      <c r="AF687" s="2322"/>
      <c r="AG687" s="2322"/>
      <c r="AH687" s="2322"/>
      <c r="AI687" s="2322"/>
      <c r="AJ687" s="2322"/>
      <c r="AK687" s="2322"/>
      <c r="AL687" s="2322"/>
      <c r="AM687" s="2322"/>
    </row>
    <row r="688" spans="1:39">
      <c r="A688" s="89"/>
      <c r="B688" s="89"/>
      <c r="C688" s="89"/>
      <c r="D688" s="89"/>
      <c r="E688" s="89"/>
      <c r="F688" s="89"/>
      <c r="G688" s="89"/>
      <c r="H688" s="89"/>
      <c r="I688" s="3847"/>
      <c r="J688" s="3847"/>
      <c r="K688" s="3847"/>
      <c r="L688" s="3847"/>
      <c r="M688" s="3847"/>
      <c r="N688" s="3847"/>
      <c r="O688" s="3847"/>
      <c r="P688" s="3847"/>
      <c r="Q688" s="3847"/>
      <c r="R688" s="3847"/>
      <c r="S688" s="3847"/>
      <c r="T688" s="3847"/>
      <c r="U688" s="3847"/>
      <c r="V688" s="2322"/>
      <c r="W688" s="2322"/>
      <c r="X688" s="2322"/>
      <c r="Y688" s="2322"/>
      <c r="Z688" s="2322"/>
      <c r="AA688" s="2322"/>
      <c r="AB688" s="2322"/>
      <c r="AC688" s="2322"/>
      <c r="AD688" s="2322"/>
      <c r="AE688" s="2322"/>
      <c r="AF688" s="2322"/>
      <c r="AG688" s="2322"/>
      <c r="AH688" s="2322"/>
      <c r="AI688" s="2322"/>
      <c r="AJ688" s="2322"/>
      <c r="AK688" s="2322"/>
      <c r="AL688" s="2322"/>
      <c r="AM688" s="2322"/>
    </row>
    <row r="689" spans="1:39">
      <c r="A689" s="89"/>
      <c r="B689" s="89"/>
      <c r="C689" s="89"/>
      <c r="D689" s="89"/>
      <c r="E689" s="89"/>
      <c r="F689" s="89"/>
      <c r="G689" s="89"/>
      <c r="H689" s="89"/>
      <c r="I689" s="3847"/>
      <c r="J689" s="3847"/>
      <c r="K689" s="3847"/>
      <c r="L689" s="3847"/>
      <c r="M689" s="3847"/>
      <c r="N689" s="3847"/>
      <c r="O689" s="3847"/>
      <c r="P689" s="3847"/>
      <c r="Q689" s="3847"/>
      <c r="R689" s="3847"/>
      <c r="S689" s="3847"/>
      <c r="T689" s="3847"/>
      <c r="U689" s="3847"/>
      <c r="V689" s="2322"/>
      <c r="W689" s="2322"/>
      <c r="X689" s="2322"/>
      <c r="Y689" s="2322"/>
      <c r="Z689" s="2322"/>
      <c r="AA689" s="2322"/>
      <c r="AB689" s="2322"/>
      <c r="AC689" s="2322"/>
      <c r="AD689" s="2322"/>
      <c r="AE689" s="2322"/>
      <c r="AF689" s="2322"/>
      <c r="AG689" s="2322"/>
      <c r="AH689" s="2322"/>
      <c r="AI689" s="2322"/>
      <c r="AJ689" s="2322"/>
      <c r="AK689" s="2322"/>
      <c r="AL689" s="2322"/>
      <c r="AM689" s="2322"/>
    </row>
    <row r="690" spans="1:39">
      <c r="A690" s="89"/>
      <c r="B690" s="89"/>
      <c r="C690" s="89"/>
      <c r="D690" s="89"/>
      <c r="E690" s="89"/>
      <c r="F690" s="89"/>
      <c r="G690" s="89"/>
      <c r="H690" s="89"/>
      <c r="I690" s="3847"/>
      <c r="J690" s="3847"/>
      <c r="K690" s="3847"/>
      <c r="L690" s="3847"/>
      <c r="M690" s="3847"/>
      <c r="N690" s="3847"/>
      <c r="O690" s="3847"/>
      <c r="P690" s="3847"/>
      <c r="Q690" s="3847"/>
      <c r="R690" s="3847"/>
      <c r="S690" s="3847"/>
      <c r="T690" s="3847"/>
      <c r="U690" s="3847"/>
      <c r="V690" s="2322"/>
      <c r="W690" s="2322"/>
      <c r="X690" s="2322"/>
      <c r="Y690" s="2322"/>
      <c r="Z690" s="2322"/>
      <c r="AA690" s="2322"/>
      <c r="AB690" s="2322"/>
      <c r="AC690" s="2322"/>
      <c r="AD690" s="2322"/>
      <c r="AE690" s="2322"/>
      <c r="AF690" s="2322"/>
      <c r="AG690" s="2322"/>
      <c r="AH690" s="2322"/>
      <c r="AI690" s="2322"/>
      <c r="AJ690" s="2322"/>
      <c r="AK690" s="2322"/>
      <c r="AL690" s="2322"/>
      <c r="AM690" s="2322"/>
    </row>
    <row r="691" spans="1:39">
      <c r="A691" s="89"/>
      <c r="B691" s="89"/>
      <c r="C691" s="89"/>
      <c r="D691" s="89"/>
      <c r="E691" s="89"/>
      <c r="F691" s="89"/>
      <c r="G691" s="89"/>
      <c r="H691" s="89"/>
      <c r="I691" s="3847"/>
      <c r="J691" s="3847"/>
      <c r="K691" s="3847"/>
      <c r="L691" s="3847"/>
      <c r="M691" s="3847"/>
      <c r="N691" s="3847"/>
      <c r="O691" s="3847"/>
      <c r="P691" s="3847"/>
      <c r="Q691" s="3847"/>
      <c r="R691" s="3847"/>
      <c r="S691" s="3847"/>
      <c r="T691" s="3847"/>
      <c r="U691" s="3847"/>
      <c r="V691" s="2322"/>
      <c r="W691" s="2322"/>
      <c r="X691" s="2322"/>
      <c r="Y691" s="2322"/>
      <c r="Z691" s="2322"/>
      <c r="AA691" s="2322"/>
      <c r="AB691" s="2322"/>
      <c r="AC691" s="2322"/>
      <c r="AD691" s="2322"/>
      <c r="AE691" s="2322"/>
      <c r="AF691" s="2322"/>
      <c r="AG691" s="2322"/>
      <c r="AH691" s="2322"/>
      <c r="AI691" s="2322"/>
      <c r="AJ691" s="2322"/>
      <c r="AK691" s="2322"/>
      <c r="AL691" s="2322"/>
      <c r="AM691" s="2322"/>
    </row>
    <row r="692" spans="1:39">
      <c r="A692" s="89"/>
      <c r="B692" s="89"/>
      <c r="C692" s="89"/>
      <c r="D692" s="89"/>
      <c r="E692" s="89"/>
      <c r="F692" s="89"/>
      <c r="G692" s="89"/>
      <c r="H692" s="89"/>
      <c r="I692" s="3847"/>
      <c r="J692" s="3847"/>
      <c r="K692" s="3847"/>
      <c r="L692" s="3847"/>
      <c r="M692" s="3847"/>
      <c r="N692" s="3847"/>
      <c r="O692" s="3847"/>
      <c r="P692" s="3847"/>
      <c r="Q692" s="3847"/>
      <c r="R692" s="3847"/>
      <c r="S692" s="3847"/>
      <c r="T692" s="3847"/>
      <c r="U692" s="3847"/>
      <c r="V692" s="2322"/>
      <c r="W692" s="2322"/>
      <c r="X692" s="2322"/>
      <c r="Y692" s="2322"/>
      <c r="Z692" s="2322"/>
      <c r="AA692" s="2322"/>
      <c r="AB692" s="2322"/>
      <c r="AC692" s="2322"/>
      <c r="AD692" s="2322"/>
      <c r="AE692" s="2322"/>
      <c r="AF692" s="2322"/>
      <c r="AG692" s="2322"/>
      <c r="AH692" s="2322"/>
      <c r="AI692" s="2322"/>
      <c r="AJ692" s="2322"/>
      <c r="AK692" s="2322"/>
      <c r="AL692" s="2322"/>
      <c r="AM692" s="2322"/>
    </row>
    <row r="693" spans="1:39">
      <c r="A693" s="89"/>
      <c r="B693" s="89"/>
      <c r="C693" s="89"/>
      <c r="D693" s="89"/>
      <c r="E693" s="89"/>
      <c r="F693" s="89"/>
      <c r="G693" s="89"/>
      <c r="H693" s="89"/>
      <c r="I693" s="3847"/>
      <c r="J693" s="3847"/>
      <c r="K693" s="3847"/>
      <c r="L693" s="3847"/>
      <c r="M693" s="3847"/>
      <c r="N693" s="3847"/>
      <c r="O693" s="3847"/>
      <c r="P693" s="3847"/>
      <c r="Q693" s="3847"/>
      <c r="R693" s="3847"/>
      <c r="S693" s="3847"/>
      <c r="T693" s="3847"/>
      <c r="U693" s="3847"/>
      <c r="V693" s="2322"/>
      <c r="W693" s="2322"/>
      <c r="X693" s="2322"/>
      <c r="Y693" s="2322"/>
      <c r="Z693" s="2322"/>
      <c r="AA693" s="2322"/>
      <c r="AB693" s="2322"/>
      <c r="AC693" s="2322"/>
      <c r="AD693" s="2322"/>
      <c r="AE693" s="2322"/>
      <c r="AF693" s="2322"/>
      <c r="AG693" s="2322"/>
      <c r="AH693" s="2322"/>
      <c r="AI693" s="2322"/>
      <c r="AJ693" s="2322"/>
      <c r="AK693" s="2322"/>
      <c r="AL693" s="2322"/>
      <c r="AM693" s="2322"/>
    </row>
    <row r="694" spans="1:39">
      <c r="A694" s="89"/>
      <c r="B694" s="89"/>
      <c r="C694" s="89"/>
      <c r="D694" s="89"/>
      <c r="E694" s="89"/>
      <c r="F694" s="89"/>
      <c r="G694" s="89"/>
      <c r="H694" s="89"/>
      <c r="I694" s="3847"/>
      <c r="J694" s="3847"/>
      <c r="K694" s="3847"/>
      <c r="L694" s="3847"/>
      <c r="M694" s="3847"/>
      <c r="N694" s="3847"/>
      <c r="O694" s="3847"/>
      <c r="P694" s="3847"/>
      <c r="Q694" s="3847"/>
      <c r="R694" s="3847"/>
      <c r="S694" s="3847"/>
      <c r="T694" s="3847"/>
      <c r="U694" s="3847"/>
      <c r="V694" s="2322"/>
      <c r="W694" s="2322"/>
      <c r="X694" s="2322"/>
      <c r="Y694" s="2322"/>
      <c r="Z694" s="2322"/>
      <c r="AA694" s="2322"/>
      <c r="AB694" s="2322"/>
      <c r="AC694" s="2322"/>
      <c r="AD694" s="2322"/>
      <c r="AE694" s="2322"/>
      <c r="AF694" s="2322"/>
      <c r="AG694" s="2322"/>
      <c r="AH694" s="2322"/>
      <c r="AI694" s="2322"/>
      <c r="AJ694" s="2322"/>
      <c r="AK694" s="2322"/>
      <c r="AL694" s="2322"/>
      <c r="AM694" s="2322"/>
    </row>
    <row r="695" spans="1:39">
      <c r="A695" s="89"/>
      <c r="B695" s="89"/>
      <c r="C695" s="89"/>
      <c r="D695" s="89"/>
      <c r="E695" s="89"/>
      <c r="F695" s="89"/>
      <c r="G695" s="89"/>
      <c r="H695" s="89"/>
      <c r="I695" s="3847"/>
      <c r="J695" s="3847"/>
      <c r="K695" s="3847"/>
      <c r="L695" s="3847"/>
      <c r="M695" s="3847"/>
      <c r="N695" s="3847"/>
      <c r="O695" s="3847"/>
      <c r="P695" s="3847"/>
      <c r="Q695" s="3847"/>
      <c r="R695" s="3847"/>
      <c r="S695" s="3847"/>
      <c r="T695" s="3847"/>
      <c r="U695" s="3847"/>
      <c r="V695" s="2322"/>
      <c r="W695" s="2322"/>
      <c r="X695" s="2322"/>
      <c r="Y695" s="2322"/>
      <c r="Z695" s="2322"/>
      <c r="AA695" s="2322"/>
      <c r="AB695" s="2322"/>
      <c r="AC695" s="2322"/>
      <c r="AD695" s="2322"/>
      <c r="AE695" s="2322"/>
      <c r="AF695" s="2322"/>
      <c r="AG695" s="2322"/>
      <c r="AH695" s="2322"/>
      <c r="AI695" s="2322"/>
      <c r="AJ695" s="2322"/>
      <c r="AK695" s="2322"/>
      <c r="AL695" s="2322"/>
      <c r="AM695" s="2322"/>
    </row>
    <row r="696" spans="1:39">
      <c r="A696" s="89"/>
      <c r="B696" s="89"/>
      <c r="C696" s="89"/>
      <c r="D696" s="89"/>
      <c r="E696" s="89"/>
      <c r="F696" s="89"/>
      <c r="G696" s="89"/>
      <c r="H696" s="89"/>
      <c r="I696" s="3847"/>
      <c r="J696" s="3847"/>
      <c r="K696" s="3847"/>
      <c r="L696" s="3847"/>
      <c r="M696" s="3847"/>
      <c r="N696" s="3847"/>
      <c r="O696" s="3847"/>
      <c r="P696" s="3847"/>
      <c r="Q696" s="3847"/>
      <c r="R696" s="3847"/>
      <c r="S696" s="3847"/>
      <c r="T696" s="3847"/>
      <c r="U696" s="3847"/>
      <c r="V696" s="2322"/>
      <c r="W696" s="2322"/>
      <c r="X696" s="2322"/>
      <c r="Y696" s="2322"/>
      <c r="Z696" s="2322"/>
      <c r="AA696" s="2322"/>
      <c r="AB696" s="2322"/>
      <c r="AC696" s="2322"/>
      <c r="AD696" s="2322"/>
      <c r="AE696" s="2322"/>
      <c r="AF696" s="2322"/>
      <c r="AG696" s="2322"/>
      <c r="AH696" s="2322"/>
      <c r="AI696" s="2322"/>
      <c r="AJ696" s="2322"/>
      <c r="AK696" s="2322"/>
      <c r="AL696" s="2322"/>
      <c r="AM696" s="2322"/>
    </row>
    <row r="697" spans="1:39">
      <c r="A697" s="89"/>
      <c r="B697" s="89"/>
      <c r="C697" s="89"/>
      <c r="D697" s="89"/>
      <c r="E697" s="89"/>
      <c r="F697" s="89"/>
      <c r="G697" s="89"/>
      <c r="H697" s="89"/>
      <c r="I697" s="3847"/>
      <c r="J697" s="3847"/>
      <c r="K697" s="3847"/>
      <c r="L697" s="3847"/>
      <c r="M697" s="3847"/>
      <c r="N697" s="3847"/>
      <c r="O697" s="3847"/>
      <c r="P697" s="3847"/>
      <c r="Q697" s="3847"/>
      <c r="R697" s="3847"/>
      <c r="S697" s="3847"/>
      <c r="T697" s="3847"/>
      <c r="U697" s="3847"/>
      <c r="V697" s="2322"/>
      <c r="W697" s="2322"/>
      <c r="X697" s="2322"/>
      <c r="Y697" s="2322"/>
      <c r="Z697" s="2322"/>
      <c r="AA697" s="2322"/>
      <c r="AB697" s="2322"/>
      <c r="AC697" s="2322"/>
      <c r="AD697" s="2322"/>
      <c r="AE697" s="2322"/>
      <c r="AF697" s="2322"/>
      <c r="AG697" s="2322"/>
      <c r="AH697" s="2322"/>
      <c r="AI697" s="2322"/>
      <c r="AJ697" s="2322"/>
      <c r="AK697" s="2322"/>
      <c r="AL697" s="2322"/>
      <c r="AM697" s="2322"/>
    </row>
    <row r="698" spans="1:39">
      <c r="A698" s="89"/>
      <c r="B698" s="89"/>
      <c r="C698" s="89"/>
      <c r="D698" s="89"/>
      <c r="E698" s="89"/>
      <c r="F698" s="89"/>
      <c r="G698" s="89"/>
      <c r="H698" s="89"/>
      <c r="I698" s="3847"/>
      <c r="J698" s="3847"/>
      <c r="K698" s="3847"/>
      <c r="L698" s="3847"/>
      <c r="M698" s="3847"/>
      <c r="N698" s="3847"/>
      <c r="O698" s="3847"/>
      <c r="P698" s="3847"/>
      <c r="Q698" s="3847"/>
      <c r="R698" s="3847"/>
      <c r="S698" s="3847"/>
      <c r="T698" s="3847"/>
      <c r="U698" s="3847"/>
      <c r="V698" s="2322"/>
      <c r="W698" s="2322"/>
      <c r="X698" s="2322"/>
      <c r="Y698" s="2322"/>
      <c r="Z698" s="2322"/>
      <c r="AA698" s="2322"/>
      <c r="AB698" s="2322"/>
      <c r="AC698" s="2322"/>
      <c r="AD698" s="2322"/>
      <c r="AE698" s="2322"/>
      <c r="AF698" s="2322"/>
      <c r="AG698" s="2322"/>
      <c r="AH698" s="2322"/>
      <c r="AI698" s="2322"/>
      <c r="AJ698" s="2322"/>
      <c r="AK698" s="2322"/>
      <c r="AL698" s="2322"/>
      <c r="AM698" s="2322"/>
    </row>
    <row r="699" spans="1:39">
      <c r="A699" s="89"/>
      <c r="B699" s="89"/>
      <c r="C699" s="89"/>
      <c r="D699" s="89"/>
      <c r="E699" s="89"/>
      <c r="F699" s="89"/>
      <c r="G699" s="89"/>
      <c r="H699" s="89"/>
      <c r="I699" s="3847"/>
      <c r="J699" s="3847"/>
      <c r="K699" s="3847"/>
      <c r="L699" s="3847"/>
      <c r="M699" s="3847"/>
      <c r="N699" s="3847"/>
      <c r="O699" s="3847"/>
      <c r="P699" s="3847"/>
      <c r="Q699" s="3847"/>
      <c r="R699" s="3847"/>
      <c r="S699" s="3847"/>
      <c r="T699" s="3847"/>
      <c r="U699" s="3847"/>
      <c r="V699" s="2322"/>
      <c r="W699" s="2322"/>
      <c r="X699" s="2322"/>
      <c r="Y699" s="2322"/>
      <c r="Z699" s="2322"/>
      <c r="AA699" s="2322"/>
      <c r="AB699" s="2322"/>
      <c r="AC699" s="2322"/>
      <c r="AD699" s="2322"/>
      <c r="AE699" s="2322"/>
      <c r="AF699" s="2322"/>
      <c r="AG699" s="2322"/>
      <c r="AH699" s="2322"/>
      <c r="AI699" s="2322"/>
      <c r="AJ699" s="2322"/>
      <c r="AK699" s="2322"/>
      <c r="AL699" s="2322"/>
      <c r="AM699" s="2322"/>
    </row>
    <row r="700" spans="1:39">
      <c r="A700" s="89"/>
      <c r="B700" s="89"/>
      <c r="C700" s="89"/>
      <c r="D700" s="89"/>
      <c r="E700" s="89"/>
      <c r="F700" s="89"/>
      <c r="G700" s="89"/>
      <c r="H700" s="89"/>
      <c r="I700" s="3847"/>
      <c r="J700" s="3847"/>
      <c r="K700" s="3847"/>
      <c r="L700" s="3847"/>
      <c r="M700" s="3847"/>
      <c r="N700" s="3847"/>
      <c r="O700" s="3847"/>
      <c r="P700" s="3847"/>
      <c r="Q700" s="3847"/>
      <c r="R700" s="3847"/>
      <c r="S700" s="3847"/>
      <c r="T700" s="3847"/>
      <c r="U700" s="3847"/>
      <c r="V700" s="2322"/>
      <c r="W700" s="2322"/>
      <c r="X700" s="2322"/>
      <c r="Y700" s="2322"/>
      <c r="Z700" s="2322"/>
      <c r="AA700" s="2322"/>
      <c r="AB700" s="2322"/>
      <c r="AC700" s="2322"/>
      <c r="AD700" s="2322"/>
      <c r="AE700" s="2322"/>
      <c r="AF700" s="2322"/>
      <c r="AG700" s="2322"/>
      <c r="AH700" s="2322"/>
      <c r="AI700" s="2322"/>
      <c r="AJ700" s="2322"/>
      <c r="AK700" s="2322"/>
      <c r="AL700" s="2322"/>
      <c r="AM700" s="2322"/>
    </row>
    <row r="701" spans="1:39">
      <c r="A701" s="89"/>
      <c r="B701" s="89"/>
      <c r="C701" s="89"/>
      <c r="D701" s="89"/>
      <c r="E701" s="89"/>
      <c r="F701" s="89"/>
      <c r="G701" s="89"/>
      <c r="H701" s="89"/>
      <c r="I701" s="3847"/>
      <c r="J701" s="3847"/>
      <c r="K701" s="3847"/>
      <c r="L701" s="3847"/>
      <c r="M701" s="3847"/>
      <c r="N701" s="3847"/>
      <c r="O701" s="3847"/>
      <c r="P701" s="3847"/>
      <c r="Q701" s="3847"/>
      <c r="R701" s="3847"/>
      <c r="S701" s="3847"/>
      <c r="T701" s="3847"/>
      <c r="U701" s="3847"/>
      <c r="V701" s="2322"/>
      <c r="W701" s="2322"/>
      <c r="X701" s="2322"/>
      <c r="Y701" s="2322"/>
      <c r="Z701" s="2322"/>
      <c r="AA701" s="2322"/>
      <c r="AB701" s="2322"/>
      <c r="AC701" s="2322"/>
      <c r="AD701" s="2322"/>
      <c r="AE701" s="2322"/>
      <c r="AF701" s="2322"/>
      <c r="AG701" s="2322"/>
      <c r="AH701" s="2322"/>
      <c r="AI701" s="2322"/>
      <c r="AJ701" s="2322"/>
      <c r="AK701" s="2322"/>
      <c r="AL701" s="2322"/>
      <c r="AM701" s="2322"/>
    </row>
    <row r="702" spans="1:39">
      <c r="A702" s="89"/>
      <c r="B702" s="89"/>
      <c r="C702" s="89"/>
      <c r="D702" s="89"/>
      <c r="E702" s="89"/>
      <c r="F702" s="89"/>
      <c r="G702" s="89"/>
      <c r="H702" s="89"/>
      <c r="I702" s="3847"/>
      <c r="J702" s="3847"/>
      <c r="K702" s="3847"/>
      <c r="L702" s="3847"/>
      <c r="M702" s="3847"/>
      <c r="N702" s="3847"/>
      <c r="O702" s="3847"/>
      <c r="P702" s="3847"/>
      <c r="Q702" s="3847"/>
      <c r="R702" s="3847"/>
      <c r="S702" s="3847"/>
      <c r="T702" s="3847"/>
      <c r="U702" s="3847"/>
      <c r="V702" s="2322"/>
      <c r="W702" s="2322"/>
      <c r="X702" s="2322"/>
      <c r="Y702" s="2322"/>
      <c r="Z702" s="2322"/>
      <c r="AA702" s="2322"/>
      <c r="AB702" s="2322"/>
      <c r="AC702" s="2322"/>
      <c r="AD702" s="2322"/>
      <c r="AE702" s="2322"/>
      <c r="AF702" s="2322"/>
      <c r="AG702" s="2322"/>
      <c r="AH702" s="2322"/>
      <c r="AI702" s="2322"/>
      <c r="AJ702" s="2322"/>
      <c r="AK702" s="2322"/>
      <c r="AL702" s="2322"/>
      <c r="AM702" s="2322"/>
    </row>
    <row r="703" spans="1:39">
      <c r="A703" s="89"/>
      <c r="B703" s="89"/>
      <c r="C703" s="89"/>
      <c r="D703" s="89"/>
      <c r="E703" s="89"/>
      <c r="F703" s="89"/>
      <c r="G703" s="89"/>
      <c r="H703" s="89"/>
      <c r="I703" s="3847"/>
      <c r="J703" s="3847"/>
      <c r="K703" s="3847"/>
      <c r="L703" s="3847"/>
      <c r="M703" s="3847"/>
      <c r="N703" s="3847"/>
      <c r="O703" s="3847"/>
      <c r="P703" s="3847"/>
      <c r="Q703" s="3847"/>
      <c r="R703" s="3847"/>
      <c r="S703" s="3847"/>
      <c r="T703" s="3847"/>
      <c r="U703" s="3847"/>
      <c r="V703" s="2322"/>
      <c r="W703" s="2322"/>
      <c r="X703" s="2322"/>
      <c r="Y703" s="2322"/>
      <c r="Z703" s="2322"/>
      <c r="AA703" s="2322"/>
      <c r="AB703" s="2322"/>
      <c r="AC703" s="2322"/>
      <c r="AD703" s="2322"/>
      <c r="AE703" s="2322"/>
      <c r="AF703" s="2322"/>
      <c r="AG703" s="2322"/>
      <c r="AH703" s="2322"/>
      <c r="AI703" s="2322"/>
      <c r="AJ703" s="2322"/>
      <c r="AK703" s="2322"/>
      <c r="AL703" s="2322"/>
      <c r="AM703" s="2322"/>
    </row>
    <row r="704" spans="1:39">
      <c r="A704" s="89"/>
      <c r="B704" s="89"/>
      <c r="C704" s="89"/>
      <c r="D704" s="89"/>
      <c r="E704" s="89"/>
      <c r="F704" s="89"/>
      <c r="G704" s="89"/>
      <c r="H704" s="89"/>
      <c r="I704" s="3847"/>
      <c r="J704" s="3847"/>
      <c r="K704" s="3847"/>
      <c r="L704" s="3847"/>
      <c r="M704" s="3847"/>
      <c r="N704" s="3847"/>
      <c r="O704" s="3847"/>
      <c r="P704" s="3847"/>
      <c r="Q704" s="3847"/>
      <c r="R704" s="3847"/>
      <c r="S704" s="3847"/>
      <c r="T704" s="3847"/>
      <c r="U704" s="3847"/>
      <c r="V704" s="2322"/>
      <c r="W704" s="2322"/>
      <c r="X704" s="2322"/>
      <c r="Y704" s="2322"/>
      <c r="Z704" s="2322"/>
      <c r="AA704" s="2322"/>
      <c r="AB704" s="2322"/>
      <c r="AC704" s="2322"/>
      <c r="AD704" s="2322"/>
      <c r="AE704" s="2322"/>
      <c r="AF704" s="2322"/>
      <c r="AG704" s="2322"/>
      <c r="AH704" s="2322"/>
      <c r="AI704" s="2322"/>
      <c r="AJ704" s="2322"/>
      <c r="AK704" s="2322"/>
      <c r="AL704" s="2322"/>
      <c r="AM704" s="2322"/>
    </row>
    <row r="705" spans="1:39">
      <c r="A705" s="89"/>
      <c r="B705" s="89"/>
      <c r="C705" s="89"/>
      <c r="D705" s="89"/>
      <c r="E705" s="89"/>
      <c r="F705" s="89"/>
      <c r="G705" s="89"/>
      <c r="H705" s="89"/>
      <c r="I705" s="3847"/>
      <c r="J705" s="3847"/>
      <c r="K705" s="3847"/>
      <c r="L705" s="3847"/>
      <c r="M705" s="3847"/>
      <c r="N705" s="3847"/>
      <c r="O705" s="3847"/>
      <c r="P705" s="3847"/>
      <c r="Q705" s="3847"/>
      <c r="R705" s="3847"/>
      <c r="S705" s="3847"/>
      <c r="T705" s="3847"/>
      <c r="U705" s="3847"/>
      <c r="V705" s="2322"/>
      <c r="W705" s="2322"/>
      <c r="X705" s="2322"/>
      <c r="Y705" s="2322"/>
      <c r="Z705" s="2322"/>
      <c r="AA705" s="2322"/>
      <c r="AB705" s="2322"/>
      <c r="AC705" s="2322"/>
      <c r="AD705" s="2322"/>
      <c r="AE705" s="2322"/>
      <c r="AF705" s="2322"/>
      <c r="AG705" s="2322"/>
      <c r="AH705" s="2322"/>
      <c r="AI705" s="2322"/>
      <c r="AJ705" s="2322"/>
      <c r="AK705" s="2322"/>
      <c r="AL705" s="2322"/>
      <c r="AM705" s="2322"/>
    </row>
    <row r="706" spans="1:39">
      <c r="A706" s="89"/>
      <c r="B706" s="89"/>
      <c r="C706" s="89"/>
      <c r="D706" s="89"/>
      <c r="E706" s="89"/>
      <c r="F706" s="89"/>
      <c r="G706" s="89"/>
      <c r="H706" s="89"/>
      <c r="I706" s="3847"/>
      <c r="J706" s="3847"/>
      <c r="K706" s="3847"/>
      <c r="L706" s="3847"/>
      <c r="M706" s="3847"/>
      <c r="N706" s="3847"/>
      <c r="O706" s="3847"/>
      <c r="P706" s="3847"/>
      <c r="Q706" s="3847"/>
      <c r="R706" s="3847"/>
      <c r="S706" s="3847"/>
      <c r="T706" s="3847"/>
      <c r="U706" s="3847"/>
      <c r="V706" s="2322"/>
      <c r="W706" s="2322"/>
      <c r="X706" s="2322"/>
      <c r="Y706" s="2322"/>
      <c r="Z706" s="2322"/>
      <c r="AA706" s="2322"/>
      <c r="AB706" s="2322"/>
      <c r="AC706" s="2322"/>
      <c r="AD706" s="2322"/>
      <c r="AE706" s="2322"/>
      <c r="AF706" s="2322"/>
      <c r="AG706" s="2322"/>
      <c r="AH706" s="2322"/>
      <c r="AI706" s="2322"/>
      <c r="AJ706" s="2322"/>
      <c r="AK706" s="2322"/>
      <c r="AL706" s="2322"/>
      <c r="AM706" s="2322"/>
    </row>
    <row r="707" spans="1:39">
      <c r="A707" s="89"/>
      <c r="B707" s="89"/>
      <c r="C707" s="89"/>
      <c r="D707" s="89"/>
      <c r="E707" s="89"/>
      <c r="F707" s="89"/>
      <c r="G707" s="89"/>
      <c r="H707" s="89"/>
      <c r="I707" s="3847"/>
      <c r="J707" s="3847"/>
      <c r="K707" s="3847"/>
      <c r="L707" s="3847"/>
      <c r="M707" s="3847"/>
      <c r="N707" s="3847"/>
      <c r="O707" s="3847"/>
      <c r="P707" s="3847"/>
      <c r="Q707" s="3847"/>
      <c r="R707" s="3847"/>
      <c r="S707" s="3847"/>
      <c r="T707" s="3847"/>
      <c r="U707" s="3847"/>
      <c r="V707" s="2322"/>
      <c r="W707" s="2322"/>
      <c r="X707" s="2322"/>
      <c r="Y707" s="2322"/>
      <c r="Z707" s="2322"/>
      <c r="AA707" s="2322"/>
      <c r="AB707" s="2322"/>
      <c r="AC707" s="2322"/>
      <c r="AD707" s="2322"/>
      <c r="AE707" s="2322"/>
      <c r="AF707" s="2322"/>
      <c r="AG707" s="2322"/>
      <c r="AH707" s="2322"/>
      <c r="AI707" s="2322"/>
      <c r="AJ707" s="2322"/>
      <c r="AK707" s="2322"/>
      <c r="AL707" s="2322"/>
      <c r="AM707" s="2322"/>
    </row>
    <row r="708" spans="1:39">
      <c r="A708" s="89"/>
      <c r="B708" s="89"/>
      <c r="C708" s="89"/>
      <c r="D708" s="89"/>
      <c r="E708" s="89"/>
      <c r="F708" s="89"/>
      <c r="G708" s="89"/>
      <c r="H708" s="89"/>
      <c r="I708" s="3847"/>
      <c r="J708" s="3847"/>
      <c r="K708" s="3847"/>
      <c r="L708" s="3847"/>
      <c r="M708" s="3847"/>
      <c r="N708" s="3847"/>
      <c r="O708" s="3847"/>
      <c r="P708" s="3847"/>
      <c r="Q708" s="3847"/>
      <c r="R708" s="3847"/>
      <c r="S708" s="3847"/>
      <c r="T708" s="3847"/>
      <c r="U708" s="3847"/>
      <c r="V708" s="2322"/>
      <c r="W708" s="2322"/>
      <c r="X708" s="2322"/>
      <c r="Y708" s="2322"/>
      <c r="Z708" s="2322"/>
      <c r="AA708" s="2322"/>
      <c r="AB708" s="2322"/>
      <c r="AC708" s="2322"/>
      <c r="AD708" s="2322"/>
      <c r="AE708" s="2322"/>
      <c r="AF708" s="2322"/>
      <c r="AG708" s="2322"/>
      <c r="AH708" s="2322"/>
      <c r="AI708" s="2322"/>
      <c r="AJ708" s="2322"/>
      <c r="AK708" s="2322"/>
      <c r="AL708" s="2322"/>
      <c r="AM708" s="2322"/>
    </row>
    <row r="709" spans="1:39">
      <c r="A709" s="89"/>
      <c r="B709" s="89"/>
      <c r="C709" s="89"/>
      <c r="D709" s="89"/>
      <c r="E709" s="89"/>
      <c r="F709" s="89"/>
      <c r="G709" s="89"/>
      <c r="H709" s="89"/>
      <c r="I709" s="3847"/>
      <c r="J709" s="3847"/>
      <c r="K709" s="3847"/>
      <c r="L709" s="3847"/>
      <c r="M709" s="3847"/>
      <c r="N709" s="3847"/>
      <c r="O709" s="3847"/>
      <c r="P709" s="3847"/>
      <c r="Q709" s="3847"/>
      <c r="R709" s="3847"/>
      <c r="S709" s="3847"/>
      <c r="T709" s="3847"/>
      <c r="U709" s="3847"/>
      <c r="V709" s="2322"/>
      <c r="W709" s="2322"/>
      <c r="X709" s="2322"/>
      <c r="Y709" s="2322"/>
      <c r="Z709" s="2322"/>
      <c r="AA709" s="2322"/>
      <c r="AB709" s="2322"/>
      <c r="AC709" s="2322"/>
      <c r="AD709" s="2322"/>
      <c r="AE709" s="2322"/>
      <c r="AF709" s="2322"/>
      <c r="AG709" s="2322"/>
      <c r="AH709" s="2322"/>
      <c r="AI709" s="2322"/>
      <c r="AJ709" s="2322"/>
      <c r="AK709" s="2322"/>
      <c r="AL709" s="2322"/>
      <c r="AM709" s="2322"/>
    </row>
    <row r="710" spans="1:39">
      <c r="A710" s="89"/>
      <c r="B710" s="89"/>
      <c r="C710" s="89"/>
      <c r="D710" s="89"/>
      <c r="E710" s="89"/>
      <c r="F710" s="89"/>
      <c r="G710" s="89"/>
      <c r="H710" s="89"/>
      <c r="I710" s="3847"/>
      <c r="J710" s="3847"/>
      <c r="K710" s="3847"/>
      <c r="L710" s="3847"/>
      <c r="M710" s="3847"/>
      <c r="N710" s="3847"/>
      <c r="O710" s="3847"/>
      <c r="P710" s="3847"/>
      <c r="Q710" s="3847"/>
      <c r="R710" s="3847"/>
      <c r="S710" s="3847"/>
      <c r="T710" s="3847"/>
      <c r="U710" s="3847"/>
      <c r="V710" s="2322"/>
      <c r="W710" s="2322"/>
      <c r="X710" s="2322"/>
      <c r="Y710" s="2322"/>
      <c r="Z710" s="2322"/>
      <c r="AA710" s="2322"/>
      <c r="AB710" s="2322"/>
      <c r="AC710" s="2322"/>
      <c r="AD710" s="2322"/>
      <c r="AE710" s="2322"/>
      <c r="AF710" s="2322"/>
      <c r="AG710" s="2322"/>
      <c r="AH710" s="2322"/>
      <c r="AI710" s="2322"/>
      <c r="AJ710" s="2322"/>
      <c r="AK710" s="2322"/>
      <c r="AL710" s="2322"/>
      <c r="AM710" s="2322"/>
    </row>
    <row r="711" spans="1:39">
      <c r="A711" s="89"/>
      <c r="B711" s="89"/>
      <c r="C711" s="89"/>
      <c r="D711" s="89"/>
      <c r="E711" s="89"/>
      <c r="F711" s="89"/>
      <c r="G711" s="89"/>
      <c r="H711" s="89"/>
      <c r="I711" s="3847"/>
      <c r="J711" s="3847"/>
      <c r="K711" s="3847"/>
      <c r="L711" s="3847"/>
      <c r="M711" s="3847"/>
      <c r="N711" s="3847"/>
      <c r="O711" s="3847"/>
      <c r="P711" s="3847"/>
      <c r="Q711" s="3847"/>
      <c r="R711" s="3847"/>
      <c r="S711" s="3847"/>
      <c r="T711" s="3847"/>
      <c r="U711" s="3847"/>
      <c r="V711" s="2322"/>
      <c r="W711" s="2322"/>
      <c r="X711" s="2322"/>
      <c r="Y711" s="2322"/>
      <c r="Z711" s="2322"/>
      <c r="AA711" s="2322"/>
      <c r="AB711" s="2322"/>
      <c r="AC711" s="2322"/>
      <c r="AD711" s="2322"/>
      <c r="AE711" s="2322"/>
      <c r="AF711" s="2322"/>
      <c r="AG711" s="2322"/>
      <c r="AH711" s="2322"/>
      <c r="AI711" s="2322"/>
      <c r="AJ711" s="2322"/>
      <c r="AK711" s="2322"/>
      <c r="AL711" s="2322"/>
      <c r="AM711" s="2322"/>
    </row>
    <row r="712" spans="1:39">
      <c r="A712" s="89"/>
      <c r="B712" s="89"/>
      <c r="C712" s="89"/>
      <c r="D712" s="89"/>
      <c r="E712" s="89"/>
      <c r="F712" s="89"/>
      <c r="G712" s="89"/>
      <c r="H712" s="89"/>
      <c r="I712" s="3847"/>
      <c r="J712" s="3847"/>
      <c r="K712" s="3847"/>
      <c r="L712" s="3847"/>
      <c r="M712" s="3847"/>
      <c r="N712" s="3847"/>
      <c r="O712" s="3847"/>
      <c r="P712" s="3847"/>
      <c r="Q712" s="3847"/>
      <c r="R712" s="3847"/>
      <c r="S712" s="3847"/>
      <c r="T712" s="3847"/>
      <c r="U712" s="3847"/>
      <c r="V712" s="2322"/>
      <c r="W712" s="2322"/>
      <c r="X712" s="2322"/>
      <c r="Y712" s="2322"/>
      <c r="Z712" s="2322"/>
      <c r="AA712" s="2322"/>
      <c r="AB712" s="2322"/>
      <c r="AC712" s="2322"/>
      <c r="AD712" s="2322"/>
      <c r="AE712" s="2322"/>
      <c r="AF712" s="2322"/>
      <c r="AG712" s="2322"/>
      <c r="AH712" s="2322"/>
      <c r="AI712" s="2322"/>
      <c r="AJ712" s="2322"/>
      <c r="AK712" s="2322"/>
      <c r="AL712" s="2322"/>
      <c r="AM712" s="2322"/>
    </row>
    <row r="713" spans="1:39">
      <c r="A713" s="89"/>
      <c r="B713" s="89"/>
      <c r="C713" s="89"/>
      <c r="D713" s="89"/>
      <c r="E713" s="89"/>
      <c r="F713" s="89"/>
      <c r="G713" s="89"/>
      <c r="H713" s="89"/>
      <c r="I713" s="3847"/>
      <c r="J713" s="3847"/>
      <c r="K713" s="3847"/>
      <c r="L713" s="3847"/>
      <c r="M713" s="3847"/>
      <c r="N713" s="3847"/>
      <c r="O713" s="3847"/>
      <c r="P713" s="3847"/>
      <c r="Q713" s="3847"/>
      <c r="R713" s="3847"/>
      <c r="S713" s="3847"/>
      <c r="T713" s="3847"/>
      <c r="U713" s="3847"/>
      <c r="V713" s="2322"/>
      <c r="W713" s="2322"/>
      <c r="X713" s="2322"/>
      <c r="Y713" s="2322"/>
      <c r="Z713" s="2322"/>
      <c r="AA713" s="2322"/>
      <c r="AB713" s="2322"/>
      <c r="AC713" s="2322"/>
      <c r="AD713" s="2322"/>
      <c r="AE713" s="2322"/>
      <c r="AF713" s="2322"/>
      <c r="AG713" s="2322"/>
      <c r="AH713" s="2322"/>
      <c r="AI713" s="2322"/>
      <c r="AJ713" s="2322"/>
      <c r="AK713" s="2322"/>
      <c r="AL713" s="2322"/>
      <c r="AM713" s="2322"/>
    </row>
    <row r="714" spans="1:39">
      <c r="A714" s="89"/>
      <c r="B714" s="89"/>
      <c r="C714" s="89"/>
      <c r="D714" s="89"/>
      <c r="E714" s="89"/>
      <c r="F714" s="89"/>
      <c r="G714" s="89"/>
      <c r="H714" s="89"/>
      <c r="I714" s="3847"/>
      <c r="J714" s="3847"/>
      <c r="K714" s="3847"/>
      <c r="L714" s="3847"/>
      <c r="M714" s="3847"/>
      <c r="N714" s="3847"/>
      <c r="O714" s="3847"/>
      <c r="P714" s="3847"/>
      <c r="Q714" s="3847"/>
      <c r="R714" s="3847"/>
      <c r="S714" s="3847"/>
      <c r="T714" s="3847"/>
      <c r="U714" s="3847"/>
      <c r="V714" s="2322"/>
      <c r="W714" s="2322"/>
      <c r="X714" s="2322"/>
      <c r="Y714" s="2322"/>
      <c r="Z714" s="2322"/>
      <c r="AA714" s="2322"/>
      <c r="AB714" s="2322"/>
      <c r="AC714" s="2322"/>
      <c r="AD714" s="2322"/>
      <c r="AE714" s="2322"/>
      <c r="AF714" s="2322"/>
      <c r="AG714" s="2322"/>
      <c r="AH714" s="2322"/>
      <c r="AI714" s="2322"/>
      <c r="AJ714" s="2322"/>
      <c r="AK714" s="2322"/>
      <c r="AL714" s="2322"/>
      <c r="AM714" s="2322"/>
    </row>
    <row r="715" spans="1:39">
      <c r="A715" s="89"/>
      <c r="B715" s="89"/>
      <c r="C715" s="89"/>
      <c r="D715" s="89"/>
      <c r="E715" s="89"/>
      <c r="F715" s="89"/>
      <c r="G715" s="89"/>
      <c r="H715" s="89"/>
      <c r="I715" s="3847"/>
      <c r="J715" s="3847"/>
      <c r="K715" s="3847"/>
      <c r="L715" s="3847"/>
      <c r="M715" s="3847"/>
      <c r="N715" s="3847"/>
      <c r="O715" s="3847"/>
      <c r="P715" s="3847"/>
      <c r="Q715" s="3847"/>
      <c r="R715" s="3847"/>
      <c r="S715" s="3847"/>
      <c r="T715" s="3847"/>
      <c r="U715" s="3847"/>
      <c r="V715" s="2322"/>
      <c r="W715" s="2322"/>
      <c r="X715" s="2322"/>
      <c r="Y715" s="2322"/>
      <c r="Z715" s="2322"/>
      <c r="AA715" s="2322"/>
      <c r="AB715" s="2322"/>
      <c r="AC715" s="2322"/>
      <c r="AD715" s="2322"/>
      <c r="AE715" s="2322"/>
      <c r="AF715" s="2322"/>
      <c r="AG715" s="2322"/>
      <c r="AH715" s="2322"/>
      <c r="AI715" s="2322"/>
      <c r="AJ715" s="2322"/>
      <c r="AK715" s="2322"/>
      <c r="AL715" s="2322"/>
      <c r="AM715" s="2322"/>
    </row>
    <row r="716" spans="1:39">
      <c r="A716" s="89"/>
      <c r="B716" s="89"/>
      <c r="C716" s="89"/>
      <c r="D716" s="89"/>
      <c r="E716" s="89"/>
      <c r="F716" s="89"/>
      <c r="G716" s="89"/>
      <c r="H716" s="89"/>
      <c r="I716" s="3847"/>
      <c r="J716" s="3847"/>
      <c r="K716" s="3847"/>
      <c r="L716" s="3847"/>
      <c r="M716" s="3847"/>
      <c r="N716" s="3847"/>
      <c r="O716" s="3847"/>
      <c r="P716" s="3847"/>
      <c r="Q716" s="3847"/>
      <c r="R716" s="3847"/>
      <c r="S716" s="3847"/>
      <c r="T716" s="3847"/>
      <c r="U716" s="3847"/>
      <c r="V716" s="2322"/>
      <c r="W716" s="2322"/>
      <c r="X716" s="2322"/>
      <c r="Y716" s="2322"/>
      <c r="Z716" s="2322"/>
      <c r="AA716" s="2322"/>
      <c r="AB716" s="2322"/>
      <c r="AC716" s="2322"/>
      <c r="AD716" s="2322"/>
      <c r="AE716" s="2322"/>
      <c r="AF716" s="2322"/>
      <c r="AG716" s="2322"/>
      <c r="AH716" s="2322"/>
      <c r="AI716" s="2322"/>
      <c r="AJ716" s="2322"/>
      <c r="AK716" s="2322"/>
      <c r="AL716" s="2322"/>
      <c r="AM716" s="2322"/>
    </row>
    <row r="717" spans="1:39">
      <c r="A717" s="89"/>
      <c r="B717" s="89"/>
      <c r="C717" s="89"/>
      <c r="D717" s="89"/>
      <c r="E717" s="89"/>
      <c r="F717" s="89"/>
      <c r="G717" s="89"/>
      <c r="H717" s="89"/>
      <c r="I717" s="3847"/>
      <c r="J717" s="3847"/>
      <c r="K717" s="3847"/>
      <c r="L717" s="3847"/>
      <c r="M717" s="3847"/>
      <c r="N717" s="3847"/>
      <c r="O717" s="3847"/>
      <c r="P717" s="3847"/>
      <c r="Q717" s="3847"/>
      <c r="R717" s="3847"/>
      <c r="S717" s="3847"/>
      <c r="T717" s="3847"/>
      <c r="U717" s="3847"/>
      <c r="V717" s="2322"/>
      <c r="W717" s="2322"/>
      <c r="X717" s="2322"/>
      <c r="Y717" s="2322"/>
      <c r="Z717" s="2322"/>
      <c r="AA717" s="2322"/>
      <c r="AB717" s="2322"/>
      <c r="AC717" s="2322"/>
      <c r="AD717" s="2322"/>
      <c r="AE717" s="2322"/>
      <c r="AF717" s="2322"/>
      <c r="AG717" s="2322"/>
      <c r="AH717" s="2322"/>
      <c r="AI717" s="2322"/>
      <c r="AJ717" s="2322"/>
      <c r="AK717" s="2322"/>
      <c r="AL717" s="2322"/>
      <c r="AM717" s="2322"/>
    </row>
    <row r="718" spans="1:39">
      <c r="A718" s="89"/>
      <c r="B718" s="89"/>
      <c r="C718" s="89"/>
      <c r="D718" s="89"/>
      <c r="E718" s="89"/>
      <c r="F718" s="89"/>
      <c r="G718" s="89"/>
      <c r="H718" s="89"/>
      <c r="I718" s="3847"/>
      <c r="J718" s="3847"/>
      <c r="K718" s="3847"/>
      <c r="L718" s="3847"/>
      <c r="M718" s="3847"/>
      <c r="N718" s="3847"/>
      <c r="O718" s="3847"/>
      <c r="P718" s="3847"/>
      <c r="Q718" s="3847"/>
      <c r="R718" s="3847"/>
      <c r="S718" s="3847"/>
      <c r="T718" s="3847"/>
      <c r="U718" s="3847"/>
      <c r="V718" s="2322"/>
      <c r="W718" s="2322"/>
      <c r="X718" s="2322"/>
      <c r="Y718" s="2322"/>
      <c r="Z718" s="2322"/>
      <c r="AA718" s="2322"/>
      <c r="AB718" s="2322"/>
      <c r="AC718" s="2322"/>
      <c r="AD718" s="2322"/>
      <c r="AE718" s="2322"/>
      <c r="AF718" s="2322"/>
      <c r="AG718" s="2322"/>
      <c r="AH718" s="2322"/>
      <c r="AI718" s="2322"/>
      <c r="AJ718" s="2322"/>
      <c r="AK718" s="2322"/>
      <c r="AL718" s="2322"/>
      <c r="AM718" s="2322"/>
    </row>
    <row r="719" spans="1:39">
      <c r="A719" s="89"/>
      <c r="B719" s="89"/>
      <c r="C719" s="89"/>
      <c r="D719" s="89"/>
      <c r="E719" s="89"/>
      <c r="F719" s="89"/>
      <c r="G719" s="89"/>
      <c r="H719" s="89"/>
      <c r="I719" s="3847"/>
      <c r="J719" s="3847"/>
      <c r="K719" s="3847"/>
      <c r="L719" s="3847"/>
      <c r="M719" s="3847"/>
      <c r="N719" s="3847"/>
      <c r="O719" s="3847"/>
      <c r="P719" s="3847"/>
      <c r="Q719" s="3847"/>
      <c r="R719" s="3847"/>
      <c r="S719" s="3847"/>
      <c r="T719" s="3847"/>
      <c r="U719" s="3847"/>
      <c r="V719" s="2322"/>
      <c r="W719" s="2322"/>
      <c r="X719" s="2322"/>
      <c r="Y719" s="2322"/>
      <c r="Z719" s="2322"/>
      <c r="AA719" s="2322"/>
      <c r="AB719" s="2322"/>
      <c r="AC719" s="2322"/>
      <c r="AD719" s="2322"/>
      <c r="AE719" s="2322"/>
      <c r="AF719" s="2322"/>
      <c r="AG719" s="2322"/>
      <c r="AH719" s="2322"/>
      <c r="AI719" s="2322"/>
      <c r="AJ719" s="2322"/>
      <c r="AK719" s="2322"/>
      <c r="AL719" s="2322"/>
      <c r="AM719" s="2322"/>
    </row>
    <row r="720" spans="1:39">
      <c r="A720" s="89"/>
      <c r="B720" s="89"/>
      <c r="C720" s="89"/>
      <c r="D720" s="89"/>
      <c r="E720" s="89"/>
      <c r="F720" s="89"/>
      <c r="G720" s="89"/>
      <c r="H720" s="89"/>
      <c r="I720" s="3847"/>
      <c r="J720" s="3847"/>
      <c r="K720" s="3847"/>
      <c r="L720" s="3847"/>
      <c r="M720" s="3847"/>
      <c r="N720" s="3847"/>
      <c r="O720" s="3847"/>
      <c r="P720" s="3847"/>
      <c r="Q720" s="3847"/>
      <c r="R720" s="3847"/>
      <c r="S720" s="3847"/>
      <c r="T720" s="3847"/>
      <c r="U720" s="3847"/>
      <c r="V720" s="2322"/>
      <c r="W720" s="2322"/>
      <c r="X720" s="2322"/>
      <c r="Y720" s="2322"/>
      <c r="Z720" s="2322"/>
      <c r="AA720" s="2322"/>
      <c r="AB720" s="2322"/>
      <c r="AC720" s="2322"/>
      <c r="AD720" s="2322"/>
      <c r="AE720" s="2322"/>
      <c r="AF720" s="2322"/>
      <c r="AG720" s="2322"/>
      <c r="AH720" s="2322"/>
      <c r="AI720" s="2322"/>
      <c r="AJ720" s="2322"/>
      <c r="AK720" s="2322"/>
      <c r="AL720" s="2322"/>
      <c r="AM720" s="2322"/>
    </row>
    <row r="721" spans="1:39">
      <c r="A721" s="89"/>
      <c r="B721" s="89"/>
      <c r="C721" s="89"/>
      <c r="D721" s="89"/>
      <c r="E721" s="89"/>
      <c r="F721" s="89"/>
      <c r="G721" s="89"/>
      <c r="H721" s="89"/>
      <c r="I721" s="3847"/>
      <c r="J721" s="3847"/>
      <c r="K721" s="3847"/>
      <c r="L721" s="3847"/>
      <c r="M721" s="3847"/>
      <c r="N721" s="3847"/>
      <c r="O721" s="3847"/>
      <c r="P721" s="3847"/>
      <c r="Q721" s="3847"/>
      <c r="R721" s="3847"/>
      <c r="S721" s="3847"/>
      <c r="T721" s="3847"/>
      <c r="U721" s="3847"/>
      <c r="V721" s="2322"/>
      <c r="W721" s="2322"/>
      <c r="X721" s="2322"/>
      <c r="Y721" s="2322"/>
      <c r="Z721" s="2322"/>
      <c r="AA721" s="2322"/>
      <c r="AB721" s="2322"/>
      <c r="AC721" s="2322"/>
      <c r="AD721" s="2322"/>
      <c r="AE721" s="2322"/>
      <c r="AF721" s="2322"/>
      <c r="AG721" s="2322"/>
      <c r="AH721" s="2322"/>
      <c r="AI721" s="2322"/>
      <c r="AJ721" s="2322"/>
      <c r="AK721" s="2322"/>
      <c r="AL721" s="2322"/>
      <c r="AM721" s="2322"/>
    </row>
    <row r="722" spans="1:39">
      <c r="A722" s="89"/>
      <c r="B722" s="89"/>
      <c r="C722" s="89"/>
      <c r="D722" s="89"/>
      <c r="E722" s="89"/>
      <c r="F722" s="89"/>
      <c r="G722" s="89"/>
      <c r="H722" s="89"/>
      <c r="I722" s="3847"/>
      <c r="J722" s="3847"/>
      <c r="K722" s="3847"/>
      <c r="L722" s="3847"/>
      <c r="M722" s="3847"/>
      <c r="N722" s="3847"/>
      <c r="O722" s="3847"/>
      <c r="P722" s="3847"/>
      <c r="Q722" s="3847"/>
      <c r="R722" s="3847"/>
      <c r="S722" s="3847"/>
      <c r="T722" s="3847"/>
      <c r="U722" s="3847"/>
      <c r="V722" s="2322"/>
      <c r="W722" s="2322"/>
      <c r="X722" s="2322"/>
      <c r="Y722" s="2322"/>
      <c r="Z722" s="2322"/>
      <c r="AA722" s="2322"/>
      <c r="AB722" s="2322"/>
      <c r="AC722" s="2322"/>
      <c r="AD722" s="2322"/>
      <c r="AE722" s="2322"/>
      <c r="AF722" s="2322"/>
      <c r="AG722" s="2322"/>
      <c r="AH722" s="2322"/>
      <c r="AI722" s="2322"/>
      <c r="AJ722" s="2322"/>
      <c r="AK722" s="2322"/>
      <c r="AL722" s="2322"/>
      <c r="AM722" s="2322"/>
    </row>
    <row r="723" spans="1:39">
      <c r="A723" s="89"/>
      <c r="B723" s="89"/>
      <c r="C723" s="89"/>
      <c r="D723" s="89"/>
      <c r="E723" s="89"/>
      <c r="F723" s="89"/>
      <c r="G723" s="89"/>
      <c r="H723" s="89"/>
      <c r="I723" s="3847"/>
      <c r="J723" s="3847"/>
      <c r="K723" s="3847"/>
      <c r="L723" s="3847"/>
      <c r="M723" s="3847"/>
      <c r="N723" s="3847"/>
      <c r="O723" s="3847"/>
      <c r="P723" s="3847"/>
      <c r="Q723" s="3847"/>
      <c r="R723" s="3847"/>
      <c r="S723" s="3847"/>
      <c r="T723" s="3847"/>
      <c r="U723" s="3847"/>
      <c r="V723" s="2322"/>
      <c r="W723" s="2322"/>
      <c r="X723" s="2322"/>
      <c r="Y723" s="2322"/>
      <c r="Z723" s="2322"/>
      <c r="AA723" s="2322"/>
      <c r="AB723" s="2322"/>
      <c r="AC723" s="2322"/>
      <c r="AD723" s="2322"/>
      <c r="AE723" s="2322"/>
      <c r="AF723" s="2322"/>
      <c r="AG723" s="2322"/>
      <c r="AH723" s="2322"/>
      <c r="AI723" s="2322"/>
      <c r="AJ723" s="2322"/>
      <c r="AK723" s="2322"/>
      <c r="AL723" s="2322"/>
      <c r="AM723" s="2322"/>
    </row>
    <row r="724" spans="1:39">
      <c r="A724" s="89"/>
      <c r="B724" s="89"/>
      <c r="C724" s="89"/>
      <c r="D724" s="89"/>
      <c r="E724" s="89"/>
      <c r="F724" s="89"/>
      <c r="G724" s="89"/>
      <c r="H724" s="89"/>
      <c r="I724" s="3847"/>
      <c r="J724" s="3847"/>
      <c r="K724" s="3847"/>
      <c r="L724" s="3847"/>
      <c r="M724" s="3847"/>
      <c r="N724" s="3847"/>
      <c r="O724" s="3847"/>
      <c r="P724" s="3847"/>
      <c r="Q724" s="3847"/>
      <c r="R724" s="3847"/>
      <c r="S724" s="3847"/>
      <c r="T724" s="3847"/>
      <c r="U724" s="3847"/>
      <c r="V724" s="2322"/>
      <c r="W724" s="2322"/>
      <c r="X724" s="2322"/>
      <c r="Y724" s="2322"/>
      <c r="Z724" s="2322"/>
      <c r="AA724" s="2322"/>
      <c r="AB724" s="2322"/>
      <c r="AC724" s="2322"/>
      <c r="AD724" s="2322"/>
      <c r="AE724" s="2322"/>
      <c r="AF724" s="2322"/>
      <c r="AG724" s="2322"/>
      <c r="AH724" s="2322"/>
      <c r="AI724" s="2322"/>
      <c r="AJ724" s="2322"/>
      <c r="AK724" s="2322"/>
      <c r="AL724" s="2322"/>
      <c r="AM724" s="2322"/>
    </row>
    <row r="725" spans="1:39">
      <c r="A725" s="89"/>
      <c r="B725" s="89"/>
      <c r="C725" s="89"/>
      <c r="D725" s="89"/>
      <c r="E725" s="89"/>
      <c r="F725" s="89"/>
      <c r="G725" s="89"/>
      <c r="H725" s="89"/>
      <c r="I725" s="3847"/>
      <c r="J725" s="3847"/>
      <c r="K725" s="3847"/>
      <c r="L725" s="3847"/>
      <c r="M725" s="3847"/>
      <c r="N725" s="3847"/>
      <c r="O725" s="3847"/>
      <c r="P725" s="3847"/>
      <c r="Q725" s="3847"/>
      <c r="R725" s="3847"/>
      <c r="S725" s="3847"/>
      <c r="T725" s="3847"/>
      <c r="U725" s="3847"/>
      <c r="V725" s="2322"/>
      <c r="W725" s="2322"/>
      <c r="X725" s="2322"/>
      <c r="Y725" s="2322"/>
      <c r="Z725" s="2322"/>
      <c r="AA725" s="2322"/>
      <c r="AB725" s="2322"/>
      <c r="AC725" s="2322"/>
      <c r="AD725" s="2322"/>
      <c r="AE725" s="2322"/>
      <c r="AF725" s="2322"/>
      <c r="AG725" s="2322"/>
      <c r="AH725" s="2322"/>
      <c r="AI725" s="2322"/>
      <c r="AJ725" s="2322"/>
      <c r="AK725" s="2322"/>
      <c r="AL725" s="2322"/>
      <c r="AM725" s="2322"/>
    </row>
    <row r="726" spans="1:39">
      <c r="A726" s="89"/>
      <c r="B726" s="89"/>
      <c r="C726" s="89"/>
      <c r="D726" s="89"/>
      <c r="E726" s="89"/>
      <c r="F726" s="89"/>
      <c r="G726" s="89"/>
      <c r="H726" s="89"/>
      <c r="I726" s="3847"/>
      <c r="J726" s="3847"/>
      <c r="K726" s="3847"/>
      <c r="L726" s="3847"/>
      <c r="M726" s="3847"/>
      <c r="N726" s="3847"/>
      <c r="O726" s="3847"/>
      <c r="P726" s="3847"/>
      <c r="Q726" s="3847"/>
      <c r="R726" s="3847"/>
      <c r="S726" s="3847"/>
      <c r="T726" s="3847"/>
      <c r="U726" s="3847"/>
      <c r="V726" s="2322"/>
      <c r="W726" s="2322"/>
      <c r="X726" s="2322"/>
      <c r="Y726" s="2322"/>
      <c r="Z726" s="2322"/>
      <c r="AA726" s="2322"/>
      <c r="AB726" s="2322"/>
      <c r="AC726" s="2322"/>
      <c r="AD726" s="2322"/>
      <c r="AE726" s="2322"/>
      <c r="AF726" s="2322"/>
      <c r="AG726" s="2322"/>
      <c r="AH726" s="2322"/>
      <c r="AI726" s="2322"/>
      <c r="AJ726" s="2322"/>
      <c r="AK726" s="2322"/>
      <c r="AL726" s="2322"/>
      <c r="AM726" s="2322"/>
    </row>
    <row r="727" spans="1:39">
      <c r="A727" s="89"/>
      <c r="B727" s="89"/>
      <c r="C727" s="89"/>
      <c r="D727" s="89"/>
      <c r="E727" s="89"/>
      <c r="F727" s="89"/>
      <c r="G727" s="89"/>
      <c r="H727" s="89"/>
      <c r="I727" s="3847"/>
      <c r="J727" s="3847"/>
      <c r="K727" s="3847"/>
      <c r="L727" s="3847"/>
      <c r="M727" s="3847"/>
      <c r="N727" s="3847"/>
      <c r="O727" s="3847"/>
      <c r="P727" s="3847"/>
      <c r="Q727" s="3847"/>
      <c r="R727" s="3847"/>
      <c r="S727" s="3847"/>
      <c r="T727" s="3847"/>
      <c r="U727" s="3847"/>
      <c r="V727" s="2322"/>
      <c r="W727" s="2322"/>
      <c r="X727" s="2322"/>
      <c r="Y727" s="2322"/>
      <c r="Z727" s="2322"/>
      <c r="AA727" s="2322"/>
      <c r="AB727" s="2322"/>
      <c r="AC727" s="2322"/>
      <c r="AD727" s="2322"/>
      <c r="AE727" s="2322"/>
      <c r="AF727" s="2322"/>
      <c r="AG727" s="2322"/>
      <c r="AH727" s="2322"/>
      <c r="AI727" s="2322"/>
      <c r="AJ727" s="2322"/>
      <c r="AK727" s="2322"/>
      <c r="AL727" s="2322"/>
      <c r="AM727" s="2322"/>
    </row>
    <row r="728" spans="1:39">
      <c r="A728" s="89"/>
      <c r="B728" s="89"/>
      <c r="C728" s="89"/>
      <c r="D728" s="89"/>
      <c r="E728" s="89"/>
      <c r="F728" s="89"/>
      <c r="G728" s="89"/>
      <c r="H728" s="89"/>
      <c r="I728" s="3847"/>
      <c r="J728" s="3847"/>
      <c r="K728" s="3847"/>
      <c r="L728" s="3847"/>
      <c r="M728" s="3847"/>
      <c r="N728" s="3847"/>
      <c r="O728" s="3847"/>
      <c r="P728" s="3847"/>
      <c r="Q728" s="3847"/>
      <c r="R728" s="3847"/>
      <c r="S728" s="3847"/>
      <c r="T728" s="3847"/>
      <c r="U728" s="3847"/>
      <c r="V728" s="2322"/>
      <c r="W728" s="2322"/>
      <c r="X728" s="2322"/>
      <c r="Y728" s="2322"/>
      <c r="Z728" s="2322"/>
      <c r="AA728" s="2322"/>
      <c r="AB728" s="2322"/>
      <c r="AC728" s="2322"/>
      <c r="AD728" s="2322"/>
      <c r="AE728" s="2322"/>
      <c r="AF728" s="2322"/>
      <c r="AG728" s="2322"/>
      <c r="AH728" s="2322"/>
      <c r="AI728" s="2322"/>
      <c r="AJ728" s="2322"/>
      <c r="AK728" s="2322"/>
      <c r="AL728" s="2322"/>
      <c r="AM728" s="2322"/>
    </row>
    <row r="729" spans="1:39">
      <c r="A729" s="89"/>
      <c r="B729" s="89"/>
      <c r="C729" s="89"/>
      <c r="D729" s="89"/>
      <c r="E729" s="89"/>
      <c r="F729" s="89"/>
      <c r="G729" s="89"/>
      <c r="H729" s="89"/>
      <c r="I729" s="3847"/>
      <c r="J729" s="3847"/>
      <c r="K729" s="3847"/>
      <c r="L729" s="3847"/>
      <c r="M729" s="3847"/>
      <c r="N729" s="3847"/>
      <c r="O729" s="3847"/>
      <c r="P729" s="3847"/>
      <c r="Q729" s="3847"/>
      <c r="R729" s="3847"/>
      <c r="S729" s="3847"/>
      <c r="T729" s="3847"/>
      <c r="U729" s="3847"/>
      <c r="V729" s="2322"/>
      <c r="W729" s="2322"/>
      <c r="X729" s="2322"/>
      <c r="Y729" s="2322"/>
      <c r="Z729" s="2322"/>
      <c r="AA729" s="2322"/>
      <c r="AB729" s="2322"/>
      <c r="AC729" s="2322"/>
      <c r="AD729" s="2322"/>
      <c r="AE729" s="2322"/>
      <c r="AF729" s="2322"/>
      <c r="AG729" s="2322"/>
      <c r="AH729" s="2322"/>
      <c r="AI729" s="2322"/>
      <c r="AJ729" s="2322"/>
      <c r="AK729" s="2322"/>
      <c r="AL729" s="2322"/>
      <c r="AM729" s="2322"/>
    </row>
    <row r="730" spans="1:39">
      <c r="A730" s="89"/>
      <c r="B730" s="89"/>
      <c r="C730" s="89"/>
      <c r="D730" s="89"/>
      <c r="E730" s="89"/>
      <c r="F730" s="89"/>
      <c r="G730" s="89"/>
      <c r="H730" s="89"/>
      <c r="I730" s="3847"/>
      <c r="J730" s="3847"/>
      <c r="K730" s="3847"/>
      <c r="L730" s="3847"/>
      <c r="M730" s="3847"/>
      <c r="N730" s="3847"/>
      <c r="O730" s="3847"/>
      <c r="P730" s="3847"/>
      <c r="Q730" s="3847"/>
      <c r="R730" s="3847"/>
      <c r="S730" s="3847"/>
      <c r="T730" s="3847"/>
      <c r="U730" s="3847"/>
      <c r="V730" s="2322"/>
      <c r="W730" s="2322"/>
      <c r="X730" s="2322"/>
      <c r="Y730" s="2322"/>
      <c r="Z730" s="2322"/>
      <c r="AA730" s="2322"/>
      <c r="AB730" s="2322"/>
      <c r="AC730" s="2322"/>
      <c r="AD730" s="2322"/>
      <c r="AE730" s="2322"/>
      <c r="AF730" s="2322"/>
      <c r="AG730" s="2322"/>
      <c r="AH730" s="2322"/>
      <c r="AI730" s="2322"/>
      <c r="AJ730" s="2322"/>
      <c r="AK730" s="2322"/>
      <c r="AL730" s="2322"/>
      <c r="AM730" s="2322"/>
    </row>
    <row r="731" spans="1:39">
      <c r="A731" s="89"/>
      <c r="B731" s="89"/>
      <c r="C731" s="89"/>
      <c r="D731" s="89"/>
      <c r="E731" s="89"/>
      <c r="F731" s="89"/>
      <c r="G731" s="89"/>
      <c r="H731" s="89"/>
      <c r="I731" s="3847"/>
      <c r="J731" s="3847"/>
      <c r="K731" s="3847"/>
      <c r="L731" s="3847"/>
      <c r="M731" s="3847"/>
      <c r="N731" s="3847"/>
      <c r="O731" s="3847"/>
      <c r="P731" s="3847"/>
      <c r="Q731" s="3847"/>
      <c r="R731" s="3847"/>
      <c r="S731" s="3847"/>
      <c r="T731" s="3847"/>
      <c r="U731" s="3847"/>
      <c r="V731" s="2322"/>
      <c r="W731" s="2322"/>
      <c r="X731" s="2322"/>
      <c r="Y731" s="2322"/>
      <c r="Z731" s="2322"/>
      <c r="AA731" s="2322"/>
      <c r="AB731" s="2322"/>
      <c r="AC731" s="2322"/>
      <c r="AD731" s="2322"/>
      <c r="AE731" s="2322"/>
      <c r="AF731" s="2322"/>
      <c r="AG731" s="2322"/>
      <c r="AH731" s="2322"/>
      <c r="AI731" s="2322"/>
      <c r="AJ731" s="2322"/>
      <c r="AK731" s="2322"/>
      <c r="AL731" s="2322"/>
      <c r="AM731" s="2322"/>
    </row>
    <row r="732" spans="1:39">
      <c r="A732" s="89"/>
      <c r="B732" s="89"/>
      <c r="C732" s="89"/>
      <c r="D732" s="89"/>
      <c r="E732" s="89"/>
      <c r="F732" s="89"/>
      <c r="G732" s="89"/>
      <c r="H732" s="89"/>
      <c r="I732" s="3847"/>
      <c r="J732" s="3847"/>
      <c r="K732" s="3847"/>
      <c r="L732" s="3847"/>
      <c r="M732" s="3847"/>
      <c r="N732" s="3847"/>
      <c r="O732" s="3847"/>
      <c r="P732" s="3847"/>
      <c r="Q732" s="3847"/>
      <c r="R732" s="3847"/>
      <c r="S732" s="3847"/>
      <c r="T732" s="3847"/>
      <c r="U732" s="3847"/>
      <c r="V732" s="2322"/>
      <c r="W732" s="2322"/>
      <c r="X732" s="2322"/>
      <c r="Y732" s="2322"/>
      <c r="Z732" s="2322"/>
      <c r="AA732" s="2322"/>
      <c r="AB732" s="2322"/>
      <c r="AC732" s="2322"/>
      <c r="AD732" s="2322"/>
      <c r="AE732" s="2322"/>
      <c r="AF732" s="2322"/>
      <c r="AG732" s="2322"/>
      <c r="AH732" s="2322"/>
      <c r="AI732" s="2322"/>
      <c r="AJ732" s="2322"/>
      <c r="AK732" s="2322"/>
      <c r="AL732" s="2322"/>
      <c r="AM732" s="2322"/>
    </row>
    <row r="733" spans="1:39">
      <c r="A733" s="89"/>
      <c r="B733" s="89"/>
      <c r="C733" s="89"/>
      <c r="D733" s="89"/>
      <c r="E733" s="89"/>
      <c r="F733" s="89"/>
      <c r="G733" s="89"/>
      <c r="H733" s="89"/>
      <c r="I733" s="3847"/>
      <c r="J733" s="3847"/>
      <c r="K733" s="3847"/>
      <c r="L733" s="3847"/>
      <c r="M733" s="3847"/>
      <c r="N733" s="3847"/>
      <c r="O733" s="3847"/>
      <c r="P733" s="3847"/>
      <c r="Q733" s="3847"/>
      <c r="R733" s="3847"/>
      <c r="S733" s="3847"/>
      <c r="T733" s="3847"/>
      <c r="U733" s="3847"/>
      <c r="V733" s="2322"/>
      <c r="W733" s="2322"/>
      <c r="X733" s="2322"/>
      <c r="Y733" s="2322"/>
      <c r="Z733" s="2322"/>
      <c r="AA733" s="2322"/>
      <c r="AB733" s="2322"/>
      <c r="AC733" s="2322"/>
      <c r="AD733" s="2322"/>
      <c r="AE733" s="2322"/>
      <c r="AF733" s="2322"/>
      <c r="AG733" s="2322"/>
      <c r="AH733" s="2322"/>
      <c r="AI733" s="2322"/>
      <c r="AJ733" s="2322"/>
      <c r="AK733" s="2322"/>
      <c r="AL733" s="2322"/>
      <c r="AM733" s="2322"/>
    </row>
    <row r="734" spans="1:39">
      <c r="A734" s="89"/>
      <c r="B734" s="89"/>
      <c r="C734" s="89"/>
      <c r="D734" s="89"/>
      <c r="E734" s="89"/>
      <c r="F734" s="89"/>
      <c r="G734" s="89"/>
      <c r="H734" s="89"/>
      <c r="I734" s="3847"/>
      <c r="J734" s="3847"/>
      <c r="K734" s="3847"/>
      <c r="L734" s="3847"/>
      <c r="M734" s="3847"/>
      <c r="N734" s="3847"/>
      <c r="O734" s="3847"/>
      <c r="P734" s="3847"/>
      <c r="Q734" s="3847"/>
      <c r="R734" s="3847"/>
      <c r="S734" s="3847"/>
      <c r="T734" s="3847"/>
      <c r="U734" s="3847"/>
      <c r="V734" s="2322"/>
      <c r="W734" s="2322"/>
      <c r="X734" s="2322"/>
      <c r="Y734" s="2322"/>
      <c r="Z734" s="2322"/>
      <c r="AA734" s="2322"/>
      <c r="AB734" s="2322"/>
      <c r="AC734" s="2322"/>
      <c r="AD734" s="2322"/>
      <c r="AE734" s="2322"/>
      <c r="AF734" s="2322"/>
      <c r="AG734" s="2322"/>
      <c r="AH734" s="2322"/>
      <c r="AI734" s="2322"/>
      <c r="AJ734" s="2322"/>
      <c r="AK734" s="2322"/>
      <c r="AL734" s="2322"/>
      <c r="AM734" s="2322"/>
    </row>
    <row r="735" spans="1:39">
      <c r="A735" s="89"/>
      <c r="B735" s="89"/>
      <c r="C735" s="89"/>
      <c r="D735" s="89"/>
      <c r="E735" s="89"/>
      <c r="F735" s="89"/>
      <c r="G735" s="89"/>
      <c r="H735" s="89"/>
      <c r="I735" s="3847"/>
      <c r="J735" s="3847"/>
      <c r="K735" s="3847"/>
      <c r="L735" s="3847"/>
      <c r="M735" s="3847"/>
      <c r="N735" s="3847"/>
      <c r="O735" s="3847"/>
      <c r="P735" s="3847"/>
      <c r="Q735" s="3847"/>
      <c r="R735" s="3847"/>
      <c r="S735" s="3847"/>
      <c r="T735" s="3847"/>
      <c r="U735" s="3847"/>
      <c r="V735" s="2322"/>
      <c r="W735" s="2322"/>
      <c r="X735" s="2322"/>
      <c r="Y735" s="2322"/>
      <c r="Z735" s="2322"/>
      <c r="AA735" s="2322"/>
      <c r="AB735" s="2322"/>
      <c r="AC735" s="2322"/>
      <c r="AD735" s="2322"/>
      <c r="AE735" s="2322"/>
      <c r="AF735" s="2322"/>
      <c r="AG735" s="2322"/>
      <c r="AH735" s="2322"/>
      <c r="AI735" s="2322"/>
      <c r="AJ735" s="2322"/>
      <c r="AK735" s="2322"/>
      <c r="AL735" s="2322"/>
      <c r="AM735" s="2322"/>
    </row>
    <row r="736" spans="1:39">
      <c r="A736" s="89"/>
      <c r="B736" s="89"/>
      <c r="C736" s="89"/>
      <c r="D736" s="89"/>
      <c r="E736" s="89"/>
      <c r="F736" s="89"/>
      <c r="G736" s="89"/>
      <c r="H736" s="89"/>
      <c r="I736" s="3847"/>
      <c r="J736" s="3847"/>
      <c r="K736" s="3847"/>
      <c r="L736" s="3847"/>
      <c r="M736" s="3847"/>
      <c r="N736" s="3847"/>
      <c r="O736" s="3847"/>
      <c r="P736" s="3847"/>
      <c r="Q736" s="3847"/>
      <c r="R736" s="3847"/>
      <c r="S736" s="3847"/>
      <c r="T736" s="3847"/>
      <c r="U736" s="3847"/>
      <c r="V736" s="2322"/>
      <c r="W736" s="2322"/>
      <c r="X736" s="2322"/>
      <c r="Y736" s="2322"/>
      <c r="Z736" s="2322"/>
      <c r="AA736" s="2322"/>
      <c r="AB736" s="2322"/>
      <c r="AC736" s="2322"/>
      <c r="AD736" s="2322"/>
      <c r="AE736" s="2322"/>
      <c r="AF736" s="2322"/>
      <c r="AG736" s="2322"/>
      <c r="AH736" s="2322"/>
      <c r="AI736" s="2322"/>
      <c r="AJ736" s="2322"/>
      <c r="AK736" s="2322"/>
      <c r="AL736" s="2322"/>
      <c r="AM736" s="2322"/>
    </row>
    <row r="737" spans="1:39">
      <c r="A737" s="89"/>
      <c r="B737" s="89"/>
      <c r="C737" s="89"/>
      <c r="D737" s="89"/>
      <c r="E737" s="89"/>
      <c r="F737" s="89"/>
      <c r="G737" s="89"/>
      <c r="H737" s="89"/>
      <c r="I737" s="3847"/>
      <c r="J737" s="3847"/>
      <c r="K737" s="3847"/>
      <c r="L737" s="3847"/>
      <c r="M737" s="3847"/>
      <c r="N737" s="3847"/>
      <c r="O737" s="3847"/>
      <c r="P737" s="3847"/>
      <c r="Q737" s="3847"/>
      <c r="R737" s="3847"/>
      <c r="S737" s="3847"/>
      <c r="T737" s="3847"/>
      <c r="U737" s="3847"/>
      <c r="V737" s="2322"/>
      <c r="W737" s="2322"/>
      <c r="X737" s="2322"/>
      <c r="Y737" s="2322"/>
      <c r="Z737" s="2322"/>
      <c r="AA737" s="2322"/>
      <c r="AB737" s="2322"/>
      <c r="AC737" s="2322"/>
      <c r="AD737" s="2322"/>
      <c r="AE737" s="2322"/>
      <c r="AF737" s="2322"/>
      <c r="AG737" s="2322"/>
      <c r="AH737" s="2322"/>
      <c r="AI737" s="2322"/>
      <c r="AJ737" s="2322"/>
      <c r="AK737" s="2322"/>
      <c r="AL737" s="2322"/>
      <c r="AM737" s="2322"/>
    </row>
    <row r="738" spans="1:39">
      <c r="A738" s="89"/>
      <c r="B738" s="89"/>
      <c r="C738" s="89"/>
      <c r="D738" s="89"/>
      <c r="E738" s="89"/>
      <c r="F738" s="89"/>
      <c r="G738" s="89"/>
      <c r="H738" s="89"/>
      <c r="I738" s="3847"/>
      <c r="J738" s="3847"/>
      <c r="K738" s="3847"/>
      <c r="L738" s="3847"/>
      <c r="M738" s="3847"/>
      <c r="N738" s="3847"/>
      <c r="O738" s="3847"/>
      <c r="P738" s="3847"/>
      <c r="Q738" s="3847"/>
      <c r="R738" s="3847"/>
      <c r="S738" s="3847"/>
      <c r="T738" s="3847"/>
      <c r="U738" s="3847"/>
      <c r="V738" s="2322"/>
      <c r="W738" s="2322"/>
      <c r="X738" s="2322"/>
      <c r="Y738" s="2322"/>
      <c r="Z738" s="2322"/>
      <c r="AA738" s="2322"/>
      <c r="AB738" s="2322"/>
      <c r="AC738" s="2322"/>
      <c r="AD738" s="2322"/>
      <c r="AE738" s="2322"/>
      <c r="AF738" s="2322"/>
      <c r="AG738" s="2322"/>
      <c r="AH738" s="2322"/>
      <c r="AI738" s="2322"/>
      <c r="AJ738" s="2322"/>
      <c r="AK738" s="2322"/>
      <c r="AL738" s="2322"/>
      <c r="AM738" s="2322"/>
    </row>
    <row r="739" spans="1:39">
      <c r="A739" s="89"/>
      <c r="B739" s="89"/>
      <c r="C739" s="89"/>
      <c r="D739" s="89"/>
      <c r="E739" s="89"/>
      <c r="F739" s="89"/>
      <c r="G739" s="89"/>
      <c r="H739" s="89"/>
      <c r="I739" s="3847"/>
      <c r="J739" s="3847"/>
      <c r="K739" s="3847"/>
      <c r="L739" s="3847"/>
      <c r="M739" s="3847"/>
      <c r="N739" s="3847"/>
      <c r="O739" s="3847"/>
      <c r="P739" s="3847"/>
      <c r="Q739" s="3847"/>
      <c r="R739" s="3847"/>
      <c r="S739" s="3847"/>
      <c r="T739" s="3847"/>
      <c r="U739" s="3847"/>
      <c r="V739" s="2322"/>
      <c r="W739" s="2322"/>
      <c r="X739" s="2322"/>
      <c r="Y739" s="2322"/>
      <c r="Z739" s="2322"/>
      <c r="AA739" s="2322"/>
      <c r="AB739" s="2322"/>
      <c r="AC739" s="2322"/>
      <c r="AD739" s="2322"/>
      <c r="AE739" s="2322"/>
      <c r="AF739" s="2322"/>
      <c r="AG739" s="2322"/>
      <c r="AH739" s="2322"/>
      <c r="AI739" s="2322"/>
      <c r="AJ739" s="2322"/>
      <c r="AK739" s="2322"/>
      <c r="AL739" s="2322"/>
      <c r="AM739" s="2322"/>
    </row>
    <row r="740" spans="1:39">
      <c r="A740" s="89"/>
      <c r="B740" s="89"/>
      <c r="C740" s="89"/>
      <c r="D740" s="89"/>
      <c r="E740" s="89"/>
      <c r="F740" s="89"/>
      <c r="G740" s="89"/>
      <c r="H740" s="89"/>
      <c r="I740" s="3847"/>
      <c r="J740" s="3847"/>
      <c r="K740" s="3847"/>
      <c r="L740" s="3847"/>
      <c r="M740" s="3847"/>
      <c r="N740" s="3847"/>
      <c r="O740" s="3847"/>
      <c r="P740" s="3847"/>
      <c r="Q740" s="3847"/>
      <c r="R740" s="3847"/>
      <c r="S740" s="3847"/>
      <c r="T740" s="3847"/>
      <c r="U740" s="3847"/>
      <c r="V740" s="2322"/>
      <c r="W740" s="2322"/>
      <c r="X740" s="2322"/>
      <c r="Y740" s="2322"/>
      <c r="Z740" s="2322"/>
      <c r="AA740" s="2322"/>
      <c r="AB740" s="2322"/>
      <c r="AC740" s="2322"/>
      <c r="AD740" s="2322"/>
      <c r="AE740" s="2322"/>
      <c r="AF740" s="2322"/>
      <c r="AG740" s="2322"/>
      <c r="AH740" s="2322"/>
      <c r="AI740" s="2322"/>
      <c r="AJ740" s="2322"/>
      <c r="AK740" s="2322"/>
      <c r="AL740" s="2322"/>
      <c r="AM740" s="2322"/>
    </row>
    <row r="741" spans="1:39">
      <c r="A741" s="89"/>
      <c r="B741" s="89"/>
      <c r="C741" s="89"/>
      <c r="D741" s="89"/>
      <c r="E741" s="89"/>
      <c r="F741" s="89"/>
      <c r="G741" s="89"/>
      <c r="H741" s="89"/>
      <c r="I741" s="3847"/>
      <c r="J741" s="3847"/>
      <c r="K741" s="3847"/>
      <c r="L741" s="3847"/>
      <c r="M741" s="3847"/>
      <c r="N741" s="3847"/>
      <c r="O741" s="3847"/>
      <c r="P741" s="3847"/>
      <c r="Q741" s="3847"/>
      <c r="R741" s="3847"/>
      <c r="S741" s="3847"/>
      <c r="T741" s="3847"/>
      <c r="U741" s="3847"/>
      <c r="V741" s="2322"/>
      <c r="W741" s="2322"/>
      <c r="X741" s="2322"/>
      <c r="Y741" s="2322"/>
      <c r="Z741" s="2322"/>
      <c r="AA741" s="2322"/>
      <c r="AB741" s="2322"/>
      <c r="AC741" s="2322"/>
      <c r="AD741" s="2322"/>
      <c r="AE741" s="2322"/>
      <c r="AF741" s="2322"/>
      <c r="AG741" s="2322"/>
      <c r="AH741" s="2322"/>
      <c r="AI741" s="2322"/>
      <c r="AJ741" s="2322"/>
      <c r="AK741" s="2322"/>
      <c r="AL741" s="2322"/>
      <c r="AM741" s="2322"/>
    </row>
    <row r="742" spans="1:39">
      <c r="A742" s="89"/>
      <c r="B742" s="89"/>
      <c r="C742" s="89"/>
      <c r="D742" s="89"/>
      <c r="E742" s="89"/>
      <c r="F742" s="89"/>
      <c r="G742" s="89"/>
      <c r="H742" s="89"/>
      <c r="I742" s="3847"/>
      <c r="J742" s="3847"/>
      <c r="K742" s="3847"/>
      <c r="L742" s="3847"/>
      <c r="M742" s="3847"/>
      <c r="N742" s="3847"/>
      <c r="O742" s="3847"/>
      <c r="P742" s="3847"/>
      <c r="Q742" s="3847"/>
      <c r="R742" s="3847"/>
      <c r="S742" s="3847"/>
      <c r="T742" s="3847"/>
      <c r="U742" s="3847"/>
      <c r="V742" s="2322"/>
      <c r="W742" s="2322"/>
      <c r="X742" s="2322"/>
      <c r="Y742" s="2322"/>
      <c r="Z742" s="2322"/>
      <c r="AA742" s="2322"/>
      <c r="AB742" s="2322"/>
      <c r="AC742" s="2322"/>
      <c r="AD742" s="2322"/>
      <c r="AE742" s="2322"/>
      <c r="AF742" s="2322"/>
      <c r="AG742" s="2322"/>
      <c r="AH742" s="2322"/>
      <c r="AI742" s="2322"/>
      <c r="AJ742" s="2322"/>
      <c r="AK742" s="2322"/>
      <c r="AL742" s="2322"/>
      <c r="AM742" s="2322"/>
    </row>
    <row r="743" spans="1:39">
      <c r="A743" s="89"/>
      <c r="B743" s="89"/>
      <c r="C743" s="89"/>
      <c r="D743" s="89"/>
      <c r="E743" s="89"/>
      <c r="F743" s="89"/>
      <c r="G743" s="89"/>
      <c r="H743" s="89"/>
      <c r="I743" s="3847"/>
      <c r="J743" s="3847"/>
      <c r="K743" s="3847"/>
      <c r="L743" s="3847"/>
      <c r="M743" s="3847"/>
      <c r="N743" s="3847"/>
      <c r="O743" s="3847"/>
      <c r="P743" s="3847"/>
      <c r="Q743" s="3847"/>
      <c r="R743" s="3847"/>
      <c r="S743" s="3847"/>
      <c r="T743" s="3847"/>
      <c r="U743" s="3847"/>
      <c r="V743" s="2322"/>
      <c r="W743" s="2322"/>
      <c r="X743" s="2322"/>
      <c r="Y743" s="2322"/>
      <c r="Z743" s="2322"/>
      <c r="AA743" s="2322"/>
      <c r="AB743" s="2322"/>
      <c r="AC743" s="2322"/>
      <c r="AD743" s="2322"/>
      <c r="AE743" s="2322"/>
      <c r="AF743" s="2322"/>
      <c r="AG743" s="2322"/>
      <c r="AH743" s="2322"/>
      <c r="AI743" s="2322"/>
      <c r="AJ743" s="2322"/>
      <c r="AK743" s="2322"/>
      <c r="AL743" s="2322"/>
      <c r="AM743" s="2322"/>
    </row>
    <row r="744" spans="1:39">
      <c r="A744" s="89"/>
      <c r="B744" s="89"/>
      <c r="C744" s="89"/>
      <c r="D744" s="89"/>
      <c r="E744" s="89"/>
      <c r="F744" s="89"/>
      <c r="G744" s="89"/>
      <c r="H744" s="89"/>
      <c r="I744" s="3847"/>
      <c r="J744" s="3847"/>
      <c r="K744" s="3847"/>
      <c r="L744" s="3847"/>
      <c r="M744" s="3847"/>
      <c r="N744" s="3847"/>
      <c r="O744" s="3847"/>
      <c r="P744" s="3847"/>
      <c r="Q744" s="3847"/>
      <c r="R744" s="3847"/>
      <c r="S744" s="3847"/>
      <c r="T744" s="3847"/>
      <c r="U744" s="3847"/>
      <c r="V744" s="2322"/>
      <c r="W744" s="2322"/>
      <c r="X744" s="2322"/>
      <c r="Y744" s="2322"/>
      <c r="Z744" s="2322"/>
      <c r="AA744" s="2322"/>
      <c r="AB744" s="2322"/>
      <c r="AC744" s="2322"/>
      <c r="AD744" s="2322"/>
      <c r="AE744" s="2322"/>
      <c r="AF744" s="2322"/>
      <c r="AG744" s="2322"/>
      <c r="AH744" s="2322"/>
      <c r="AI744" s="2322"/>
      <c r="AJ744" s="2322"/>
      <c r="AK744" s="2322"/>
      <c r="AL744" s="2322"/>
      <c r="AM744" s="2322"/>
    </row>
    <row r="745" spans="1:39">
      <c r="A745" s="89"/>
      <c r="B745" s="89"/>
      <c r="C745" s="89"/>
      <c r="D745" s="89"/>
      <c r="E745" s="89"/>
      <c r="F745" s="89"/>
      <c r="G745" s="89"/>
      <c r="H745" s="89"/>
      <c r="I745" s="3847"/>
      <c r="J745" s="3847"/>
      <c r="K745" s="3847"/>
      <c r="L745" s="3847"/>
      <c r="M745" s="3847"/>
      <c r="N745" s="3847"/>
      <c r="O745" s="3847"/>
      <c r="P745" s="3847"/>
      <c r="Q745" s="3847"/>
      <c r="R745" s="3847"/>
      <c r="S745" s="3847"/>
      <c r="T745" s="3847"/>
      <c r="U745" s="3847"/>
      <c r="V745" s="2322"/>
      <c r="W745" s="2322"/>
      <c r="X745" s="2322"/>
      <c r="Y745" s="2322"/>
      <c r="Z745" s="2322"/>
      <c r="AA745" s="2322"/>
      <c r="AB745" s="2322"/>
      <c r="AC745" s="2322"/>
      <c r="AD745" s="2322"/>
      <c r="AE745" s="2322"/>
      <c r="AF745" s="2322"/>
      <c r="AG745" s="2322"/>
      <c r="AH745" s="2322"/>
      <c r="AI745" s="2322"/>
      <c r="AJ745" s="2322"/>
      <c r="AK745" s="2322"/>
      <c r="AL745" s="2322"/>
      <c r="AM745" s="2322"/>
    </row>
    <row r="746" spans="1:39">
      <c r="A746" s="89"/>
      <c r="B746" s="89"/>
      <c r="C746" s="89"/>
      <c r="D746" s="89"/>
      <c r="E746" s="89"/>
      <c r="F746" s="89"/>
      <c r="G746" s="89"/>
      <c r="H746" s="89"/>
      <c r="I746" s="3847"/>
      <c r="J746" s="3847"/>
      <c r="K746" s="3847"/>
      <c r="L746" s="3847"/>
      <c r="M746" s="3847"/>
      <c r="N746" s="3847"/>
      <c r="O746" s="3847"/>
      <c r="P746" s="3847"/>
      <c r="Q746" s="3847"/>
      <c r="R746" s="3847"/>
      <c r="S746" s="3847"/>
      <c r="T746" s="3847"/>
      <c r="U746" s="3847"/>
      <c r="V746" s="2322"/>
      <c r="W746" s="2322"/>
      <c r="X746" s="2322"/>
      <c r="Y746" s="2322"/>
      <c r="Z746" s="2322"/>
      <c r="AA746" s="2322"/>
      <c r="AB746" s="2322"/>
      <c r="AC746" s="2322"/>
      <c r="AD746" s="2322"/>
      <c r="AE746" s="2322"/>
      <c r="AF746" s="2322"/>
      <c r="AG746" s="2322"/>
      <c r="AH746" s="2322"/>
      <c r="AI746" s="2322"/>
      <c r="AJ746" s="2322"/>
      <c r="AK746" s="2322"/>
      <c r="AL746" s="2322"/>
      <c r="AM746" s="2322"/>
    </row>
    <row r="747" spans="1:39">
      <c r="A747" s="89"/>
      <c r="B747" s="89"/>
      <c r="C747" s="89"/>
      <c r="D747" s="89"/>
      <c r="E747" s="89"/>
      <c r="F747" s="89"/>
      <c r="G747" s="89"/>
      <c r="H747" s="89"/>
      <c r="I747" s="3847"/>
      <c r="J747" s="3847"/>
      <c r="K747" s="3847"/>
      <c r="L747" s="3847"/>
      <c r="M747" s="3847"/>
      <c r="N747" s="3847"/>
      <c r="O747" s="3847"/>
      <c r="P747" s="3847"/>
      <c r="Q747" s="3847"/>
      <c r="R747" s="3847"/>
      <c r="S747" s="3847"/>
      <c r="T747" s="3847"/>
      <c r="U747" s="3847"/>
      <c r="V747" s="2322"/>
      <c r="W747" s="2322"/>
      <c r="X747" s="2322"/>
      <c r="Y747" s="2322"/>
      <c r="Z747" s="2322"/>
      <c r="AA747" s="2322"/>
      <c r="AB747" s="2322"/>
      <c r="AC747" s="2322"/>
      <c r="AD747" s="2322"/>
      <c r="AE747" s="2322"/>
      <c r="AF747" s="2322"/>
      <c r="AG747" s="2322"/>
      <c r="AH747" s="2322"/>
      <c r="AI747" s="2322"/>
      <c r="AJ747" s="2322"/>
      <c r="AK747" s="2322"/>
      <c r="AL747" s="2322"/>
      <c r="AM747" s="2322"/>
    </row>
    <row r="748" spans="1:39">
      <c r="A748" s="89"/>
      <c r="B748" s="89"/>
      <c r="C748" s="89"/>
      <c r="D748" s="89"/>
      <c r="E748" s="89"/>
      <c r="F748" s="89"/>
      <c r="G748" s="89"/>
      <c r="H748" s="89"/>
      <c r="I748" s="3847"/>
      <c r="J748" s="3847"/>
      <c r="K748" s="3847"/>
      <c r="L748" s="3847"/>
      <c r="M748" s="3847"/>
      <c r="N748" s="3847"/>
      <c r="O748" s="3847"/>
      <c r="P748" s="3847"/>
      <c r="Q748" s="3847"/>
      <c r="R748" s="3847"/>
      <c r="S748" s="3847"/>
      <c r="T748" s="3847"/>
      <c r="U748" s="3847"/>
      <c r="V748" s="2322"/>
      <c r="W748" s="2322"/>
      <c r="X748" s="2322"/>
      <c r="Y748" s="2322"/>
      <c r="Z748" s="2322"/>
      <c r="AA748" s="2322"/>
      <c r="AB748" s="2322"/>
      <c r="AC748" s="2322"/>
      <c r="AD748" s="2322"/>
      <c r="AE748" s="2322"/>
      <c r="AF748" s="2322"/>
      <c r="AG748" s="2322"/>
      <c r="AH748" s="2322"/>
      <c r="AI748" s="2322"/>
      <c r="AJ748" s="2322"/>
      <c r="AK748" s="2322"/>
      <c r="AL748" s="2322"/>
      <c r="AM748" s="2322"/>
    </row>
    <row r="749" spans="1:39">
      <c r="A749" s="89"/>
      <c r="B749" s="89"/>
      <c r="C749" s="89"/>
      <c r="D749" s="89"/>
      <c r="E749" s="89"/>
      <c r="F749" s="89"/>
      <c r="G749" s="89"/>
      <c r="H749" s="89"/>
      <c r="I749" s="3847"/>
      <c r="J749" s="3847"/>
      <c r="K749" s="3847"/>
      <c r="L749" s="3847"/>
      <c r="M749" s="3847"/>
      <c r="N749" s="3847"/>
      <c r="O749" s="3847"/>
      <c r="P749" s="3847"/>
      <c r="Q749" s="3847"/>
      <c r="R749" s="3847"/>
      <c r="S749" s="3847"/>
      <c r="T749" s="3847"/>
      <c r="U749" s="3847"/>
      <c r="V749" s="2322"/>
      <c r="W749" s="2322"/>
      <c r="X749" s="2322"/>
      <c r="Y749" s="2322"/>
      <c r="Z749" s="2322"/>
      <c r="AA749" s="2322"/>
      <c r="AB749" s="2322"/>
      <c r="AC749" s="2322"/>
      <c r="AD749" s="2322"/>
      <c r="AE749" s="2322"/>
      <c r="AF749" s="2322"/>
      <c r="AG749" s="2322"/>
      <c r="AH749" s="2322"/>
      <c r="AI749" s="2322"/>
      <c r="AJ749" s="2322"/>
      <c r="AK749" s="2322"/>
      <c r="AL749" s="2322"/>
      <c r="AM749" s="2322"/>
    </row>
    <row r="750" spans="1:39">
      <c r="A750" s="89"/>
      <c r="B750" s="89"/>
      <c r="C750" s="89"/>
      <c r="D750" s="89"/>
      <c r="E750" s="89"/>
      <c r="F750" s="89"/>
      <c r="G750" s="89"/>
      <c r="H750" s="89"/>
      <c r="I750" s="3847"/>
      <c r="J750" s="3847"/>
      <c r="K750" s="3847"/>
      <c r="L750" s="3847"/>
      <c r="M750" s="3847"/>
      <c r="N750" s="3847"/>
      <c r="O750" s="3847"/>
      <c r="P750" s="3847"/>
      <c r="Q750" s="3847"/>
      <c r="R750" s="3847"/>
      <c r="S750" s="3847"/>
      <c r="T750" s="3847"/>
      <c r="U750" s="3847"/>
      <c r="V750" s="2322"/>
      <c r="W750" s="2322"/>
      <c r="X750" s="2322"/>
      <c r="Y750" s="2322"/>
      <c r="Z750" s="2322"/>
      <c r="AA750" s="2322"/>
      <c r="AB750" s="2322"/>
      <c r="AC750" s="2322"/>
      <c r="AD750" s="2322"/>
      <c r="AE750" s="2322"/>
      <c r="AF750" s="2322"/>
      <c r="AG750" s="2322"/>
      <c r="AH750" s="2322"/>
      <c r="AI750" s="2322"/>
      <c r="AJ750" s="2322"/>
      <c r="AK750" s="2322"/>
      <c r="AL750" s="2322"/>
      <c r="AM750" s="2322"/>
    </row>
    <row r="751" spans="1:39">
      <c r="A751" s="89"/>
      <c r="B751" s="89"/>
      <c r="C751" s="89"/>
      <c r="D751" s="89"/>
      <c r="E751" s="89"/>
      <c r="F751" s="89"/>
      <c r="G751" s="89"/>
      <c r="H751" s="89"/>
      <c r="I751" s="3847"/>
      <c r="J751" s="3847"/>
      <c r="K751" s="3847"/>
      <c r="L751" s="3847"/>
      <c r="M751" s="3847"/>
      <c r="N751" s="3847"/>
      <c r="O751" s="3847"/>
      <c r="P751" s="3847"/>
      <c r="Q751" s="3847"/>
      <c r="R751" s="3847"/>
      <c r="S751" s="3847"/>
      <c r="T751" s="3847"/>
      <c r="U751" s="3847"/>
      <c r="V751" s="2322"/>
      <c r="W751" s="2322"/>
      <c r="X751" s="2322"/>
      <c r="Y751" s="2322"/>
      <c r="Z751" s="2322"/>
      <c r="AA751" s="2322"/>
      <c r="AB751" s="2322"/>
      <c r="AC751" s="2322"/>
      <c r="AD751" s="2322"/>
      <c r="AE751" s="2322"/>
      <c r="AF751" s="2322"/>
      <c r="AG751" s="2322"/>
      <c r="AH751" s="2322"/>
      <c r="AI751" s="2322"/>
      <c r="AJ751" s="2322"/>
      <c r="AK751" s="2322"/>
      <c r="AL751" s="2322"/>
      <c r="AM751" s="2322"/>
    </row>
    <row r="752" spans="1:39">
      <c r="A752" s="89"/>
      <c r="B752" s="89"/>
      <c r="C752" s="89"/>
      <c r="D752" s="89"/>
      <c r="E752" s="89"/>
      <c r="F752" s="89"/>
      <c r="G752" s="89"/>
      <c r="H752" s="89"/>
      <c r="I752" s="3847"/>
      <c r="J752" s="3847"/>
      <c r="K752" s="3847"/>
      <c r="L752" s="3847"/>
      <c r="M752" s="3847"/>
      <c r="N752" s="3847"/>
      <c r="O752" s="3847"/>
      <c r="P752" s="3847"/>
      <c r="Q752" s="3847"/>
      <c r="R752" s="3847"/>
      <c r="S752" s="3847"/>
      <c r="T752" s="3847"/>
      <c r="U752" s="3847"/>
      <c r="V752" s="2322"/>
      <c r="W752" s="2322"/>
      <c r="X752" s="2322"/>
      <c r="Y752" s="2322"/>
      <c r="Z752" s="2322"/>
      <c r="AA752" s="2322"/>
      <c r="AB752" s="2322"/>
      <c r="AC752" s="2322"/>
      <c r="AD752" s="2322"/>
      <c r="AE752" s="2322"/>
      <c r="AF752" s="2322"/>
      <c r="AG752" s="2322"/>
      <c r="AH752" s="2322"/>
      <c r="AI752" s="2322"/>
      <c r="AJ752" s="2322"/>
      <c r="AK752" s="2322"/>
      <c r="AL752" s="2322"/>
      <c r="AM752" s="2322"/>
    </row>
    <row r="753" spans="1:39">
      <c r="A753" s="89"/>
      <c r="B753" s="89"/>
      <c r="C753" s="89"/>
      <c r="D753" s="89"/>
      <c r="E753" s="89"/>
      <c r="F753" s="89"/>
      <c r="G753" s="89"/>
      <c r="H753" s="89"/>
      <c r="I753" s="3847"/>
      <c r="J753" s="3847"/>
      <c r="K753" s="3847"/>
      <c r="L753" s="3847"/>
      <c r="M753" s="3847"/>
      <c r="N753" s="3847"/>
      <c r="O753" s="3847"/>
      <c r="P753" s="3847"/>
      <c r="Q753" s="3847"/>
      <c r="R753" s="3847"/>
      <c r="S753" s="3847"/>
      <c r="T753" s="3847"/>
      <c r="U753" s="3847"/>
      <c r="V753" s="2322"/>
      <c r="W753" s="2322"/>
      <c r="X753" s="2322"/>
      <c r="Y753" s="2322"/>
      <c r="Z753" s="2322"/>
      <c r="AA753" s="2322"/>
      <c r="AB753" s="2322"/>
      <c r="AC753" s="2322"/>
      <c r="AD753" s="2322"/>
      <c r="AE753" s="2322"/>
      <c r="AF753" s="2322"/>
      <c r="AG753" s="2322"/>
      <c r="AH753" s="2322"/>
      <c r="AI753" s="2322"/>
      <c r="AJ753" s="2322"/>
      <c r="AK753" s="2322"/>
      <c r="AL753" s="2322"/>
      <c r="AM753" s="2322"/>
    </row>
    <row r="754" spans="1:39">
      <c r="A754" s="89"/>
      <c r="B754" s="89"/>
      <c r="C754" s="89"/>
      <c r="D754" s="89"/>
      <c r="E754" s="89"/>
      <c r="F754" s="89"/>
      <c r="G754" s="89"/>
      <c r="H754" s="89"/>
      <c r="I754" s="3847"/>
      <c r="J754" s="3847"/>
      <c r="K754" s="3847"/>
      <c r="L754" s="3847"/>
      <c r="M754" s="3847"/>
      <c r="N754" s="3847"/>
      <c r="O754" s="3847"/>
      <c r="P754" s="3847"/>
      <c r="Q754" s="3847"/>
      <c r="R754" s="3847"/>
      <c r="S754" s="3847"/>
      <c r="T754" s="3847"/>
      <c r="U754" s="3847"/>
      <c r="V754" s="2322"/>
      <c r="W754" s="2322"/>
      <c r="X754" s="2322"/>
      <c r="Y754" s="2322"/>
      <c r="Z754" s="2322"/>
      <c r="AA754" s="2322"/>
      <c r="AB754" s="2322"/>
      <c r="AC754" s="2322"/>
      <c r="AD754" s="2322"/>
      <c r="AE754" s="2322"/>
      <c r="AF754" s="2322"/>
      <c r="AG754" s="2322"/>
      <c r="AH754" s="2322"/>
      <c r="AI754" s="2322"/>
      <c r="AJ754" s="2322"/>
      <c r="AK754" s="2322"/>
      <c r="AL754" s="2322"/>
      <c r="AM754" s="2322"/>
    </row>
    <row r="755" spans="1:39">
      <c r="A755" s="89"/>
      <c r="B755" s="89"/>
      <c r="C755" s="89"/>
      <c r="D755" s="89"/>
      <c r="E755" s="89"/>
      <c r="F755" s="89"/>
      <c r="G755" s="89"/>
      <c r="H755" s="89"/>
      <c r="I755" s="3847"/>
      <c r="J755" s="3847"/>
      <c r="K755" s="3847"/>
      <c r="L755" s="3847"/>
      <c r="M755" s="3847"/>
      <c r="N755" s="3847"/>
      <c r="O755" s="3847"/>
      <c r="P755" s="3847"/>
      <c r="Q755" s="3847"/>
      <c r="R755" s="3847"/>
      <c r="S755" s="3847"/>
      <c r="T755" s="3847"/>
      <c r="U755" s="3847"/>
      <c r="V755" s="2322"/>
      <c r="W755" s="2322"/>
      <c r="X755" s="2322"/>
      <c r="Y755" s="2322"/>
      <c r="Z755" s="2322"/>
      <c r="AA755" s="2322"/>
      <c r="AB755" s="2322"/>
      <c r="AC755" s="2322"/>
      <c r="AD755" s="2322"/>
      <c r="AE755" s="2322"/>
      <c r="AF755" s="2322"/>
      <c r="AG755" s="2322"/>
      <c r="AH755" s="2322"/>
      <c r="AI755" s="2322"/>
      <c r="AJ755" s="2322"/>
      <c r="AK755" s="2322"/>
      <c r="AL755" s="2322"/>
      <c r="AM755" s="2322"/>
    </row>
    <row r="756" spans="1:39">
      <c r="A756" s="89"/>
      <c r="B756" s="89"/>
      <c r="C756" s="89"/>
      <c r="D756" s="89"/>
      <c r="E756" s="89"/>
      <c r="F756" s="89"/>
      <c r="G756" s="89"/>
      <c r="H756" s="89"/>
      <c r="I756" s="3847"/>
      <c r="J756" s="3847"/>
      <c r="K756" s="3847"/>
      <c r="L756" s="3847"/>
      <c r="M756" s="3847"/>
      <c r="N756" s="3847"/>
      <c r="O756" s="3847"/>
      <c r="P756" s="3847"/>
      <c r="Q756" s="3847"/>
      <c r="R756" s="3847"/>
      <c r="S756" s="3847"/>
      <c r="T756" s="3847"/>
      <c r="U756" s="3847"/>
      <c r="V756" s="2322"/>
      <c r="W756" s="2322"/>
      <c r="X756" s="2322"/>
      <c r="Y756" s="2322"/>
      <c r="Z756" s="2322"/>
      <c r="AA756" s="2322"/>
      <c r="AB756" s="2322"/>
      <c r="AC756" s="2322"/>
      <c r="AD756" s="2322"/>
      <c r="AE756" s="2322"/>
      <c r="AF756" s="2322"/>
      <c r="AG756" s="2322"/>
      <c r="AH756" s="2322"/>
      <c r="AI756" s="2322"/>
      <c r="AJ756" s="2322"/>
      <c r="AK756" s="2322"/>
      <c r="AL756" s="2322"/>
      <c r="AM756" s="2322"/>
    </row>
    <row r="757" spans="1:39">
      <c r="A757" s="89"/>
      <c r="B757" s="89"/>
      <c r="C757" s="89"/>
      <c r="D757" s="89"/>
      <c r="E757" s="89"/>
      <c r="F757" s="89"/>
      <c r="G757" s="89"/>
      <c r="H757" s="89"/>
      <c r="I757" s="3847"/>
      <c r="J757" s="3847"/>
      <c r="K757" s="3847"/>
      <c r="L757" s="3847"/>
      <c r="M757" s="3847"/>
      <c r="N757" s="3847"/>
      <c r="O757" s="3847"/>
      <c r="P757" s="3847"/>
      <c r="Q757" s="3847"/>
      <c r="R757" s="3847"/>
      <c r="S757" s="3847"/>
      <c r="T757" s="3847"/>
      <c r="U757" s="3847"/>
      <c r="V757" s="2322"/>
      <c r="W757" s="2322"/>
      <c r="X757" s="2322"/>
      <c r="Y757" s="2322"/>
      <c r="Z757" s="2322"/>
      <c r="AA757" s="2322"/>
      <c r="AB757" s="2322"/>
      <c r="AC757" s="2322"/>
      <c r="AD757" s="2322"/>
      <c r="AE757" s="2322"/>
      <c r="AF757" s="2322"/>
      <c r="AG757" s="2322"/>
      <c r="AH757" s="2322"/>
      <c r="AI757" s="2322"/>
      <c r="AJ757" s="2322"/>
      <c r="AK757" s="2322"/>
      <c r="AL757" s="2322"/>
      <c r="AM757" s="2322"/>
    </row>
    <row r="758" spans="1:39">
      <c r="A758" s="89"/>
      <c r="B758" s="89"/>
      <c r="C758" s="89"/>
      <c r="D758" s="89"/>
      <c r="E758" s="89"/>
      <c r="F758" s="89"/>
      <c r="G758" s="89"/>
      <c r="H758" s="89"/>
      <c r="I758" s="3847"/>
      <c r="J758" s="3847"/>
      <c r="K758" s="3847"/>
      <c r="L758" s="3847"/>
      <c r="M758" s="3847"/>
      <c r="N758" s="3847"/>
      <c r="O758" s="3847"/>
      <c r="P758" s="3847"/>
      <c r="Q758" s="3847"/>
      <c r="R758" s="3847"/>
      <c r="S758" s="3847"/>
      <c r="T758" s="3847"/>
      <c r="U758" s="3847"/>
      <c r="V758" s="2322"/>
      <c r="W758" s="2322"/>
      <c r="X758" s="2322"/>
      <c r="Y758" s="2322"/>
      <c r="Z758" s="2322"/>
      <c r="AA758" s="2322"/>
      <c r="AB758" s="2322"/>
      <c r="AC758" s="2322"/>
      <c r="AD758" s="2322"/>
      <c r="AE758" s="2322"/>
      <c r="AF758" s="2322"/>
      <c r="AG758" s="2322"/>
      <c r="AH758" s="2322"/>
      <c r="AI758" s="2322"/>
      <c r="AJ758" s="2322"/>
      <c r="AK758" s="2322"/>
      <c r="AL758" s="2322"/>
      <c r="AM758" s="2322"/>
    </row>
    <row r="759" spans="1:39">
      <c r="A759" s="89"/>
      <c r="B759" s="89"/>
      <c r="C759" s="89"/>
      <c r="D759" s="89"/>
      <c r="E759" s="89"/>
      <c r="F759" s="89"/>
      <c r="G759" s="89"/>
      <c r="H759" s="89"/>
      <c r="I759" s="3847"/>
      <c r="J759" s="3847"/>
      <c r="K759" s="3847"/>
      <c r="L759" s="3847"/>
      <c r="M759" s="3847"/>
      <c r="N759" s="3847"/>
      <c r="O759" s="3847"/>
      <c r="P759" s="3847"/>
      <c r="Q759" s="3847"/>
      <c r="R759" s="3847"/>
      <c r="S759" s="3847"/>
      <c r="T759" s="3847"/>
      <c r="U759" s="3847"/>
      <c r="V759" s="2322"/>
      <c r="W759" s="2322"/>
      <c r="X759" s="2322"/>
      <c r="Y759" s="2322"/>
      <c r="Z759" s="2322"/>
      <c r="AA759" s="2322"/>
      <c r="AB759" s="2322"/>
      <c r="AC759" s="2322"/>
      <c r="AD759" s="2322"/>
      <c r="AE759" s="2322"/>
      <c r="AF759" s="2322"/>
      <c r="AG759" s="2322"/>
      <c r="AH759" s="2322"/>
      <c r="AI759" s="2322"/>
      <c r="AJ759" s="2322"/>
      <c r="AK759" s="2322"/>
      <c r="AL759" s="2322"/>
      <c r="AM759" s="2322"/>
    </row>
    <row r="760" spans="1:39">
      <c r="A760" s="89"/>
      <c r="B760" s="89"/>
      <c r="C760" s="89"/>
      <c r="D760" s="89"/>
      <c r="E760" s="89"/>
      <c r="F760" s="89"/>
      <c r="G760" s="89"/>
      <c r="H760" s="89"/>
      <c r="I760" s="3847"/>
      <c r="J760" s="3847"/>
      <c r="K760" s="3847"/>
      <c r="L760" s="3847"/>
      <c r="M760" s="3847"/>
      <c r="N760" s="3847"/>
      <c r="O760" s="3847"/>
      <c r="P760" s="3847"/>
      <c r="Q760" s="3847"/>
      <c r="R760" s="3847"/>
      <c r="S760" s="3847"/>
      <c r="T760" s="3847"/>
      <c r="U760" s="3847"/>
      <c r="V760" s="2322"/>
      <c r="W760" s="2322"/>
      <c r="X760" s="2322"/>
      <c r="Y760" s="2322"/>
      <c r="Z760" s="2322"/>
      <c r="AA760" s="2322"/>
      <c r="AB760" s="2322"/>
      <c r="AC760" s="2322"/>
      <c r="AD760" s="2322"/>
      <c r="AE760" s="2322"/>
      <c r="AF760" s="2322"/>
      <c r="AG760" s="2322"/>
      <c r="AH760" s="2322"/>
      <c r="AI760" s="2322"/>
      <c r="AJ760" s="2322"/>
      <c r="AK760" s="2322"/>
      <c r="AL760" s="2322"/>
      <c r="AM760" s="2322"/>
    </row>
    <row r="761" spans="1:39">
      <c r="A761" s="89"/>
      <c r="B761" s="89"/>
      <c r="C761" s="89"/>
      <c r="D761" s="89"/>
      <c r="E761" s="89"/>
      <c r="F761" s="89"/>
      <c r="G761" s="89"/>
      <c r="H761" s="89"/>
      <c r="I761" s="3847"/>
      <c r="J761" s="3847"/>
      <c r="K761" s="3847"/>
      <c r="L761" s="3847"/>
      <c r="M761" s="3847"/>
      <c r="N761" s="3847"/>
      <c r="O761" s="3847"/>
      <c r="P761" s="3847"/>
      <c r="Q761" s="3847"/>
      <c r="R761" s="3847"/>
      <c r="S761" s="3847"/>
      <c r="T761" s="3847"/>
      <c r="U761" s="3847"/>
      <c r="V761" s="2322"/>
      <c r="W761" s="2322"/>
      <c r="X761" s="2322"/>
      <c r="Y761" s="2322"/>
      <c r="Z761" s="2322"/>
      <c r="AA761" s="2322"/>
      <c r="AB761" s="2322"/>
      <c r="AC761" s="2322"/>
      <c r="AD761" s="2322"/>
      <c r="AE761" s="2322"/>
      <c r="AF761" s="2322"/>
      <c r="AG761" s="2322"/>
      <c r="AH761" s="2322"/>
      <c r="AI761" s="2322"/>
      <c r="AJ761" s="2322"/>
      <c r="AK761" s="2322"/>
      <c r="AL761" s="2322"/>
      <c r="AM761" s="2322"/>
    </row>
    <row r="762" spans="1:39">
      <c r="A762" s="89"/>
      <c r="B762" s="89"/>
      <c r="C762" s="89"/>
      <c r="D762" s="89"/>
      <c r="E762" s="89"/>
      <c r="F762" s="89"/>
      <c r="G762" s="89"/>
      <c r="H762" s="89"/>
      <c r="I762" s="3847"/>
      <c r="J762" s="3847"/>
      <c r="K762" s="3847"/>
      <c r="L762" s="3847"/>
      <c r="M762" s="3847"/>
      <c r="N762" s="3847"/>
      <c r="O762" s="3847"/>
      <c r="P762" s="3847"/>
      <c r="Q762" s="3847"/>
      <c r="R762" s="3847"/>
      <c r="S762" s="3847"/>
      <c r="T762" s="3847"/>
      <c r="U762" s="3847"/>
      <c r="V762" s="2322"/>
      <c r="W762" s="2322"/>
      <c r="X762" s="2322"/>
      <c r="Y762" s="2322"/>
      <c r="Z762" s="2322"/>
      <c r="AA762" s="2322"/>
      <c r="AB762" s="2322"/>
      <c r="AC762" s="2322"/>
      <c r="AD762" s="2322"/>
      <c r="AE762" s="2322"/>
      <c r="AF762" s="2322"/>
      <c r="AG762" s="2322"/>
      <c r="AH762" s="2322"/>
      <c r="AI762" s="2322"/>
      <c r="AJ762" s="2322"/>
      <c r="AK762" s="2322"/>
      <c r="AL762" s="2322"/>
      <c r="AM762" s="2322"/>
    </row>
    <row r="763" spans="1:39">
      <c r="A763" s="89"/>
      <c r="B763" s="89"/>
      <c r="C763" s="89"/>
      <c r="D763" s="89"/>
      <c r="E763" s="89"/>
      <c r="F763" s="89"/>
      <c r="G763" s="89"/>
      <c r="H763" s="89"/>
      <c r="I763" s="3847"/>
      <c r="J763" s="3847"/>
      <c r="K763" s="3847"/>
      <c r="L763" s="3847"/>
      <c r="M763" s="3847"/>
      <c r="N763" s="3847"/>
      <c r="O763" s="3847"/>
      <c r="P763" s="3847"/>
      <c r="Q763" s="3847"/>
      <c r="R763" s="3847"/>
      <c r="S763" s="3847"/>
      <c r="T763" s="3847"/>
      <c r="U763" s="3847"/>
      <c r="V763" s="2322"/>
      <c r="W763" s="2322"/>
      <c r="X763" s="2322"/>
      <c r="Y763" s="2322"/>
      <c r="Z763" s="2322"/>
      <c r="AA763" s="2322"/>
      <c r="AB763" s="2322"/>
      <c r="AC763" s="2322"/>
      <c r="AD763" s="2322"/>
      <c r="AE763" s="2322"/>
      <c r="AF763" s="2322"/>
      <c r="AG763" s="2322"/>
      <c r="AH763" s="2322"/>
      <c r="AI763" s="2322"/>
      <c r="AJ763" s="2322"/>
      <c r="AK763" s="2322"/>
      <c r="AL763" s="2322"/>
      <c r="AM763" s="2322"/>
    </row>
    <row r="764" spans="1:39">
      <c r="A764" s="89"/>
      <c r="B764" s="89"/>
      <c r="C764" s="89"/>
      <c r="D764" s="89"/>
      <c r="E764" s="89"/>
      <c r="F764" s="89"/>
      <c r="G764" s="89"/>
      <c r="H764" s="89"/>
      <c r="I764" s="3847"/>
      <c r="J764" s="3847"/>
      <c r="K764" s="3847"/>
      <c r="L764" s="3847"/>
      <c r="M764" s="3847"/>
      <c r="N764" s="3847"/>
      <c r="O764" s="3847"/>
      <c r="P764" s="3847"/>
      <c r="Q764" s="3847"/>
      <c r="R764" s="3847"/>
      <c r="S764" s="3847"/>
      <c r="T764" s="3847"/>
      <c r="U764" s="3847"/>
      <c r="V764" s="2322"/>
      <c r="W764" s="2322"/>
      <c r="X764" s="2322"/>
      <c r="Y764" s="2322"/>
      <c r="Z764" s="2322"/>
      <c r="AA764" s="2322"/>
      <c r="AB764" s="2322"/>
      <c r="AC764" s="2322"/>
      <c r="AD764" s="2322"/>
      <c r="AE764" s="2322"/>
      <c r="AF764" s="2322"/>
      <c r="AG764" s="2322"/>
      <c r="AH764" s="2322"/>
      <c r="AI764" s="2322"/>
      <c r="AJ764" s="2322"/>
      <c r="AK764" s="2322"/>
      <c r="AL764" s="2322"/>
      <c r="AM764" s="2322"/>
    </row>
    <row r="765" spans="1:39">
      <c r="A765" s="89"/>
      <c r="B765" s="89"/>
      <c r="C765" s="89"/>
      <c r="D765" s="89"/>
      <c r="E765" s="89"/>
      <c r="F765" s="89"/>
      <c r="G765" s="89"/>
      <c r="H765" s="89"/>
      <c r="I765" s="3847"/>
      <c r="J765" s="3847"/>
      <c r="K765" s="3847"/>
      <c r="L765" s="3847"/>
      <c r="M765" s="3847"/>
      <c r="N765" s="3847"/>
      <c r="O765" s="3847"/>
      <c r="P765" s="3847"/>
      <c r="Q765" s="3847"/>
      <c r="R765" s="3847"/>
      <c r="S765" s="3847"/>
      <c r="T765" s="3847"/>
      <c r="U765" s="3847"/>
      <c r="V765" s="2322"/>
      <c r="W765" s="2322"/>
      <c r="X765" s="2322"/>
      <c r="Y765" s="2322"/>
      <c r="Z765" s="2322"/>
      <c r="AA765" s="2322"/>
      <c r="AB765" s="2322"/>
      <c r="AC765" s="2322"/>
      <c r="AD765" s="2322"/>
      <c r="AE765" s="2322"/>
      <c r="AF765" s="2322"/>
      <c r="AG765" s="2322"/>
      <c r="AH765" s="2322"/>
      <c r="AI765" s="2322"/>
      <c r="AJ765" s="2322"/>
      <c r="AK765" s="2322"/>
      <c r="AL765" s="2322"/>
      <c r="AM765" s="2322"/>
    </row>
    <row r="766" spans="1:39">
      <c r="A766" s="89"/>
      <c r="B766" s="89"/>
      <c r="C766" s="89"/>
      <c r="D766" s="89"/>
      <c r="E766" s="89"/>
      <c r="F766" s="89"/>
      <c r="G766" s="89"/>
      <c r="H766" s="89"/>
      <c r="I766" s="3847"/>
      <c r="J766" s="3847"/>
      <c r="K766" s="3847"/>
      <c r="L766" s="3847"/>
      <c r="M766" s="3847"/>
      <c r="N766" s="3847"/>
      <c r="O766" s="3847"/>
      <c r="P766" s="3847"/>
      <c r="Q766" s="3847"/>
      <c r="R766" s="3847"/>
      <c r="S766" s="3847"/>
      <c r="T766" s="3847"/>
      <c r="U766" s="3847"/>
      <c r="V766" s="2322"/>
      <c r="W766" s="2322"/>
      <c r="X766" s="2322"/>
      <c r="Y766" s="2322"/>
      <c r="Z766" s="2322"/>
      <c r="AA766" s="2322"/>
      <c r="AB766" s="2322"/>
      <c r="AC766" s="2322"/>
      <c r="AD766" s="2322"/>
      <c r="AE766" s="2322"/>
      <c r="AF766" s="2322"/>
      <c r="AG766" s="2322"/>
      <c r="AH766" s="2322"/>
      <c r="AI766" s="2322"/>
      <c r="AJ766" s="2322"/>
      <c r="AK766" s="2322"/>
      <c r="AL766" s="2322"/>
      <c r="AM766" s="2322"/>
    </row>
    <row r="767" spans="1:39">
      <c r="A767" s="89"/>
      <c r="B767" s="89"/>
      <c r="C767" s="89"/>
      <c r="D767" s="89"/>
      <c r="E767" s="89"/>
      <c r="F767" s="89"/>
      <c r="G767" s="89"/>
      <c r="H767" s="89"/>
      <c r="I767" s="3847"/>
      <c r="J767" s="3847"/>
      <c r="K767" s="3847"/>
      <c r="L767" s="3847"/>
      <c r="M767" s="3847"/>
      <c r="N767" s="3847"/>
      <c r="O767" s="3847"/>
      <c r="P767" s="3847"/>
      <c r="Q767" s="3847"/>
      <c r="R767" s="3847"/>
      <c r="S767" s="3847"/>
      <c r="T767" s="3847"/>
      <c r="U767" s="3847"/>
      <c r="V767" s="2322"/>
      <c r="W767" s="2322"/>
      <c r="X767" s="2322"/>
      <c r="Y767" s="2322"/>
      <c r="Z767" s="2322"/>
      <c r="AA767" s="2322"/>
      <c r="AB767" s="2322"/>
      <c r="AC767" s="2322"/>
      <c r="AD767" s="2322"/>
      <c r="AE767" s="2322"/>
      <c r="AF767" s="2322"/>
      <c r="AG767" s="2322"/>
      <c r="AH767" s="2322"/>
      <c r="AI767" s="2322"/>
      <c r="AJ767" s="2322"/>
      <c r="AK767" s="2322"/>
      <c r="AL767" s="2322"/>
      <c r="AM767" s="2322"/>
    </row>
    <row r="768" spans="1:39">
      <c r="A768" s="89"/>
      <c r="B768" s="89"/>
      <c r="C768" s="89"/>
      <c r="D768" s="89"/>
      <c r="E768" s="89"/>
      <c r="F768" s="89"/>
      <c r="G768" s="89"/>
      <c r="H768" s="89"/>
      <c r="I768" s="3847"/>
      <c r="J768" s="3847"/>
      <c r="K768" s="3847"/>
      <c r="L768" s="3847"/>
      <c r="M768" s="3847"/>
      <c r="N768" s="3847"/>
      <c r="O768" s="3847"/>
      <c r="P768" s="3847"/>
      <c r="Q768" s="3847"/>
      <c r="R768" s="3847"/>
      <c r="S768" s="3847"/>
      <c r="T768" s="3847"/>
      <c r="U768" s="3847"/>
      <c r="V768" s="2322"/>
      <c r="W768" s="2322"/>
      <c r="X768" s="2322"/>
      <c r="Y768" s="2322"/>
      <c r="Z768" s="2322"/>
      <c r="AA768" s="2322"/>
      <c r="AB768" s="2322"/>
      <c r="AC768" s="2322"/>
      <c r="AD768" s="2322"/>
      <c r="AE768" s="2322"/>
      <c r="AF768" s="2322"/>
      <c r="AG768" s="2322"/>
      <c r="AH768" s="2322"/>
      <c r="AI768" s="2322"/>
      <c r="AJ768" s="2322"/>
      <c r="AK768" s="2322"/>
      <c r="AL768" s="2322"/>
      <c r="AM768" s="2322"/>
    </row>
    <row r="769" spans="1:39">
      <c r="A769" s="89"/>
      <c r="B769" s="89"/>
      <c r="C769" s="89"/>
      <c r="D769" s="89"/>
      <c r="E769" s="89"/>
      <c r="F769" s="89"/>
      <c r="G769" s="89"/>
      <c r="H769" s="89"/>
      <c r="I769" s="3847"/>
      <c r="J769" s="3847"/>
      <c r="K769" s="3847"/>
      <c r="L769" s="3847"/>
      <c r="M769" s="3847"/>
      <c r="N769" s="3847"/>
      <c r="O769" s="3847"/>
      <c r="P769" s="3847"/>
      <c r="Q769" s="3847"/>
      <c r="R769" s="3847"/>
      <c r="S769" s="3847"/>
      <c r="T769" s="3847"/>
      <c r="U769" s="3847"/>
      <c r="V769" s="2322"/>
      <c r="W769" s="2322"/>
      <c r="X769" s="2322"/>
      <c r="Y769" s="2322"/>
      <c r="Z769" s="2322"/>
      <c r="AA769" s="2322"/>
      <c r="AB769" s="2322"/>
      <c r="AC769" s="2322"/>
      <c r="AD769" s="2322"/>
      <c r="AE769" s="2322"/>
      <c r="AF769" s="2322"/>
      <c r="AG769" s="2322"/>
      <c r="AH769" s="2322"/>
      <c r="AI769" s="2322"/>
      <c r="AJ769" s="2322"/>
      <c r="AK769" s="2322"/>
      <c r="AL769" s="2322"/>
      <c r="AM769" s="2322"/>
    </row>
    <row r="770" spans="1:39">
      <c r="A770" s="89"/>
      <c r="B770" s="89"/>
      <c r="C770" s="89"/>
      <c r="D770" s="89"/>
      <c r="E770" s="89"/>
      <c r="F770" s="89"/>
      <c r="G770" s="89"/>
      <c r="H770" s="89"/>
      <c r="I770" s="3847"/>
      <c r="J770" s="3847"/>
      <c r="K770" s="3847"/>
      <c r="L770" s="3847"/>
      <c r="M770" s="3847"/>
      <c r="N770" s="3847"/>
      <c r="O770" s="3847"/>
      <c r="P770" s="3847"/>
      <c r="Q770" s="3847"/>
      <c r="R770" s="3847"/>
      <c r="S770" s="3847"/>
      <c r="T770" s="3847"/>
      <c r="U770" s="3847"/>
      <c r="V770" s="2322"/>
      <c r="W770" s="2322"/>
      <c r="X770" s="2322"/>
      <c r="Y770" s="2322"/>
      <c r="Z770" s="2322"/>
      <c r="AA770" s="2322"/>
      <c r="AB770" s="2322"/>
      <c r="AC770" s="2322"/>
      <c r="AD770" s="2322"/>
      <c r="AE770" s="2322"/>
      <c r="AF770" s="2322"/>
      <c r="AG770" s="2322"/>
      <c r="AH770" s="2322"/>
      <c r="AI770" s="2322"/>
      <c r="AJ770" s="2322"/>
      <c r="AK770" s="2322"/>
      <c r="AL770" s="2322"/>
      <c r="AM770" s="2322"/>
    </row>
    <row r="771" spans="1:39">
      <c r="A771" s="89"/>
      <c r="B771" s="89"/>
      <c r="C771" s="89"/>
      <c r="D771" s="89"/>
      <c r="E771" s="89"/>
      <c r="F771" s="89"/>
      <c r="G771" s="89"/>
      <c r="H771" s="89"/>
      <c r="I771" s="3847"/>
      <c r="J771" s="3847"/>
      <c r="K771" s="3847"/>
      <c r="L771" s="3847"/>
      <c r="M771" s="3847"/>
      <c r="N771" s="3847"/>
      <c r="O771" s="3847"/>
      <c r="P771" s="3847"/>
      <c r="Q771" s="3847"/>
      <c r="R771" s="3847"/>
      <c r="S771" s="3847"/>
      <c r="T771" s="3847"/>
      <c r="U771" s="3847"/>
      <c r="V771" s="2322"/>
      <c r="W771" s="2322"/>
      <c r="X771" s="2322"/>
      <c r="Y771" s="2322"/>
      <c r="Z771" s="2322"/>
      <c r="AA771" s="2322"/>
      <c r="AB771" s="2322"/>
      <c r="AC771" s="2322"/>
      <c r="AD771" s="2322"/>
      <c r="AE771" s="2322"/>
      <c r="AF771" s="2322"/>
      <c r="AG771" s="2322"/>
      <c r="AH771" s="2322"/>
      <c r="AI771" s="2322"/>
      <c r="AJ771" s="2322"/>
      <c r="AK771" s="2322"/>
      <c r="AL771" s="2322"/>
      <c r="AM771" s="2322"/>
    </row>
    <row r="772" spans="1:39">
      <c r="A772" s="89"/>
      <c r="B772" s="89"/>
      <c r="C772" s="89"/>
      <c r="D772" s="89"/>
      <c r="E772" s="89"/>
      <c r="F772" s="89"/>
      <c r="G772" s="89"/>
      <c r="H772" s="89"/>
      <c r="I772" s="3847"/>
      <c r="J772" s="3847"/>
      <c r="K772" s="3847"/>
      <c r="L772" s="3847"/>
      <c r="M772" s="3847"/>
      <c r="N772" s="3847"/>
      <c r="O772" s="3847"/>
      <c r="P772" s="3847"/>
      <c r="Q772" s="3847"/>
      <c r="R772" s="3847"/>
      <c r="S772" s="3847"/>
      <c r="T772" s="3847"/>
      <c r="U772" s="3847"/>
      <c r="V772" s="2322"/>
      <c r="W772" s="2322"/>
      <c r="X772" s="2322"/>
      <c r="Y772" s="2322"/>
      <c r="Z772" s="2322"/>
      <c r="AA772" s="2322"/>
      <c r="AB772" s="2322"/>
      <c r="AC772" s="2322"/>
      <c r="AD772" s="2322"/>
      <c r="AE772" s="2322"/>
      <c r="AF772" s="2322"/>
      <c r="AG772" s="2322"/>
      <c r="AH772" s="2322"/>
      <c r="AI772" s="2322"/>
      <c r="AJ772" s="2322"/>
      <c r="AK772" s="2322"/>
      <c r="AL772" s="2322"/>
      <c r="AM772" s="2322"/>
    </row>
    <row r="773" spans="1:39">
      <c r="A773" s="89"/>
      <c r="B773" s="89"/>
      <c r="C773" s="89"/>
      <c r="D773" s="89"/>
      <c r="E773" s="89"/>
      <c r="F773" s="89"/>
      <c r="G773" s="89"/>
      <c r="H773" s="89"/>
      <c r="I773" s="3847"/>
      <c r="J773" s="3847"/>
      <c r="K773" s="3847"/>
      <c r="L773" s="3847"/>
      <c r="M773" s="3847"/>
      <c r="N773" s="3847"/>
      <c r="O773" s="3847"/>
      <c r="P773" s="3847"/>
      <c r="Q773" s="3847"/>
      <c r="R773" s="3847"/>
      <c r="S773" s="3847"/>
      <c r="T773" s="3847"/>
      <c r="U773" s="3847"/>
      <c r="V773" s="2322"/>
      <c r="W773" s="2322"/>
      <c r="X773" s="2322"/>
      <c r="Y773" s="2322"/>
      <c r="Z773" s="2322"/>
      <c r="AA773" s="2322"/>
      <c r="AB773" s="2322"/>
      <c r="AC773" s="2322"/>
      <c r="AD773" s="2322"/>
      <c r="AE773" s="2322"/>
      <c r="AF773" s="2322"/>
      <c r="AG773" s="2322"/>
      <c r="AH773" s="2322"/>
      <c r="AI773" s="2322"/>
      <c r="AJ773" s="2322"/>
      <c r="AK773" s="2322"/>
      <c r="AL773" s="2322"/>
      <c r="AM773" s="2322"/>
    </row>
    <row r="774" spans="1:39">
      <c r="A774" s="89"/>
      <c r="B774" s="89"/>
      <c r="C774" s="89"/>
      <c r="D774" s="89"/>
      <c r="E774" s="89"/>
      <c r="F774" s="89"/>
      <c r="G774" s="89"/>
      <c r="H774" s="89"/>
      <c r="I774" s="3847"/>
      <c r="J774" s="3847"/>
      <c r="K774" s="3847"/>
      <c r="L774" s="3847"/>
      <c r="M774" s="3847"/>
      <c r="N774" s="3847"/>
      <c r="O774" s="3847"/>
      <c r="P774" s="3847"/>
      <c r="Q774" s="3847"/>
      <c r="R774" s="3847"/>
      <c r="S774" s="3847"/>
      <c r="T774" s="3847"/>
      <c r="U774" s="3847"/>
      <c r="V774" s="2322"/>
      <c r="W774" s="2322"/>
      <c r="X774" s="2322"/>
      <c r="Y774" s="2322"/>
      <c r="Z774" s="2322"/>
      <c r="AA774" s="2322"/>
      <c r="AB774" s="2322"/>
      <c r="AC774" s="2322"/>
      <c r="AD774" s="2322"/>
      <c r="AE774" s="2322"/>
      <c r="AF774" s="2322"/>
      <c r="AG774" s="2322"/>
      <c r="AH774" s="2322"/>
      <c r="AI774" s="2322"/>
      <c r="AJ774" s="2322"/>
      <c r="AK774" s="2322"/>
      <c r="AL774" s="2322"/>
      <c r="AM774" s="2322"/>
    </row>
    <row r="775" spans="1:39">
      <c r="A775" s="89"/>
      <c r="B775" s="89"/>
      <c r="C775" s="89"/>
      <c r="D775" s="89"/>
      <c r="E775" s="89"/>
      <c r="F775" s="89"/>
      <c r="G775" s="89"/>
      <c r="H775" s="89"/>
      <c r="I775" s="3847"/>
      <c r="J775" s="3847"/>
      <c r="K775" s="3847"/>
      <c r="L775" s="3847"/>
      <c r="M775" s="3847"/>
      <c r="N775" s="3847"/>
      <c r="O775" s="3847"/>
      <c r="P775" s="3847"/>
      <c r="Q775" s="3847"/>
      <c r="R775" s="3847"/>
      <c r="S775" s="3847"/>
      <c r="T775" s="3847"/>
      <c r="U775" s="3847"/>
      <c r="V775" s="2322"/>
      <c r="W775" s="2322"/>
      <c r="X775" s="2322"/>
      <c r="Y775" s="2322"/>
      <c r="Z775" s="2322"/>
      <c r="AA775" s="2322"/>
      <c r="AB775" s="2322"/>
      <c r="AC775" s="2322"/>
      <c r="AD775" s="2322"/>
      <c r="AE775" s="2322"/>
      <c r="AF775" s="2322"/>
      <c r="AG775" s="2322"/>
      <c r="AH775" s="2322"/>
      <c r="AI775" s="2322"/>
      <c r="AJ775" s="2322"/>
      <c r="AK775" s="2322"/>
      <c r="AL775" s="2322"/>
      <c r="AM775" s="2322"/>
    </row>
    <row r="776" spans="1:39">
      <c r="A776" s="89"/>
      <c r="B776" s="89"/>
      <c r="C776" s="89"/>
      <c r="D776" s="89"/>
      <c r="E776" s="89"/>
      <c r="F776" s="89"/>
      <c r="G776" s="89"/>
      <c r="H776" s="89"/>
      <c r="I776" s="3847"/>
      <c r="J776" s="3847"/>
      <c r="K776" s="3847"/>
      <c r="L776" s="3847"/>
      <c r="M776" s="3847"/>
      <c r="N776" s="3847"/>
      <c r="O776" s="3847"/>
      <c r="P776" s="3847"/>
      <c r="Q776" s="3847"/>
      <c r="R776" s="3847"/>
      <c r="S776" s="3847"/>
      <c r="T776" s="3847"/>
      <c r="U776" s="3847"/>
      <c r="V776" s="2322"/>
      <c r="W776" s="2322"/>
      <c r="X776" s="2322"/>
      <c r="Y776" s="2322"/>
      <c r="Z776" s="2322"/>
      <c r="AA776" s="2322"/>
      <c r="AB776" s="2322"/>
      <c r="AC776" s="2322"/>
      <c r="AD776" s="2322"/>
      <c r="AE776" s="2322"/>
      <c r="AF776" s="2322"/>
      <c r="AG776" s="2322"/>
      <c r="AH776" s="2322"/>
      <c r="AI776" s="2322"/>
      <c r="AJ776" s="2322"/>
      <c r="AK776" s="2322"/>
      <c r="AL776" s="2322"/>
      <c r="AM776" s="2322"/>
    </row>
    <row r="777" spans="1:39">
      <c r="A777" s="89"/>
      <c r="B777" s="89"/>
      <c r="C777" s="89"/>
      <c r="D777" s="89"/>
      <c r="E777" s="89"/>
      <c r="F777" s="89"/>
      <c r="G777" s="89"/>
      <c r="H777" s="89"/>
      <c r="I777" s="3847"/>
      <c r="J777" s="3847"/>
      <c r="K777" s="3847"/>
      <c r="L777" s="3847"/>
      <c r="M777" s="3847"/>
      <c r="N777" s="3847"/>
      <c r="O777" s="3847"/>
      <c r="P777" s="3847"/>
      <c r="Q777" s="3847"/>
      <c r="R777" s="3847"/>
      <c r="S777" s="3847"/>
      <c r="T777" s="3847"/>
      <c r="U777" s="3847"/>
      <c r="V777" s="2322"/>
      <c r="W777" s="2322"/>
      <c r="X777" s="2322"/>
      <c r="Y777" s="2322"/>
      <c r="Z777" s="2322"/>
      <c r="AA777" s="2322"/>
      <c r="AB777" s="2322"/>
      <c r="AC777" s="2322"/>
      <c r="AD777" s="2322"/>
      <c r="AE777" s="2322"/>
      <c r="AF777" s="2322"/>
      <c r="AG777" s="2322"/>
      <c r="AH777" s="2322"/>
      <c r="AI777" s="2322"/>
      <c r="AJ777" s="2322"/>
      <c r="AK777" s="2322"/>
      <c r="AL777" s="2322"/>
      <c r="AM777" s="2322"/>
    </row>
    <row r="778" spans="1:39">
      <c r="A778" s="89"/>
      <c r="B778" s="89"/>
      <c r="C778" s="89"/>
      <c r="D778" s="89"/>
      <c r="E778" s="89"/>
      <c r="F778" s="89"/>
      <c r="G778" s="89"/>
      <c r="H778" s="89"/>
      <c r="I778" s="3847"/>
      <c r="J778" s="3847"/>
      <c r="K778" s="3847"/>
      <c r="L778" s="3847"/>
      <c r="M778" s="3847"/>
      <c r="N778" s="3847"/>
      <c r="O778" s="3847"/>
      <c r="P778" s="3847"/>
      <c r="Q778" s="3847"/>
      <c r="R778" s="3847"/>
      <c r="S778" s="3847"/>
      <c r="T778" s="3847"/>
      <c r="U778" s="3847"/>
      <c r="V778" s="2322"/>
      <c r="W778" s="2322"/>
      <c r="X778" s="2322"/>
      <c r="Y778" s="2322"/>
      <c r="Z778" s="2322"/>
      <c r="AA778" s="2322"/>
      <c r="AB778" s="2322"/>
      <c r="AC778" s="2322"/>
      <c r="AD778" s="2322"/>
      <c r="AE778" s="2322"/>
      <c r="AF778" s="2322"/>
      <c r="AG778" s="2322"/>
      <c r="AH778" s="2322"/>
      <c r="AI778" s="2322"/>
      <c r="AJ778" s="2322"/>
      <c r="AK778" s="2322"/>
      <c r="AL778" s="2322"/>
      <c r="AM778" s="2322"/>
    </row>
    <row r="779" spans="1:39">
      <c r="A779" s="89"/>
      <c r="B779" s="89"/>
      <c r="C779" s="89"/>
      <c r="D779" s="89"/>
      <c r="E779" s="89"/>
      <c r="F779" s="89"/>
      <c r="G779" s="89"/>
      <c r="H779" s="89"/>
      <c r="I779" s="3847"/>
      <c r="J779" s="3847"/>
      <c r="K779" s="3847"/>
      <c r="L779" s="3847"/>
      <c r="M779" s="3847"/>
      <c r="N779" s="3847"/>
      <c r="O779" s="3847"/>
      <c r="P779" s="3847"/>
      <c r="Q779" s="3847"/>
      <c r="R779" s="3847"/>
      <c r="S779" s="3847"/>
      <c r="T779" s="3847"/>
      <c r="U779" s="3847"/>
      <c r="V779" s="2322"/>
      <c r="W779" s="2322"/>
      <c r="X779" s="2322"/>
      <c r="Y779" s="2322"/>
      <c r="Z779" s="2322"/>
      <c r="AA779" s="2322"/>
      <c r="AB779" s="2322"/>
      <c r="AC779" s="2322"/>
      <c r="AD779" s="2322"/>
      <c r="AE779" s="2322"/>
      <c r="AF779" s="2322"/>
      <c r="AG779" s="2322"/>
      <c r="AH779" s="2322"/>
      <c r="AI779" s="2322"/>
      <c r="AJ779" s="2322"/>
      <c r="AK779" s="2322"/>
      <c r="AL779" s="2322"/>
      <c r="AM779" s="2322"/>
    </row>
    <row r="780" spans="1:39">
      <c r="A780" s="89"/>
      <c r="B780" s="89"/>
      <c r="C780" s="89"/>
      <c r="D780" s="89"/>
      <c r="E780" s="89"/>
      <c r="F780" s="89"/>
      <c r="G780" s="89"/>
      <c r="H780" s="89"/>
      <c r="I780" s="3847"/>
      <c r="J780" s="3847"/>
      <c r="K780" s="3847"/>
      <c r="L780" s="3847"/>
      <c r="M780" s="3847"/>
      <c r="N780" s="3847"/>
      <c r="O780" s="3847"/>
      <c r="P780" s="3847"/>
      <c r="Q780" s="3847"/>
      <c r="R780" s="3847"/>
      <c r="S780" s="3847"/>
      <c r="T780" s="3847"/>
      <c r="U780" s="3847"/>
      <c r="V780" s="2322"/>
      <c r="W780" s="2322"/>
      <c r="X780" s="2322"/>
      <c r="Y780" s="2322"/>
      <c r="Z780" s="2322"/>
      <c r="AA780" s="2322"/>
      <c r="AB780" s="2322"/>
      <c r="AC780" s="2322"/>
      <c r="AD780" s="2322"/>
      <c r="AE780" s="2322"/>
      <c r="AF780" s="2322"/>
      <c r="AG780" s="2322"/>
      <c r="AH780" s="2322"/>
      <c r="AI780" s="2322"/>
      <c r="AJ780" s="2322"/>
      <c r="AK780" s="2322"/>
      <c r="AL780" s="2322"/>
      <c r="AM780" s="2322"/>
    </row>
    <row r="781" spans="1:39">
      <c r="A781" s="89"/>
      <c r="B781" s="89"/>
      <c r="C781" s="89"/>
      <c r="D781" s="89"/>
      <c r="E781" s="89"/>
      <c r="F781" s="89"/>
      <c r="G781" s="89"/>
      <c r="H781" s="89"/>
      <c r="I781" s="3847"/>
      <c r="J781" s="3847"/>
      <c r="K781" s="3847"/>
      <c r="L781" s="3847"/>
      <c r="M781" s="3847"/>
      <c r="N781" s="3847"/>
      <c r="O781" s="3847"/>
      <c r="P781" s="3847"/>
      <c r="Q781" s="3847"/>
      <c r="R781" s="3847"/>
      <c r="S781" s="3847"/>
      <c r="T781" s="3847"/>
      <c r="U781" s="3847"/>
      <c r="V781" s="2322"/>
      <c r="W781" s="2322"/>
      <c r="X781" s="2322"/>
      <c r="Y781" s="2322"/>
      <c r="Z781" s="2322"/>
      <c r="AA781" s="2322"/>
      <c r="AB781" s="2322"/>
      <c r="AC781" s="2322"/>
      <c r="AD781" s="2322"/>
      <c r="AE781" s="2322"/>
      <c r="AF781" s="2322"/>
      <c r="AG781" s="2322"/>
      <c r="AH781" s="2322"/>
      <c r="AI781" s="2322"/>
      <c r="AJ781" s="2322"/>
      <c r="AK781" s="2322"/>
      <c r="AL781" s="2322"/>
      <c r="AM781" s="2322"/>
    </row>
    <row r="782" spans="1:39">
      <c r="A782" s="89"/>
      <c r="B782" s="89"/>
      <c r="C782" s="89"/>
      <c r="D782" s="89"/>
      <c r="E782" s="89"/>
      <c r="F782" s="89"/>
      <c r="G782" s="89"/>
      <c r="H782" s="89"/>
      <c r="I782" s="3847"/>
      <c r="J782" s="3847"/>
      <c r="K782" s="3847"/>
      <c r="L782" s="3847"/>
      <c r="M782" s="3847"/>
      <c r="N782" s="3847"/>
      <c r="O782" s="3847"/>
      <c r="P782" s="3847"/>
      <c r="Q782" s="3847"/>
      <c r="R782" s="3847"/>
      <c r="S782" s="3847"/>
      <c r="T782" s="3847"/>
      <c r="U782" s="3847"/>
      <c r="V782" s="2322"/>
      <c r="W782" s="2322"/>
      <c r="X782" s="2322"/>
      <c r="Y782" s="2322"/>
      <c r="Z782" s="2322"/>
      <c r="AA782" s="2322"/>
      <c r="AB782" s="2322"/>
      <c r="AC782" s="2322"/>
      <c r="AD782" s="2322"/>
      <c r="AE782" s="2322"/>
      <c r="AF782" s="2322"/>
      <c r="AG782" s="2322"/>
      <c r="AH782" s="2322"/>
      <c r="AI782" s="2322"/>
      <c r="AJ782" s="2322"/>
      <c r="AK782" s="2322"/>
      <c r="AL782" s="2322"/>
      <c r="AM782" s="2322"/>
    </row>
    <row r="783" spans="1:39">
      <c r="A783" s="89"/>
      <c r="B783" s="89"/>
      <c r="C783" s="89"/>
      <c r="D783" s="89"/>
      <c r="E783" s="89"/>
      <c r="F783" s="89"/>
      <c r="G783" s="89"/>
      <c r="H783" s="89"/>
      <c r="I783" s="3847"/>
      <c r="J783" s="3847"/>
      <c r="K783" s="3847"/>
      <c r="L783" s="3847"/>
      <c r="M783" s="3847"/>
      <c r="N783" s="3847"/>
      <c r="O783" s="3847"/>
      <c r="P783" s="3847"/>
      <c r="Q783" s="3847"/>
      <c r="R783" s="3847"/>
      <c r="S783" s="3847"/>
      <c r="T783" s="3847"/>
      <c r="U783" s="3847"/>
      <c r="V783" s="2322"/>
      <c r="W783" s="2322"/>
      <c r="X783" s="2322"/>
      <c r="Y783" s="2322"/>
      <c r="Z783" s="2322"/>
      <c r="AA783" s="2322"/>
      <c r="AB783" s="2322"/>
      <c r="AC783" s="2322"/>
      <c r="AD783" s="2322"/>
      <c r="AE783" s="2322"/>
      <c r="AF783" s="2322"/>
      <c r="AG783" s="2322"/>
      <c r="AH783" s="2322"/>
      <c r="AI783" s="2322"/>
      <c r="AJ783" s="2322"/>
      <c r="AK783" s="2322"/>
      <c r="AL783" s="2322"/>
      <c r="AM783" s="2322"/>
    </row>
    <row r="784" spans="1:39">
      <c r="A784" s="89"/>
      <c r="B784" s="89"/>
      <c r="C784" s="89"/>
      <c r="D784" s="89"/>
      <c r="E784" s="89"/>
      <c r="F784" s="89"/>
      <c r="G784" s="89"/>
      <c r="H784" s="89"/>
      <c r="I784" s="3847"/>
      <c r="J784" s="3847"/>
      <c r="K784" s="3847"/>
      <c r="L784" s="3847"/>
      <c r="M784" s="3847"/>
      <c r="N784" s="3847"/>
      <c r="O784" s="3847"/>
      <c r="P784" s="3847"/>
      <c r="Q784" s="3847"/>
      <c r="R784" s="3847"/>
      <c r="S784" s="3847"/>
      <c r="T784" s="3847"/>
      <c r="U784" s="3847"/>
      <c r="V784" s="2322"/>
      <c r="W784" s="2322"/>
      <c r="X784" s="2322"/>
      <c r="Y784" s="2322"/>
      <c r="Z784" s="2322"/>
      <c r="AA784" s="2322"/>
      <c r="AB784" s="2322"/>
      <c r="AC784" s="2322"/>
      <c r="AD784" s="2322"/>
      <c r="AE784" s="2322"/>
      <c r="AF784" s="2322"/>
      <c r="AG784" s="2322"/>
      <c r="AH784" s="2322"/>
      <c r="AI784" s="2322"/>
      <c r="AJ784" s="2322"/>
      <c r="AK784" s="2322"/>
      <c r="AL784" s="2322"/>
      <c r="AM784" s="2322"/>
    </row>
    <row r="785" spans="1:39">
      <c r="A785" s="89"/>
      <c r="B785" s="89"/>
      <c r="C785" s="89"/>
      <c r="D785" s="89"/>
      <c r="E785" s="89"/>
      <c r="F785" s="89"/>
      <c r="G785" s="89"/>
      <c r="H785" s="89"/>
      <c r="I785" s="3847"/>
      <c r="J785" s="3847"/>
      <c r="K785" s="3847"/>
      <c r="L785" s="3847"/>
      <c r="M785" s="3847"/>
      <c r="N785" s="3847"/>
      <c r="O785" s="3847"/>
      <c r="P785" s="3847"/>
      <c r="Q785" s="3847"/>
      <c r="R785" s="3847"/>
      <c r="S785" s="3847"/>
      <c r="T785" s="3847"/>
      <c r="U785" s="3847"/>
      <c r="V785" s="2322"/>
      <c r="W785" s="2322"/>
      <c r="X785" s="2322"/>
      <c r="Y785" s="2322"/>
      <c r="Z785" s="2322"/>
      <c r="AA785" s="2322"/>
      <c r="AB785" s="2322"/>
      <c r="AC785" s="2322"/>
      <c r="AD785" s="2322"/>
      <c r="AE785" s="2322"/>
      <c r="AF785" s="2322"/>
      <c r="AG785" s="2322"/>
      <c r="AH785" s="2322"/>
      <c r="AI785" s="2322"/>
      <c r="AJ785" s="2322"/>
      <c r="AK785" s="2322"/>
      <c r="AL785" s="2322"/>
      <c r="AM785" s="2322"/>
    </row>
    <row r="786" spans="1:39">
      <c r="A786" s="89"/>
      <c r="B786" s="89"/>
      <c r="C786" s="89"/>
      <c r="D786" s="89"/>
      <c r="E786" s="89"/>
      <c r="F786" s="89"/>
      <c r="G786" s="89"/>
      <c r="H786" s="89"/>
      <c r="I786" s="3847"/>
      <c r="J786" s="3847"/>
      <c r="K786" s="3847"/>
      <c r="L786" s="3847"/>
      <c r="M786" s="3847"/>
      <c r="N786" s="3847"/>
      <c r="O786" s="3847"/>
      <c r="P786" s="3847"/>
      <c r="Q786" s="3847"/>
      <c r="R786" s="3847"/>
      <c r="S786" s="3847"/>
      <c r="T786" s="3847"/>
      <c r="U786" s="3847"/>
      <c r="V786" s="2322"/>
      <c r="W786" s="2322"/>
      <c r="X786" s="2322"/>
      <c r="Y786" s="2322"/>
      <c r="Z786" s="2322"/>
      <c r="AA786" s="2322"/>
      <c r="AB786" s="2322"/>
      <c r="AC786" s="2322"/>
      <c r="AD786" s="2322"/>
      <c r="AE786" s="2322"/>
      <c r="AF786" s="2322"/>
      <c r="AG786" s="2322"/>
      <c r="AH786" s="2322"/>
      <c r="AI786" s="2322"/>
      <c r="AJ786" s="2322"/>
      <c r="AK786" s="2322"/>
      <c r="AL786" s="2322"/>
      <c r="AM786" s="2322"/>
    </row>
    <row r="787" spans="1:39">
      <c r="A787" s="89"/>
      <c r="B787" s="89"/>
      <c r="C787" s="89"/>
      <c r="D787" s="89"/>
      <c r="E787" s="89"/>
      <c r="F787" s="89"/>
      <c r="G787" s="89"/>
      <c r="H787" s="89"/>
      <c r="I787" s="3847"/>
      <c r="J787" s="3847"/>
      <c r="K787" s="3847"/>
      <c r="L787" s="3847"/>
      <c r="M787" s="3847"/>
      <c r="N787" s="3847"/>
      <c r="O787" s="3847"/>
      <c r="P787" s="3847"/>
      <c r="Q787" s="3847"/>
      <c r="R787" s="3847"/>
      <c r="S787" s="3847"/>
      <c r="T787" s="3847"/>
      <c r="U787" s="3847"/>
      <c r="V787" s="2322"/>
      <c r="W787" s="2322"/>
      <c r="X787" s="2322"/>
      <c r="Y787" s="2322"/>
      <c r="Z787" s="2322"/>
      <c r="AA787" s="2322"/>
      <c r="AB787" s="2322"/>
      <c r="AC787" s="2322"/>
      <c r="AD787" s="2322"/>
      <c r="AE787" s="2322"/>
      <c r="AF787" s="2322"/>
      <c r="AG787" s="2322"/>
      <c r="AH787" s="2322"/>
      <c r="AI787" s="2322"/>
      <c r="AJ787" s="2322"/>
      <c r="AK787" s="2322"/>
      <c r="AL787" s="2322"/>
      <c r="AM787" s="2322"/>
    </row>
    <row r="788" spans="1:39">
      <c r="A788" s="89"/>
      <c r="B788" s="89"/>
      <c r="C788" s="89"/>
      <c r="D788" s="89"/>
      <c r="E788" s="89"/>
      <c r="F788" s="89"/>
      <c r="G788" s="89"/>
      <c r="H788" s="89"/>
      <c r="I788" s="3847"/>
      <c r="J788" s="3847"/>
      <c r="K788" s="3847"/>
      <c r="L788" s="3847"/>
      <c r="M788" s="3847"/>
      <c r="N788" s="3847"/>
      <c r="O788" s="3847"/>
      <c r="P788" s="3847"/>
      <c r="Q788" s="3847"/>
      <c r="R788" s="3847"/>
      <c r="S788" s="3847"/>
      <c r="T788" s="3847"/>
      <c r="U788" s="3847"/>
      <c r="V788" s="2322"/>
      <c r="W788" s="2322"/>
      <c r="X788" s="2322"/>
      <c r="Y788" s="2322"/>
      <c r="Z788" s="2322"/>
      <c r="AA788" s="2322"/>
      <c r="AB788" s="2322"/>
      <c r="AC788" s="2322"/>
      <c r="AD788" s="2322"/>
      <c r="AE788" s="2322"/>
      <c r="AF788" s="2322"/>
      <c r="AG788" s="2322"/>
      <c r="AH788" s="2322"/>
      <c r="AI788" s="2322"/>
      <c r="AJ788" s="2322"/>
      <c r="AK788" s="2322"/>
      <c r="AL788" s="2322"/>
      <c r="AM788" s="2322"/>
    </row>
    <row r="789" spans="1:39">
      <c r="A789" s="89"/>
      <c r="B789" s="89"/>
      <c r="C789" s="89"/>
      <c r="D789" s="89"/>
      <c r="E789" s="89"/>
      <c r="F789" s="89"/>
      <c r="G789" s="89"/>
      <c r="H789" s="89"/>
      <c r="I789" s="3847"/>
      <c r="J789" s="3847"/>
      <c r="K789" s="3847"/>
      <c r="L789" s="3847"/>
      <c r="M789" s="3847"/>
      <c r="N789" s="3847"/>
      <c r="O789" s="3847"/>
      <c r="P789" s="3847"/>
      <c r="Q789" s="3847"/>
      <c r="R789" s="3847"/>
      <c r="S789" s="3847"/>
      <c r="T789" s="3847"/>
      <c r="U789" s="3847"/>
      <c r="V789" s="2322"/>
      <c r="W789" s="2322"/>
      <c r="X789" s="2322"/>
      <c r="Y789" s="2322"/>
      <c r="Z789" s="2322"/>
      <c r="AA789" s="2322"/>
      <c r="AB789" s="2322"/>
      <c r="AC789" s="2322"/>
      <c r="AD789" s="2322"/>
      <c r="AE789" s="2322"/>
      <c r="AF789" s="2322"/>
      <c r="AG789" s="2322"/>
      <c r="AH789" s="2322"/>
      <c r="AI789" s="2322"/>
      <c r="AJ789" s="2322"/>
      <c r="AK789" s="2322"/>
      <c r="AL789" s="2322"/>
      <c r="AM789" s="2322"/>
    </row>
    <row r="790" spans="1:39">
      <c r="A790" s="89"/>
      <c r="B790" s="89"/>
      <c r="C790" s="89"/>
      <c r="D790" s="89"/>
      <c r="E790" s="89"/>
      <c r="F790" s="89"/>
      <c r="G790" s="89"/>
      <c r="H790" s="89"/>
      <c r="I790" s="3847"/>
      <c r="J790" s="3847"/>
      <c r="K790" s="3847"/>
      <c r="L790" s="3847"/>
      <c r="M790" s="3847"/>
      <c r="N790" s="3847"/>
      <c r="O790" s="3847"/>
      <c r="P790" s="3847"/>
      <c r="Q790" s="3847"/>
      <c r="R790" s="3847"/>
      <c r="S790" s="3847"/>
      <c r="T790" s="3847"/>
      <c r="U790" s="3847"/>
      <c r="V790" s="2322"/>
      <c r="W790" s="2322"/>
      <c r="X790" s="2322"/>
      <c r="Y790" s="2322"/>
      <c r="Z790" s="2322"/>
      <c r="AA790" s="2322"/>
      <c r="AB790" s="2322"/>
      <c r="AC790" s="2322"/>
      <c r="AD790" s="2322"/>
      <c r="AE790" s="2322"/>
      <c r="AF790" s="2322"/>
      <c r="AG790" s="2322"/>
      <c r="AH790" s="2322"/>
      <c r="AI790" s="2322"/>
      <c r="AJ790" s="2322"/>
      <c r="AK790" s="2322"/>
      <c r="AL790" s="2322"/>
      <c r="AM790" s="2322"/>
    </row>
    <row r="791" spans="1:39">
      <c r="A791" s="89"/>
      <c r="B791" s="89"/>
      <c r="C791" s="89"/>
      <c r="D791" s="89"/>
      <c r="E791" s="89"/>
      <c r="F791" s="89"/>
      <c r="G791" s="89"/>
      <c r="H791" s="89"/>
      <c r="I791" s="89"/>
      <c r="J791" s="89"/>
      <c r="K791" s="89"/>
      <c r="L791" s="89"/>
      <c r="M791" s="89"/>
      <c r="N791" s="89"/>
      <c r="O791" s="89"/>
      <c r="P791" s="89"/>
      <c r="Q791" s="89"/>
      <c r="R791" s="89"/>
      <c r="S791" s="89"/>
      <c r="T791" s="89"/>
      <c r="U791" s="89"/>
    </row>
    <row r="792" spans="1:39">
      <c r="A792" s="89"/>
      <c r="B792" s="89"/>
      <c r="C792" s="89"/>
      <c r="D792" s="89"/>
      <c r="E792" s="89"/>
      <c r="F792" s="89"/>
      <c r="G792" s="89"/>
      <c r="H792" s="89"/>
      <c r="I792" s="89"/>
      <c r="J792" s="89"/>
      <c r="K792" s="89"/>
      <c r="L792" s="89"/>
      <c r="M792" s="89"/>
      <c r="N792" s="89"/>
      <c r="O792" s="89"/>
      <c r="P792" s="89"/>
      <c r="Q792" s="89"/>
      <c r="R792" s="89"/>
      <c r="S792" s="89"/>
      <c r="T792" s="89"/>
      <c r="U792" s="89"/>
    </row>
    <row r="793" spans="1:39">
      <c r="A793" s="89"/>
      <c r="B793" s="89"/>
      <c r="C793" s="89"/>
      <c r="D793" s="89"/>
      <c r="E793" s="89"/>
      <c r="F793" s="89"/>
      <c r="G793" s="89"/>
      <c r="H793" s="89"/>
      <c r="I793" s="89"/>
      <c r="J793" s="89"/>
      <c r="K793" s="89"/>
      <c r="L793" s="89"/>
      <c r="M793" s="89"/>
      <c r="N793" s="89"/>
      <c r="O793" s="89"/>
      <c r="P793" s="89"/>
      <c r="Q793" s="89"/>
      <c r="R793" s="89"/>
      <c r="S793" s="89"/>
      <c r="T793" s="89"/>
      <c r="U793" s="89"/>
    </row>
    <row r="794" spans="1:39">
      <c r="A794" s="89"/>
      <c r="B794" s="89"/>
      <c r="C794" s="89"/>
      <c r="D794" s="89"/>
      <c r="E794" s="89"/>
      <c r="F794" s="89"/>
      <c r="G794" s="89"/>
      <c r="H794" s="89"/>
      <c r="I794" s="89"/>
      <c r="J794" s="89"/>
      <c r="K794" s="89"/>
      <c r="L794" s="89"/>
      <c r="M794" s="89"/>
      <c r="N794" s="89"/>
      <c r="O794" s="89"/>
      <c r="P794" s="89"/>
      <c r="Q794" s="89"/>
      <c r="R794" s="89"/>
      <c r="S794" s="89"/>
      <c r="T794" s="89"/>
      <c r="U794" s="89"/>
    </row>
    <row r="795" spans="1:39">
      <c r="A795" s="89"/>
      <c r="B795" s="89"/>
      <c r="C795" s="89"/>
      <c r="D795" s="89"/>
      <c r="E795" s="89"/>
      <c r="F795" s="89"/>
      <c r="G795" s="89"/>
      <c r="H795" s="89"/>
      <c r="I795" s="89"/>
      <c r="J795" s="89"/>
      <c r="K795" s="89"/>
      <c r="L795" s="89"/>
      <c r="M795" s="89"/>
      <c r="N795" s="89"/>
      <c r="O795" s="89"/>
      <c r="P795" s="89"/>
      <c r="Q795" s="89"/>
      <c r="R795" s="89"/>
      <c r="S795" s="89"/>
      <c r="T795" s="89"/>
      <c r="U795" s="89"/>
    </row>
    <row r="796" spans="1:39">
      <c r="A796" s="89"/>
      <c r="B796" s="89"/>
      <c r="C796" s="89"/>
      <c r="D796" s="89"/>
      <c r="E796" s="89"/>
      <c r="F796" s="89"/>
      <c r="G796" s="89"/>
      <c r="H796" s="89"/>
      <c r="I796" s="89"/>
      <c r="J796" s="89"/>
      <c r="K796" s="89"/>
      <c r="L796" s="89"/>
      <c r="M796" s="89"/>
      <c r="N796" s="89"/>
      <c r="O796" s="89"/>
      <c r="P796" s="89"/>
      <c r="Q796" s="89"/>
      <c r="R796" s="89"/>
      <c r="S796" s="89"/>
      <c r="T796" s="89"/>
      <c r="U796" s="89"/>
    </row>
    <row r="797" spans="1:39">
      <c r="A797" s="89"/>
      <c r="B797" s="89"/>
      <c r="C797" s="89"/>
      <c r="D797" s="89"/>
      <c r="E797" s="89"/>
      <c r="F797" s="89"/>
      <c r="G797" s="89"/>
      <c r="H797" s="89"/>
      <c r="I797" s="89"/>
      <c r="J797" s="89"/>
      <c r="K797" s="89"/>
      <c r="L797" s="89"/>
      <c r="M797" s="89"/>
      <c r="N797" s="89"/>
      <c r="O797" s="89"/>
      <c r="P797" s="89"/>
      <c r="Q797" s="89"/>
      <c r="R797" s="89"/>
      <c r="S797" s="89"/>
      <c r="T797" s="89"/>
      <c r="U797" s="89"/>
    </row>
    <row r="798" spans="1:39">
      <c r="A798" s="89"/>
      <c r="B798" s="89"/>
      <c r="C798" s="89"/>
      <c r="D798" s="89"/>
      <c r="E798" s="89"/>
      <c r="F798" s="89"/>
      <c r="G798" s="89"/>
      <c r="H798" s="89"/>
      <c r="I798" s="89"/>
      <c r="J798" s="89"/>
      <c r="K798" s="89"/>
      <c r="L798" s="89"/>
      <c r="M798" s="89"/>
      <c r="N798" s="89"/>
      <c r="O798" s="89"/>
      <c r="P798" s="89"/>
      <c r="Q798" s="89"/>
      <c r="R798" s="89"/>
      <c r="S798" s="89"/>
      <c r="T798" s="89"/>
      <c r="U798" s="89"/>
    </row>
    <row r="799" spans="1:39">
      <c r="A799" s="89"/>
      <c r="B799" s="89"/>
      <c r="C799" s="89"/>
      <c r="D799" s="89"/>
      <c r="E799" s="89"/>
      <c r="F799" s="89"/>
      <c r="G799" s="89"/>
      <c r="H799" s="89"/>
      <c r="I799" s="89"/>
      <c r="J799" s="89"/>
      <c r="K799" s="89"/>
      <c r="L799" s="89"/>
      <c r="M799" s="89"/>
      <c r="N799" s="89"/>
      <c r="O799" s="89"/>
      <c r="P799" s="89"/>
      <c r="Q799" s="89"/>
      <c r="R799" s="89"/>
      <c r="S799" s="89"/>
      <c r="T799" s="89"/>
      <c r="U799" s="89"/>
    </row>
    <row r="800" spans="1:39">
      <c r="A800" s="89"/>
      <c r="B800" s="89"/>
      <c r="C800" s="89"/>
      <c r="D800" s="89"/>
      <c r="E800" s="89"/>
      <c r="F800" s="89"/>
      <c r="G800" s="89"/>
      <c r="H800" s="89"/>
      <c r="I800" s="89"/>
      <c r="J800" s="89"/>
      <c r="K800" s="89"/>
      <c r="L800" s="89"/>
      <c r="M800" s="89"/>
      <c r="N800" s="89"/>
      <c r="O800" s="89"/>
      <c r="P800" s="89"/>
      <c r="Q800" s="89"/>
      <c r="R800" s="89"/>
      <c r="S800" s="89"/>
      <c r="T800" s="89"/>
      <c r="U800" s="89"/>
    </row>
    <row r="801" spans="1:21">
      <c r="A801" s="89"/>
      <c r="B801" s="89"/>
      <c r="C801" s="89"/>
      <c r="D801" s="89"/>
      <c r="E801" s="89"/>
      <c r="F801" s="89"/>
      <c r="G801" s="89"/>
      <c r="H801" s="89"/>
      <c r="I801" s="89"/>
      <c r="J801" s="89"/>
      <c r="K801" s="89"/>
      <c r="L801" s="89"/>
      <c r="M801" s="89"/>
      <c r="N801" s="89"/>
      <c r="O801" s="89"/>
      <c r="P801" s="89"/>
      <c r="Q801" s="89"/>
      <c r="R801" s="89"/>
      <c r="S801" s="89"/>
      <c r="T801" s="89"/>
      <c r="U801" s="89"/>
    </row>
    <row r="802" spans="1:21">
      <c r="A802" s="89"/>
      <c r="B802" s="89"/>
      <c r="C802" s="89"/>
      <c r="D802" s="89"/>
      <c r="E802" s="89"/>
      <c r="F802" s="89"/>
      <c r="G802" s="89"/>
      <c r="H802" s="89"/>
      <c r="I802" s="89"/>
      <c r="J802" s="89"/>
      <c r="K802" s="89"/>
      <c r="L802" s="89"/>
      <c r="M802" s="89"/>
      <c r="N802" s="89"/>
      <c r="O802" s="89"/>
      <c r="P802" s="89"/>
      <c r="Q802" s="89"/>
      <c r="R802" s="89"/>
      <c r="S802" s="89"/>
      <c r="T802" s="89"/>
      <c r="U802" s="89"/>
    </row>
    <row r="803" spans="1:21">
      <c r="A803" s="89"/>
      <c r="B803" s="89"/>
      <c r="C803" s="89"/>
      <c r="D803" s="89"/>
      <c r="E803" s="89"/>
      <c r="F803" s="89"/>
      <c r="G803" s="89"/>
      <c r="H803" s="89"/>
      <c r="I803" s="89"/>
      <c r="J803" s="89"/>
      <c r="K803" s="89"/>
      <c r="L803" s="89"/>
      <c r="M803" s="89"/>
      <c r="N803" s="89"/>
      <c r="O803" s="89"/>
      <c r="P803" s="89"/>
      <c r="Q803" s="89"/>
      <c r="R803" s="89"/>
      <c r="S803" s="89"/>
      <c r="T803" s="89"/>
      <c r="U803" s="89"/>
    </row>
    <row r="804" spans="1:21">
      <c r="A804" s="89"/>
      <c r="B804" s="89"/>
      <c r="C804" s="89"/>
      <c r="D804" s="89"/>
      <c r="E804" s="89"/>
      <c r="F804" s="89"/>
      <c r="G804" s="89"/>
      <c r="H804" s="89"/>
      <c r="I804" s="89"/>
      <c r="J804" s="89"/>
      <c r="K804" s="89"/>
      <c r="L804" s="89"/>
      <c r="M804" s="89"/>
      <c r="N804" s="89"/>
      <c r="O804" s="89"/>
      <c r="P804" s="89"/>
      <c r="Q804" s="89"/>
      <c r="R804" s="89"/>
      <c r="S804" s="89"/>
      <c r="T804" s="89"/>
      <c r="U804" s="89"/>
    </row>
    <row r="805" spans="1:21">
      <c r="A805" s="89"/>
      <c r="B805" s="89"/>
      <c r="C805" s="89"/>
      <c r="D805" s="89"/>
      <c r="E805" s="89"/>
      <c r="F805" s="89"/>
      <c r="G805" s="89"/>
      <c r="H805" s="89"/>
      <c r="I805" s="89"/>
      <c r="J805" s="89"/>
      <c r="K805" s="89"/>
      <c r="L805" s="89"/>
      <c r="M805" s="89"/>
      <c r="N805" s="89"/>
      <c r="O805" s="89"/>
      <c r="P805" s="89"/>
      <c r="Q805" s="89"/>
      <c r="R805" s="89"/>
      <c r="S805" s="89"/>
      <c r="T805" s="89"/>
      <c r="U805" s="89"/>
    </row>
    <row r="806" spans="1:21">
      <c r="A806" s="89"/>
      <c r="B806" s="89"/>
      <c r="C806" s="89"/>
      <c r="D806" s="89"/>
      <c r="E806" s="89"/>
      <c r="F806" s="89"/>
      <c r="G806" s="89"/>
      <c r="H806" s="89"/>
      <c r="I806" s="89"/>
      <c r="J806" s="89"/>
      <c r="K806" s="89"/>
      <c r="L806" s="89"/>
      <c r="M806" s="89"/>
      <c r="N806" s="89"/>
      <c r="O806" s="89"/>
      <c r="P806" s="89"/>
      <c r="Q806" s="89"/>
      <c r="R806" s="89"/>
      <c r="S806" s="89"/>
      <c r="T806" s="89"/>
      <c r="U806" s="89"/>
    </row>
    <row r="807" spans="1:21">
      <c r="A807" s="89"/>
      <c r="B807" s="89"/>
      <c r="C807" s="89"/>
      <c r="D807" s="89"/>
      <c r="E807" s="89"/>
      <c r="F807" s="89"/>
      <c r="G807" s="89"/>
      <c r="H807" s="89"/>
      <c r="I807" s="89"/>
      <c r="J807" s="89"/>
      <c r="K807" s="89"/>
      <c r="L807" s="89"/>
      <c r="M807" s="89"/>
      <c r="N807" s="89"/>
      <c r="O807" s="89"/>
      <c r="P807" s="89"/>
      <c r="Q807" s="89"/>
      <c r="R807" s="89"/>
      <c r="S807" s="89"/>
      <c r="T807" s="89"/>
      <c r="U807" s="89"/>
    </row>
    <row r="808" spans="1:21">
      <c r="A808" s="89"/>
      <c r="B808" s="89"/>
      <c r="C808" s="89"/>
      <c r="D808" s="89"/>
      <c r="E808" s="89"/>
      <c r="F808" s="89"/>
      <c r="G808" s="89"/>
      <c r="H808" s="89"/>
      <c r="I808" s="89"/>
      <c r="J808" s="89"/>
      <c r="K808" s="89"/>
      <c r="L808" s="89"/>
      <c r="M808" s="89"/>
      <c r="N808" s="89"/>
      <c r="O808" s="89"/>
      <c r="P808" s="89"/>
      <c r="Q808" s="89"/>
      <c r="R808" s="89"/>
      <c r="S808" s="89"/>
      <c r="T808" s="89"/>
      <c r="U808" s="89"/>
    </row>
    <row r="809" spans="1:21">
      <c r="A809" s="89"/>
      <c r="B809" s="89"/>
      <c r="C809" s="89"/>
      <c r="D809" s="89"/>
      <c r="E809" s="89"/>
      <c r="F809" s="89"/>
      <c r="G809" s="89"/>
      <c r="H809" s="89"/>
      <c r="I809" s="89"/>
      <c r="J809" s="89"/>
      <c r="K809" s="89"/>
      <c r="L809" s="89"/>
      <c r="M809" s="89"/>
      <c r="N809" s="89"/>
      <c r="O809" s="89"/>
      <c r="P809" s="89"/>
      <c r="Q809" s="89"/>
      <c r="R809" s="89"/>
      <c r="S809" s="89"/>
      <c r="T809" s="89"/>
      <c r="U809" s="89"/>
    </row>
    <row r="810" spans="1:21">
      <c r="A810" s="89"/>
      <c r="B810" s="89"/>
      <c r="C810" s="89"/>
      <c r="D810" s="89"/>
      <c r="E810" s="89"/>
      <c r="F810" s="89"/>
      <c r="G810" s="89"/>
      <c r="H810" s="89"/>
      <c r="I810" s="89"/>
      <c r="J810" s="89"/>
      <c r="K810" s="89"/>
      <c r="L810" s="89"/>
      <c r="M810" s="89"/>
      <c r="N810" s="89"/>
      <c r="O810" s="89"/>
      <c r="P810" s="89"/>
      <c r="Q810" s="89"/>
      <c r="R810" s="89"/>
      <c r="S810" s="89"/>
      <c r="T810" s="89"/>
      <c r="U810" s="89"/>
    </row>
    <row r="811" spans="1:21">
      <c r="A811" s="89"/>
      <c r="B811" s="89"/>
      <c r="C811" s="89"/>
      <c r="D811" s="89"/>
      <c r="E811" s="89"/>
      <c r="F811" s="89"/>
      <c r="G811" s="89"/>
      <c r="H811" s="89"/>
      <c r="I811" s="89"/>
      <c r="J811" s="89"/>
      <c r="K811" s="89"/>
      <c r="L811" s="89"/>
      <c r="M811" s="89"/>
      <c r="N811" s="89"/>
      <c r="O811" s="89"/>
      <c r="P811" s="89"/>
      <c r="Q811" s="89"/>
      <c r="R811" s="89"/>
      <c r="S811" s="89"/>
      <c r="T811" s="89"/>
      <c r="U811" s="89"/>
    </row>
    <row r="812" spans="1:21">
      <c r="A812" s="89"/>
      <c r="B812" s="89"/>
      <c r="C812" s="89"/>
      <c r="D812" s="89"/>
      <c r="E812" s="89"/>
      <c r="F812" s="89"/>
      <c r="G812" s="89"/>
      <c r="H812" s="89"/>
      <c r="I812" s="89"/>
      <c r="J812" s="89"/>
      <c r="K812" s="89"/>
      <c r="L812" s="89"/>
      <c r="M812" s="89"/>
      <c r="N812" s="89"/>
      <c r="O812" s="89"/>
      <c r="P812" s="89"/>
      <c r="Q812" s="89"/>
      <c r="R812" s="89"/>
      <c r="S812" s="89"/>
      <c r="T812" s="89"/>
      <c r="U812" s="89"/>
    </row>
    <row r="813" spans="1:21">
      <c r="A813" s="89"/>
      <c r="B813" s="89"/>
      <c r="C813" s="89"/>
      <c r="D813" s="89"/>
      <c r="E813" s="89"/>
      <c r="F813" s="89"/>
      <c r="G813" s="89"/>
      <c r="H813" s="89"/>
      <c r="I813" s="89"/>
      <c r="J813" s="89"/>
      <c r="K813" s="89"/>
      <c r="L813" s="89"/>
      <c r="M813" s="89"/>
      <c r="N813" s="89"/>
      <c r="O813" s="89"/>
      <c r="P813" s="89"/>
      <c r="Q813" s="89"/>
      <c r="R813" s="89"/>
      <c r="S813" s="89"/>
      <c r="T813" s="89"/>
      <c r="U813" s="89"/>
    </row>
    <row r="814" spans="1:21">
      <c r="A814" s="89"/>
      <c r="B814" s="89"/>
      <c r="C814" s="89"/>
      <c r="D814" s="89"/>
      <c r="E814" s="89"/>
      <c r="F814" s="89"/>
      <c r="G814" s="89"/>
      <c r="H814" s="89"/>
      <c r="I814" s="89"/>
      <c r="J814" s="89"/>
      <c r="K814" s="89"/>
      <c r="L814" s="89"/>
      <c r="M814" s="89"/>
      <c r="N814" s="89"/>
      <c r="O814" s="89"/>
      <c r="P814" s="89"/>
      <c r="Q814" s="89"/>
      <c r="R814" s="89"/>
      <c r="S814" s="89"/>
      <c r="T814" s="89"/>
      <c r="U814" s="89"/>
    </row>
    <row r="815" spans="1:21">
      <c r="A815" s="89"/>
      <c r="B815" s="89"/>
      <c r="C815" s="89"/>
      <c r="D815" s="89"/>
      <c r="E815" s="89"/>
      <c r="F815" s="89"/>
      <c r="G815" s="89"/>
      <c r="H815" s="89"/>
      <c r="I815" s="89"/>
      <c r="J815" s="89"/>
      <c r="K815" s="89"/>
      <c r="L815" s="89"/>
      <c r="M815" s="89"/>
      <c r="N815" s="89"/>
      <c r="O815" s="89"/>
      <c r="P815" s="89"/>
      <c r="Q815" s="89"/>
      <c r="R815" s="89"/>
      <c r="S815" s="89"/>
      <c r="T815" s="89"/>
      <c r="U815" s="89"/>
    </row>
    <row r="816" spans="1:21">
      <c r="A816" s="89"/>
      <c r="B816" s="89"/>
      <c r="C816" s="89"/>
      <c r="D816" s="89"/>
      <c r="E816" s="89"/>
      <c r="F816" s="89"/>
      <c r="G816" s="89"/>
      <c r="H816" s="89"/>
      <c r="I816" s="89"/>
      <c r="J816" s="89"/>
      <c r="K816" s="89"/>
      <c r="L816" s="89"/>
      <c r="M816" s="89"/>
      <c r="N816" s="89"/>
      <c r="O816" s="89"/>
      <c r="P816" s="89"/>
      <c r="Q816" s="89"/>
      <c r="R816" s="89"/>
      <c r="S816" s="89"/>
      <c r="T816" s="89"/>
      <c r="U816" s="89"/>
    </row>
    <row r="817" spans="1:21">
      <c r="A817" s="89"/>
      <c r="B817" s="89"/>
      <c r="C817" s="89"/>
      <c r="D817" s="89"/>
      <c r="E817" s="89"/>
      <c r="F817" s="89"/>
      <c r="G817" s="89"/>
      <c r="H817" s="89"/>
      <c r="I817" s="89"/>
      <c r="J817" s="89"/>
      <c r="K817" s="89"/>
      <c r="L817" s="89"/>
      <c r="M817" s="89"/>
      <c r="N817" s="89"/>
      <c r="O817" s="89"/>
      <c r="P817" s="89"/>
      <c r="Q817" s="89"/>
      <c r="R817" s="89"/>
      <c r="S817" s="89"/>
      <c r="T817" s="89"/>
      <c r="U817" s="89"/>
    </row>
  </sheetData>
  <sortState ref="C103:T105">
    <sortCondition descending="1" ref="T103:T105"/>
  </sortState>
  <pageMargins left="0.7" right="0.7" top="0.75" bottom="0.75" header="0.3" footer="0.3"/>
  <pageSetup scale="18" orientation="landscape" r:id="rId1"/>
  <drawing r:id="rId2"/>
  <legacyDrawing r:id="rId3"/>
  <controls>
    <mc:AlternateContent xmlns:mc="http://schemas.openxmlformats.org/markup-compatibility/2006">
      <mc:Choice Requires="x14">
        <control shapeId="1371137" r:id="rId4" name="CommandButton_YearlyCosts">
          <controlPr defaultSize="0" autoLine="0" r:id="rId5">
            <anchor moveWithCells="1">
              <from>
                <xdr:col>0</xdr:col>
                <xdr:colOff>161925</xdr:colOff>
                <xdr:row>1</xdr:row>
                <xdr:rowOff>0</xdr:rowOff>
              </from>
              <to>
                <xdr:col>1</xdr:col>
                <xdr:colOff>514350</xdr:colOff>
                <xdr:row>4</xdr:row>
                <xdr:rowOff>57150</xdr:rowOff>
              </to>
            </anchor>
          </controlPr>
        </control>
      </mc:Choice>
      <mc:Fallback>
        <control shapeId="1371137" r:id="rId4" name="CommandButton_YearlyCosts"/>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rgb="FF92D050"/>
    <pageSetUpPr fitToPage="1"/>
  </sheetPr>
  <dimension ref="A1:GC1085"/>
  <sheetViews>
    <sheetView showGridLines="0" zoomScale="70" zoomScaleNormal="70" workbookViewId="0">
      <selection activeCell="CC101" sqref="CC101"/>
    </sheetView>
  </sheetViews>
  <sheetFormatPr defaultRowHeight="12.75"/>
  <cols>
    <col min="6" max="6" width="45.28515625" customWidth="1"/>
    <col min="7" max="7" width="9.140625" customWidth="1"/>
    <col min="8" max="8" width="10.28515625" customWidth="1"/>
    <col min="9" max="9" width="9.7109375" customWidth="1"/>
    <col min="10" max="12" width="9.140625" customWidth="1"/>
    <col min="13" max="13" width="10.140625" customWidth="1"/>
    <col min="14" max="15" width="9.140625" customWidth="1"/>
    <col min="16" max="16" width="10.5703125" customWidth="1"/>
    <col min="17" max="17" width="12" customWidth="1"/>
    <col min="18" max="18" width="8.7109375" customWidth="1"/>
    <col min="19" max="19" width="11.140625" customWidth="1"/>
    <col min="20" max="20" width="8.5703125" style="2329" customWidth="1"/>
    <col min="21" max="21" width="5.5703125" customWidth="1"/>
    <col min="22" max="22" width="43.7109375" customWidth="1"/>
    <col min="23" max="23" width="6.7109375" customWidth="1"/>
    <col min="24" max="24" width="9.7109375" customWidth="1"/>
    <col min="25" max="25" width="9.5703125" customWidth="1"/>
    <col min="26" max="26" width="8.28515625" customWidth="1"/>
    <col min="27" max="27" width="8.7109375" customWidth="1"/>
    <col min="28" max="28" width="8" customWidth="1"/>
    <col min="29" max="29" width="10.5703125" customWidth="1"/>
    <col min="30" max="31" width="8.28515625" customWidth="1"/>
    <col min="32" max="32" width="7.85546875" customWidth="1"/>
    <col min="33" max="33" width="13" customWidth="1"/>
    <col min="34" max="34" width="9" customWidth="1"/>
    <col min="35" max="35" width="12.5703125" customWidth="1"/>
    <col min="36" max="36" width="12.85546875" style="9" customWidth="1"/>
    <col min="37" max="37" width="9.140625" style="2332"/>
    <col min="38" max="38" width="9.140625" style="9"/>
    <col min="39" max="39" width="10" style="9" customWidth="1"/>
    <col min="40" max="40" width="9.140625" style="9"/>
    <col min="41" max="41" width="11.85546875" style="9" customWidth="1"/>
    <col min="42" max="42" width="51.42578125" style="9" customWidth="1"/>
    <col min="43" max="45" width="9.140625" style="9"/>
    <col min="46" max="46" width="45" style="9" customWidth="1"/>
    <col min="47" max="47" width="7.7109375" style="9" customWidth="1"/>
    <col min="48" max="48" width="9.5703125" style="9" customWidth="1"/>
    <col min="49" max="50" width="9.140625" style="9" customWidth="1"/>
    <col min="51" max="51" width="7.5703125" style="9" customWidth="1"/>
    <col min="52" max="52" width="8.28515625" style="9" customWidth="1"/>
    <col min="53" max="53" width="8.7109375" style="9" customWidth="1"/>
    <col min="54" max="54" width="7.7109375" style="9" customWidth="1"/>
    <col min="55" max="55" width="8.7109375" style="9" customWidth="1"/>
    <col min="56" max="56" width="9" style="2794" customWidth="1"/>
    <col min="57" max="57" width="12.5703125" style="9" customWidth="1"/>
    <col min="58" max="58" width="11" style="9" customWidth="1"/>
    <col min="59" max="59" width="13.5703125" style="2332" customWidth="1"/>
    <col min="60" max="61" width="9.140625" style="9" customWidth="1"/>
    <col min="62" max="62" width="45.85546875" style="9" customWidth="1"/>
    <col min="63" max="63" width="9.140625" style="9" customWidth="1"/>
    <col min="64" max="64" width="10.42578125" style="9" customWidth="1"/>
    <col min="65" max="65" width="10.28515625" style="9" customWidth="1"/>
    <col min="66" max="66" width="8.140625" style="9" customWidth="1"/>
    <col min="67" max="67" width="8.42578125" style="9" customWidth="1"/>
    <col min="68" max="68" width="8.7109375" style="9" customWidth="1"/>
    <col min="69" max="69" width="9.7109375" style="2794" customWidth="1"/>
    <col min="70" max="70" width="7.140625" style="9" customWidth="1"/>
    <col min="71" max="71" width="8.28515625" customWidth="1"/>
    <col min="72" max="72" width="9.5703125" customWidth="1"/>
    <col min="73" max="73" width="11.7109375" customWidth="1"/>
    <col min="74" max="74" width="8" customWidth="1"/>
    <col min="75" max="75" width="10.140625" customWidth="1"/>
    <col min="76" max="76" width="11.5703125" customWidth="1"/>
    <col min="78" max="78" width="10.42578125" customWidth="1"/>
    <col min="80" max="80" width="10.5703125" customWidth="1"/>
    <col min="81" max="81" width="11.140625" style="2336" customWidth="1"/>
    <col min="85" max="85" width="52.42578125" customWidth="1"/>
    <col min="86" max="86" width="47.28515625" customWidth="1"/>
    <col min="87" max="87" width="10.28515625" customWidth="1"/>
    <col min="88" max="88" width="10.140625" customWidth="1"/>
    <col min="95" max="95" width="11.28515625" customWidth="1"/>
    <col min="97" max="97" width="11.7109375" style="2329" customWidth="1"/>
    <col min="98" max="98" width="10.7109375" customWidth="1"/>
    <col min="99" max="99" width="10" customWidth="1"/>
    <col min="101" max="101" width="50.28515625" customWidth="1"/>
    <col min="102" max="102" width="45.7109375" customWidth="1"/>
    <col min="103" max="103" width="10.42578125" customWidth="1"/>
    <col min="104" max="104" width="10.28515625" customWidth="1"/>
    <col min="111" max="111" width="9.5703125" customWidth="1"/>
    <col min="113" max="113" width="14" style="2329" customWidth="1"/>
    <col min="114" max="114" width="11.7109375" customWidth="1"/>
    <col min="115" max="115" width="14" customWidth="1"/>
    <col min="116" max="116" width="8.85546875" customWidth="1"/>
    <col min="123" max="123" width="14.42578125" customWidth="1"/>
    <col min="124" max="124" width="40" customWidth="1"/>
    <col min="125" max="125" width="10.7109375" customWidth="1"/>
    <col min="126" max="126" width="11" customWidth="1"/>
    <col min="130" max="130" width="9.7109375" customWidth="1"/>
    <col min="132" max="132" width="10" customWidth="1"/>
    <col min="133" max="133" width="11" customWidth="1"/>
    <col min="134" max="134" width="10" customWidth="1"/>
    <col min="135" max="135" width="12.42578125" style="2329" customWidth="1"/>
    <col min="136" max="136" width="12.28515625" customWidth="1"/>
    <col min="137" max="137" width="18.42578125" customWidth="1"/>
    <col min="139" max="139" width="18.28515625" customWidth="1"/>
    <col min="140" max="140" width="49.85546875" customWidth="1"/>
    <col min="141" max="141" width="10.7109375" customWidth="1"/>
    <col min="142" max="142" width="10.42578125" customWidth="1"/>
    <col min="143" max="143" width="11.28515625" customWidth="1"/>
    <col min="149" max="149" width="11.140625" customWidth="1"/>
    <col min="151" max="151" width="14.85546875" style="2329" customWidth="1"/>
    <col min="152" max="152" width="11.7109375" customWidth="1"/>
    <col min="153" max="153" width="17.85546875" customWidth="1"/>
    <col min="155" max="155" width="33.7109375" style="2329" customWidth="1"/>
    <col min="156" max="156" width="10.7109375" style="2329" customWidth="1"/>
    <col min="157" max="157" width="11" style="2329" customWidth="1"/>
    <col min="158" max="160" width="8.85546875" style="2329"/>
    <col min="161" max="161" width="9.7109375" style="2329" customWidth="1"/>
    <col min="162" max="162" width="8.85546875" style="2329"/>
    <col min="163" max="163" width="10" style="2329" customWidth="1"/>
    <col min="164" max="164" width="11" style="2329" customWidth="1"/>
    <col min="165" max="165" width="10" style="2329" customWidth="1"/>
    <col min="166" max="166" width="16.28515625" style="2329" customWidth="1"/>
    <col min="167" max="167" width="12.28515625" style="2329" customWidth="1"/>
    <col min="168" max="168" width="18.42578125" style="2329" customWidth="1"/>
    <col min="169" max="169" width="8.85546875" style="2329"/>
    <col min="170" max="170" width="19.85546875" style="89" customWidth="1"/>
    <col min="171" max="171" width="49.85546875" style="2329" customWidth="1"/>
    <col min="172" max="172" width="10.7109375" style="2329" customWidth="1"/>
    <col min="173" max="173" width="10.42578125" style="2329" customWidth="1"/>
    <col min="174" max="174" width="11.28515625" style="2329" customWidth="1"/>
    <col min="175" max="179" width="8.85546875" style="2329"/>
    <col min="180" max="180" width="11.140625" style="2329" customWidth="1"/>
    <col min="181" max="181" width="8.85546875" style="2329"/>
    <col min="182" max="182" width="14.85546875" style="2329" customWidth="1"/>
    <col min="183" max="183" width="11.7109375" style="2329" customWidth="1"/>
    <col min="184" max="184" width="17.85546875" style="2329" customWidth="1"/>
    <col min="185" max="185" width="8.85546875" style="2329"/>
  </cols>
  <sheetData>
    <row r="1" spans="1:184" ht="20.45" customHeight="1">
      <c r="A1" s="1034" t="s">
        <v>1618</v>
      </c>
      <c r="BX1" s="2329"/>
      <c r="CC1"/>
      <c r="CD1" s="2336"/>
    </row>
    <row r="2" spans="1:184" ht="30">
      <c r="A2" s="117"/>
      <c r="B2" s="117"/>
      <c r="C2" s="117"/>
      <c r="D2" s="2"/>
      <c r="E2" s="117"/>
      <c r="F2" s="2391" t="s">
        <v>1598</v>
      </c>
      <c r="G2" s="2"/>
      <c r="H2" s="1292"/>
      <c r="I2" s="2"/>
      <c r="J2" s="2"/>
      <c r="K2" s="2"/>
      <c r="L2" s="2"/>
      <c r="M2" s="2"/>
      <c r="N2" s="2"/>
      <c r="O2" s="2"/>
      <c r="P2" s="2"/>
      <c r="Q2" s="2"/>
      <c r="R2" s="2"/>
      <c r="S2" s="2"/>
      <c r="T2" s="2330"/>
      <c r="V2" s="2391" t="s">
        <v>1601</v>
      </c>
      <c r="W2" s="2"/>
      <c r="X2" s="2"/>
      <c r="Y2" s="1292"/>
      <c r="Z2" s="2"/>
      <c r="AA2" s="2"/>
      <c r="AB2" s="2"/>
      <c r="AC2" s="2"/>
      <c r="AD2" s="2"/>
      <c r="AE2" s="2"/>
      <c r="AF2" s="2"/>
      <c r="AG2" s="2"/>
      <c r="AH2" s="2"/>
      <c r="AI2" s="2"/>
      <c r="AJ2" s="2272"/>
      <c r="AK2" s="2272"/>
      <c r="AL2" s="30"/>
      <c r="AM2" s="30"/>
      <c r="AN2" s="30"/>
      <c r="AO2" s="30"/>
      <c r="AP2" s="30"/>
      <c r="AQ2" s="30"/>
      <c r="AR2" s="30"/>
      <c r="AS2" s="30"/>
      <c r="AT2" s="2391" t="s">
        <v>1556</v>
      </c>
      <c r="AU2" s="30"/>
      <c r="AV2" s="30"/>
      <c r="AW2" s="30"/>
      <c r="AX2" s="30"/>
      <c r="AY2" s="30"/>
      <c r="AZ2" s="30"/>
      <c r="BA2" s="30"/>
      <c r="BB2" s="30"/>
      <c r="BC2" s="30"/>
      <c r="BD2" s="70"/>
      <c r="BE2" s="30"/>
      <c r="BF2" s="2272"/>
      <c r="BG2" s="2272"/>
      <c r="BH2" s="2272"/>
      <c r="BI2" s="2272"/>
      <c r="BJ2" s="2391" t="s">
        <v>1602</v>
      </c>
      <c r="BK2" s="2272"/>
      <c r="BL2" s="2272"/>
      <c r="BM2" s="2272"/>
      <c r="BN2" s="2272"/>
      <c r="BO2" s="2272"/>
      <c r="BP2" s="2272"/>
      <c r="BQ2" s="2795"/>
      <c r="BR2" s="2272"/>
      <c r="BS2" s="117"/>
      <c r="BT2" s="117"/>
      <c r="BU2" s="117"/>
      <c r="BV2" s="117"/>
      <c r="BW2" s="117"/>
      <c r="BX2" s="117"/>
      <c r="BY2" s="117"/>
      <c r="BZ2" s="117"/>
      <c r="CA2" s="117"/>
      <c r="CB2" s="117"/>
      <c r="CC2" s="117"/>
      <c r="CD2" s="2336"/>
      <c r="CE2" s="2336"/>
      <c r="CF2" s="2336"/>
      <c r="CG2" s="2330"/>
      <c r="CH2" s="2330"/>
      <c r="CI2" s="2330"/>
      <c r="CJ2" s="2330"/>
      <c r="CK2" s="2330"/>
      <c r="CL2" s="2330"/>
      <c r="CM2" s="2330"/>
      <c r="CN2" s="2330"/>
      <c r="CO2" s="2330"/>
      <c r="CP2" s="2330"/>
      <c r="CQ2" s="2330"/>
      <c r="CR2" s="2330"/>
      <c r="CS2" s="2330"/>
      <c r="CT2" s="2330"/>
      <c r="CU2" s="2330"/>
      <c r="CV2" s="2330"/>
      <c r="CW2" s="2330"/>
      <c r="CX2" s="2330"/>
      <c r="CY2" s="2330"/>
      <c r="CZ2" s="2330"/>
      <c r="DA2" s="2330"/>
      <c r="DB2" s="2330"/>
      <c r="DC2" s="2330"/>
      <c r="DD2" s="2330"/>
      <c r="DE2" s="2330"/>
      <c r="DF2" s="2330"/>
      <c r="DG2" s="2330"/>
      <c r="DH2" s="2330"/>
      <c r="DI2" s="2330"/>
      <c r="DJ2" s="2330"/>
      <c r="DK2" s="2330"/>
      <c r="DL2" s="2330"/>
      <c r="DT2" s="2330"/>
      <c r="DU2" s="2330"/>
      <c r="DV2" s="2330"/>
      <c r="DW2" s="2330"/>
      <c r="DX2" s="2330"/>
      <c r="DY2" s="2330"/>
      <c r="DZ2" s="2330"/>
      <c r="EA2" s="2330"/>
      <c r="EB2" s="2330"/>
      <c r="EC2" s="2330"/>
      <c r="ED2" s="2330"/>
      <c r="EE2" s="2330"/>
      <c r="EF2" s="2330"/>
      <c r="EG2" s="2330"/>
      <c r="EJ2" s="2330"/>
      <c r="EK2" s="2330"/>
      <c r="EL2" s="2330"/>
      <c r="EM2" s="2330"/>
      <c r="EN2" s="2330"/>
      <c r="EO2" s="2330"/>
      <c r="EP2" s="2330"/>
      <c r="EQ2" s="2330"/>
      <c r="ER2" s="2330"/>
      <c r="ES2" s="2330"/>
      <c r="ET2" s="2330"/>
      <c r="EU2" s="2330"/>
      <c r="EV2" s="2330"/>
      <c r="EW2" s="2330"/>
      <c r="EY2" s="2330"/>
      <c r="EZ2" s="2330"/>
      <c r="FA2" s="2330"/>
      <c r="FB2" s="2330"/>
      <c r="FC2" s="2330"/>
      <c r="FD2" s="2330"/>
      <c r="FE2" s="2330"/>
      <c r="FF2" s="2330"/>
      <c r="FG2" s="2330"/>
      <c r="FH2" s="2330"/>
      <c r="FI2" s="2330"/>
      <c r="FJ2" s="2330"/>
      <c r="FK2" s="2330"/>
      <c r="FL2" s="2330"/>
      <c r="FO2" s="2330"/>
      <c r="FP2" s="2330"/>
      <c r="FQ2" s="2330"/>
      <c r="FR2" s="2330"/>
      <c r="FS2" s="2330"/>
      <c r="FT2" s="2330"/>
      <c r="FU2" s="2330"/>
      <c r="FV2" s="2330"/>
      <c r="FW2" s="2330"/>
      <c r="FX2" s="2330"/>
      <c r="FY2" s="2330"/>
      <c r="FZ2" s="2330"/>
      <c r="GA2" s="2330"/>
      <c r="GB2" s="2330"/>
    </row>
    <row r="3" spans="1:184">
      <c r="A3" s="117"/>
      <c r="B3" s="117"/>
      <c r="C3" s="117"/>
      <c r="D3" s="2"/>
      <c r="E3" s="117"/>
      <c r="F3" s="2"/>
      <c r="G3" s="2"/>
      <c r="H3" s="2"/>
      <c r="I3" s="2"/>
      <c r="J3" s="2"/>
      <c r="K3" s="2"/>
      <c r="L3" s="2"/>
      <c r="M3" s="2"/>
      <c r="N3" s="2"/>
      <c r="O3" s="2"/>
      <c r="P3" s="2"/>
      <c r="Q3" s="2"/>
      <c r="R3" s="2"/>
      <c r="S3" s="2"/>
      <c r="T3" s="2330"/>
      <c r="V3" s="2"/>
      <c r="W3" s="2"/>
      <c r="X3" s="2"/>
      <c r="Y3" s="2"/>
      <c r="Z3" s="2"/>
      <c r="AA3" s="2"/>
      <c r="AB3" s="2"/>
      <c r="AC3" s="2"/>
      <c r="AD3" s="2"/>
      <c r="AE3" s="2"/>
      <c r="AF3" s="2"/>
      <c r="AG3" s="2"/>
      <c r="AH3" s="2"/>
      <c r="AI3" s="2"/>
      <c r="AJ3" s="2272"/>
      <c r="AK3" s="2272"/>
      <c r="AL3" s="30"/>
      <c r="AM3" s="30"/>
      <c r="AN3" s="30"/>
      <c r="AO3" s="30"/>
      <c r="AP3" s="30"/>
      <c r="AQ3" s="30"/>
      <c r="AR3" s="30"/>
      <c r="AS3" s="30"/>
      <c r="AT3" s="30"/>
      <c r="AU3" s="30"/>
      <c r="AV3" s="30"/>
      <c r="AW3" s="30"/>
      <c r="AX3" s="30"/>
      <c r="AY3" s="30"/>
      <c r="AZ3" s="30"/>
      <c r="BA3" s="30"/>
      <c r="BB3" s="30"/>
      <c r="BC3" s="30"/>
      <c r="BD3" s="70"/>
      <c r="BE3" s="30"/>
      <c r="BF3" s="2272"/>
      <c r="BG3" s="2272"/>
      <c r="BH3" s="2272"/>
      <c r="BI3" s="2272"/>
      <c r="BJ3" s="2272"/>
      <c r="BK3" s="2272"/>
      <c r="BL3" s="2272"/>
      <c r="BM3" s="2272"/>
      <c r="BN3" s="2272"/>
      <c r="BO3" s="2272"/>
      <c r="BP3" s="2272"/>
      <c r="BQ3" s="2795"/>
      <c r="BR3" s="2272"/>
      <c r="BS3" s="117"/>
      <c r="BT3" s="117"/>
      <c r="BU3" s="117"/>
      <c r="BV3" s="117"/>
      <c r="BW3" s="117"/>
      <c r="BX3" s="117"/>
      <c r="BY3" s="117"/>
      <c r="BZ3" s="117"/>
      <c r="CA3" s="117"/>
      <c r="CB3" s="117"/>
      <c r="CC3" s="117"/>
      <c r="CD3" s="2336"/>
      <c r="CE3" s="2336"/>
      <c r="CF3" s="2336"/>
      <c r="CG3" s="2330"/>
      <c r="CH3" s="2330"/>
      <c r="CI3" s="2330"/>
      <c r="CJ3" s="2330"/>
      <c r="CK3" s="2330"/>
      <c r="CL3" s="2330"/>
      <c r="CM3" s="2330"/>
      <c r="CN3" s="2330"/>
      <c r="CO3" s="2330"/>
      <c r="CP3" s="2330"/>
      <c r="CQ3" s="2330"/>
      <c r="CR3" s="2330"/>
      <c r="CS3" s="2330"/>
      <c r="CT3" s="2330"/>
      <c r="CU3" s="2330"/>
      <c r="CV3" s="2330"/>
      <c r="CW3" s="2330"/>
      <c r="CX3" s="2330"/>
      <c r="CY3" s="2330"/>
      <c r="CZ3" s="2330"/>
      <c r="DA3" s="2330"/>
      <c r="DB3" s="2330"/>
      <c r="DC3" s="2330"/>
      <c r="DD3" s="2330"/>
      <c r="DE3" s="2330"/>
      <c r="DF3" s="2330"/>
      <c r="DG3" s="2330"/>
      <c r="DH3" s="2330"/>
      <c r="DI3" s="2330"/>
      <c r="DJ3" s="2330"/>
      <c r="DK3" s="2330"/>
      <c r="DL3" s="2330"/>
      <c r="DT3" s="2330"/>
      <c r="DU3" s="2330"/>
      <c r="DV3" s="2330"/>
      <c r="DW3" s="2330"/>
      <c r="DX3" s="2330"/>
      <c r="DY3" s="2330"/>
      <c r="DZ3" s="2330"/>
      <c r="EA3" s="2330"/>
      <c r="EB3" s="2330"/>
      <c r="EC3" s="2330"/>
      <c r="ED3" s="2330"/>
      <c r="EE3" s="2330"/>
      <c r="EF3" s="2330"/>
      <c r="EG3" s="2330"/>
      <c r="EJ3" s="2330"/>
      <c r="EK3" s="2330"/>
      <c r="EL3" s="2330"/>
      <c r="EM3" s="2330"/>
      <c r="EN3" s="2330"/>
      <c r="EO3" s="2330"/>
      <c r="EP3" s="2330"/>
      <c r="EQ3" s="2330"/>
      <c r="ER3" s="2330"/>
      <c r="ES3" s="2330"/>
      <c r="ET3" s="2330"/>
      <c r="EU3" s="2330"/>
      <c r="EV3" s="2330"/>
      <c r="EW3" s="2330"/>
      <c r="EY3" s="2330"/>
      <c r="EZ3" s="2330"/>
      <c r="FA3" s="2330"/>
      <c r="FB3" s="2330"/>
      <c r="FC3" s="2330"/>
      <c r="FD3" s="2330"/>
      <c r="FE3" s="2330"/>
      <c r="FF3" s="2330"/>
      <c r="FG3" s="2330"/>
      <c r="FH3" s="2330"/>
      <c r="FI3" s="2330"/>
      <c r="FJ3" s="2330"/>
      <c r="FK3" s="2330"/>
      <c r="FL3" s="2330"/>
      <c r="FO3" s="2330"/>
      <c r="FP3" s="2330"/>
      <c r="FQ3" s="2330"/>
      <c r="FR3" s="2330"/>
      <c r="FS3" s="2330"/>
      <c r="FT3" s="2330"/>
      <c r="FU3" s="2330"/>
      <c r="FV3" s="2330"/>
      <c r="FW3" s="2330"/>
      <c r="FX3" s="2330"/>
      <c r="FY3" s="2330"/>
      <c r="FZ3" s="2330"/>
      <c r="GA3" s="2330"/>
      <c r="GB3" s="2330"/>
    </row>
    <row r="4" spans="1:184" ht="30">
      <c r="A4" s="117"/>
      <c r="B4" s="117"/>
      <c r="C4" s="117"/>
      <c r="D4" s="2"/>
      <c r="E4" s="117"/>
      <c r="F4" s="3089" t="str">
        <f>CostScenario</f>
        <v>Mid Case</v>
      </c>
      <c r="G4" s="3089" t="str">
        <f>TaxLossTreatment</f>
        <v>Tax Equity Financing</v>
      </c>
      <c r="H4" s="2"/>
      <c r="I4" s="2"/>
      <c r="J4" s="2"/>
      <c r="K4" s="2"/>
      <c r="L4" s="2"/>
      <c r="M4" s="1034"/>
      <c r="N4" s="1034"/>
      <c r="O4" s="3089" t="str">
        <f>Perspective</f>
        <v>At Interconnection Point</v>
      </c>
      <c r="P4" s="1034"/>
      <c r="Q4" s="1034"/>
      <c r="R4" s="1034"/>
      <c r="S4" s="2"/>
      <c r="T4" s="2330"/>
      <c r="V4" s="1034"/>
      <c r="W4" s="2"/>
      <c r="X4" s="2"/>
      <c r="Y4" s="2"/>
      <c r="Z4" s="2"/>
      <c r="AA4" s="2"/>
      <c r="AB4" s="2"/>
      <c r="AC4" s="2"/>
      <c r="AD4" s="2"/>
      <c r="AE4" s="2"/>
      <c r="AF4" s="2"/>
      <c r="AG4" s="2"/>
      <c r="AH4" s="2"/>
      <c r="AI4" s="2"/>
      <c r="AJ4" s="2272"/>
      <c r="AK4" s="2272"/>
      <c r="AL4" s="30"/>
      <c r="AM4" s="30"/>
      <c r="AN4" s="30"/>
      <c r="AO4" s="30"/>
      <c r="AP4" s="30"/>
      <c r="AQ4" s="30"/>
      <c r="AR4" s="30"/>
      <c r="AS4" s="30"/>
      <c r="AT4" s="3089" t="str">
        <f>CostScenario</f>
        <v>Mid Case</v>
      </c>
      <c r="AU4" s="3089" t="str">
        <f>TaxLossTreatment</f>
        <v>Tax Equity Financing</v>
      </c>
      <c r="AV4" s="1"/>
      <c r="AW4" s="1"/>
      <c r="AX4" s="1"/>
      <c r="AY4" s="1"/>
      <c r="AZ4" s="1"/>
      <c r="BA4" s="251"/>
      <c r="BB4" s="3089" t="str">
        <f>Perspective</f>
        <v>At Interconnection Point</v>
      </c>
      <c r="BC4" s="251"/>
      <c r="BD4" s="196"/>
      <c r="BE4" s="251"/>
      <c r="BF4" s="2272"/>
      <c r="BG4" s="2272"/>
      <c r="BH4" s="2272"/>
      <c r="BI4" s="2272"/>
      <c r="BJ4" s="2272"/>
      <c r="BK4" s="2272"/>
      <c r="BL4" s="2272"/>
      <c r="BM4" s="2272"/>
      <c r="BN4" s="2272"/>
      <c r="BO4" s="2272"/>
      <c r="BP4" s="2272"/>
      <c r="BQ4" s="2795"/>
      <c r="BR4" s="2272"/>
      <c r="BS4" s="117"/>
      <c r="BT4" s="117"/>
      <c r="BU4" s="117"/>
      <c r="BV4" s="117"/>
      <c r="BW4" s="117"/>
      <c r="BX4" s="117"/>
      <c r="BY4" s="117"/>
      <c r="BZ4" s="117"/>
      <c r="CA4" s="117"/>
      <c r="CB4" s="117"/>
      <c r="CC4" s="117"/>
      <c r="CD4" s="2336"/>
      <c r="CE4" s="2336"/>
      <c r="CF4" s="2336"/>
      <c r="CG4" s="2330"/>
      <c r="CH4" s="2391" t="s">
        <v>1628</v>
      </c>
      <c r="CI4" s="2330"/>
      <c r="CJ4" s="2330"/>
      <c r="CK4" s="2330"/>
      <c r="CL4" s="2330"/>
      <c r="CM4" s="2330"/>
      <c r="CN4" s="2330"/>
      <c r="CO4" s="2330"/>
      <c r="CP4" s="2330"/>
      <c r="CQ4" s="2330"/>
      <c r="CR4" s="2330"/>
      <c r="CS4" s="2330"/>
      <c r="CT4" s="2330"/>
      <c r="CU4" s="2330"/>
      <c r="CV4" s="2330"/>
      <c r="CW4" s="2330"/>
      <c r="CX4" s="2391" t="s">
        <v>1608</v>
      </c>
      <c r="CY4" s="2330"/>
      <c r="CZ4" s="2330"/>
      <c r="DA4" s="2330"/>
      <c r="DB4" s="2330"/>
      <c r="DC4" s="2330"/>
      <c r="DD4" s="2330"/>
      <c r="DE4" s="2330"/>
      <c r="DF4" s="2330"/>
      <c r="DG4" s="2330"/>
      <c r="DH4" s="2330"/>
      <c r="DI4" s="2330"/>
      <c r="DJ4" s="2330"/>
      <c r="DK4" s="2330"/>
      <c r="DL4" s="2330"/>
      <c r="DT4" s="2391" t="s">
        <v>1629</v>
      </c>
      <c r="DU4" s="2330"/>
      <c r="DV4" s="2330"/>
      <c r="DW4" s="2330"/>
      <c r="DX4" s="2330"/>
      <c r="DY4" s="2330"/>
      <c r="DZ4" s="2330"/>
      <c r="EA4" s="2330"/>
      <c r="EB4" s="2330"/>
      <c r="EC4" s="2330"/>
      <c r="ED4" s="2330"/>
      <c r="EE4" s="2330"/>
      <c r="EF4" s="2330"/>
      <c r="EG4" s="2330"/>
      <c r="EJ4" s="2391" t="s">
        <v>1991</v>
      </c>
      <c r="EK4" s="2330"/>
      <c r="EL4" s="2330"/>
      <c r="EM4" s="2330"/>
      <c r="EN4" s="2330"/>
      <c r="EO4" s="2330"/>
      <c r="EP4" s="2330"/>
      <c r="EQ4" s="2330"/>
      <c r="ER4" s="2330"/>
      <c r="ES4" s="2330"/>
      <c r="ET4" s="2330"/>
      <c r="EU4" s="2330"/>
      <c r="EV4" s="2330"/>
      <c r="EW4" s="2330"/>
      <c r="EY4" s="2391" t="s">
        <v>1990</v>
      </c>
      <c r="EZ4" s="2330"/>
      <c r="FA4" s="2330"/>
      <c r="FB4" s="2330"/>
      <c r="FC4" s="2330"/>
      <c r="FD4" s="2330"/>
      <c r="FE4" s="2330"/>
      <c r="FF4" s="2330"/>
      <c r="FG4" s="2330"/>
      <c r="FH4" s="2330"/>
      <c r="FI4" s="2330"/>
      <c r="FJ4" s="2330"/>
      <c r="FK4" s="2330"/>
      <c r="FL4" s="2330"/>
      <c r="FO4" s="2391" t="s">
        <v>1992</v>
      </c>
      <c r="FP4" s="2330"/>
      <c r="FQ4" s="2330"/>
      <c r="FR4" s="2330"/>
      <c r="FS4" s="2330"/>
      <c r="FT4" s="2330"/>
      <c r="FU4" s="2330"/>
      <c r="FV4" s="2330"/>
      <c r="FW4" s="2330"/>
      <c r="FX4" s="2330"/>
      <c r="FY4" s="2330"/>
      <c r="FZ4" s="2330"/>
      <c r="GA4" s="2330"/>
      <c r="GB4" s="2330"/>
    </row>
    <row r="5" spans="1:184" ht="25.5">
      <c r="A5" s="117"/>
      <c r="B5" s="117"/>
      <c r="C5" s="117"/>
      <c r="D5" s="2"/>
      <c r="E5" s="117"/>
      <c r="M5" s="2"/>
      <c r="N5" s="2"/>
      <c r="O5" s="2"/>
      <c r="P5" s="2"/>
      <c r="Q5" s="2"/>
      <c r="R5" s="2"/>
      <c r="S5" s="2"/>
      <c r="T5" s="2330"/>
      <c r="V5" s="2"/>
      <c r="W5" s="2"/>
      <c r="X5" s="2"/>
      <c r="Y5" s="2"/>
      <c r="Z5" s="2"/>
      <c r="AA5" s="2"/>
      <c r="AB5" s="2"/>
      <c r="AC5" s="2"/>
      <c r="AD5" s="2"/>
      <c r="AE5" s="2"/>
      <c r="AF5" s="2"/>
      <c r="AG5" s="2"/>
      <c r="AH5" s="2"/>
      <c r="AI5" s="2"/>
      <c r="AJ5" s="2272"/>
      <c r="AK5" s="2272"/>
      <c r="AL5" s="2273"/>
      <c r="AM5" s="30"/>
      <c r="AN5" s="30"/>
      <c r="AO5" s="30"/>
      <c r="AP5" s="30"/>
      <c r="AQ5" s="30"/>
      <c r="AR5" s="30"/>
      <c r="AS5" s="30"/>
      <c r="BA5" s="2"/>
      <c r="BB5" s="2"/>
      <c r="BC5" s="2"/>
      <c r="BD5" s="1370"/>
      <c r="BE5" s="2"/>
      <c r="BF5" s="2"/>
      <c r="BG5" s="2330"/>
      <c r="BH5" s="2"/>
      <c r="BI5"/>
      <c r="BJ5" s="2"/>
      <c r="BK5" s="2272"/>
      <c r="BL5" s="2272"/>
      <c r="BM5" s="2272"/>
      <c r="BN5" s="2272"/>
      <c r="BO5" s="2272"/>
      <c r="BP5" s="2272"/>
      <c r="BQ5" s="2795"/>
      <c r="BR5" s="2272"/>
      <c r="BS5" s="117"/>
      <c r="BT5" s="117"/>
      <c r="BU5" s="117"/>
      <c r="BV5" s="117"/>
      <c r="BW5" s="117"/>
      <c r="BX5" s="117"/>
      <c r="BY5" s="117"/>
      <c r="BZ5" s="117"/>
      <c r="CA5" s="117"/>
      <c r="CB5" s="117"/>
      <c r="CC5" s="117"/>
      <c r="CD5" s="2365"/>
      <c r="CE5" s="2365"/>
      <c r="CF5" s="2365"/>
      <c r="CG5" s="2330"/>
      <c r="CH5" s="2330"/>
      <c r="CI5" s="2330"/>
      <c r="CJ5" s="2330"/>
      <c r="CK5" s="2330"/>
      <c r="CL5" s="2330"/>
      <c r="CM5" s="2330"/>
      <c r="CN5" s="2330"/>
      <c r="CO5" s="2330"/>
      <c r="CP5" s="2330"/>
      <c r="CQ5" s="2330"/>
      <c r="CR5" s="2330"/>
      <c r="CS5" s="2330"/>
      <c r="CT5" s="2330"/>
      <c r="CU5" s="2330"/>
      <c r="CV5" s="2330"/>
      <c r="CW5" s="2330"/>
      <c r="CX5" s="2330"/>
      <c r="CY5" s="2330"/>
      <c r="CZ5" s="2330"/>
      <c r="DA5" s="2330"/>
      <c r="DB5" s="2330"/>
      <c r="DC5" s="2330"/>
      <c r="DD5" s="2330"/>
      <c r="DE5" s="2330"/>
      <c r="DF5" s="2330"/>
      <c r="DG5" s="2330"/>
      <c r="DH5" s="2330"/>
      <c r="DI5" s="2330"/>
      <c r="DJ5" s="2330"/>
      <c r="DK5" s="2330"/>
      <c r="DL5" s="2330"/>
      <c r="DT5" s="2330"/>
      <c r="DU5" s="2330"/>
      <c r="DV5" s="2330"/>
      <c r="DW5" s="2330"/>
      <c r="DX5" s="2330"/>
      <c r="DY5" s="2330"/>
      <c r="DZ5" s="2330"/>
      <c r="EA5" s="2330"/>
      <c r="EB5" s="2330"/>
      <c r="EC5" s="2330"/>
      <c r="ED5" s="2330"/>
      <c r="EE5" s="2330"/>
      <c r="EF5" s="2330"/>
      <c r="EG5" s="2330"/>
      <c r="EJ5" s="2330"/>
      <c r="EK5" s="2330"/>
      <c r="EL5" s="2330"/>
      <c r="EM5" s="2330"/>
      <c r="EN5" s="2330"/>
      <c r="EO5" s="2330"/>
      <c r="EP5" s="2330"/>
      <c r="EQ5" s="2330"/>
      <c r="ER5" s="2330"/>
      <c r="ES5" s="2330"/>
      <c r="ET5" s="2330"/>
      <c r="EU5" s="2330"/>
      <c r="EV5" s="2330"/>
      <c r="EW5" s="2330"/>
      <c r="EY5" s="2330"/>
      <c r="EZ5" s="2330"/>
      <c r="FA5" s="2330"/>
      <c r="FB5" s="2330"/>
      <c r="FC5" s="2330"/>
      <c r="FD5" s="2330"/>
      <c r="FE5" s="2330"/>
      <c r="FF5" s="2330"/>
      <c r="FG5" s="2330"/>
      <c r="FH5" s="2330"/>
      <c r="FI5" s="2330"/>
      <c r="FJ5" s="2330"/>
      <c r="FK5" s="2330"/>
      <c r="FL5" s="2330"/>
      <c r="FO5" s="2330"/>
      <c r="FP5" s="2330"/>
      <c r="FQ5" s="2330"/>
      <c r="FR5" s="2330"/>
      <c r="FS5" s="2330"/>
      <c r="FT5" s="2330"/>
      <c r="FU5" s="2330"/>
      <c r="FV5" s="2330"/>
      <c r="FW5" s="2330"/>
      <c r="FX5" s="2330"/>
      <c r="FY5" s="2330"/>
      <c r="FZ5" s="2330"/>
      <c r="GA5" s="2330"/>
      <c r="GB5" s="2330"/>
    </row>
    <row r="6" spans="1:184" s="1855" customFormat="1" ht="22.15" customHeight="1" thickBot="1">
      <c r="F6" s="4310" t="s">
        <v>1604</v>
      </c>
      <c r="V6" s="4310" t="s">
        <v>1606</v>
      </c>
      <c r="AJ6" s="2428"/>
      <c r="AK6" s="2428"/>
      <c r="AL6" s="2428"/>
      <c r="AM6" s="2428"/>
      <c r="AN6" s="2428"/>
      <c r="AO6" s="2428"/>
      <c r="AP6" s="2428"/>
      <c r="AQ6" s="2428"/>
      <c r="AR6" s="2428"/>
      <c r="AS6" s="2428"/>
      <c r="AT6" s="4310" t="s">
        <v>1605</v>
      </c>
      <c r="BD6" s="2804"/>
      <c r="BJ6" s="4310" t="s">
        <v>1607</v>
      </c>
      <c r="BL6" s="2428"/>
      <c r="BM6" s="2428"/>
      <c r="BN6" s="2428"/>
      <c r="BO6" s="2428"/>
      <c r="BP6" s="2428"/>
      <c r="BQ6" s="2796"/>
      <c r="BR6" s="2428"/>
      <c r="CD6" s="2429"/>
      <c r="CE6" s="2429"/>
      <c r="CF6" s="2429"/>
      <c r="CH6" s="2427" t="s">
        <v>1613</v>
      </c>
      <c r="CX6" s="2427" t="s">
        <v>1616</v>
      </c>
      <c r="DT6" s="2427" t="s">
        <v>1586</v>
      </c>
      <c r="EJ6" s="2427" t="s">
        <v>1589</v>
      </c>
      <c r="EY6" s="2427" t="s">
        <v>1586</v>
      </c>
      <c r="FN6" s="2430"/>
      <c r="FO6" s="2427" t="s">
        <v>1589</v>
      </c>
    </row>
    <row r="7" spans="1:184" s="2347" customFormat="1" ht="18.600000000000001" customHeight="1" thickBot="1">
      <c r="A7" s="1802"/>
      <c r="B7" s="1802"/>
      <c r="C7" s="1802"/>
      <c r="D7" s="2346"/>
      <c r="E7" s="1802"/>
      <c r="G7" s="2392"/>
      <c r="H7" s="4479" t="str">
        <f>("$/kW-Year (Nominal "&amp;StartYr&amp;"$)")</f>
        <v>$/kW-Year (Nominal 2013$)</v>
      </c>
      <c r="I7" s="4480"/>
      <c r="J7" s="4480"/>
      <c r="K7" s="4480"/>
      <c r="L7" s="4480"/>
      <c r="M7" s="4480"/>
      <c r="N7" s="4480"/>
      <c r="O7" s="4480"/>
      <c r="P7" s="4480"/>
      <c r="Q7" s="4481"/>
      <c r="R7" s="4023"/>
      <c r="S7" s="4023"/>
      <c r="T7" s="1820"/>
      <c r="V7" s="2340"/>
      <c r="W7" s="2284"/>
      <c r="X7" s="4529" t="str">
        <f>("$/MWh (Nominal "&amp;StartYr&amp;"$)")</f>
        <v>$/MWh (Nominal 2013$)</v>
      </c>
      <c r="Y7" s="4530"/>
      <c r="Z7" s="4530"/>
      <c r="AA7" s="4530"/>
      <c r="AB7" s="4530"/>
      <c r="AC7" s="4530"/>
      <c r="AD7" s="4530"/>
      <c r="AE7" s="4530"/>
      <c r="AF7" s="4530"/>
      <c r="AG7" s="4531"/>
      <c r="AH7" s="3995"/>
      <c r="AI7" s="3995"/>
      <c r="AJ7" s="4026" t="s">
        <v>1376</v>
      </c>
      <c r="AK7" s="2346"/>
      <c r="AL7" s="4479" t="str">
        <f>("(Nominal "&amp;StartYr&amp;"$)")</f>
        <v>(Nominal 2013$)</v>
      </c>
      <c r="AM7" s="4480"/>
      <c r="AN7" s="4480"/>
      <c r="AO7" s="4481"/>
      <c r="AP7" s="2393"/>
      <c r="AQ7" s="2393"/>
      <c r="AR7" s="2346"/>
      <c r="AS7" s="2346"/>
      <c r="AU7" s="2392"/>
      <c r="AV7" s="4479" t="str">
        <f>("$/kW-Year (Nominal "&amp;StartYr&amp;"$)")</f>
        <v>$/kW-Year (Nominal 2013$)</v>
      </c>
      <c r="AW7" s="4480"/>
      <c r="AX7" s="4480"/>
      <c r="AY7" s="4480"/>
      <c r="AZ7" s="4480"/>
      <c r="BA7" s="4480"/>
      <c r="BB7" s="4480"/>
      <c r="BC7" s="4480"/>
      <c r="BD7" s="4480"/>
      <c r="BE7" s="4481"/>
      <c r="BF7" s="4023"/>
      <c r="BG7" s="4023"/>
      <c r="BH7" s="4013"/>
      <c r="BJ7" s="2340"/>
      <c r="BK7" s="2363"/>
      <c r="BL7" s="4479" t="str">
        <f>("$/MWh (Nominal "&amp;StartYr&amp;"$)")</f>
        <v>$/MWh (Nominal 2013$)</v>
      </c>
      <c r="BM7" s="4480"/>
      <c r="BN7" s="4480"/>
      <c r="BO7" s="4480"/>
      <c r="BP7" s="4480"/>
      <c r="BQ7" s="4480"/>
      <c r="BR7" s="4480"/>
      <c r="BS7" s="4480"/>
      <c r="BT7" s="4480"/>
      <c r="BU7" s="4481"/>
      <c r="BV7" s="4517"/>
      <c r="BW7" s="4517"/>
      <c r="BX7" s="4026" t="s">
        <v>1376</v>
      </c>
      <c r="BY7" s="2346"/>
      <c r="BZ7" s="4479" t="str">
        <f>("(Nominal "&amp;StartYr&amp;"$)")</f>
        <v>(Nominal 2013$)</v>
      </c>
      <c r="CA7" s="4480"/>
      <c r="CB7" s="4480"/>
      <c r="CC7" s="4481"/>
      <c r="CD7" s="1820"/>
      <c r="CE7" s="1820"/>
      <c r="CF7" s="1820"/>
      <c r="CG7" s="2346"/>
      <c r="CI7" s="2392"/>
      <c r="CJ7" s="4479" t="str">
        <f>("$/kW-Year (Nominal "&amp;StartYr&amp;"$)")</f>
        <v>$/kW-Year (Nominal 2013$)</v>
      </c>
      <c r="CK7" s="4480"/>
      <c r="CL7" s="4480"/>
      <c r="CM7" s="4480"/>
      <c r="CN7" s="4480"/>
      <c r="CO7" s="4480"/>
      <c r="CP7" s="4480"/>
      <c r="CQ7" s="4480"/>
      <c r="CR7" s="4480"/>
      <c r="CS7" s="4481"/>
      <c r="CT7" s="3892"/>
      <c r="CU7" s="3892"/>
      <c r="CV7" s="4026"/>
      <c r="CY7" s="2392"/>
      <c r="CZ7" s="4479" t="str">
        <f>("$/MWh (Nominal "&amp;StartYr&amp;"$)")</f>
        <v>$/MWh (Nominal 2013$)</v>
      </c>
      <c r="DA7" s="4480"/>
      <c r="DB7" s="4480"/>
      <c r="DC7" s="4480"/>
      <c r="DD7" s="4480"/>
      <c r="DE7" s="4480"/>
      <c r="DF7" s="4480"/>
      <c r="DG7" s="4480"/>
      <c r="DH7" s="4480"/>
      <c r="DI7" s="4481"/>
      <c r="DJ7" s="3892"/>
      <c r="DK7" s="3892"/>
      <c r="DL7" s="4026" t="s">
        <v>1376</v>
      </c>
      <c r="DM7" s="2341"/>
      <c r="DN7" s="4482" t="str">
        <f>("(Nominal "&amp;StartYr&amp;"$)")</f>
        <v>(Nominal 2013$)</v>
      </c>
      <c r="DO7" s="4483"/>
      <c r="DP7" s="4483"/>
      <c r="DQ7" s="4484"/>
      <c r="DU7" s="2392"/>
      <c r="DV7" s="4479" t="str">
        <f>("$/kW-Year (Nominal "&amp;StartYr&amp;"$)")</f>
        <v>$/kW-Year (Nominal 2013$)</v>
      </c>
      <c r="DW7" s="4480"/>
      <c r="DX7" s="4480"/>
      <c r="DY7" s="4480"/>
      <c r="DZ7" s="4480"/>
      <c r="EA7" s="4480"/>
      <c r="EB7" s="4480"/>
      <c r="EC7" s="4480"/>
      <c r="ED7" s="4480"/>
      <c r="EE7" s="4481"/>
      <c r="EF7" s="4023"/>
      <c r="EG7" s="4023"/>
      <c r="EK7" s="2392"/>
      <c r="EL7" s="4479" t="str">
        <f>("$/MWh (Nominal "&amp;StartYr&amp;"$)")</f>
        <v>$/MWh (Nominal 2013$)</v>
      </c>
      <c r="EM7" s="4480"/>
      <c r="EN7" s="4480"/>
      <c r="EO7" s="4480"/>
      <c r="EP7" s="4480"/>
      <c r="EQ7" s="4480"/>
      <c r="ER7" s="4480"/>
      <c r="ES7" s="4480"/>
      <c r="ET7" s="4480"/>
      <c r="EU7" s="4481"/>
      <c r="EV7" s="4023"/>
      <c r="EW7" s="4023"/>
      <c r="EX7" s="4030"/>
      <c r="EZ7" s="2392"/>
      <c r="FA7" s="4479" t="str">
        <f>("$/kW-Year (Nominal "&amp;StartYr&amp;"$)")</f>
        <v>$/kW-Year (Nominal 2013$)</v>
      </c>
      <c r="FB7" s="4480"/>
      <c r="FC7" s="4480"/>
      <c r="FD7" s="4480"/>
      <c r="FE7" s="4480"/>
      <c r="FF7" s="4480"/>
      <c r="FG7" s="4480"/>
      <c r="FH7" s="4480"/>
      <c r="FI7" s="4480"/>
      <c r="FJ7" s="4481"/>
      <c r="FK7" s="4023"/>
      <c r="FL7" s="4023"/>
      <c r="FN7" s="2340"/>
      <c r="FP7" s="2392"/>
      <c r="FQ7" s="4479" t="str">
        <f>("$/MWh (Nominal "&amp;StartYr&amp;"$)")</f>
        <v>$/MWh (Nominal 2013$)</v>
      </c>
      <c r="FR7" s="4480"/>
      <c r="FS7" s="4480"/>
      <c r="FT7" s="4480"/>
      <c r="FU7" s="4480"/>
      <c r="FV7" s="4480"/>
      <c r="FW7" s="4480"/>
      <c r="FX7" s="4480"/>
      <c r="FY7" s="4480"/>
      <c r="FZ7" s="4481"/>
      <c r="GA7" s="4023"/>
      <c r="GB7" s="4023"/>
    </row>
    <row r="8" spans="1:184" s="1814" customFormat="1" ht="79.900000000000006" customHeight="1">
      <c r="A8" s="1811"/>
      <c r="B8" s="1811"/>
      <c r="C8" s="1811"/>
      <c r="D8" s="1868"/>
      <c r="E8" s="1811"/>
      <c r="F8" s="1905" t="str">
        <f>("In-Service Year = "&amp;StartYr&amp;"")</f>
        <v>In-Service Year = 2013</v>
      </c>
      <c r="G8" s="1905" t="s">
        <v>1377</v>
      </c>
      <c r="H8" s="2352" t="s">
        <v>1378</v>
      </c>
      <c r="I8" s="2353" t="s">
        <v>196</v>
      </c>
      <c r="J8" s="2354" t="s">
        <v>303</v>
      </c>
      <c r="K8" s="2353" t="s">
        <v>301</v>
      </c>
      <c r="L8" s="2353" t="s">
        <v>1379</v>
      </c>
      <c r="M8" s="2355" t="s">
        <v>958</v>
      </c>
      <c r="N8" s="2352" t="s">
        <v>157</v>
      </c>
      <c r="O8" s="2353" t="s">
        <v>164</v>
      </c>
      <c r="P8" s="2355" t="s">
        <v>1697</v>
      </c>
      <c r="Q8" s="2356" t="str">
        <f>"Total Levelized Costs "&amp;Perspective&amp;""</f>
        <v>Total Levelized Costs At Interconnection Point</v>
      </c>
      <c r="R8" s="3534" t="s">
        <v>1958</v>
      </c>
      <c r="S8" s="4024" t="s">
        <v>1696</v>
      </c>
      <c r="T8" s="2274"/>
      <c r="V8" s="1905" t="str">
        <f>("In-Service Year = "&amp;StartYr&amp;"")</f>
        <v>In-Service Year = 2013</v>
      </c>
      <c r="W8" s="1905" t="s">
        <v>1377</v>
      </c>
      <c r="X8" s="2352" t="s">
        <v>1378</v>
      </c>
      <c r="Y8" s="2353" t="s">
        <v>196</v>
      </c>
      <c r="Z8" s="2354" t="s">
        <v>303</v>
      </c>
      <c r="AA8" s="2353" t="s">
        <v>301</v>
      </c>
      <c r="AB8" s="2353" t="s">
        <v>1379</v>
      </c>
      <c r="AC8" s="2355" t="s">
        <v>958</v>
      </c>
      <c r="AD8" s="2352" t="s">
        <v>157</v>
      </c>
      <c r="AE8" s="2353" t="s">
        <v>164</v>
      </c>
      <c r="AF8" s="2793" t="s">
        <v>1697</v>
      </c>
      <c r="AG8" s="1905" t="str">
        <f>"Total Levelized Costs "&amp;Perspective&amp;""</f>
        <v>Total Levelized Costs At Interconnection Point</v>
      </c>
      <c r="AH8" s="3534" t="s">
        <v>1958</v>
      </c>
      <c r="AI8" s="4024" t="s">
        <v>1696</v>
      </c>
      <c r="AJ8" s="4024" t="str">
        <f>AG8</f>
        <v>Total Levelized Costs At Interconnection Point</v>
      </c>
      <c r="AK8" s="1816"/>
      <c r="AL8" s="2388" t="s">
        <v>1548</v>
      </c>
      <c r="AM8" s="2355" t="s">
        <v>1493</v>
      </c>
      <c r="AN8" s="2388" t="s">
        <v>1549</v>
      </c>
      <c r="AO8" s="2355" t="s">
        <v>970</v>
      </c>
      <c r="AP8" s="2274"/>
      <c r="AQ8" s="2274"/>
      <c r="AR8" s="1816"/>
      <c r="AS8" s="1816"/>
      <c r="AT8" s="1905" t="str">
        <f>("In-Service Year = "&amp;StartYr&amp;"")</f>
        <v>In-Service Year = 2013</v>
      </c>
      <c r="AU8" s="1905" t="s">
        <v>1377</v>
      </c>
      <c r="AV8" s="2352" t="s">
        <v>1378</v>
      </c>
      <c r="AW8" s="2353" t="s">
        <v>196</v>
      </c>
      <c r="AX8" s="2354" t="s">
        <v>303</v>
      </c>
      <c r="AY8" s="2353" t="s">
        <v>301</v>
      </c>
      <c r="AZ8" s="2353" t="s">
        <v>1379</v>
      </c>
      <c r="BA8" s="2355" t="s">
        <v>958</v>
      </c>
      <c r="BB8" s="2352" t="s">
        <v>157</v>
      </c>
      <c r="BC8" s="2353" t="s">
        <v>164</v>
      </c>
      <c r="BD8" s="2355" t="s">
        <v>1697</v>
      </c>
      <c r="BE8" s="2356" t="str">
        <f>"Total Levelized Costs "&amp;Perspective&amp;""</f>
        <v>Total Levelized Costs At Interconnection Point</v>
      </c>
      <c r="BF8" s="3534" t="s">
        <v>1958</v>
      </c>
      <c r="BG8" s="4024" t="s">
        <v>1696</v>
      </c>
      <c r="BH8" s="2274"/>
      <c r="BJ8" s="1905" t="str">
        <f>("In-Service Year = "&amp;StartYr&amp;"")</f>
        <v>In-Service Year = 2013</v>
      </c>
      <c r="BK8" s="1905" t="s">
        <v>1377</v>
      </c>
      <c r="BL8" s="2352" t="s">
        <v>1378</v>
      </c>
      <c r="BM8" s="2353" t="s">
        <v>196</v>
      </c>
      <c r="BN8" s="2354" t="s">
        <v>303</v>
      </c>
      <c r="BO8" s="2353" t="s">
        <v>301</v>
      </c>
      <c r="BP8" s="2353" t="s">
        <v>1379</v>
      </c>
      <c r="BQ8" s="2797" t="s">
        <v>958</v>
      </c>
      <c r="BR8" s="2352" t="s">
        <v>157</v>
      </c>
      <c r="BS8" s="2353" t="s">
        <v>164</v>
      </c>
      <c r="BT8" s="2355" t="s">
        <v>1697</v>
      </c>
      <c r="BU8" s="2356" t="str">
        <f>"Total Levelized Costs "&amp;Perspective&amp;""</f>
        <v>Total Levelized Costs At Interconnection Point</v>
      </c>
      <c r="BV8" s="3534" t="s">
        <v>1958</v>
      </c>
      <c r="BW8" s="4024" t="s">
        <v>1696</v>
      </c>
      <c r="BX8" s="4024" t="str">
        <f>BU8</f>
        <v>Total Levelized Costs At Interconnection Point</v>
      </c>
      <c r="BY8" s="1816"/>
      <c r="BZ8" s="2388" t="s">
        <v>1548</v>
      </c>
      <c r="CA8" s="2355" t="s">
        <v>1493</v>
      </c>
      <c r="CB8" s="2388" t="s">
        <v>1549</v>
      </c>
      <c r="CC8" s="2355" t="s">
        <v>970</v>
      </c>
      <c r="CD8" s="1820"/>
      <c r="CE8" s="1820"/>
      <c r="CF8" s="1820"/>
      <c r="CG8" s="2346"/>
      <c r="CH8" s="2327" t="str">
        <f>("In-Service Year = "&amp;StartYr&amp;"")</f>
        <v>In-Service Year = 2013</v>
      </c>
      <c r="CI8" s="1905" t="s">
        <v>1377</v>
      </c>
      <c r="CJ8" s="2352" t="s">
        <v>1378</v>
      </c>
      <c r="CK8" s="2353" t="s">
        <v>196</v>
      </c>
      <c r="CL8" s="2354" t="s">
        <v>303</v>
      </c>
      <c r="CM8" s="2353" t="s">
        <v>301</v>
      </c>
      <c r="CN8" s="2353" t="s">
        <v>1379</v>
      </c>
      <c r="CO8" s="2355" t="s">
        <v>958</v>
      </c>
      <c r="CP8" s="2352" t="s">
        <v>157</v>
      </c>
      <c r="CQ8" s="2353" t="s">
        <v>164</v>
      </c>
      <c r="CR8" s="2355" t="s">
        <v>1697</v>
      </c>
      <c r="CS8" s="2356" t="str">
        <f>"Total Levelized Costs "&amp;Perspective&amp;""</f>
        <v>Total Levelized Costs At Interconnection Point</v>
      </c>
      <c r="CT8" s="3534"/>
      <c r="CU8" s="4024"/>
      <c r="CV8" s="4026"/>
      <c r="CW8" s="2347"/>
      <c r="CX8" s="2327" t="str">
        <f>("In-Service Year = "&amp;StartYr&amp;"")</f>
        <v>In-Service Year = 2013</v>
      </c>
      <c r="CY8" s="2327" t="s">
        <v>1377</v>
      </c>
      <c r="CZ8" s="2352" t="s">
        <v>1378</v>
      </c>
      <c r="DA8" s="2353" t="s">
        <v>196</v>
      </c>
      <c r="DB8" s="2354" t="s">
        <v>303</v>
      </c>
      <c r="DC8" s="2353" t="s">
        <v>301</v>
      </c>
      <c r="DD8" s="2353" t="s">
        <v>1379</v>
      </c>
      <c r="DE8" s="2355" t="s">
        <v>958</v>
      </c>
      <c r="DF8" s="2352" t="s">
        <v>157</v>
      </c>
      <c r="DG8" s="2353" t="s">
        <v>164</v>
      </c>
      <c r="DH8" s="2355" t="s">
        <v>1697</v>
      </c>
      <c r="DI8" s="2356" t="str">
        <f>"Total Levelized Costs "&amp;Perspective&amp;""</f>
        <v>Total Levelized Costs At Interconnection Point</v>
      </c>
      <c r="DJ8" s="3534" t="s">
        <v>1958</v>
      </c>
      <c r="DK8" s="4024" t="s">
        <v>1696</v>
      </c>
      <c r="DL8" s="4024" t="s">
        <v>1696</v>
      </c>
      <c r="DM8" s="2341"/>
      <c r="DN8" s="2806" t="s">
        <v>1548</v>
      </c>
      <c r="DO8" s="2353" t="s">
        <v>1493</v>
      </c>
      <c r="DP8" s="2806" t="s">
        <v>1549</v>
      </c>
      <c r="DQ8" s="2807" t="s">
        <v>970</v>
      </c>
      <c r="DT8" s="2327" t="str">
        <f>("In-Service Year = "&amp;StartYr&amp;"")</f>
        <v>In-Service Year = 2013</v>
      </c>
      <c r="DU8" s="2327" t="s">
        <v>1377</v>
      </c>
      <c r="DV8" s="2352" t="s">
        <v>1378</v>
      </c>
      <c r="DW8" s="2353" t="s">
        <v>196</v>
      </c>
      <c r="DX8" s="2354" t="s">
        <v>303</v>
      </c>
      <c r="DY8" s="2353" t="s">
        <v>301</v>
      </c>
      <c r="DZ8" s="2353" t="s">
        <v>1379</v>
      </c>
      <c r="EA8" s="2355" t="s">
        <v>958</v>
      </c>
      <c r="EB8" s="3474" t="s">
        <v>157</v>
      </c>
      <c r="EC8" s="2792" t="s">
        <v>164</v>
      </c>
      <c r="ED8" s="2355" t="s">
        <v>1697</v>
      </c>
      <c r="EE8" s="2356" t="str">
        <f>"Total Levelized Costs "&amp;Perspective&amp;""</f>
        <v>Total Levelized Costs At Interconnection Point</v>
      </c>
      <c r="EF8" s="3534"/>
      <c r="EG8" s="4024"/>
      <c r="EJ8" s="2327" t="str">
        <f>("In-Service Year = "&amp;StartYr&amp;"")</f>
        <v>In-Service Year = 2013</v>
      </c>
      <c r="EK8" s="2327" t="s">
        <v>1377</v>
      </c>
      <c r="EL8" s="2352" t="s">
        <v>1378</v>
      </c>
      <c r="EM8" s="2353" t="s">
        <v>196</v>
      </c>
      <c r="EN8" s="2354" t="s">
        <v>303</v>
      </c>
      <c r="EO8" s="2353" t="s">
        <v>301</v>
      </c>
      <c r="EP8" s="2353" t="s">
        <v>1379</v>
      </c>
      <c r="EQ8" s="2355" t="s">
        <v>958</v>
      </c>
      <c r="ER8" s="2352" t="s">
        <v>157</v>
      </c>
      <c r="ES8" s="2353" t="s">
        <v>164</v>
      </c>
      <c r="ET8" s="2355" t="s">
        <v>1697</v>
      </c>
      <c r="EU8" s="1905" t="str">
        <f>"Total Levelized Costs "&amp;Perspective&amp;""</f>
        <v>Total Levelized Costs At Interconnection Point</v>
      </c>
      <c r="EV8" s="3534" t="s">
        <v>1958</v>
      </c>
      <c r="EW8" s="4024" t="s">
        <v>1696</v>
      </c>
      <c r="EX8" s="4031"/>
      <c r="EY8" s="2327" t="str">
        <f>("In-Service Year = "&amp;StartYr&amp;"")</f>
        <v>In-Service Year = 2013</v>
      </c>
      <c r="EZ8" s="2327" t="s">
        <v>1377</v>
      </c>
      <c r="FA8" s="2352" t="s">
        <v>1378</v>
      </c>
      <c r="FB8" s="2353" t="s">
        <v>196</v>
      </c>
      <c r="FC8" s="2354" t="s">
        <v>303</v>
      </c>
      <c r="FD8" s="2353" t="s">
        <v>301</v>
      </c>
      <c r="FE8" s="2353" t="s">
        <v>1379</v>
      </c>
      <c r="FF8" s="2355" t="s">
        <v>958</v>
      </c>
      <c r="FG8" s="3474" t="s">
        <v>157</v>
      </c>
      <c r="FH8" s="2792" t="s">
        <v>164</v>
      </c>
      <c r="FI8" s="2355" t="s">
        <v>1697</v>
      </c>
      <c r="FJ8" s="2356" t="str">
        <f>"Total Levelized Costs "&amp;Perspective&amp;""</f>
        <v>Total Levelized Costs At Interconnection Point</v>
      </c>
      <c r="FK8" s="3534" t="s">
        <v>1958</v>
      </c>
      <c r="FL8" s="4024" t="s">
        <v>1696</v>
      </c>
      <c r="FN8" s="1288"/>
      <c r="FO8" s="2327" t="str">
        <f>("In-Service Year = "&amp;StartYr&amp;"")</f>
        <v>In-Service Year = 2013</v>
      </c>
      <c r="FP8" s="2327" t="s">
        <v>1377</v>
      </c>
      <c r="FQ8" s="2352" t="s">
        <v>1378</v>
      </c>
      <c r="FR8" s="2353" t="s">
        <v>196</v>
      </c>
      <c r="FS8" s="2354" t="s">
        <v>303</v>
      </c>
      <c r="FT8" s="2353" t="s">
        <v>301</v>
      </c>
      <c r="FU8" s="2353" t="s">
        <v>1379</v>
      </c>
      <c r="FV8" s="2355" t="s">
        <v>958</v>
      </c>
      <c r="FW8" s="2352" t="s">
        <v>157</v>
      </c>
      <c r="FX8" s="2353" t="s">
        <v>164</v>
      </c>
      <c r="FY8" s="2355" t="s">
        <v>1697</v>
      </c>
      <c r="FZ8" s="1905" t="str">
        <f>"Total Levelized Costs "&amp;Perspective&amp;""</f>
        <v>Total Levelized Costs At Interconnection Point</v>
      </c>
      <c r="GA8" s="3534" t="s">
        <v>1958</v>
      </c>
      <c r="GB8" s="4024" t="s">
        <v>1696</v>
      </c>
    </row>
    <row r="9" spans="1:184">
      <c r="A9" s="1908"/>
      <c r="B9" s="1908"/>
      <c r="C9" s="1803"/>
      <c r="D9" s="1291"/>
      <c r="E9" s="1801"/>
      <c r="F9" s="2288" t="s">
        <v>1785</v>
      </c>
      <c r="G9" s="2289">
        <v>49.9</v>
      </c>
      <c r="H9" s="2278">
        <v>135.48953248233485</v>
      </c>
      <c r="I9" s="2279">
        <v>9.2862000562267379</v>
      </c>
      <c r="J9" s="2279">
        <v>13.466438804169922</v>
      </c>
      <c r="K9" s="2279">
        <v>35.510659762142353</v>
      </c>
      <c r="L9" s="2279">
        <v>39.209811213706963</v>
      </c>
      <c r="M9" s="2280">
        <v>232.96264231858081</v>
      </c>
      <c r="N9" s="2278">
        <v>42.69774194273343</v>
      </c>
      <c r="O9" s="2281">
        <v>0</v>
      </c>
      <c r="P9" s="2280">
        <v>42.69774194273343</v>
      </c>
      <c r="Q9" s="4025">
        <v>275.66038426131422</v>
      </c>
      <c r="R9" s="3545">
        <v>0</v>
      </c>
      <c r="S9" s="3638">
        <v>275.66038426131422</v>
      </c>
      <c r="T9" s="2362"/>
      <c r="U9" s="1289"/>
      <c r="V9" s="2288" t="s">
        <v>1785</v>
      </c>
      <c r="W9" s="2289">
        <v>49.9</v>
      </c>
      <c r="X9" s="2278">
        <v>325.77552197082849</v>
      </c>
      <c r="Y9" s="2279">
        <v>22.328047156242352</v>
      </c>
      <c r="Z9" s="2279">
        <v>32.379151733279897</v>
      </c>
      <c r="AA9" s="2279">
        <v>85.383007141520125</v>
      </c>
      <c r="AB9" s="2279">
        <v>94.277369480099523</v>
      </c>
      <c r="AC9" s="2280">
        <v>560.14309748197036</v>
      </c>
      <c r="AD9" s="2278">
        <v>102.66386571363577</v>
      </c>
      <c r="AE9" s="2281">
        <v>0</v>
      </c>
      <c r="AF9" s="3960">
        <v>102.66386571363577</v>
      </c>
      <c r="AG9" s="3475">
        <v>662.80696319560616</v>
      </c>
      <c r="AH9" s="4225">
        <v>0</v>
      </c>
      <c r="AI9" s="3638">
        <v>662.80696319560616</v>
      </c>
      <c r="AJ9" s="4029">
        <f t="shared" ref="AJ9:AJ27" si="0">AI9/10</f>
        <v>66.280696319560619</v>
      </c>
      <c r="AK9" s="2346"/>
      <c r="AL9" s="2784">
        <v>1224.4188767980133</v>
      </c>
      <c r="AM9" s="2785">
        <v>1309.931421816184</v>
      </c>
      <c r="AN9" s="2290">
        <v>28.387672253011708</v>
      </c>
      <c r="AO9" s="2291">
        <v>0</v>
      </c>
      <c r="AP9" s="2282"/>
      <c r="AQ9" s="2282"/>
      <c r="AR9" s="2282"/>
      <c r="AS9" s="1291"/>
      <c r="AT9" s="2394" t="s">
        <v>1785</v>
      </c>
      <c r="AU9" s="3648">
        <v>49.9</v>
      </c>
      <c r="AV9" s="2396">
        <v>135.48953248233485</v>
      </c>
      <c r="AW9" s="2397">
        <v>9.2862000562267379</v>
      </c>
      <c r="AX9" s="2397">
        <v>13.466438804169922</v>
      </c>
      <c r="AY9" s="2397">
        <v>35.510659762142353</v>
      </c>
      <c r="AZ9" s="2397">
        <v>39.209811213706963</v>
      </c>
      <c r="BA9" s="2398">
        <v>232.96264231858081</v>
      </c>
      <c r="BB9" s="2396">
        <v>42.69774194273343</v>
      </c>
      <c r="BC9" s="2399">
        <v>0</v>
      </c>
      <c r="BD9" s="3651">
        <v>42.69774194273343</v>
      </c>
      <c r="BE9" s="3770">
        <v>275.66038426131422</v>
      </c>
      <c r="BF9" s="3545">
        <v>0</v>
      </c>
      <c r="BG9" s="3638">
        <v>275.66038426131422</v>
      </c>
      <c r="BH9" s="2362"/>
      <c r="BI9" s="2340"/>
      <c r="BJ9" s="2394" t="s">
        <v>1785</v>
      </c>
      <c r="BK9" s="2395">
        <v>49.9</v>
      </c>
      <c r="BL9" s="2396">
        <v>325.77552197082849</v>
      </c>
      <c r="BM9" s="2397">
        <v>22.328047156242352</v>
      </c>
      <c r="BN9" s="2397">
        <v>32.379151733279897</v>
      </c>
      <c r="BO9" s="2397">
        <v>85.383007141520125</v>
      </c>
      <c r="BP9" s="2397">
        <v>94.277369480099523</v>
      </c>
      <c r="BQ9" s="2798">
        <v>560.14309748197036</v>
      </c>
      <c r="BR9" s="2396">
        <v>102.66386571363577</v>
      </c>
      <c r="BS9" s="2399">
        <v>0</v>
      </c>
      <c r="BT9" s="2398">
        <v>102.66386571363577</v>
      </c>
      <c r="BU9" s="4034">
        <v>662.80696319560616</v>
      </c>
      <c r="BV9" s="3642">
        <v>0</v>
      </c>
      <c r="BW9" s="3638">
        <v>662.80696319560616</v>
      </c>
      <c r="BX9" s="3638">
        <f>IF(BK9=0,"",BW9/10)</f>
        <v>66.280696319560619</v>
      </c>
      <c r="BY9" s="1291"/>
      <c r="BZ9" s="2786">
        <v>1224.4188767980133</v>
      </c>
      <c r="CA9" s="2787">
        <v>1309.931421816184</v>
      </c>
      <c r="CB9" s="2400">
        <v>28.387672253011708</v>
      </c>
      <c r="CC9" s="2401">
        <v>0</v>
      </c>
      <c r="CD9" s="2362"/>
      <c r="CE9" s="2362"/>
      <c r="CF9" s="2362"/>
      <c r="CG9" s="2346"/>
      <c r="CH9" s="2410" t="str">
        <f t="shared" ref="CH9:CH39" si="1">IF(AT9=0, "",AT9)</f>
        <v>Generation Turbine 49.9 MW</v>
      </c>
      <c r="CI9" s="2411">
        <f t="shared" ref="CI9:CI39" si="2">IF(AU9=0, "",AU9)</f>
        <v>49.9</v>
      </c>
      <c r="CJ9" s="2412">
        <f t="shared" ref="CJ9:CJ30" si="3">IF($G9=0,"",AV9-H9)</f>
        <v>0</v>
      </c>
      <c r="CK9" s="2413">
        <f t="shared" ref="CK9:CK30" si="4">IF($G9=0,"",AW9-I9)</f>
        <v>0</v>
      </c>
      <c r="CL9" s="2413">
        <f t="shared" ref="CL9:CL30" si="5">IF($G9=0,"",AX9-J9)</f>
        <v>0</v>
      </c>
      <c r="CM9" s="2413">
        <f t="shared" ref="CM9:CM30" si="6">IF($G9=0,"",AY9-K9)</f>
        <v>0</v>
      </c>
      <c r="CN9" s="2413">
        <f t="shared" ref="CN9:CN30" si="7">IF($G9=0,"",AZ9-L9)</f>
        <v>0</v>
      </c>
      <c r="CO9" s="2414">
        <f t="shared" ref="CO9:CO30" si="8">IF($G9=0,"",BA9-M9)</f>
        <v>0</v>
      </c>
      <c r="CP9" s="2412">
        <f t="shared" ref="CP9:CP30" si="9">IF($G9=0,"",BB9-N9)</f>
        <v>0</v>
      </c>
      <c r="CQ9" s="2415">
        <f t="shared" ref="CQ9:CQ30" si="10">IF($G9=0,"",BC9-O9)</f>
        <v>0</v>
      </c>
      <c r="CR9" s="2414">
        <f t="shared" ref="CR9:CR30" si="11">IF($G9=0,"",BD9-P9)</f>
        <v>0</v>
      </c>
      <c r="CS9" s="3367">
        <f t="shared" ref="CS9:CS30" si="12">IF($G9=0,"",BE9-Q9)</f>
        <v>0</v>
      </c>
      <c r="CT9" s="3646"/>
      <c r="CU9" s="3638"/>
      <c r="CV9" s="3638"/>
      <c r="CW9" s="2340"/>
      <c r="CX9" s="2410" t="str">
        <f t="shared" ref="CX9:CX39" si="13">IF(BJ9=0, "",BJ9)</f>
        <v>Generation Turbine 49.9 MW</v>
      </c>
      <c r="CY9" s="2411">
        <f t="shared" ref="CY9:CY39" si="14">IF(BK9=0, "",BK9)</f>
        <v>49.9</v>
      </c>
      <c r="CZ9" s="2412">
        <f t="shared" ref="CZ9:CZ39" si="15">IF($G9=0,"",BL9-X9)</f>
        <v>0</v>
      </c>
      <c r="DA9" s="2413">
        <f t="shared" ref="DA9:DA39" si="16">IF($G9=0,"",BM9-Y9)</f>
        <v>0</v>
      </c>
      <c r="DB9" s="2413">
        <f t="shared" ref="DB9:DB39" si="17">IF($G9=0,"",BN9-Z9)</f>
        <v>0</v>
      </c>
      <c r="DC9" s="2413">
        <f t="shared" ref="DC9:DC39" si="18">IF($G9=0,"",BO9-AA9)</f>
        <v>0</v>
      </c>
      <c r="DD9" s="2413">
        <f t="shared" ref="DD9:DD39" si="19">IF($G9=0,"",BP9-AB9)</f>
        <v>0</v>
      </c>
      <c r="DE9" s="2414">
        <f t="shared" ref="DE9:DE39" si="20">IF($G9=0,"",BQ9-AC9)</f>
        <v>0</v>
      </c>
      <c r="DF9" s="2412">
        <f t="shared" ref="DF9:DF39" si="21">IF($G9=0,"",BR9-AD9)</f>
        <v>0</v>
      </c>
      <c r="DG9" s="2415">
        <f t="shared" ref="DG9:DG39" si="22">IF($G9=0,"",BS9-AE9)</f>
        <v>0</v>
      </c>
      <c r="DH9" s="2414">
        <f t="shared" ref="DH9:DH39" si="23">IF($G9=0,"",BT9-AF9)</f>
        <v>0</v>
      </c>
      <c r="DI9" s="3367">
        <f t="shared" ref="DI9:DL24" si="24">IF($G9=0,"",BU9-AG9)</f>
        <v>0</v>
      </c>
      <c r="DJ9" s="3646">
        <f t="shared" si="24"/>
        <v>0</v>
      </c>
      <c r="DK9" s="3638">
        <f t="shared" si="24"/>
        <v>0</v>
      </c>
      <c r="DL9" s="3638">
        <f t="shared" si="24"/>
        <v>0</v>
      </c>
      <c r="DM9" s="2341"/>
      <c r="DN9" s="2419">
        <f t="shared" ref="DN9:DN39" si="25">IF($AT9=0,"",BZ9-AL9)</f>
        <v>0</v>
      </c>
      <c r="DO9" s="3686">
        <f t="shared" ref="DO9:DO39" si="26">IF($AT9=0,"",CA9-AM9)</f>
        <v>0</v>
      </c>
      <c r="DP9" s="2419">
        <f t="shared" ref="DP9:DP39" si="27">IF($AT9=0,"",CB9-AN9)</f>
        <v>0</v>
      </c>
      <c r="DQ9" s="2420">
        <f t="shared" ref="DQ9:DQ39" si="28">IF($AT9=0,"",CC9-AO9)</f>
        <v>0</v>
      </c>
      <c r="DT9" s="2288" t="str">
        <f t="shared" ref="DT9:DT39" si="29">IF(CH9=0, "",CH9)</f>
        <v>Generation Turbine 49.9 MW</v>
      </c>
      <c r="DU9" s="2289">
        <f t="shared" ref="DU9:DU39" si="30">IF(CI9=0, "",CI9)</f>
        <v>49.9</v>
      </c>
      <c r="DV9" s="2373">
        <f t="shared" ref="DV9:DV39" si="31">IF($H9=0,"",CJ9/H9)</f>
        <v>0</v>
      </c>
      <c r="DW9" s="2373">
        <f t="shared" ref="DW9:EE24" si="32">IF($H9=0,"",CK9/I9)</f>
        <v>0</v>
      </c>
      <c r="DX9" s="2788">
        <f>IF(J9=0,"0.00%",CL9/J9)</f>
        <v>0</v>
      </c>
      <c r="DY9" s="3693">
        <f t="shared" si="32"/>
        <v>0</v>
      </c>
      <c r="DZ9" s="3693">
        <f t="shared" si="32"/>
        <v>0</v>
      </c>
      <c r="EA9" s="3369">
        <f t="shared" si="32"/>
        <v>0</v>
      </c>
      <c r="EB9" s="2374">
        <f>IF(N9=0,"0.00%",CP9/N9)</f>
        <v>0</v>
      </c>
      <c r="EC9" s="3950" t="str">
        <f>IF(O9=0,"0.00%",CQ9/O9)</f>
        <v>0.00%</v>
      </c>
      <c r="ED9" s="3369">
        <f>IF(P9=0,"0.00%",CR9/P9)</f>
        <v>0</v>
      </c>
      <c r="EE9" s="2374">
        <f t="shared" si="32"/>
        <v>0</v>
      </c>
      <c r="EF9" s="3641"/>
      <c r="EG9" s="3641"/>
      <c r="EJ9" s="2288" t="str">
        <f t="shared" ref="EJ9:EJ39" si="33">IF(CX9=0, "",CX9)</f>
        <v>Generation Turbine 49.9 MW</v>
      </c>
      <c r="EK9" s="2289">
        <f t="shared" ref="EK9:EK39" si="34">IF(CY9=0, "",CY9)</f>
        <v>49.9</v>
      </c>
      <c r="EL9" s="2788">
        <f t="shared" ref="EL9:EL39" si="35">IF($H9=0,"",CZ9/X9)</f>
        <v>0</v>
      </c>
      <c r="EM9" s="3693">
        <f t="shared" ref="EM9:EM24" si="36">IF($H9=0,"",DA9/Y9)</f>
        <v>0</v>
      </c>
      <c r="EN9" s="3370">
        <f t="shared" ref="EN9:EN17" si="37">IF(DX9="0.00%","0.00%",DB9/Z9)</f>
        <v>0</v>
      </c>
      <c r="EO9" s="3693">
        <f t="shared" ref="EO9:EO26" si="38">IF(DY9="0.00%","0.00%",DC9/AA9)</f>
        <v>0</v>
      </c>
      <c r="EP9" s="3693">
        <f t="shared" ref="EP9:EP26" si="39">IF(DZ9="0.00%","0.00%",DD9/AB9)</f>
        <v>0</v>
      </c>
      <c r="EQ9" s="3369">
        <f t="shared" ref="EQ9:EQ26" si="40">IF(EA9="0.00%","0.00%",DE9/AC9)</f>
        <v>0</v>
      </c>
      <c r="ER9" s="2788">
        <f t="shared" ref="ER9:ER26" si="41">IF(EB9="0.00%","0.00%",DF9/AD9)</f>
        <v>0</v>
      </c>
      <c r="ES9" s="3693" t="str">
        <f t="shared" ref="ES9:ES26" si="42">IF(EC9="0.00%","0.00%",DG9/AE9)</f>
        <v>0.00%</v>
      </c>
      <c r="ET9" s="3369">
        <f t="shared" ref="ET9:ET26" si="43">IF(ED9="0.00%","0.00%",DH9/AF9)</f>
        <v>0</v>
      </c>
      <c r="EU9" s="2374">
        <f t="shared" ref="EU9:EU24" si="44">IF($H9=0,"",DI9/AG9)</f>
        <v>0</v>
      </c>
      <c r="EV9" s="3641" t="e">
        <f t="shared" ref="EV9:EV24" si="45">IF($H9=0,"",DJ9/AH9)</f>
        <v>#DIV/0!</v>
      </c>
      <c r="EW9" s="3641">
        <f t="shared" ref="EW9:EW24" si="46">IF($H9=0,"",DK9/AI9)</f>
        <v>0</v>
      </c>
      <c r="EX9" s="3537"/>
      <c r="EY9" s="4032" t="str">
        <f>DT9</f>
        <v>Generation Turbine 49.9 MW</v>
      </c>
      <c r="EZ9" s="2288">
        <f>DU9</f>
        <v>49.9</v>
      </c>
      <c r="FA9" s="2373">
        <f>CJ9/AV9</f>
        <v>0</v>
      </c>
      <c r="FB9" s="2373">
        <f t="shared" ref="FB9:FB27" si="47">CK9/AW9</f>
        <v>0</v>
      </c>
      <c r="FC9" s="2788">
        <f t="shared" ref="FC9:FC27" si="48">CL9/AX9</f>
        <v>0</v>
      </c>
      <c r="FD9" s="3693">
        <f t="shared" ref="FD9:FD27" si="49">CM9/AY9</f>
        <v>0</v>
      </c>
      <c r="FE9" s="3693">
        <f t="shared" ref="FE9:FE27" si="50">CN9/AZ9</f>
        <v>0</v>
      </c>
      <c r="FF9" s="3369">
        <f t="shared" ref="FF9:FF27" si="51">CO9/BA9</f>
        <v>0</v>
      </c>
      <c r="FG9" s="2374">
        <f t="shared" ref="FG9:FG27" si="52">CP9/BB9</f>
        <v>0</v>
      </c>
      <c r="FH9" s="3950" t="e">
        <f t="shared" ref="FH9:FH27" si="53">CQ9/BC9</f>
        <v>#DIV/0!</v>
      </c>
      <c r="FI9" s="3369">
        <f t="shared" ref="FI9:FI27" si="54">CR9/BD9</f>
        <v>0</v>
      </c>
      <c r="FJ9" s="2374">
        <f t="shared" ref="FJ9:FL27" si="55">CS9/BE9</f>
        <v>0</v>
      </c>
      <c r="FK9" s="3641" t="e">
        <f>IF($H9=0,"",CT9/BF9)</f>
        <v>#DIV/0!</v>
      </c>
      <c r="FL9" s="3641">
        <f t="shared" si="55"/>
        <v>0</v>
      </c>
      <c r="FO9" s="2288" t="str">
        <f>EY9</f>
        <v>Generation Turbine 49.9 MW</v>
      </c>
      <c r="FP9" s="2288">
        <f>EZ9</f>
        <v>49.9</v>
      </c>
      <c r="FQ9" s="2788">
        <f>CZ9/BL9</f>
        <v>0</v>
      </c>
      <c r="FR9" s="3693">
        <f t="shared" ref="FR9:FR27" si="56">DA9/BM9</f>
        <v>0</v>
      </c>
      <c r="FS9" s="3370">
        <f t="shared" ref="FS9:FS27" si="57">DB9/BN9</f>
        <v>0</v>
      </c>
      <c r="FT9" s="3693">
        <f t="shared" ref="FT9:FT27" si="58">DC9/BO9</f>
        <v>0</v>
      </c>
      <c r="FU9" s="3693">
        <f t="shared" ref="FU9:FU27" si="59">DD9/BP9</f>
        <v>0</v>
      </c>
      <c r="FV9" s="3369">
        <f t="shared" ref="FV9:FV27" si="60">DE9/BQ9</f>
        <v>0</v>
      </c>
      <c r="FW9" s="2788">
        <f t="shared" ref="FW9:FW27" si="61">DF9/BR9</f>
        <v>0</v>
      </c>
      <c r="FX9" s="3693" t="e">
        <f t="shared" ref="FX9:FX27" si="62">DG9/BS9</f>
        <v>#DIV/0!</v>
      </c>
      <c r="FY9" s="3369">
        <f t="shared" ref="FY9:FY27" si="63">DH9/BT9</f>
        <v>0</v>
      </c>
      <c r="FZ9" s="2374">
        <f t="shared" ref="FZ9:FZ27" si="64">DI9/BU9</f>
        <v>0</v>
      </c>
      <c r="GA9" s="3641" t="e">
        <f>IF($H9=0,"",DJ9/BV9)</f>
        <v>#DIV/0!</v>
      </c>
      <c r="GB9" s="3641">
        <f>IF($H9=0,"",DK9/BW9)</f>
        <v>0</v>
      </c>
    </row>
    <row r="10" spans="1:184">
      <c r="A10" s="1908"/>
      <c r="B10" s="1908"/>
      <c r="C10" s="1803"/>
      <c r="D10" s="1291"/>
      <c r="E10" s="1802"/>
      <c r="F10" s="2288" t="s">
        <v>1786</v>
      </c>
      <c r="G10" s="2289">
        <v>100</v>
      </c>
      <c r="H10" s="2278">
        <v>135.0379380146677</v>
      </c>
      <c r="I10" s="2279">
        <v>9.2543171017080095</v>
      </c>
      <c r="J10" s="2279">
        <v>13.420203546117873</v>
      </c>
      <c r="K10" s="2279">
        <v>34.320358317601269</v>
      </c>
      <c r="L10" s="2279">
        <v>39.103461510563328</v>
      </c>
      <c r="M10" s="2280">
        <v>231.13627849065819</v>
      </c>
      <c r="N10" s="2278">
        <v>42.69774194273343</v>
      </c>
      <c r="O10" s="2281">
        <v>0</v>
      </c>
      <c r="P10" s="2280">
        <v>42.69774194273343</v>
      </c>
      <c r="Q10" s="4025">
        <v>273.83402043339163</v>
      </c>
      <c r="R10" s="3545">
        <v>0</v>
      </c>
      <c r="S10" s="3638">
        <v>273.83402043339163</v>
      </c>
      <c r="T10" s="2362"/>
      <c r="U10" s="1289"/>
      <c r="V10" s="2288" t="s">
        <v>1786</v>
      </c>
      <c r="W10" s="2289">
        <v>100</v>
      </c>
      <c r="X10" s="2278">
        <v>325.72520622122192</v>
      </c>
      <c r="Y10" s="2279">
        <v>22.32235170876946</v>
      </c>
      <c r="Z10" s="2279">
        <v>32.370892445908133</v>
      </c>
      <c r="AA10" s="2279">
        <v>82.784186095707767</v>
      </c>
      <c r="AB10" s="2279">
        <v>94.321516247592399</v>
      </c>
      <c r="AC10" s="2280">
        <v>557.52415271919972</v>
      </c>
      <c r="AD10" s="2278">
        <v>102.99128529322417</v>
      </c>
      <c r="AE10" s="2281">
        <v>0</v>
      </c>
      <c r="AF10" s="3960">
        <v>102.99128529322417</v>
      </c>
      <c r="AG10" s="3629">
        <v>660.51543801242383</v>
      </c>
      <c r="AH10" s="4225">
        <v>0</v>
      </c>
      <c r="AI10" s="3638">
        <v>660.51543801242383</v>
      </c>
      <c r="AJ10" s="4029">
        <f t="shared" si="0"/>
        <v>66.051543801242389</v>
      </c>
      <c r="AK10" s="2346"/>
      <c r="AL10" s="3634">
        <v>1220.2149945722963</v>
      </c>
      <c r="AM10" s="3635">
        <v>1305.4339434405792</v>
      </c>
      <c r="AN10" s="3497">
        <v>27.436130166318577</v>
      </c>
      <c r="AO10" s="3608">
        <v>0</v>
      </c>
      <c r="AP10" s="2282"/>
      <c r="AQ10" s="2282"/>
      <c r="AR10" s="2282"/>
      <c r="AS10" s="1291"/>
      <c r="AT10" s="2394" t="s">
        <v>1786</v>
      </c>
      <c r="AU10" s="3648">
        <v>100</v>
      </c>
      <c r="AV10" s="2396">
        <v>135.0379380146677</v>
      </c>
      <c r="AW10" s="2397">
        <v>9.2543171017080095</v>
      </c>
      <c r="AX10" s="2397">
        <v>13.420203546117873</v>
      </c>
      <c r="AY10" s="2397">
        <v>34.320358317601269</v>
      </c>
      <c r="AZ10" s="2397">
        <v>39.103461510563328</v>
      </c>
      <c r="BA10" s="2398">
        <v>231.13627849065819</v>
      </c>
      <c r="BB10" s="2396">
        <v>42.69774194273343</v>
      </c>
      <c r="BC10" s="2399">
        <v>0</v>
      </c>
      <c r="BD10" s="3651">
        <v>42.69774194273343</v>
      </c>
      <c r="BE10" s="3695">
        <v>273.83402043339163</v>
      </c>
      <c r="BF10" s="3545">
        <v>0</v>
      </c>
      <c r="BG10" s="3638">
        <v>273.83402043339163</v>
      </c>
      <c r="BH10" s="2362"/>
      <c r="BI10" s="2340"/>
      <c r="BJ10" s="2394" t="s">
        <v>1786</v>
      </c>
      <c r="BK10" s="2395">
        <v>100</v>
      </c>
      <c r="BL10" s="2396">
        <v>325.72520622122192</v>
      </c>
      <c r="BM10" s="2397">
        <v>22.32235170876946</v>
      </c>
      <c r="BN10" s="2397">
        <v>32.370892445908133</v>
      </c>
      <c r="BO10" s="2397">
        <v>82.784186095707767</v>
      </c>
      <c r="BP10" s="2397">
        <v>94.321516247592399</v>
      </c>
      <c r="BQ10" s="2798">
        <v>557.52415271919972</v>
      </c>
      <c r="BR10" s="2396">
        <v>102.99128529322417</v>
      </c>
      <c r="BS10" s="2399">
        <v>0</v>
      </c>
      <c r="BT10" s="2398">
        <v>102.99128529322417</v>
      </c>
      <c r="BU10" s="4034">
        <v>660.51543801242383</v>
      </c>
      <c r="BV10" s="3642">
        <v>0</v>
      </c>
      <c r="BW10" s="3638">
        <v>660.51543801242383</v>
      </c>
      <c r="BX10" s="3638">
        <f t="shared" ref="BX10:BX30" si="65">IF(BK10=0,"",BW10/10)</f>
        <v>66.051543801242389</v>
      </c>
      <c r="BY10" s="1291"/>
      <c r="BZ10" s="3670">
        <v>1220.2149945722963</v>
      </c>
      <c r="CA10" s="3671">
        <v>1305.4339434405792</v>
      </c>
      <c r="CB10" s="3523">
        <v>27.436130166318577</v>
      </c>
      <c r="CC10" s="3526">
        <v>0</v>
      </c>
      <c r="CD10" s="2362"/>
      <c r="CE10" s="2362"/>
      <c r="CF10" s="2362"/>
      <c r="CG10" s="2346"/>
      <c r="CH10" s="2410" t="str">
        <f t="shared" si="1"/>
        <v>Generation Turbine 100 MW</v>
      </c>
      <c r="CI10" s="2411">
        <f t="shared" si="2"/>
        <v>100</v>
      </c>
      <c r="CJ10" s="2412">
        <f t="shared" si="3"/>
        <v>0</v>
      </c>
      <c r="CK10" s="2413">
        <f t="shared" si="4"/>
        <v>0</v>
      </c>
      <c r="CL10" s="2413">
        <f t="shared" si="5"/>
        <v>0</v>
      </c>
      <c r="CM10" s="2413">
        <f t="shared" si="6"/>
        <v>0</v>
      </c>
      <c r="CN10" s="2413">
        <f t="shared" si="7"/>
        <v>0</v>
      </c>
      <c r="CO10" s="2414">
        <f t="shared" si="8"/>
        <v>0</v>
      </c>
      <c r="CP10" s="2412">
        <f t="shared" si="9"/>
        <v>0</v>
      </c>
      <c r="CQ10" s="2415">
        <f t="shared" si="10"/>
        <v>0</v>
      </c>
      <c r="CR10" s="2414">
        <f t="shared" si="11"/>
        <v>0</v>
      </c>
      <c r="CS10" s="3367">
        <f t="shared" si="12"/>
        <v>0</v>
      </c>
      <c r="CT10" s="3646"/>
      <c r="CU10" s="3638"/>
      <c r="CV10" s="3638"/>
      <c r="CW10" s="2340"/>
      <c r="CX10" s="2410" t="str">
        <f t="shared" si="13"/>
        <v>Generation Turbine 100 MW</v>
      </c>
      <c r="CY10" s="2411">
        <f t="shared" si="14"/>
        <v>100</v>
      </c>
      <c r="CZ10" s="2412">
        <f t="shared" si="15"/>
        <v>0</v>
      </c>
      <c r="DA10" s="2413">
        <f t="shared" si="16"/>
        <v>0</v>
      </c>
      <c r="DB10" s="2413">
        <f t="shared" si="17"/>
        <v>0</v>
      </c>
      <c r="DC10" s="2413">
        <f t="shared" si="18"/>
        <v>0</v>
      </c>
      <c r="DD10" s="2413">
        <f t="shared" si="19"/>
        <v>0</v>
      </c>
      <c r="DE10" s="2414">
        <f t="shared" si="20"/>
        <v>0</v>
      </c>
      <c r="DF10" s="2412">
        <f t="shared" si="21"/>
        <v>0</v>
      </c>
      <c r="DG10" s="2415">
        <f t="shared" si="22"/>
        <v>0</v>
      </c>
      <c r="DH10" s="2414">
        <f t="shared" si="23"/>
        <v>0</v>
      </c>
      <c r="DI10" s="3367">
        <f t="shared" si="24"/>
        <v>0</v>
      </c>
      <c r="DJ10" s="3646">
        <f t="shared" si="24"/>
        <v>0</v>
      </c>
      <c r="DK10" s="3638">
        <f t="shared" si="24"/>
        <v>0</v>
      </c>
      <c r="DL10" s="3638">
        <f t="shared" si="24"/>
        <v>0</v>
      </c>
      <c r="DM10" s="2341"/>
      <c r="DN10" s="3687">
        <f t="shared" si="25"/>
        <v>0</v>
      </c>
      <c r="DO10" s="3688">
        <f t="shared" si="26"/>
        <v>0</v>
      </c>
      <c r="DP10" s="3687">
        <f t="shared" si="27"/>
        <v>0</v>
      </c>
      <c r="DQ10" s="3689">
        <f t="shared" si="28"/>
        <v>0</v>
      </c>
      <c r="DT10" s="2288" t="str">
        <f t="shared" si="29"/>
        <v>Generation Turbine 100 MW</v>
      </c>
      <c r="DU10" s="2289">
        <f t="shared" si="30"/>
        <v>100</v>
      </c>
      <c r="DV10" s="2373">
        <f t="shared" si="31"/>
        <v>0</v>
      </c>
      <c r="DW10" s="2373">
        <f t="shared" si="32"/>
        <v>0</v>
      </c>
      <c r="DX10" s="2788">
        <f t="shared" ref="DX10:DX25" si="66">IF(J10=0,"0.00%",CL10/J10)</f>
        <v>0</v>
      </c>
      <c r="DY10" s="3693">
        <f t="shared" si="32"/>
        <v>0</v>
      </c>
      <c r="DZ10" s="3693">
        <f t="shared" si="32"/>
        <v>0</v>
      </c>
      <c r="EA10" s="3369">
        <f t="shared" si="32"/>
        <v>0</v>
      </c>
      <c r="EB10" s="2374">
        <f t="shared" ref="EB10:EB25" si="67">IF(N10=0,"0.00%",CP10/N10)</f>
        <v>0</v>
      </c>
      <c r="EC10" s="3950" t="str">
        <f t="shared" ref="EC10:ED25" si="68">IF(O10=0,"0.00%",CQ10/O10)</f>
        <v>0.00%</v>
      </c>
      <c r="ED10" s="3369">
        <f t="shared" si="68"/>
        <v>0</v>
      </c>
      <c r="EE10" s="2374">
        <f t="shared" si="32"/>
        <v>0</v>
      </c>
      <c r="EF10" s="3641"/>
      <c r="EG10" s="3641"/>
      <c r="EJ10" s="2288" t="str">
        <f t="shared" si="33"/>
        <v>Generation Turbine 100 MW</v>
      </c>
      <c r="EK10" s="2289">
        <f t="shared" si="34"/>
        <v>100</v>
      </c>
      <c r="EL10" s="2788">
        <f t="shared" si="35"/>
        <v>0</v>
      </c>
      <c r="EM10" s="3693">
        <f t="shared" si="36"/>
        <v>0</v>
      </c>
      <c r="EN10" s="3370">
        <f t="shared" si="37"/>
        <v>0</v>
      </c>
      <c r="EO10" s="3693">
        <f t="shared" si="38"/>
        <v>0</v>
      </c>
      <c r="EP10" s="3693">
        <f t="shared" si="39"/>
        <v>0</v>
      </c>
      <c r="EQ10" s="3369">
        <f t="shared" si="40"/>
        <v>0</v>
      </c>
      <c r="ER10" s="2788">
        <f t="shared" si="41"/>
        <v>0</v>
      </c>
      <c r="ES10" s="3693" t="str">
        <f t="shared" si="42"/>
        <v>0.00%</v>
      </c>
      <c r="ET10" s="3369">
        <f t="shared" si="43"/>
        <v>0</v>
      </c>
      <c r="EU10" s="2374">
        <f t="shared" si="44"/>
        <v>0</v>
      </c>
      <c r="EV10" s="3641" t="e">
        <f t="shared" si="45"/>
        <v>#DIV/0!</v>
      </c>
      <c r="EW10" s="3641">
        <f t="shared" si="46"/>
        <v>0</v>
      </c>
      <c r="EX10" s="3537"/>
      <c r="EY10" s="4032" t="str">
        <f t="shared" ref="EY10:EZ27" si="69">DT10</f>
        <v>Generation Turbine 100 MW</v>
      </c>
      <c r="EZ10" s="2288">
        <f t="shared" si="69"/>
        <v>100</v>
      </c>
      <c r="FA10" s="2373">
        <f t="shared" ref="FA10:FA27" si="70">CJ10/AV10</f>
        <v>0</v>
      </c>
      <c r="FB10" s="2373">
        <f t="shared" si="47"/>
        <v>0</v>
      </c>
      <c r="FC10" s="2788">
        <f t="shared" si="48"/>
        <v>0</v>
      </c>
      <c r="FD10" s="3693">
        <f t="shared" si="49"/>
        <v>0</v>
      </c>
      <c r="FE10" s="3693">
        <f t="shared" si="50"/>
        <v>0</v>
      </c>
      <c r="FF10" s="3369">
        <f t="shared" si="51"/>
        <v>0</v>
      </c>
      <c r="FG10" s="2374">
        <f t="shared" si="52"/>
        <v>0</v>
      </c>
      <c r="FH10" s="3950" t="e">
        <f t="shared" si="53"/>
        <v>#DIV/0!</v>
      </c>
      <c r="FI10" s="3369">
        <f t="shared" si="54"/>
        <v>0</v>
      </c>
      <c r="FJ10" s="2374">
        <f t="shared" si="55"/>
        <v>0</v>
      </c>
      <c r="FK10" s="3641" t="e">
        <f t="shared" ref="FK10:FK27" si="71">IF($H10=0,"",CT10/BF10)</f>
        <v>#DIV/0!</v>
      </c>
      <c r="FL10" s="3641">
        <f t="shared" si="55"/>
        <v>0</v>
      </c>
      <c r="FO10" s="2288" t="str">
        <f t="shared" ref="FO10:FO27" si="72">EY10</f>
        <v>Generation Turbine 100 MW</v>
      </c>
      <c r="FP10" s="2288">
        <f t="shared" ref="FP10:FP27" si="73">EZ10</f>
        <v>100</v>
      </c>
      <c r="FQ10" s="2788">
        <f t="shared" ref="FQ10:FQ27" si="74">CZ10/BL10</f>
        <v>0</v>
      </c>
      <c r="FR10" s="3693">
        <f t="shared" si="56"/>
        <v>0</v>
      </c>
      <c r="FS10" s="3370">
        <f t="shared" si="57"/>
        <v>0</v>
      </c>
      <c r="FT10" s="3693">
        <f t="shared" si="58"/>
        <v>0</v>
      </c>
      <c r="FU10" s="3693">
        <f t="shared" si="59"/>
        <v>0</v>
      </c>
      <c r="FV10" s="3369">
        <f t="shared" si="60"/>
        <v>0</v>
      </c>
      <c r="FW10" s="2788">
        <f t="shared" si="61"/>
        <v>0</v>
      </c>
      <c r="FX10" s="3693" t="e">
        <f t="shared" si="62"/>
        <v>#DIV/0!</v>
      </c>
      <c r="FY10" s="3369">
        <f t="shared" si="63"/>
        <v>0</v>
      </c>
      <c r="FZ10" s="2374">
        <f t="shared" si="64"/>
        <v>0</v>
      </c>
      <c r="GA10" s="3641" t="e">
        <f t="shared" ref="GA10:GA27" si="75">IF($H10=0,"",DJ10/BV10)</f>
        <v>#DIV/0!</v>
      </c>
      <c r="GB10" s="3641">
        <f t="shared" ref="GB10:GB27" si="76">IF($H10=0,"",DK10/BW10)</f>
        <v>0</v>
      </c>
    </row>
    <row r="11" spans="1:184">
      <c r="A11" s="1908"/>
      <c r="B11" s="1908"/>
      <c r="C11" s="1803"/>
      <c r="D11" s="1291"/>
      <c r="E11" s="1802"/>
      <c r="F11" s="2288" t="s">
        <v>1787</v>
      </c>
      <c r="G11" s="2289">
        <v>200</v>
      </c>
      <c r="H11" s="2278">
        <v>110.46782443843838</v>
      </c>
      <c r="I11" s="2279">
        <v>7.5815583554493635</v>
      </c>
      <c r="J11" s="2279">
        <v>10.994442400090499</v>
      </c>
      <c r="K11" s="2279">
        <v>31.569439423550758</v>
      </c>
      <c r="L11" s="2279">
        <v>31.939383370520101</v>
      </c>
      <c r="M11" s="2280">
        <v>192.5526479880491</v>
      </c>
      <c r="N11" s="2278">
        <v>59.780797425946204</v>
      </c>
      <c r="O11" s="2281">
        <v>0</v>
      </c>
      <c r="P11" s="2280">
        <v>59.780797425946204</v>
      </c>
      <c r="Q11" s="4025">
        <v>252.33344541399532</v>
      </c>
      <c r="R11" s="3545">
        <v>0</v>
      </c>
      <c r="S11" s="3638">
        <v>252.33344541399532</v>
      </c>
      <c r="T11" s="2362"/>
      <c r="U11" s="1289"/>
      <c r="V11" s="2288" t="s">
        <v>1787</v>
      </c>
      <c r="W11" s="2289">
        <v>200</v>
      </c>
      <c r="X11" s="2278">
        <v>176.78869836945793</v>
      </c>
      <c r="Y11" s="2279">
        <v>12.13325092700566</v>
      </c>
      <c r="Z11" s="2279">
        <v>17.595106729861975</v>
      </c>
      <c r="AA11" s="2279">
        <v>50.522585488711606</v>
      </c>
      <c r="AB11" s="2279">
        <v>51.114630359576395</v>
      </c>
      <c r="AC11" s="2280">
        <v>308.15427187461358</v>
      </c>
      <c r="AD11" s="2278">
        <v>95.671019304910203</v>
      </c>
      <c r="AE11" s="2281">
        <v>0</v>
      </c>
      <c r="AF11" s="3960">
        <v>95.671019304910203</v>
      </c>
      <c r="AG11" s="3629">
        <v>403.82529117952379</v>
      </c>
      <c r="AH11" s="4225">
        <v>0</v>
      </c>
      <c r="AI11" s="3638">
        <v>403.82529117952379</v>
      </c>
      <c r="AJ11" s="4029">
        <f t="shared" si="0"/>
        <v>40.38252911795238</v>
      </c>
      <c r="AK11" s="2346"/>
      <c r="AL11" s="3634">
        <v>987.24713727477865</v>
      </c>
      <c r="AM11" s="3635">
        <v>1069.4709844719357</v>
      </c>
      <c r="AN11" s="3497">
        <v>25.237010677072234</v>
      </c>
      <c r="AO11" s="3608">
        <v>0</v>
      </c>
      <c r="AP11" s="2282"/>
      <c r="AQ11" s="2282"/>
      <c r="AR11" s="2282"/>
      <c r="AS11" s="1291"/>
      <c r="AT11" s="2394" t="s">
        <v>1787</v>
      </c>
      <c r="AU11" s="3648">
        <v>200</v>
      </c>
      <c r="AV11" s="2396">
        <v>110.46782443843838</v>
      </c>
      <c r="AW11" s="2397">
        <v>7.5815583554493635</v>
      </c>
      <c r="AX11" s="2397">
        <v>10.994442400090499</v>
      </c>
      <c r="AY11" s="2397">
        <v>31.569439423550758</v>
      </c>
      <c r="AZ11" s="2397">
        <v>31.939383370520101</v>
      </c>
      <c r="BA11" s="2398">
        <v>192.5526479880491</v>
      </c>
      <c r="BB11" s="2396">
        <v>59.780797425946204</v>
      </c>
      <c r="BC11" s="2399">
        <v>0</v>
      </c>
      <c r="BD11" s="3651">
        <v>59.780797425946204</v>
      </c>
      <c r="BE11" s="3695">
        <v>252.33344541399532</v>
      </c>
      <c r="BF11" s="3545">
        <v>0</v>
      </c>
      <c r="BG11" s="3638">
        <v>252.33344541399532</v>
      </c>
      <c r="BH11" s="2362"/>
      <c r="BI11" s="2340"/>
      <c r="BJ11" s="2394" t="s">
        <v>1787</v>
      </c>
      <c r="BK11" s="2395">
        <v>200</v>
      </c>
      <c r="BL11" s="2396">
        <v>176.78869836945793</v>
      </c>
      <c r="BM11" s="2397">
        <v>12.13325092700566</v>
      </c>
      <c r="BN11" s="2397">
        <v>17.595106729861975</v>
      </c>
      <c r="BO11" s="2397">
        <v>50.522585488711606</v>
      </c>
      <c r="BP11" s="2397">
        <v>51.114630359576395</v>
      </c>
      <c r="BQ11" s="2798">
        <v>308.15427187461358</v>
      </c>
      <c r="BR11" s="2396">
        <v>95.671019304910203</v>
      </c>
      <c r="BS11" s="2399">
        <v>0</v>
      </c>
      <c r="BT11" s="2398">
        <v>95.671019304910203</v>
      </c>
      <c r="BU11" s="4034">
        <v>403.82529117952379</v>
      </c>
      <c r="BV11" s="3642">
        <v>0</v>
      </c>
      <c r="BW11" s="3638">
        <v>403.82529117952379</v>
      </c>
      <c r="BX11" s="3638">
        <f t="shared" si="65"/>
        <v>40.38252911795238</v>
      </c>
      <c r="BY11" s="1291"/>
      <c r="BZ11" s="3670">
        <v>987.24713727477865</v>
      </c>
      <c r="CA11" s="3671">
        <v>1069.4709844719357</v>
      </c>
      <c r="CB11" s="3523">
        <v>25.237010677072234</v>
      </c>
      <c r="CC11" s="3526">
        <v>0</v>
      </c>
      <c r="CD11" s="2362"/>
      <c r="CE11" s="2362"/>
      <c r="CF11" s="2362"/>
      <c r="CG11" s="2346"/>
      <c r="CH11" s="2410" t="str">
        <f t="shared" si="1"/>
        <v>Generation Turbine - Advanced 200 MW</v>
      </c>
      <c r="CI11" s="2411">
        <f t="shared" si="2"/>
        <v>200</v>
      </c>
      <c r="CJ11" s="2412">
        <f t="shared" si="3"/>
        <v>0</v>
      </c>
      <c r="CK11" s="2413">
        <f t="shared" si="4"/>
        <v>0</v>
      </c>
      <c r="CL11" s="2413">
        <f t="shared" si="5"/>
        <v>0</v>
      </c>
      <c r="CM11" s="2413">
        <f t="shared" si="6"/>
        <v>0</v>
      </c>
      <c r="CN11" s="2413">
        <f t="shared" si="7"/>
        <v>0</v>
      </c>
      <c r="CO11" s="2414">
        <f t="shared" si="8"/>
        <v>0</v>
      </c>
      <c r="CP11" s="2412">
        <f t="shared" si="9"/>
        <v>0</v>
      </c>
      <c r="CQ11" s="2415">
        <f t="shared" si="10"/>
        <v>0</v>
      </c>
      <c r="CR11" s="2414">
        <f t="shared" si="11"/>
        <v>0</v>
      </c>
      <c r="CS11" s="3367">
        <f t="shared" si="12"/>
        <v>0</v>
      </c>
      <c r="CT11" s="3646"/>
      <c r="CU11" s="3638"/>
      <c r="CV11" s="3638"/>
      <c r="CW11" s="2340"/>
      <c r="CX11" s="2410" t="str">
        <f t="shared" si="13"/>
        <v>Generation Turbine - Advanced 200 MW</v>
      </c>
      <c r="CY11" s="2411">
        <f t="shared" si="14"/>
        <v>200</v>
      </c>
      <c r="CZ11" s="2412">
        <f t="shared" si="15"/>
        <v>0</v>
      </c>
      <c r="DA11" s="2413">
        <f t="shared" si="16"/>
        <v>0</v>
      </c>
      <c r="DB11" s="2413">
        <f t="shared" si="17"/>
        <v>0</v>
      </c>
      <c r="DC11" s="2413">
        <f t="shared" si="18"/>
        <v>0</v>
      </c>
      <c r="DD11" s="2413">
        <f t="shared" si="19"/>
        <v>0</v>
      </c>
      <c r="DE11" s="2414">
        <f t="shared" si="20"/>
        <v>0</v>
      </c>
      <c r="DF11" s="2412">
        <f t="shared" si="21"/>
        <v>0</v>
      </c>
      <c r="DG11" s="2415">
        <f t="shared" si="22"/>
        <v>0</v>
      </c>
      <c r="DH11" s="2414">
        <f t="shared" si="23"/>
        <v>0</v>
      </c>
      <c r="DI11" s="3367">
        <f t="shared" si="24"/>
        <v>0</v>
      </c>
      <c r="DJ11" s="3646">
        <f t="shared" si="24"/>
        <v>0</v>
      </c>
      <c r="DK11" s="3638">
        <f t="shared" si="24"/>
        <v>0</v>
      </c>
      <c r="DL11" s="3638">
        <f t="shared" si="24"/>
        <v>0</v>
      </c>
      <c r="DM11" s="2341"/>
      <c r="DN11" s="3687">
        <f t="shared" si="25"/>
        <v>0</v>
      </c>
      <c r="DO11" s="3688">
        <f t="shared" si="26"/>
        <v>0</v>
      </c>
      <c r="DP11" s="3687">
        <f t="shared" si="27"/>
        <v>0</v>
      </c>
      <c r="DQ11" s="3689">
        <f t="shared" si="28"/>
        <v>0</v>
      </c>
      <c r="DT11" s="2288" t="str">
        <f t="shared" si="29"/>
        <v>Generation Turbine - Advanced 200 MW</v>
      </c>
      <c r="DU11" s="2289">
        <f t="shared" si="30"/>
        <v>200</v>
      </c>
      <c r="DV11" s="2373">
        <f t="shared" si="31"/>
        <v>0</v>
      </c>
      <c r="DW11" s="2373">
        <f t="shared" si="32"/>
        <v>0</v>
      </c>
      <c r="DX11" s="2788">
        <f t="shared" si="66"/>
        <v>0</v>
      </c>
      <c r="DY11" s="3693">
        <f t="shared" si="32"/>
        <v>0</v>
      </c>
      <c r="DZ11" s="3693">
        <f t="shared" si="32"/>
        <v>0</v>
      </c>
      <c r="EA11" s="3369">
        <f t="shared" si="32"/>
        <v>0</v>
      </c>
      <c r="EB11" s="2374">
        <f t="shared" si="67"/>
        <v>0</v>
      </c>
      <c r="EC11" s="3950" t="str">
        <f t="shared" si="68"/>
        <v>0.00%</v>
      </c>
      <c r="ED11" s="3369">
        <f t="shared" si="68"/>
        <v>0</v>
      </c>
      <c r="EE11" s="2374">
        <f t="shared" si="32"/>
        <v>0</v>
      </c>
      <c r="EF11" s="3641"/>
      <c r="EG11" s="3641"/>
      <c r="EJ11" s="2288" t="str">
        <f t="shared" si="33"/>
        <v>Generation Turbine - Advanced 200 MW</v>
      </c>
      <c r="EK11" s="2289">
        <f t="shared" si="34"/>
        <v>200</v>
      </c>
      <c r="EL11" s="2788">
        <f t="shared" si="35"/>
        <v>0</v>
      </c>
      <c r="EM11" s="3693">
        <f t="shared" si="36"/>
        <v>0</v>
      </c>
      <c r="EN11" s="3370">
        <f t="shared" si="37"/>
        <v>0</v>
      </c>
      <c r="EO11" s="3693">
        <f t="shared" si="38"/>
        <v>0</v>
      </c>
      <c r="EP11" s="3693">
        <f t="shared" si="39"/>
        <v>0</v>
      </c>
      <c r="EQ11" s="3369">
        <f t="shared" si="40"/>
        <v>0</v>
      </c>
      <c r="ER11" s="2788">
        <f t="shared" si="41"/>
        <v>0</v>
      </c>
      <c r="ES11" s="3693" t="str">
        <f t="shared" si="42"/>
        <v>0.00%</v>
      </c>
      <c r="ET11" s="3369">
        <f t="shared" si="43"/>
        <v>0</v>
      </c>
      <c r="EU11" s="2374">
        <f t="shared" si="44"/>
        <v>0</v>
      </c>
      <c r="EV11" s="3641" t="e">
        <f t="shared" si="45"/>
        <v>#DIV/0!</v>
      </c>
      <c r="EW11" s="3641">
        <f t="shared" si="46"/>
        <v>0</v>
      </c>
      <c r="EX11" s="3537"/>
      <c r="EY11" s="4032" t="str">
        <f t="shared" si="69"/>
        <v>Generation Turbine - Advanced 200 MW</v>
      </c>
      <c r="EZ11" s="2288">
        <f t="shared" si="69"/>
        <v>200</v>
      </c>
      <c r="FA11" s="2373">
        <f t="shared" si="70"/>
        <v>0</v>
      </c>
      <c r="FB11" s="2373">
        <f t="shared" si="47"/>
        <v>0</v>
      </c>
      <c r="FC11" s="2788">
        <f t="shared" si="48"/>
        <v>0</v>
      </c>
      <c r="FD11" s="3693">
        <f t="shared" si="49"/>
        <v>0</v>
      </c>
      <c r="FE11" s="3693">
        <f t="shared" si="50"/>
        <v>0</v>
      </c>
      <c r="FF11" s="3369">
        <f t="shared" si="51"/>
        <v>0</v>
      </c>
      <c r="FG11" s="2374">
        <f t="shared" si="52"/>
        <v>0</v>
      </c>
      <c r="FH11" s="3950" t="e">
        <f t="shared" si="53"/>
        <v>#DIV/0!</v>
      </c>
      <c r="FI11" s="3369">
        <f t="shared" si="54"/>
        <v>0</v>
      </c>
      <c r="FJ11" s="2374">
        <f t="shared" si="55"/>
        <v>0</v>
      </c>
      <c r="FK11" s="3641" t="e">
        <f t="shared" si="71"/>
        <v>#DIV/0!</v>
      </c>
      <c r="FL11" s="3641">
        <f t="shared" si="55"/>
        <v>0</v>
      </c>
      <c r="FO11" s="2288" t="str">
        <f t="shared" si="72"/>
        <v>Generation Turbine - Advanced 200 MW</v>
      </c>
      <c r="FP11" s="2288">
        <f t="shared" si="73"/>
        <v>200</v>
      </c>
      <c r="FQ11" s="2788">
        <f t="shared" si="74"/>
        <v>0</v>
      </c>
      <c r="FR11" s="3693">
        <f t="shared" si="56"/>
        <v>0</v>
      </c>
      <c r="FS11" s="3370">
        <f t="shared" si="57"/>
        <v>0</v>
      </c>
      <c r="FT11" s="3693">
        <f t="shared" si="58"/>
        <v>0</v>
      </c>
      <c r="FU11" s="3693">
        <f t="shared" si="59"/>
        <v>0</v>
      </c>
      <c r="FV11" s="3369">
        <f t="shared" si="60"/>
        <v>0</v>
      </c>
      <c r="FW11" s="2788">
        <f t="shared" si="61"/>
        <v>0</v>
      </c>
      <c r="FX11" s="3693" t="e">
        <f t="shared" si="62"/>
        <v>#DIV/0!</v>
      </c>
      <c r="FY11" s="3369">
        <f t="shared" si="63"/>
        <v>0</v>
      </c>
      <c r="FZ11" s="2374">
        <f t="shared" si="64"/>
        <v>0</v>
      </c>
      <c r="GA11" s="3641" t="e">
        <f t="shared" si="75"/>
        <v>#DIV/0!</v>
      </c>
      <c r="GB11" s="3641">
        <f t="shared" si="76"/>
        <v>0</v>
      </c>
    </row>
    <row r="12" spans="1:184">
      <c r="A12" s="1908"/>
      <c r="B12" s="1908"/>
      <c r="C12" s="1803"/>
      <c r="D12" s="1291"/>
      <c r="E12" s="1802"/>
      <c r="F12" s="2288" t="s">
        <v>1788</v>
      </c>
      <c r="G12" s="2289">
        <v>500</v>
      </c>
      <c r="H12" s="2278">
        <v>114.37304353338941</v>
      </c>
      <c r="I12" s="2279">
        <v>7.715450049196658</v>
      </c>
      <c r="J12" s="2279">
        <v>11.18860624421591</v>
      </c>
      <c r="K12" s="2279">
        <v>43.234393580053379</v>
      </c>
      <c r="L12" s="2279">
        <v>37.769716370011047</v>
      </c>
      <c r="M12" s="2280">
        <v>214.28120977686643</v>
      </c>
      <c r="N12" s="2278">
        <v>333.39008299105683</v>
      </c>
      <c r="O12" s="2281">
        <v>3.7521473296878258</v>
      </c>
      <c r="P12" s="2280">
        <v>337.14223032074466</v>
      </c>
      <c r="Q12" s="4025">
        <v>551.42344009761109</v>
      </c>
      <c r="R12" s="3545">
        <v>0</v>
      </c>
      <c r="S12" s="3638">
        <v>551.42344009761109</v>
      </c>
      <c r="T12" s="2362"/>
      <c r="U12" s="1289"/>
      <c r="V12" s="2288" t="s">
        <v>1788</v>
      </c>
      <c r="W12" s="2289">
        <v>500</v>
      </c>
      <c r="X12" s="2278">
        <v>24.16488098786321</v>
      </c>
      <c r="Y12" s="2279">
        <v>1.6301300240577363</v>
      </c>
      <c r="Z12" s="2279">
        <v>2.3639428484091183</v>
      </c>
      <c r="AA12" s="2279">
        <v>9.1346172416879661</v>
      </c>
      <c r="AB12" s="2279">
        <v>7.9800333437853928</v>
      </c>
      <c r="AC12" s="2280">
        <v>45.273604445803421</v>
      </c>
      <c r="AD12" s="2278">
        <v>70.439077505713215</v>
      </c>
      <c r="AE12" s="2281">
        <v>0.79275842339865088</v>
      </c>
      <c r="AF12" s="3960">
        <v>71.231835929111867</v>
      </c>
      <c r="AG12" s="3629">
        <v>116.50544037491528</v>
      </c>
      <c r="AH12" s="4225">
        <v>0</v>
      </c>
      <c r="AI12" s="3638">
        <v>116.50544037491528</v>
      </c>
      <c r="AJ12" s="4029">
        <f t="shared" si="0"/>
        <v>11.650544037491528</v>
      </c>
      <c r="AK12" s="2346"/>
      <c r="AL12" s="3634">
        <v>1000.3773695024162</v>
      </c>
      <c r="AM12" s="3635">
        <v>1088.3580357628634</v>
      </c>
      <c r="AN12" s="3497">
        <v>34.5621231266649</v>
      </c>
      <c r="AO12" s="3608">
        <v>0.61321601142446136</v>
      </c>
      <c r="AP12" s="2282"/>
      <c r="AQ12" s="2282"/>
      <c r="AR12" s="2282"/>
      <c r="AS12" s="1291"/>
      <c r="AT12" s="2394" t="s">
        <v>1788</v>
      </c>
      <c r="AU12" s="3648">
        <v>500</v>
      </c>
      <c r="AV12" s="2396">
        <v>114.37304353338941</v>
      </c>
      <c r="AW12" s="2397">
        <v>7.715450049196658</v>
      </c>
      <c r="AX12" s="2397">
        <v>11.18860624421591</v>
      </c>
      <c r="AY12" s="2397">
        <v>43.234393580053379</v>
      </c>
      <c r="AZ12" s="2397">
        <v>37.769716370011047</v>
      </c>
      <c r="BA12" s="2398">
        <v>214.28120977686643</v>
      </c>
      <c r="BB12" s="2396">
        <v>333.39008299105683</v>
      </c>
      <c r="BC12" s="2399">
        <v>3.7521473296878258</v>
      </c>
      <c r="BD12" s="3651">
        <v>337.14223032074466</v>
      </c>
      <c r="BE12" s="3695">
        <v>551.42344009761109</v>
      </c>
      <c r="BF12" s="3545">
        <v>0</v>
      </c>
      <c r="BG12" s="3638">
        <v>551.42344009761109</v>
      </c>
      <c r="BH12" s="2362"/>
      <c r="BI12" s="2340"/>
      <c r="BJ12" s="2394" t="s">
        <v>1788</v>
      </c>
      <c r="BK12" s="2395">
        <v>500</v>
      </c>
      <c r="BL12" s="2396">
        <v>24.16488098786321</v>
      </c>
      <c r="BM12" s="2397">
        <v>1.6301300240577363</v>
      </c>
      <c r="BN12" s="2397">
        <v>2.3639428484091183</v>
      </c>
      <c r="BO12" s="2397">
        <v>9.1346172416879661</v>
      </c>
      <c r="BP12" s="2397">
        <v>7.9800333437853928</v>
      </c>
      <c r="BQ12" s="2798">
        <v>45.273604445803421</v>
      </c>
      <c r="BR12" s="2396">
        <v>70.439077505713215</v>
      </c>
      <c r="BS12" s="2399">
        <v>0.79275842339865088</v>
      </c>
      <c r="BT12" s="2398">
        <v>71.231835929111867</v>
      </c>
      <c r="BU12" s="4034">
        <v>116.50544037491528</v>
      </c>
      <c r="BV12" s="3642">
        <v>0</v>
      </c>
      <c r="BW12" s="3638">
        <v>116.50544037491528</v>
      </c>
      <c r="BX12" s="3638">
        <f t="shared" si="65"/>
        <v>11.650544037491528</v>
      </c>
      <c r="BY12" s="1291"/>
      <c r="BZ12" s="3670">
        <v>1000.3773695024162</v>
      </c>
      <c r="CA12" s="3671">
        <v>1088.3580357628634</v>
      </c>
      <c r="CB12" s="3523">
        <v>34.5621231266649</v>
      </c>
      <c r="CC12" s="3526">
        <v>0.61321601142446136</v>
      </c>
      <c r="CD12" s="2362"/>
      <c r="CE12" s="2362"/>
      <c r="CF12" s="2362"/>
      <c r="CG12" s="2346"/>
      <c r="CH12" s="2410" t="str">
        <f t="shared" si="1"/>
        <v>Combined Cycle - 2 CTs No Duct Firing 500 MW</v>
      </c>
      <c r="CI12" s="2411">
        <f t="shared" si="2"/>
        <v>500</v>
      </c>
      <c r="CJ12" s="2412">
        <f t="shared" si="3"/>
        <v>0</v>
      </c>
      <c r="CK12" s="2413">
        <f t="shared" si="4"/>
        <v>0</v>
      </c>
      <c r="CL12" s="2413">
        <f t="shared" si="5"/>
        <v>0</v>
      </c>
      <c r="CM12" s="2413">
        <f t="shared" si="6"/>
        <v>0</v>
      </c>
      <c r="CN12" s="2413">
        <f t="shared" si="7"/>
        <v>0</v>
      </c>
      <c r="CO12" s="2414">
        <f t="shared" si="8"/>
        <v>0</v>
      </c>
      <c r="CP12" s="2412">
        <f t="shared" si="9"/>
        <v>0</v>
      </c>
      <c r="CQ12" s="2415">
        <f t="shared" si="10"/>
        <v>0</v>
      </c>
      <c r="CR12" s="2414">
        <f t="shared" si="11"/>
        <v>0</v>
      </c>
      <c r="CS12" s="3367">
        <f t="shared" si="12"/>
        <v>0</v>
      </c>
      <c r="CT12" s="3646"/>
      <c r="CU12" s="3638"/>
      <c r="CV12" s="3638"/>
      <c r="CW12" s="2340"/>
      <c r="CX12" s="2410" t="str">
        <f t="shared" si="13"/>
        <v>Combined Cycle - 2 CTs No Duct Firing 500 MW</v>
      </c>
      <c r="CY12" s="2411">
        <f t="shared" si="14"/>
        <v>500</v>
      </c>
      <c r="CZ12" s="2412">
        <f t="shared" si="15"/>
        <v>0</v>
      </c>
      <c r="DA12" s="2413">
        <f t="shared" si="16"/>
        <v>0</v>
      </c>
      <c r="DB12" s="2413">
        <f t="shared" si="17"/>
        <v>0</v>
      </c>
      <c r="DC12" s="2413">
        <f t="shared" si="18"/>
        <v>0</v>
      </c>
      <c r="DD12" s="2413">
        <f t="shared" si="19"/>
        <v>0</v>
      </c>
      <c r="DE12" s="2414">
        <f t="shared" si="20"/>
        <v>0</v>
      </c>
      <c r="DF12" s="2412">
        <f t="shared" si="21"/>
        <v>0</v>
      </c>
      <c r="DG12" s="2415">
        <f t="shared" si="22"/>
        <v>0</v>
      </c>
      <c r="DH12" s="2414">
        <f t="shared" si="23"/>
        <v>0</v>
      </c>
      <c r="DI12" s="3367">
        <f t="shared" si="24"/>
        <v>0</v>
      </c>
      <c r="DJ12" s="3646">
        <f t="shared" si="24"/>
        <v>0</v>
      </c>
      <c r="DK12" s="3638">
        <f t="shared" si="24"/>
        <v>0</v>
      </c>
      <c r="DL12" s="3638">
        <f t="shared" si="24"/>
        <v>0</v>
      </c>
      <c r="DM12" s="2342"/>
      <c r="DN12" s="3687">
        <f t="shared" si="25"/>
        <v>0</v>
      </c>
      <c r="DO12" s="3688">
        <f t="shared" si="26"/>
        <v>0</v>
      </c>
      <c r="DP12" s="3687">
        <f t="shared" si="27"/>
        <v>0</v>
      </c>
      <c r="DQ12" s="3689">
        <f t="shared" si="28"/>
        <v>0</v>
      </c>
      <c r="DT12" s="2288" t="str">
        <f t="shared" si="29"/>
        <v>Combined Cycle - 2 CTs No Duct Firing 500 MW</v>
      </c>
      <c r="DU12" s="2289">
        <f t="shared" si="30"/>
        <v>500</v>
      </c>
      <c r="DV12" s="2373">
        <f t="shared" si="31"/>
        <v>0</v>
      </c>
      <c r="DW12" s="2373">
        <f t="shared" si="32"/>
        <v>0</v>
      </c>
      <c r="DX12" s="2788">
        <f t="shared" si="66"/>
        <v>0</v>
      </c>
      <c r="DY12" s="3693">
        <f t="shared" si="32"/>
        <v>0</v>
      </c>
      <c r="DZ12" s="3693">
        <f t="shared" si="32"/>
        <v>0</v>
      </c>
      <c r="EA12" s="3369">
        <f t="shared" si="32"/>
        <v>0</v>
      </c>
      <c r="EB12" s="2374">
        <f t="shared" si="67"/>
        <v>0</v>
      </c>
      <c r="EC12" s="3950">
        <f t="shared" si="68"/>
        <v>0</v>
      </c>
      <c r="ED12" s="3369">
        <f t="shared" si="68"/>
        <v>0</v>
      </c>
      <c r="EE12" s="2374">
        <f t="shared" si="32"/>
        <v>0</v>
      </c>
      <c r="EF12" s="3641"/>
      <c r="EG12" s="3641"/>
      <c r="EJ12" s="2288" t="str">
        <f t="shared" si="33"/>
        <v>Combined Cycle - 2 CTs No Duct Firing 500 MW</v>
      </c>
      <c r="EK12" s="2289">
        <f t="shared" si="34"/>
        <v>500</v>
      </c>
      <c r="EL12" s="2788">
        <f t="shared" si="35"/>
        <v>0</v>
      </c>
      <c r="EM12" s="3693">
        <f t="shared" si="36"/>
        <v>0</v>
      </c>
      <c r="EN12" s="3370">
        <f t="shared" si="37"/>
        <v>0</v>
      </c>
      <c r="EO12" s="3693">
        <f t="shared" si="38"/>
        <v>0</v>
      </c>
      <c r="EP12" s="3693">
        <f t="shared" si="39"/>
        <v>0</v>
      </c>
      <c r="EQ12" s="3369">
        <f t="shared" si="40"/>
        <v>0</v>
      </c>
      <c r="ER12" s="2788">
        <f t="shared" si="41"/>
        <v>0</v>
      </c>
      <c r="ES12" s="3693">
        <f t="shared" si="42"/>
        <v>0</v>
      </c>
      <c r="ET12" s="3369">
        <f t="shared" si="43"/>
        <v>0</v>
      </c>
      <c r="EU12" s="2374">
        <f t="shared" si="44"/>
        <v>0</v>
      </c>
      <c r="EV12" s="3641" t="e">
        <f t="shared" si="45"/>
        <v>#DIV/0!</v>
      </c>
      <c r="EW12" s="3641">
        <f t="shared" si="46"/>
        <v>0</v>
      </c>
      <c r="EX12" s="3537"/>
      <c r="EY12" s="4032" t="str">
        <f t="shared" si="69"/>
        <v>Combined Cycle - 2 CTs No Duct Firing 500 MW</v>
      </c>
      <c r="EZ12" s="2288">
        <f t="shared" si="69"/>
        <v>500</v>
      </c>
      <c r="FA12" s="2373">
        <f t="shared" si="70"/>
        <v>0</v>
      </c>
      <c r="FB12" s="2373">
        <f t="shared" si="47"/>
        <v>0</v>
      </c>
      <c r="FC12" s="2788">
        <f t="shared" si="48"/>
        <v>0</v>
      </c>
      <c r="FD12" s="3693">
        <f t="shared" si="49"/>
        <v>0</v>
      </c>
      <c r="FE12" s="3693">
        <f t="shared" si="50"/>
        <v>0</v>
      </c>
      <c r="FF12" s="3369">
        <f t="shared" si="51"/>
        <v>0</v>
      </c>
      <c r="FG12" s="2374">
        <f t="shared" si="52"/>
        <v>0</v>
      </c>
      <c r="FH12" s="3950">
        <f t="shared" si="53"/>
        <v>0</v>
      </c>
      <c r="FI12" s="3369">
        <f t="shared" si="54"/>
        <v>0</v>
      </c>
      <c r="FJ12" s="2374">
        <f t="shared" si="55"/>
        <v>0</v>
      </c>
      <c r="FK12" s="3641" t="e">
        <f t="shared" si="71"/>
        <v>#DIV/0!</v>
      </c>
      <c r="FL12" s="3641">
        <f t="shared" si="55"/>
        <v>0</v>
      </c>
      <c r="FO12" s="2288" t="str">
        <f t="shared" si="72"/>
        <v>Combined Cycle - 2 CTs No Duct Firing 500 MW</v>
      </c>
      <c r="FP12" s="2288">
        <f t="shared" si="73"/>
        <v>500</v>
      </c>
      <c r="FQ12" s="2788">
        <f t="shared" si="74"/>
        <v>0</v>
      </c>
      <c r="FR12" s="3693">
        <f t="shared" si="56"/>
        <v>0</v>
      </c>
      <c r="FS12" s="3370">
        <f t="shared" si="57"/>
        <v>0</v>
      </c>
      <c r="FT12" s="3693">
        <f t="shared" si="58"/>
        <v>0</v>
      </c>
      <c r="FU12" s="3693">
        <f t="shared" si="59"/>
        <v>0</v>
      </c>
      <c r="FV12" s="3369">
        <f t="shared" si="60"/>
        <v>0</v>
      </c>
      <c r="FW12" s="2788">
        <f t="shared" si="61"/>
        <v>0</v>
      </c>
      <c r="FX12" s="3693">
        <f t="shared" si="62"/>
        <v>0</v>
      </c>
      <c r="FY12" s="3369">
        <f t="shared" si="63"/>
        <v>0</v>
      </c>
      <c r="FZ12" s="2374">
        <f t="shared" si="64"/>
        <v>0</v>
      </c>
      <c r="GA12" s="3641" t="e">
        <f t="shared" si="75"/>
        <v>#DIV/0!</v>
      </c>
      <c r="GB12" s="3641">
        <f t="shared" si="76"/>
        <v>0</v>
      </c>
    </row>
    <row r="13" spans="1:184">
      <c r="A13" s="1909"/>
      <c r="B13" s="1909"/>
      <c r="C13" s="1814"/>
      <c r="D13" s="1290"/>
      <c r="E13" s="1811"/>
      <c r="F13" s="3501" t="s">
        <v>1789</v>
      </c>
      <c r="G13" s="2289">
        <v>550</v>
      </c>
      <c r="H13" s="3497">
        <v>112.17987093058683</v>
      </c>
      <c r="I13" s="3498">
        <v>7.5683651820594644</v>
      </c>
      <c r="J13" s="3498">
        <v>10.97531024043292</v>
      </c>
      <c r="K13" s="3498">
        <v>43.234393580053379</v>
      </c>
      <c r="L13" s="3498">
        <v>37.038984411101751</v>
      </c>
      <c r="M13" s="3615">
        <v>210.99692434423434</v>
      </c>
      <c r="N13" s="3497">
        <v>333.39008299105683</v>
      </c>
      <c r="O13" s="3498">
        <v>3.7521473296878258</v>
      </c>
      <c r="P13" s="3615">
        <v>337.14223032074466</v>
      </c>
      <c r="Q13" s="3616">
        <v>548.13915466497906</v>
      </c>
      <c r="R13" s="3545">
        <v>0</v>
      </c>
      <c r="S13" s="3638">
        <v>548.13915466497906</v>
      </c>
      <c r="T13" s="2362"/>
      <c r="U13" s="1289"/>
      <c r="V13" s="3501" t="s">
        <v>1789</v>
      </c>
      <c r="W13" s="2289">
        <v>550</v>
      </c>
      <c r="X13" s="3497">
        <v>23.701504712341659</v>
      </c>
      <c r="Y13" s="3498">
        <v>1.5990537476932944</v>
      </c>
      <c r="Z13" s="3498">
        <v>2.318877399529129</v>
      </c>
      <c r="AA13" s="3498">
        <v>9.1346172416879661</v>
      </c>
      <c r="AB13" s="3498">
        <v>7.8256433732508057</v>
      </c>
      <c r="AC13" s="3615">
        <v>44.579696474502853</v>
      </c>
      <c r="AD13" s="3497">
        <v>70.439077505713215</v>
      </c>
      <c r="AE13" s="3498">
        <v>0.79275842339865099</v>
      </c>
      <c r="AF13" s="3630">
        <v>71.231835929111867</v>
      </c>
      <c r="AG13" s="3614">
        <v>115.81153240361472</v>
      </c>
      <c r="AH13" s="4225">
        <v>0</v>
      </c>
      <c r="AI13" s="3638">
        <v>115.81153240361472</v>
      </c>
      <c r="AJ13" s="4029">
        <f t="shared" si="0"/>
        <v>11.581153240361472</v>
      </c>
      <c r="AK13" s="2346"/>
      <c r="AL13" s="3634">
        <v>981.3064959251011</v>
      </c>
      <c r="AM13" s="3635">
        <v>1067.6099269594702</v>
      </c>
      <c r="AN13" s="3497">
        <v>34.5621231266649</v>
      </c>
      <c r="AO13" s="3608">
        <v>0.61321601142446136</v>
      </c>
      <c r="AP13" s="2282"/>
      <c r="AQ13" s="2282"/>
      <c r="AR13" s="2282"/>
      <c r="AS13" s="1291"/>
      <c r="AT13" s="3521" t="s">
        <v>1789</v>
      </c>
      <c r="AU13" s="3648">
        <v>550</v>
      </c>
      <c r="AV13" s="3523">
        <v>112.17987093058683</v>
      </c>
      <c r="AW13" s="3524">
        <v>7.5683651820594644</v>
      </c>
      <c r="AX13" s="3524">
        <v>10.97531024043292</v>
      </c>
      <c r="AY13" s="3524">
        <v>43.234393580053379</v>
      </c>
      <c r="AZ13" s="3524">
        <v>37.038984411101751</v>
      </c>
      <c r="BA13" s="3652">
        <v>210.99692434423434</v>
      </c>
      <c r="BB13" s="3523">
        <v>333.39008299105683</v>
      </c>
      <c r="BC13" s="3524">
        <v>3.7521473296878258</v>
      </c>
      <c r="BD13" s="3653">
        <v>337.14223032074466</v>
      </c>
      <c r="BE13" s="3695">
        <v>548.13915466497906</v>
      </c>
      <c r="BF13" s="3545">
        <v>0</v>
      </c>
      <c r="BG13" s="3638">
        <v>548.13915466497906</v>
      </c>
      <c r="BH13" s="2362"/>
      <c r="BI13" s="2340"/>
      <c r="BJ13" s="3521" t="s">
        <v>1789</v>
      </c>
      <c r="BK13" s="2395">
        <v>550</v>
      </c>
      <c r="BL13" s="3523">
        <v>23.701504712341659</v>
      </c>
      <c r="BM13" s="3524">
        <v>1.5990537476932944</v>
      </c>
      <c r="BN13" s="3524">
        <v>2.318877399529129</v>
      </c>
      <c r="BO13" s="3524">
        <v>9.1346172416879661</v>
      </c>
      <c r="BP13" s="3524">
        <v>7.8256433732508057</v>
      </c>
      <c r="BQ13" s="3665">
        <v>44.579696474502853</v>
      </c>
      <c r="BR13" s="3523">
        <v>70.439077505713215</v>
      </c>
      <c r="BS13" s="3524">
        <v>0.79275842339865099</v>
      </c>
      <c r="BT13" s="3652">
        <v>71.231835929111867</v>
      </c>
      <c r="BU13" s="3654">
        <v>115.81153240361472</v>
      </c>
      <c r="BV13" s="3642">
        <v>0</v>
      </c>
      <c r="BW13" s="3638">
        <v>115.81153240361472</v>
      </c>
      <c r="BX13" s="3638">
        <f t="shared" si="65"/>
        <v>11.581153240361472</v>
      </c>
      <c r="BY13" s="1291"/>
      <c r="BZ13" s="3670">
        <v>981.3064959251011</v>
      </c>
      <c r="CA13" s="3671">
        <v>1067.6099269594702</v>
      </c>
      <c r="CB13" s="3523">
        <v>34.5621231266649</v>
      </c>
      <c r="CC13" s="3526">
        <v>0.61321601142446136</v>
      </c>
      <c r="CD13" s="2362"/>
      <c r="CE13" s="2362"/>
      <c r="CF13" s="2362"/>
      <c r="CG13" s="2346"/>
      <c r="CH13" s="2410" t="str">
        <f t="shared" si="1"/>
        <v>Combined Cycle - 2 CTs With Duct Firing 550 MW</v>
      </c>
      <c r="CI13" s="2411">
        <f t="shared" si="2"/>
        <v>550</v>
      </c>
      <c r="CJ13" s="2412">
        <f t="shared" si="3"/>
        <v>0</v>
      </c>
      <c r="CK13" s="3674">
        <f t="shared" si="4"/>
        <v>0</v>
      </c>
      <c r="CL13" s="3674">
        <f t="shared" si="5"/>
        <v>0</v>
      </c>
      <c r="CM13" s="3674">
        <f t="shared" si="6"/>
        <v>0</v>
      </c>
      <c r="CN13" s="3674">
        <f t="shared" si="7"/>
        <v>0</v>
      </c>
      <c r="CO13" s="3675">
        <f t="shared" si="8"/>
        <v>0</v>
      </c>
      <c r="CP13" s="3676">
        <f t="shared" si="9"/>
        <v>0</v>
      </c>
      <c r="CQ13" s="3674">
        <f t="shared" si="10"/>
        <v>0</v>
      </c>
      <c r="CR13" s="3675">
        <f t="shared" si="11"/>
        <v>0</v>
      </c>
      <c r="CS13" s="3677">
        <f t="shared" si="12"/>
        <v>0</v>
      </c>
      <c r="CT13" s="3545"/>
      <c r="CU13" s="3638"/>
      <c r="CV13" s="3638"/>
      <c r="CW13" s="2340"/>
      <c r="CX13" s="2410" t="str">
        <f t="shared" si="13"/>
        <v>Combined Cycle - 2 CTs With Duct Firing 550 MW</v>
      </c>
      <c r="CY13" s="2411">
        <f t="shared" si="14"/>
        <v>550</v>
      </c>
      <c r="CZ13" s="2412">
        <f t="shared" si="15"/>
        <v>0</v>
      </c>
      <c r="DA13" s="3674">
        <f t="shared" si="16"/>
        <v>0</v>
      </c>
      <c r="DB13" s="3674">
        <f t="shared" si="17"/>
        <v>0</v>
      </c>
      <c r="DC13" s="3674">
        <f t="shared" si="18"/>
        <v>0</v>
      </c>
      <c r="DD13" s="3674">
        <f t="shared" si="19"/>
        <v>0</v>
      </c>
      <c r="DE13" s="3675">
        <f t="shared" si="20"/>
        <v>0</v>
      </c>
      <c r="DF13" s="3676">
        <f t="shared" si="21"/>
        <v>0</v>
      </c>
      <c r="DG13" s="3674">
        <f t="shared" si="22"/>
        <v>0</v>
      </c>
      <c r="DH13" s="3675">
        <f t="shared" si="23"/>
        <v>0</v>
      </c>
      <c r="DI13" s="3677">
        <f t="shared" si="24"/>
        <v>0</v>
      </c>
      <c r="DJ13" s="3545">
        <f t="shared" si="24"/>
        <v>0</v>
      </c>
      <c r="DK13" s="3638">
        <f t="shared" si="24"/>
        <v>0</v>
      </c>
      <c r="DL13" s="3638">
        <f t="shared" si="24"/>
        <v>0</v>
      </c>
      <c r="DM13" s="2341"/>
      <c r="DN13" s="3687">
        <f t="shared" si="25"/>
        <v>0</v>
      </c>
      <c r="DO13" s="3688">
        <f t="shared" si="26"/>
        <v>0</v>
      </c>
      <c r="DP13" s="3687">
        <f t="shared" si="27"/>
        <v>0</v>
      </c>
      <c r="DQ13" s="3689">
        <f t="shared" si="28"/>
        <v>0</v>
      </c>
      <c r="DT13" s="2288" t="str">
        <f t="shared" si="29"/>
        <v>Combined Cycle - 2 CTs With Duct Firing 550 MW</v>
      </c>
      <c r="DU13" s="2289">
        <f t="shared" si="30"/>
        <v>550</v>
      </c>
      <c r="DV13" s="2373">
        <f t="shared" si="31"/>
        <v>0</v>
      </c>
      <c r="DW13" s="2373">
        <f t="shared" si="32"/>
        <v>0</v>
      </c>
      <c r="DX13" s="2788">
        <f t="shared" si="66"/>
        <v>0</v>
      </c>
      <c r="DY13" s="3693">
        <f t="shared" si="32"/>
        <v>0</v>
      </c>
      <c r="DZ13" s="3693">
        <f t="shared" si="32"/>
        <v>0</v>
      </c>
      <c r="EA13" s="3369">
        <f t="shared" si="32"/>
        <v>0</v>
      </c>
      <c r="EB13" s="2374">
        <f t="shared" si="67"/>
        <v>0</v>
      </c>
      <c r="EC13" s="3950">
        <f t="shared" si="68"/>
        <v>0</v>
      </c>
      <c r="ED13" s="3369">
        <f t="shared" si="68"/>
        <v>0</v>
      </c>
      <c r="EE13" s="2374">
        <f t="shared" si="32"/>
        <v>0</v>
      </c>
      <c r="EF13" s="3641"/>
      <c r="EG13" s="3641"/>
      <c r="EJ13" s="2288" t="str">
        <f t="shared" si="33"/>
        <v>Combined Cycle - 2 CTs With Duct Firing 550 MW</v>
      </c>
      <c r="EK13" s="2289">
        <f t="shared" si="34"/>
        <v>550</v>
      </c>
      <c r="EL13" s="2788">
        <f t="shared" si="35"/>
        <v>0</v>
      </c>
      <c r="EM13" s="3693">
        <f t="shared" si="36"/>
        <v>0</v>
      </c>
      <c r="EN13" s="3370">
        <f t="shared" si="37"/>
        <v>0</v>
      </c>
      <c r="EO13" s="3693">
        <f t="shared" si="38"/>
        <v>0</v>
      </c>
      <c r="EP13" s="3693">
        <f t="shared" si="39"/>
        <v>0</v>
      </c>
      <c r="EQ13" s="3369">
        <f t="shared" si="40"/>
        <v>0</v>
      </c>
      <c r="ER13" s="2788">
        <f t="shared" si="41"/>
        <v>0</v>
      </c>
      <c r="ES13" s="3693">
        <f t="shared" si="42"/>
        <v>0</v>
      </c>
      <c r="ET13" s="3369">
        <f t="shared" si="43"/>
        <v>0</v>
      </c>
      <c r="EU13" s="2374">
        <f t="shared" si="44"/>
        <v>0</v>
      </c>
      <c r="EV13" s="3641" t="e">
        <f t="shared" si="45"/>
        <v>#DIV/0!</v>
      </c>
      <c r="EW13" s="3641">
        <f t="shared" si="46"/>
        <v>0</v>
      </c>
      <c r="EX13" s="3537"/>
      <c r="EY13" s="4032" t="str">
        <f t="shared" si="69"/>
        <v>Combined Cycle - 2 CTs With Duct Firing 550 MW</v>
      </c>
      <c r="EZ13" s="2288">
        <f t="shared" si="69"/>
        <v>550</v>
      </c>
      <c r="FA13" s="2373">
        <f t="shared" si="70"/>
        <v>0</v>
      </c>
      <c r="FB13" s="2373">
        <f t="shared" si="47"/>
        <v>0</v>
      </c>
      <c r="FC13" s="2788">
        <f t="shared" si="48"/>
        <v>0</v>
      </c>
      <c r="FD13" s="3693">
        <f t="shared" si="49"/>
        <v>0</v>
      </c>
      <c r="FE13" s="3693">
        <f t="shared" si="50"/>
        <v>0</v>
      </c>
      <c r="FF13" s="3369">
        <f t="shared" si="51"/>
        <v>0</v>
      </c>
      <c r="FG13" s="2374">
        <f t="shared" si="52"/>
        <v>0</v>
      </c>
      <c r="FH13" s="3950">
        <f t="shared" si="53"/>
        <v>0</v>
      </c>
      <c r="FI13" s="3369">
        <f t="shared" si="54"/>
        <v>0</v>
      </c>
      <c r="FJ13" s="2374">
        <f t="shared" si="55"/>
        <v>0</v>
      </c>
      <c r="FK13" s="3641" t="e">
        <f t="shared" si="71"/>
        <v>#DIV/0!</v>
      </c>
      <c r="FL13" s="3641">
        <f t="shared" si="55"/>
        <v>0</v>
      </c>
      <c r="FO13" s="2288" t="str">
        <f t="shared" si="72"/>
        <v>Combined Cycle - 2 CTs With Duct Firing 550 MW</v>
      </c>
      <c r="FP13" s="2288">
        <f t="shared" si="73"/>
        <v>550</v>
      </c>
      <c r="FQ13" s="2788">
        <f t="shared" si="74"/>
        <v>0</v>
      </c>
      <c r="FR13" s="3693">
        <f t="shared" si="56"/>
        <v>0</v>
      </c>
      <c r="FS13" s="3370">
        <f t="shared" si="57"/>
        <v>0</v>
      </c>
      <c r="FT13" s="3693">
        <f t="shared" si="58"/>
        <v>0</v>
      </c>
      <c r="FU13" s="3693">
        <f t="shared" si="59"/>
        <v>0</v>
      </c>
      <c r="FV13" s="3369">
        <f t="shared" si="60"/>
        <v>0</v>
      </c>
      <c r="FW13" s="2788">
        <f t="shared" si="61"/>
        <v>0</v>
      </c>
      <c r="FX13" s="3693">
        <f t="shared" si="62"/>
        <v>0</v>
      </c>
      <c r="FY13" s="3369">
        <f t="shared" si="63"/>
        <v>0</v>
      </c>
      <c r="FZ13" s="2374">
        <f t="shared" si="64"/>
        <v>0</v>
      </c>
      <c r="GA13" s="3641" t="e">
        <f t="shared" si="75"/>
        <v>#DIV/0!</v>
      </c>
      <c r="GB13" s="3641">
        <f t="shared" si="76"/>
        <v>0</v>
      </c>
    </row>
    <row r="14" spans="1:184">
      <c r="A14" s="1908"/>
      <c r="B14" s="1908"/>
      <c r="C14" s="1803"/>
      <c r="D14" s="1291"/>
      <c r="E14" s="1802"/>
      <c r="F14" s="3501" t="s">
        <v>1790</v>
      </c>
      <c r="G14" s="2289">
        <v>50</v>
      </c>
      <c r="H14" s="3497">
        <v>417.37463423807498</v>
      </c>
      <c r="I14" s="3498">
        <v>35.576786226872869</v>
      </c>
      <c r="J14" s="3498">
        <v>52.47971058397399</v>
      </c>
      <c r="K14" s="3498">
        <v>131.17934370708571</v>
      </c>
      <c r="L14" s="3498">
        <v>-163.1849798367779</v>
      </c>
      <c r="M14" s="3615">
        <v>473.42549491922966</v>
      </c>
      <c r="N14" s="3497">
        <v>293.28340004844125</v>
      </c>
      <c r="O14" s="3498">
        <v>45.635687875533073</v>
      </c>
      <c r="P14" s="3615">
        <v>338.9190879239743</v>
      </c>
      <c r="Q14" s="3616">
        <v>812.34458284320397</v>
      </c>
      <c r="R14" s="3545">
        <v>0</v>
      </c>
      <c r="S14" s="3638">
        <v>812.34458284320397</v>
      </c>
      <c r="T14" s="2362"/>
      <c r="U14" s="1289"/>
      <c r="V14" s="3501" t="s">
        <v>1790</v>
      </c>
      <c r="W14" s="2289">
        <v>50</v>
      </c>
      <c r="X14" s="3497">
        <v>62.701141790865861</v>
      </c>
      <c r="Y14" s="3498">
        <v>5.3446111351416281</v>
      </c>
      <c r="Z14" s="3498">
        <v>7.8838949580064792</v>
      </c>
      <c r="AA14" s="3498">
        <v>19.706742947677618</v>
      </c>
      <c r="AB14" s="3498">
        <v>-24.514869183566681</v>
      </c>
      <c r="AC14" s="3615">
        <v>71.121521648124912</v>
      </c>
      <c r="AD14" s="3497">
        <v>44.059227712566624</v>
      </c>
      <c r="AE14" s="3498">
        <v>6.8557346361765701</v>
      </c>
      <c r="AF14" s="3630">
        <v>50.914962348743195</v>
      </c>
      <c r="AG14" s="3614">
        <v>122.0364839968681</v>
      </c>
      <c r="AH14" s="4225">
        <v>0</v>
      </c>
      <c r="AI14" s="3638">
        <v>122.0364839968681</v>
      </c>
      <c r="AJ14" s="4029">
        <f t="shared" si="0"/>
        <v>12.203648399686809</v>
      </c>
      <c r="AK14" s="2346"/>
      <c r="AL14" s="3634">
        <v>4498.0962092320124</v>
      </c>
      <c r="AM14" s="3635">
        <v>5068.2043773976393</v>
      </c>
      <c r="AN14" s="3497">
        <v>106.25553301406616</v>
      </c>
      <c r="AO14" s="3608">
        <v>5.2863449260729434</v>
      </c>
      <c r="AP14" s="2282"/>
      <c r="AQ14" s="2282"/>
      <c r="AR14" s="2282"/>
      <c r="AS14" s="1291"/>
      <c r="AT14" s="3521" t="s">
        <v>1790</v>
      </c>
      <c r="AU14" s="3648">
        <v>50</v>
      </c>
      <c r="AV14" s="3523">
        <v>417.37463423807498</v>
      </c>
      <c r="AW14" s="3524">
        <v>35.576786226872869</v>
      </c>
      <c r="AX14" s="3524">
        <v>52.47971058397399</v>
      </c>
      <c r="AY14" s="3524">
        <v>131.17934370708571</v>
      </c>
      <c r="AZ14" s="3524">
        <v>-163.1849798367779</v>
      </c>
      <c r="BA14" s="3652">
        <v>473.42549491922966</v>
      </c>
      <c r="BB14" s="3523">
        <v>293.28340004844125</v>
      </c>
      <c r="BC14" s="3524">
        <v>45.635687875533073</v>
      </c>
      <c r="BD14" s="3653">
        <v>338.9190879239743</v>
      </c>
      <c r="BE14" s="3695">
        <v>812.34458284320397</v>
      </c>
      <c r="BF14" s="3545">
        <v>0</v>
      </c>
      <c r="BG14" s="3638">
        <v>812.34458284320397</v>
      </c>
      <c r="BH14" s="2362"/>
      <c r="BI14" s="2340"/>
      <c r="BJ14" s="3521" t="s">
        <v>1790</v>
      </c>
      <c r="BK14" s="2395">
        <v>50</v>
      </c>
      <c r="BL14" s="3523">
        <v>62.701141790865861</v>
      </c>
      <c r="BM14" s="3524">
        <v>5.3446111351416281</v>
      </c>
      <c r="BN14" s="3524">
        <v>7.8838949580064792</v>
      </c>
      <c r="BO14" s="3524">
        <v>19.706742947677618</v>
      </c>
      <c r="BP14" s="3524">
        <v>-24.514869183566681</v>
      </c>
      <c r="BQ14" s="3665">
        <v>71.121521648124912</v>
      </c>
      <c r="BR14" s="3523">
        <v>44.059227712566624</v>
      </c>
      <c r="BS14" s="3524">
        <v>6.8557346361765701</v>
      </c>
      <c r="BT14" s="3652">
        <v>50.914962348743195</v>
      </c>
      <c r="BU14" s="3654">
        <v>122.0364839968681</v>
      </c>
      <c r="BV14" s="3642">
        <v>0</v>
      </c>
      <c r="BW14" s="3638">
        <v>122.0364839968681</v>
      </c>
      <c r="BX14" s="3638">
        <f t="shared" si="65"/>
        <v>12.203648399686809</v>
      </c>
      <c r="BY14" s="1291"/>
      <c r="BZ14" s="3670">
        <v>4498.0962092320124</v>
      </c>
      <c r="CA14" s="3671">
        <v>5068.2043773976393</v>
      </c>
      <c r="CB14" s="3523">
        <v>106.25553301406616</v>
      </c>
      <c r="CC14" s="3526">
        <v>5.2863449260729434</v>
      </c>
      <c r="CD14" s="2362"/>
      <c r="CE14" s="2362"/>
      <c r="CF14" s="2362"/>
      <c r="CG14" s="2346"/>
      <c r="CH14" s="2410" t="str">
        <f t="shared" si="1"/>
        <v>Biomass Fludized Bed Boiler 50 MW</v>
      </c>
      <c r="CI14" s="2411">
        <f t="shared" si="2"/>
        <v>50</v>
      </c>
      <c r="CJ14" s="2412">
        <f t="shared" si="3"/>
        <v>0</v>
      </c>
      <c r="CK14" s="3674">
        <f t="shared" si="4"/>
        <v>0</v>
      </c>
      <c r="CL14" s="3674">
        <f t="shared" si="5"/>
        <v>0</v>
      </c>
      <c r="CM14" s="3674">
        <f t="shared" si="6"/>
        <v>0</v>
      </c>
      <c r="CN14" s="3674">
        <f t="shared" si="7"/>
        <v>0</v>
      </c>
      <c r="CO14" s="3675">
        <f t="shared" si="8"/>
        <v>0</v>
      </c>
      <c r="CP14" s="3676">
        <f t="shared" si="9"/>
        <v>0</v>
      </c>
      <c r="CQ14" s="3674">
        <f t="shared" si="10"/>
        <v>0</v>
      </c>
      <c r="CR14" s="3675">
        <f t="shared" si="11"/>
        <v>0</v>
      </c>
      <c r="CS14" s="3677">
        <f t="shared" si="12"/>
        <v>0</v>
      </c>
      <c r="CT14" s="3545"/>
      <c r="CU14" s="3638"/>
      <c r="CV14" s="3638"/>
      <c r="CW14" s="2340"/>
      <c r="CX14" s="2410" t="str">
        <f t="shared" si="13"/>
        <v>Biomass Fludized Bed Boiler 50 MW</v>
      </c>
      <c r="CY14" s="2411">
        <f t="shared" si="14"/>
        <v>50</v>
      </c>
      <c r="CZ14" s="2412">
        <f t="shared" si="15"/>
        <v>0</v>
      </c>
      <c r="DA14" s="3674">
        <f t="shared" si="16"/>
        <v>0</v>
      </c>
      <c r="DB14" s="3674">
        <f t="shared" si="17"/>
        <v>0</v>
      </c>
      <c r="DC14" s="3674">
        <f t="shared" si="18"/>
        <v>0</v>
      </c>
      <c r="DD14" s="3674">
        <f t="shared" si="19"/>
        <v>0</v>
      </c>
      <c r="DE14" s="3675">
        <f t="shared" si="20"/>
        <v>0</v>
      </c>
      <c r="DF14" s="3676">
        <f t="shared" si="21"/>
        <v>0</v>
      </c>
      <c r="DG14" s="3674">
        <f t="shared" si="22"/>
        <v>0</v>
      </c>
      <c r="DH14" s="3675">
        <f t="shared" si="23"/>
        <v>0</v>
      </c>
      <c r="DI14" s="3677">
        <f t="shared" si="24"/>
        <v>0</v>
      </c>
      <c r="DJ14" s="3545">
        <f t="shared" si="24"/>
        <v>0</v>
      </c>
      <c r="DK14" s="3638">
        <f t="shared" si="24"/>
        <v>0</v>
      </c>
      <c r="DL14" s="3638">
        <f t="shared" si="24"/>
        <v>0</v>
      </c>
      <c r="DM14" s="2341"/>
      <c r="DN14" s="3687">
        <f t="shared" si="25"/>
        <v>0</v>
      </c>
      <c r="DO14" s="3688">
        <f t="shared" si="26"/>
        <v>0</v>
      </c>
      <c r="DP14" s="3687">
        <f t="shared" si="27"/>
        <v>0</v>
      </c>
      <c r="DQ14" s="3689">
        <f t="shared" si="28"/>
        <v>0</v>
      </c>
      <c r="DT14" s="2288" t="str">
        <f t="shared" si="29"/>
        <v>Biomass Fludized Bed Boiler 50 MW</v>
      </c>
      <c r="DU14" s="2289">
        <f t="shared" si="30"/>
        <v>50</v>
      </c>
      <c r="DV14" s="2373">
        <f t="shared" si="31"/>
        <v>0</v>
      </c>
      <c r="DW14" s="2373">
        <f t="shared" si="32"/>
        <v>0</v>
      </c>
      <c r="DX14" s="2788">
        <f t="shared" si="66"/>
        <v>0</v>
      </c>
      <c r="DY14" s="3693">
        <f t="shared" si="32"/>
        <v>0</v>
      </c>
      <c r="DZ14" s="3693">
        <f t="shared" si="32"/>
        <v>0</v>
      </c>
      <c r="EA14" s="3369">
        <f t="shared" si="32"/>
        <v>0</v>
      </c>
      <c r="EB14" s="2374">
        <f t="shared" si="67"/>
        <v>0</v>
      </c>
      <c r="EC14" s="3950">
        <f t="shared" si="68"/>
        <v>0</v>
      </c>
      <c r="ED14" s="3369">
        <f t="shared" si="68"/>
        <v>0</v>
      </c>
      <c r="EE14" s="2374">
        <f t="shared" si="32"/>
        <v>0</v>
      </c>
      <c r="EF14" s="3641"/>
      <c r="EG14" s="3641"/>
      <c r="EJ14" s="2288" t="str">
        <f t="shared" si="33"/>
        <v>Biomass Fludized Bed Boiler 50 MW</v>
      </c>
      <c r="EK14" s="2289">
        <f t="shared" si="34"/>
        <v>50</v>
      </c>
      <c r="EL14" s="2788">
        <f t="shared" si="35"/>
        <v>0</v>
      </c>
      <c r="EM14" s="3693">
        <f t="shared" si="36"/>
        <v>0</v>
      </c>
      <c r="EN14" s="3370">
        <f t="shared" si="37"/>
        <v>0</v>
      </c>
      <c r="EO14" s="3693">
        <f t="shared" si="38"/>
        <v>0</v>
      </c>
      <c r="EP14" s="3693">
        <f t="shared" si="39"/>
        <v>0</v>
      </c>
      <c r="EQ14" s="3369">
        <f t="shared" si="40"/>
        <v>0</v>
      </c>
      <c r="ER14" s="2788">
        <f t="shared" si="41"/>
        <v>0</v>
      </c>
      <c r="ES14" s="3693">
        <f t="shared" si="42"/>
        <v>0</v>
      </c>
      <c r="ET14" s="3369">
        <f t="shared" si="43"/>
        <v>0</v>
      </c>
      <c r="EU14" s="2374">
        <f t="shared" si="44"/>
        <v>0</v>
      </c>
      <c r="EV14" s="3641" t="e">
        <f t="shared" si="45"/>
        <v>#DIV/0!</v>
      </c>
      <c r="EW14" s="3641">
        <f t="shared" si="46"/>
        <v>0</v>
      </c>
      <c r="EX14" s="3537"/>
      <c r="EY14" s="4032" t="str">
        <f t="shared" si="69"/>
        <v>Biomass Fludized Bed Boiler 50 MW</v>
      </c>
      <c r="EZ14" s="2288">
        <f t="shared" si="69"/>
        <v>50</v>
      </c>
      <c r="FA14" s="2373">
        <f t="shared" si="70"/>
        <v>0</v>
      </c>
      <c r="FB14" s="2373">
        <f t="shared" si="47"/>
        <v>0</v>
      </c>
      <c r="FC14" s="2788">
        <f t="shared" si="48"/>
        <v>0</v>
      </c>
      <c r="FD14" s="3693">
        <f t="shared" si="49"/>
        <v>0</v>
      </c>
      <c r="FE14" s="3693">
        <f t="shared" si="50"/>
        <v>0</v>
      </c>
      <c r="FF14" s="3369">
        <f t="shared" si="51"/>
        <v>0</v>
      </c>
      <c r="FG14" s="2374">
        <f t="shared" si="52"/>
        <v>0</v>
      </c>
      <c r="FH14" s="3950">
        <f t="shared" si="53"/>
        <v>0</v>
      </c>
      <c r="FI14" s="3369">
        <f t="shared" si="54"/>
        <v>0</v>
      </c>
      <c r="FJ14" s="2374">
        <f t="shared" si="55"/>
        <v>0</v>
      </c>
      <c r="FK14" s="3641" t="e">
        <f t="shared" si="71"/>
        <v>#DIV/0!</v>
      </c>
      <c r="FL14" s="3641">
        <f t="shared" si="55"/>
        <v>0</v>
      </c>
      <c r="FO14" s="2288" t="str">
        <f t="shared" si="72"/>
        <v>Biomass Fludized Bed Boiler 50 MW</v>
      </c>
      <c r="FP14" s="2288">
        <f t="shared" si="73"/>
        <v>50</v>
      </c>
      <c r="FQ14" s="2788">
        <f t="shared" si="74"/>
        <v>0</v>
      </c>
      <c r="FR14" s="3693">
        <f t="shared" si="56"/>
        <v>0</v>
      </c>
      <c r="FS14" s="3370">
        <f t="shared" si="57"/>
        <v>0</v>
      </c>
      <c r="FT14" s="3693">
        <f t="shared" si="58"/>
        <v>0</v>
      </c>
      <c r="FU14" s="3693">
        <f t="shared" si="59"/>
        <v>0</v>
      </c>
      <c r="FV14" s="3369">
        <f t="shared" si="60"/>
        <v>0</v>
      </c>
      <c r="FW14" s="2788">
        <f t="shared" si="61"/>
        <v>0</v>
      </c>
      <c r="FX14" s="3693">
        <f t="shared" si="62"/>
        <v>0</v>
      </c>
      <c r="FY14" s="3369">
        <f t="shared" si="63"/>
        <v>0</v>
      </c>
      <c r="FZ14" s="2374">
        <f t="shared" si="64"/>
        <v>0</v>
      </c>
      <c r="GA14" s="3641" t="e">
        <f t="shared" si="75"/>
        <v>#DIV/0!</v>
      </c>
      <c r="GB14" s="3641">
        <f t="shared" si="76"/>
        <v>0</v>
      </c>
    </row>
    <row r="15" spans="1:184">
      <c r="A15" s="1908"/>
      <c r="B15" s="1908"/>
      <c r="C15" s="1803"/>
      <c r="D15" s="1291"/>
      <c r="E15" s="1802"/>
      <c r="F15" s="3501" t="s">
        <v>1791</v>
      </c>
      <c r="G15" s="3502">
        <v>30</v>
      </c>
      <c r="H15" s="3497">
        <v>552.24609462784144</v>
      </c>
      <c r="I15" s="3498">
        <v>47.329854729001859</v>
      </c>
      <c r="J15" s="3498">
        <v>69.816791834990781</v>
      </c>
      <c r="K15" s="3498">
        <v>110.85633493574916</v>
      </c>
      <c r="L15" s="3498">
        <v>-218.94259215494378</v>
      </c>
      <c r="M15" s="3615">
        <v>561.30648397263951</v>
      </c>
      <c r="N15" s="3497">
        <v>0</v>
      </c>
      <c r="O15" s="3498">
        <v>0</v>
      </c>
      <c r="P15" s="3615">
        <v>0</v>
      </c>
      <c r="Q15" s="3616">
        <v>561.30648397263951</v>
      </c>
      <c r="R15" s="3545">
        <v>0</v>
      </c>
      <c r="S15" s="3638">
        <v>561.30648397263951</v>
      </c>
      <c r="T15" s="2362"/>
      <c r="U15" s="1289"/>
      <c r="V15" s="3501" t="s">
        <v>1791</v>
      </c>
      <c r="W15" s="3502">
        <v>30</v>
      </c>
      <c r="X15" s="3497">
        <v>89.163377501055692</v>
      </c>
      <c r="Y15" s="3498">
        <v>7.641683201247508</v>
      </c>
      <c r="Z15" s="3498">
        <v>11.272331351643148</v>
      </c>
      <c r="AA15" s="3498">
        <v>17.898406772655793</v>
      </c>
      <c r="AB15" s="3498">
        <v>-35.349568218362087</v>
      </c>
      <c r="AC15" s="3615">
        <v>90.626230608240036</v>
      </c>
      <c r="AD15" s="3497">
        <v>0</v>
      </c>
      <c r="AE15" s="3498">
        <v>0</v>
      </c>
      <c r="AF15" s="3630">
        <v>0</v>
      </c>
      <c r="AG15" s="3614">
        <v>90.626230608240036</v>
      </c>
      <c r="AH15" s="4225">
        <v>0</v>
      </c>
      <c r="AI15" s="3638">
        <v>90.626230608240036</v>
      </c>
      <c r="AJ15" s="4029">
        <f t="shared" si="0"/>
        <v>9.0626230608240039</v>
      </c>
      <c r="AK15" s="2346"/>
      <c r="AL15" s="3634">
        <v>5341.6931576446586</v>
      </c>
      <c r="AM15" s="3635">
        <v>6742.5251789024896</v>
      </c>
      <c r="AN15" s="3497">
        <v>89.79385491427503</v>
      </c>
      <c r="AO15" s="3608">
        <v>0</v>
      </c>
      <c r="AP15" s="2270"/>
      <c r="AQ15" s="2270"/>
      <c r="AR15" s="2282"/>
      <c r="AS15" s="1291"/>
      <c r="AT15" s="3521" t="s">
        <v>1791</v>
      </c>
      <c r="AU15" s="3649">
        <v>30</v>
      </c>
      <c r="AV15" s="3523">
        <v>552.24609462784144</v>
      </c>
      <c r="AW15" s="3524">
        <v>47.329854729001859</v>
      </c>
      <c r="AX15" s="3524">
        <v>69.816791834990781</v>
      </c>
      <c r="AY15" s="3524">
        <v>110.85633493574916</v>
      </c>
      <c r="AZ15" s="3524">
        <v>-218.94259215494378</v>
      </c>
      <c r="BA15" s="3652">
        <v>561.30648397263951</v>
      </c>
      <c r="BB15" s="3523">
        <v>0</v>
      </c>
      <c r="BC15" s="3524">
        <v>0</v>
      </c>
      <c r="BD15" s="3653">
        <v>0</v>
      </c>
      <c r="BE15" s="3695">
        <v>561.30648397263951</v>
      </c>
      <c r="BF15" s="3545">
        <v>0</v>
      </c>
      <c r="BG15" s="3638">
        <v>561.30648397263951</v>
      </c>
      <c r="BH15" s="2362"/>
      <c r="BI15" s="2340"/>
      <c r="BJ15" s="3521" t="s">
        <v>1791</v>
      </c>
      <c r="BK15" s="3522">
        <v>30</v>
      </c>
      <c r="BL15" s="3523">
        <v>89.163377501055692</v>
      </c>
      <c r="BM15" s="3524">
        <v>7.641683201247508</v>
      </c>
      <c r="BN15" s="3524">
        <v>11.272331351643148</v>
      </c>
      <c r="BO15" s="3524">
        <v>17.898406772655793</v>
      </c>
      <c r="BP15" s="3524">
        <v>-35.349568218362087</v>
      </c>
      <c r="BQ15" s="3665">
        <v>90.626230608240036</v>
      </c>
      <c r="BR15" s="3523">
        <v>0</v>
      </c>
      <c r="BS15" s="3524">
        <v>0</v>
      </c>
      <c r="BT15" s="3652">
        <v>0</v>
      </c>
      <c r="BU15" s="3654">
        <v>90.626230608240036</v>
      </c>
      <c r="BV15" s="3642">
        <v>0</v>
      </c>
      <c r="BW15" s="3638">
        <v>90.626230608240036</v>
      </c>
      <c r="BX15" s="3638">
        <f t="shared" si="65"/>
        <v>9.0626230608240039</v>
      </c>
      <c r="BY15" s="1291"/>
      <c r="BZ15" s="3670">
        <v>5341.6931576446586</v>
      </c>
      <c r="CA15" s="3671">
        <v>6742.5251789024896</v>
      </c>
      <c r="CB15" s="3523">
        <v>89.79385491427503</v>
      </c>
      <c r="CC15" s="3526">
        <v>0</v>
      </c>
      <c r="CD15" s="2349"/>
      <c r="CE15" s="2349"/>
      <c r="CF15" s="2349"/>
      <c r="CG15" s="2346"/>
      <c r="CH15" s="2410" t="str">
        <f t="shared" si="1"/>
        <v>Geothermal  Binary 30 MW</v>
      </c>
      <c r="CI15" s="2411">
        <f t="shared" si="2"/>
        <v>30</v>
      </c>
      <c r="CJ15" s="2412">
        <f t="shared" si="3"/>
        <v>0</v>
      </c>
      <c r="CK15" s="3674">
        <f t="shared" si="4"/>
        <v>0</v>
      </c>
      <c r="CL15" s="3674">
        <f t="shared" si="5"/>
        <v>0</v>
      </c>
      <c r="CM15" s="3674">
        <f t="shared" si="6"/>
        <v>0</v>
      </c>
      <c r="CN15" s="3674">
        <f t="shared" si="7"/>
        <v>0</v>
      </c>
      <c r="CO15" s="3675">
        <f t="shared" si="8"/>
        <v>0</v>
      </c>
      <c r="CP15" s="3676">
        <f t="shared" si="9"/>
        <v>0</v>
      </c>
      <c r="CQ15" s="3674">
        <f t="shared" si="10"/>
        <v>0</v>
      </c>
      <c r="CR15" s="3675">
        <f t="shared" si="11"/>
        <v>0</v>
      </c>
      <c r="CS15" s="3677">
        <f t="shared" si="12"/>
        <v>0</v>
      </c>
      <c r="CT15" s="3545"/>
      <c r="CU15" s="3638"/>
      <c r="CV15" s="3638"/>
      <c r="CW15" s="2340"/>
      <c r="CX15" s="2410" t="str">
        <f t="shared" si="13"/>
        <v>Geothermal  Binary 30 MW</v>
      </c>
      <c r="CY15" s="2411">
        <f t="shared" si="14"/>
        <v>30</v>
      </c>
      <c r="CZ15" s="2412">
        <f t="shared" si="15"/>
        <v>0</v>
      </c>
      <c r="DA15" s="3674">
        <f t="shared" si="16"/>
        <v>0</v>
      </c>
      <c r="DB15" s="3674">
        <f t="shared" si="17"/>
        <v>0</v>
      </c>
      <c r="DC15" s="3674">
        <f t="shared" si="18"/>
        <v>0</v>
      </c>
      <c r="DD15" s="3674">
        <f t="shared" si="19"/>
        <v>0</v>
      </c>
      <c r="DE15" s="3675">
        <f t="shared" si="20"/>
        <v>0</v>
      </c>
      <c r="DF15" s="3676">
        <f t="shared" si="21"/>
        <v>0</v>
      </c>
      <c r="DG15" s="3674">
        <f t="shared" si="22"/>
        <v>0</v>
      </c>
      <c r="DH15" s="3675">
        <f t="shared" si="23"/>
        <v>0</v>
      </c>
      <c r="DI15" s="3677">
        <f t="shared" si="24"/>
        <v>0</v>
      </c>
      <c r="DJ15" s="3545">
        <f t="shared" si="24"/>
        <v>0</v>
      </c>
      <c r="DK15" s="3638">
        <f t="shared" si="24"/>
        <v>0</v>
      </c>
      <c r="DL15" s="3638">
        <f t="shared" si="24"/>
        <v>0</v>
      </c>
      <c r="DM15" s="2341"/>
      <c r="DN15" s="3687">
        <f t="shared" si="25"/>
        <v>0</v>
      </c>
      <c r="DO15" s="3688">
        <f t="shared" si="26"/>
        <v>0</v>
      </c>
      <c r="DP15" s="3687">
        <f t="shared" si="27"/>
        <v>0</v>
      </c>
      <c r="DQ15" s="3689">
        <f t="shared" si="28"/>
        <v>0</v>
      </c>
      <c r="DT15" s="2288" t="str">
        <f t="shared" si="29"/>
        <v>Geothermal  Binary 30 MW</v>
      </c>
      <c r="DU15" s="2289">
        <f t="shared" si="30"/>
        <v>30</v>
      </c>
      <c r="DV15" s="2373">
        <f t="shared" si="31"/>
        <v>0</v>
      </c>
      <c r="DW15" s="2373">
        <f t="shared" si="32"/>
        <v>0</v>
      </c>
      <c r="DX15" s="2788">
        <f t="shared" si="66"/>
        <v>0</v>
      </c>
      <c r="DY15" s="3693">
        <f t="shared" si="32"/>
        <v>0</v>
      </c>
      <c r="DZ15" s="3693">
        <f t="shared" si="32"/>
        <v>0</v>
      </c>
      <c r="EA15" s="3369">
        <f t="shared" si="32"/>
        <v>0</v>
      </c>
      <c r="EB15" s="2374" t="str">
        <f t="shared" si="67"/>
        <v>0.00%</v>
      </c>
      <c r="EC15" s="3950" t="str">
        <f t="shared" si="68"/>
        <v>0.00%</v>
      </c>
      <c r="ED15" s="3369" t="str">
        <f t="shared" si="68"/>
        <v>0.00%</v>
      </c>
      <c r="EE15" s="2374">
        <f t="shared" si="32"/>
        <v>0</v>
      </c>
      <c r="EF15" s="3641"/>
      <c r="EG15" s="3641"/>
      <c r="EJ15" s="2288" t="str">
        <f t="shared" si="33"/>
        <v>Geothermal  Binary 30 MW</v>
      </c>
      <c r="EK15" s="2289">
        <f t="shared" si="34"/>
        <v>30</v>
      </c>
      <c r="EL15" s="2788">
        <f t="shared" si="35"/>
        <v>0</v>
      </c>
      <c r="EM15" s="3693">
        <f t="shared" si="36"/>
        <v>0</v>
      </c>
      <c r="EN15" s="3370">
        <f t="shared" si="37"/>
        <v>0</v>
      </c>
      <c r="EO15" s="3693">
        <f t="shared" si="38"/>
        <v>0</v>
      </c>
      <c r="EP15" s="3693">
        <f t="shared" si="39"/>
        <v>0</v>
      </c>
      <c r="EQ15" s="3369">
        <f t="shared" si="40"/>
        <v>0</v>
      </c>
      <c r="ER15" s="2788" t="str">
        <f t="shared" si="41"/>
        <v>0.00%</v>
      </c>
      <c r="ES15" s="3693" t="str">
        <f t="shared" si="42"/>
        <v>0.00%</v>
      </c>
      <c r="ET15" s="3369" t="str">
        <f t="shared" si="43"/>
        <v>0.00%</v>
      </c>
      <c r="EU15" s="2374">
        <f t="shared" si="44"/>
        <v>0</v>
      </c>
      <c r="EV15" s="3641" t="e">
        <f t="shared" si="45"/>
        <v>#DIV/0!</v>
      </c>
      <c r="EW15" s="3641">
        <f t="shared" si="46"/>
        <v>0</v>
      </c>
      <c r="EX15" s="3537"/>
      <c r="EY15" s="4032" t="str">
        <f t="shared" si="69"/>
        <v>Geothermal  Binary 30 MW</v>
      </c>
      <c r="EZ15" s="2288">
        <f t="shared" si="69"/>
        <v>30</v>
      </c>
      <c r="FA15" s="2373">
        <f t="shared" si="70"/>
        <v>0</v>
      </c>
      <c r="FB15" s="2373">
        <f t="shared" si="47"/>
        <v>0</v>
      </c>
      <c r="FC15" s="2788">
        <f t="shared" si="48"/>
        <v>0</v>
      </c>
      <c r="FD15" s="3693">
        <f t="shared" si="49"/>
        <v>0</v>
      </c>
      <c r="FE15" s="3693">
        <f t="shared" si="50"/>
        <v>0</v>
      </c>
      <c r="FF15" s="3369">
        <f t="shared" si="51"/>
        <v>0</v>
      </c>
      <c r="FG15" s="2374" t="e">
        <f t="shared" si="52"/>
        <v>#DIV/0!</v>
      </c>
      <c r="FH15" s="3950" t="e">
        <f t="shared" si="53"/>
        <v>#DIV/0!</v>
      </c>
      <c r="FI15" s="3369" t="e">
        <f t="shared" si="54"/>
        <v>#DIV/0!</v>
      </c>
      <c r="FJ15" s="2374">
        <f t="shared" si="55"/>
        <v>0</v>
      </c>
      <c r="FK15" s="3641" t="e">
        <f t="shared" si="71"/>
        <v>#DIV/0!</v>
      </c>
      <c r="FL15" s="3641">
        <f t="shared" si="55"/>
        <v>0</v>
      </c>
      <c r="FO15" s="2288" t="str">
        <f t="shared" si="72"/>
        <v>Geothermal  Binary 30 MW</v>
      </c>
      <c r="FP15" s="2288">
        <f t="shared" si="73"/>
        <v>30</v>
      </c>
      <c r="FQ15" s="2788">
        <f t="shared" si="74"/>
        <v>0</v>
      </c>
      <c r="FR15" s="3693">
        <f t="shared" si="56"/>
        <v>0</v>
      </c>
      <c r="FS15" s="3370">
        <f t="shared" si="57"/>
        <v>0</v>
      </c>
      <c r="FT15" s="3693">
        <f t="shared" si="58"/>
        <v>0</v>
      </c>
      <c r="FU15" s="3693">
        <f t="shared" si="59"/>
        <v>0</v>
      </c>
      <c r="FV15" s="3369">
        <f t="shared" si="60"/>
        <v>0</v>
      </c>
      <c r="FW15" s="2788" t="e">
        <f t="shared" si="61"/>
        <v>#DIV/0!</v>
      </c>
      <c r="FX15" s="3693" t="e">
        <f t="shared" si="62"/>
        <v>#DIV/0!</v>
      </c>
      <c r="FY15" s="3369" t="e">
        <f t="shared" si="63"/>
        <v>#DIV/0!</v>
      </c>
      <c r="FZ15" s="2374">
        <f t="shared" si="64"/>
        <v>0</v>
      </c>
      <c r="GA15" s="3641" t="e">
        <f t="shared" si="75"/>
        <v>#DIV/0!</v>
      </c>
      <c r="GB15" s="3641">
        <f t="shared" si="76"/>
        <v>0</v>
      </c>
    </row>
    <row r="16" spans="1:184">
      <c r="A16" s="1908"/>
      <c r="B16" s="1908"/>
      <c r="C16" s="1803"/>
      <c r="D16" s="1291"/>
      <c r="E16" s="1802"/>
      <c r="F16" s="3501" t="s">
        <v>1792</v>
      </c>
      <c r="G16" s="3502">
        <v>30</v>
      </c>
      <c r="H16" s="3497">
        <v>604.84764151041577</v>
      </c>
      <c r="I16" s="3498">
        <v>51.821990885679341</v>
      </c>
      <c r="J16" s="3498">
        <v>76.443191530086594</v>
      </c>
      <c r="K16" s="3498">
        <v>110.85633493574916</v>
      </c>
      <c r="L16" s="3498">
        <v>-239.55727731620021</v>
      </c>
      <c r="M16" s="3615">
        <v>604.41188154573069</v>
      </c>
      <c r="N16" s="3497">
        <v>48.952359093211733</v>
      </c>
      <c r="O16" s="3498">
        <v>0</v>
      </c>
      <c r="P16" s="3615">
        <v>48.952359093211733</v>
      </c>
      <c r="Q16" s="3616">
        <v>653.36424063894242</v>
      </c>
      <c r="R16" s="3545">
        <v>0</v>
      </c>
      <c r="S16" s="3638">
        <v>653.36424063894242</v>
      </c>
      <c r="T16" s="2362"/>
      <c r="U16" s="1289"/>
      <c r="V16" s="3501" t="s">
        <v>1792</v>
      </c>
      <c r="W16" s="3502">
        <v>30</v>
      </c>
      <c r="X16" s="3497">
        <v>104.127400780781</v>
      </c>
      <c r="Y16" s="3498">
        <v>8.9214024224945074</v>
      </c>
      <c r="Z16" s="3498">
        <v>13.16005931929927</v>
      </c>
      <c r="AA16" s="3498">
        <v>19.084445775663106</v>
      </c>
      <c r="AB16" s="3498">
        <v>-41.240925669753345</v>
      </c>
      <c r="AC16" s="3615">
        <v>104.05238262848454</v>
      </c>
      <c r="AD16" s="3497">
        <v>8.4273816489301616</v>
      </c>
      <c r="AE16" s="3498">
        <v>0</v>
      </c>
      <c r="AF16" s="3630">
        <v>8.4273816489301616</v>
      </c>
      <c r="AG16" s="3614">
        <v>112.4797642774147</v>
      </c>
      <c r="AH16" s="4225">
        <v>0</v>
      </c>
      <c r="AI16" s="3638">
        <v>112.4797642774147</v>
      </c>
      <c r="AJ16" s="4029">
        <f t="shared" si="0"/>
        <v>11.24797642774147</v>
      </c>
      <c r="AK16" s="2346"/>
      <c r="AL16" s="3634">
        <v>6039.2215589735306</v>
      </c>
      <c r="AM16" s="3635">
        <v>7382.4667404576458</v>
      </c>
      <c r="AN16" s="3497">
        <v>89.79385491427503</v>
      </c>
      <c r="AO16" s="3608">
        <v>0</v>
      </c>
      <c r="AP16" s="2270"/>
      <c r="AQ16" s="2270"/>
      <c r="AR16" s="2282"/>
      <c r="AS16" s="1291"/>
      <c r="AT16" s="3521" t="s">
        <v>1792</v>
      </c>
      <c r="AU16" s="3649">
        <v>30</v>
      </c>
      <c r="AV16" s="3523">
        <v>604.84764151041577</v>
      </c>
      <c r="AW16" s="3524">
        <v>51.821990885679341</v>
      </c>
      <c r="AX16" s="3524">
        <v>76.443191530086594</v>
      </c>
      <c r="AY16" s="3524">
        <v>110.85633493574916</v>
      </c>
      <c r="AZ16" s="3524">
        <v>-239.55727731620021</v>
      </c>
      <c r="BA16" s="3652">
        <v>604.41188154573069</v>
      </c>
      <c r="BB16" s="3523">
        <v>48.952359093211733</v>
      </c>
      <c r="BC16" s="3524">
        <v>0</v>
      </c>
      <c r="BD16" s="3653">
        <v>48.952359093211733</v>
      </c>
      <c r="BE16" s="3695">
        <v>653.36424063894242</v>
      </c>
      <c r="BF16" s="3545">
        <v>0</v>
      </c>
      <c r="BG16" s="3638">
        <v>653.36424063894242</v>
      </c>
      <c r="BH16" s="2362"/>
      <c r="BI16" s="2340"/>
      <c r="BJ16" s="3521" t="s">
        <v>1792</v>
      </c>
      <c r="BK16" s="3522">
        <v>30</v>
      </c>
      <c r="BL16" s="3523">
        <v>104.127400780781</v>
      </c>
      <c r="BM16" s="3524">
        <v>8.9214024224945074</v>
      </c>
      <c r="BN16" s="3524">
        <v>13.16005931929927</v>
      </c>
      <c r="BO16" s="3524">
        <v>19.084445775663106</v>
      </c>
      <c r="BP16" s="3524">
        <v>-41.240925669753345</v>
      </c>
      <c r="BQ16" s="3665">
        <v>104.05238262848454</v>
      </c>
      <c r="BR16" s="3523">
        <v>8.4273816489301616</v>
      </c>
      <c r="BS16" s="3524">
        <v>0</v>
      </c>
      <c r="BT16" s="3652">
        <v>8.4273816489301616</v>
      </c>
      <c r="BU16" s="3654">
        <v>112.4797642774147</v>
      </c>
      <c r="BV16" s="3642">
        <v>0</v>
      </c>
      <c r="BW16" s="3638">
        <v>112.4797642774147</v>
      </c>
      <c r="BX16" s="3638">
        <f t="shared" si="65"/>
        <v>11.24797642774147</v>
      </c>
      <c r="BY16" s="1291"/>
      <c r="BZ16" s="3670">
        <v>6039.2215589735306</v>
      </c>
      <c r="CA16" s="3671">
        <v>7382.4667404576458</v>
      </c>
      <c r="CB16" s="3523">
        <v>89.79385491427503</v>
      </c>
      <c r="CC16" s="3526">
        <v>0</v>
      </c>
      <c r="CD16" s="2349"/>
      <c r="CE16" s="2349"/>
      <c r="CF16" s="2349"/>
      <c r="CG16" s="2346"/>
      <c r="CH16" s="2410" t="str">
        <f t="shared" si="1"/>
        <v>Geothermal  Flash 30 MW</v>
      </c>
      <c r="CI16" s="2411">
        <f t="shared" si="2"/>
        <v>30</v>
      </c>
      <c r="CJ16" s="2412">
        <f t="shared" si="3"/>
        <v>0</v>
      </c>
      <c r="CK16" s="3674">
        <f t="shared" si="4"/>
        <v>0</v>
      </c>
      <c r="CL16" s="3674">
        <f t="shared" si="5"/>
        <v>0</v>
      </c>
      <c r="CM16" s="3674">
        <f t="shared" si="6"/>
        <v>0</v>
      </c>
      <c r="CN16" s="3674">
        <f t="shared" si="7"/>
        <v>0</v>
      </c>
      <c r="CO16" s="3675">
        <f t="shared" si="8"/>
        <v>0</v>
      </c>
      <c r="CP16" s="3676">
        <f t="shared" si="9"/>
        <v>0</v>
      </c>
      <c r="CQ16" s="3674">
        <f t="shared" si="10"/>
        <v>0</v>
      </c>
      <c r="CR16" s="3675">
        <f t="shared" si="11"/>
        <v>0</v>
      </c>
      <c r="CS16" s="3677">
        <f t="shared" si="12"/>
        <v>0</v>
      </c>
      <c r="CT16" s="3545"/>
      <c r="CU16" s="3638"/>
      <c r="CV16" s="3638"/>
      <c r="CW16" s="2340"/>
      <c r="CX16" s="2410" t="str">
        <f t="shared" si="13"/>
        <v>Geothermal  Flash 30 MW</v>
      </c>
      <c r="CY16" s="2411">
        <f t="shared" si="14"/>
        <v>30</v>
      </c>
      <c r="CZ16" s="2412">
        <f t="shared" si="15"/>
        <v>0</v>
      </c>
      <c r="DA16" s="3674">
        <f t="shared" si="16"/>
        <v>0</v>
      </c>
      <c r="DB16" s="3674">
        <f t="shared" si="17"/>
        <v>0</v>
      </c>
      <c r="DC16" s="3674">
        <f t="shared" si="18"/>
        <v>0</v>
      </c>
      <c r="DD16" s="3674">
        <f t="shared" si="19"/>
        <v>0</v>
      </c>
      <c r="DE16" s="3675">
        <f t="shared" si="20"/>
        <v>0</v>
      </c>
      <c r="DF16" s="3676">
        <f t="shared" si="21"/>
        <v>0</v>
      </c>
      <c r="DG16" s="3674">
        <f t="shared" si="22"/>
        <v>0</v>
      </c>
      <c r="DH16" s="3675">
        <f t="shared" si="23"/>
        <v>0</v>
      </c>
      <c r="DI16" s="3677">
        <f t="shared" si="24"/>
        <v>0</v>
      </c>
      <c r="DJ16" s="3545">
        <f t="shared" si="24"/>
        <v>0</v>
      </c>
      <c r="DK16" s="3638">
        <f t="shared" si="24"/>
        <v>0</v>
      </c>
      <c r="DL16" s="3638">
        <f t="shared" si="24"/>
        <v>0</v>
      </c>
      <c r="DM16" s="2341"/>
      <c r="DN16" s="3687">
        <f t="shared" si="25"/>
        <v>0</v>
      </c>
      <c r="DO16" s="3688">
        <f t="shared" si="26"/>
        <v>0</v>
      </c>
      <c r="DP16" s="3687">
        <f t="shared" si="27"/>
        <v>0</v>
      </c>
      <c r="DQ16" s="3689">
        <f t="shared" si="28"/>
        <v>0</v>
      </c>
      <c r="DT16" s="2288" t="str">
        <f t="shared" si="29"/>
        <v>Geothermal  Flash 30 MW</v>
      </c>
      <c r="DU16" s="2289">
        <f t="shared" si="30"/>
        <v>30</v>
      </c>
      <c r="DV16" s="2373">
        <f t="shared" si="31"/>
        <v>0</v>
      </c>
      <c r="DW16" s="2373">
        <f t="shared" si="32"/>
        <v>0</v>
      </c>
      <c r="DX16" s="2788">
        <f t="shared" si="66"/>
        <v>0</v>
      </c>
      <c r="DY16" s="3693">
        <f t="shared" si="32"/>
        <v>0</v>
      </c>
      <c r="DZ16" s="3693">
        <f t="shared" si="32"/>
        <v>0</v>
      </c>
      <c r="EA16" s="3369">
        <f t="shared" si="32"/>
        <v>0</v>
      </c>
      <c r="EB16" s="2374">
        <f t="shared" si="67"/>
        <v>0</v>
      </c>
      <c r="EC16" s="3950" t="str">
        <f t="shared" si="68"/>
        <v>0.00%</v>
      </c>
      <c r="ED16" s="3369">
        <f t="shared" si="68"/>
        <v>0</v>
      </c>
      <c r="EE16" s="2374">
        <f t="shared" si="32"/>
        <v>0</v>
      </c>
      <c r="EF16" s="3641"/>
      <c r="EG16" s="3641"/>
      <c r="EJ16" s="2288" t="str">
        <f t="shared" si="33"/>
        <v>Geothermal  Flash 30 MW</v>
      </c>
      <c r="EK16" s="2289">
        <f t="shared" si="34"/>
        <v>30</v>
      </c>
      <c r="EL16" s="2788">
        <f t="shared" si="35"/>
        <v>0</v>
      </c>
      <c r="EM16" s="3693">
        <f t="shared" si="36"/>
        <v>0</v>
      </c>
      <c r="EN16" s="3370">
        <f t="shared" si="37"/>
        <v>0</v>
      </c>
      <c r="EO16" s="3693">
        <f t="shared" si="38"/>
        <v>0</v>
      </c>
      <c r="EP16" s="3693">
        <f t="shared" si="39"/>
        <v>0</v>
      </c>
      <c r="EQ16" s="3369">
        <f t="shared" si="40"/>
        <v>0</v>
      </c>
      <c r="ER16" s="2788">
        <f t="shared" si="41"/>
        <v>0</v>
      </c>
      <c r="ES16" s="3693" t="str">
        <f t="shared" si="42"/>
        <v>0.00%</v>
      </c>
      <c r="ET16" s="3369">
        <f t="shared" si="43"/>
        <v>0</v>
      </c>
      <c r="EU16" s="2374">
        <f t="shared" si="44"/>
        <v>0</v>
      </c>
      <c r="EV16" s="3641" t="e">
        <f t="shared" si="45"/>
        <v>#DIV/0!</v>
      </c>
      <c r="EW16" s="3641">
        <f t="shared" si="46"/>
        <v>0</v>
      </c>
      <c r="EX16" s="3537"/>
      <c r="EY16" s="4032" t="str">
        <f t="shared" si="69"/>
        <v>Geothermal  Flash 30 MW</v>
      </c>
      <c r="EZ16" s="2288">
        <f t="shared" si="69"/>
        <v>30</v>
      </c>
      <c r="FA16" s="2373">
        <f t="shared" si="70"/>
        <v>0</v>
      </c>
      <c r="FB16" s="2373">
        <f t="shared" si="47"/>
        <v>0</v>
      </c>
      <c r="FC16" s="2788">
        <f t="shared" si="48"/>
        <v>0</v>
      </c>
      <c r="FD16" s="3693">
        <f t="shared" si="49"/>
        <v>0</v>
      </c>
      <c r="FE16" s="3693">
        <f t="shared" si="50"/>
        <v>0</v>
      </c>
      <c r="FF16" s="3369">
        <f t="shared" si="51"/>
        <v>0</v>
      </c>
      <c r="FG16" s="2374">
        <f t="shared" si="52"/>
        <v>0</v>
      </c>
      <c r="FH16" s="3950" t="e">
        <f t="shared" si="53"/>
        <v>#DIV/0!</v>
      </c>
      <c r="FI16" s="3369">
        <f t="shared" si="54"/>
        <v>0</v>
      </c>
      <c r="FJ16" s="2374">
        <f t="shared" si="55"/>
        <v>0</v>
      </c>
      <c r="FK16" s="3641" t="e">
        <f t="shared" si="71"/>
        <v>#DIV/0!</v>
      </c>
      <c r="FL16" s="3641">
        <f t="shared" si="55"/>
        <v>0</v>
      </c>
      <c r="FO16" s="2288" t="str">
        <f t="shared" si="72"/>
        <v>Geothermal  Flash 30 MW</v>
      </c>
      <c r="FP16" s="2288">
        <f t="shared" si="73"/>
        <v>30</v>
      </c>
      <c r="FQ16" s="2788">
        <f t="shared" si="74"/>
        <v>0</v>
      </c>
      <c r="FR16" s="3693">
        <f t="shared" si="56"/>
        <v>0</v>
      </c>
      <c r="FS16" s="3370">
        <f t="shared" si="57"/>
        <v>0</v>
      </c>
      <c r="FT16" s="3693">
        <f t="shared" si="58"/>
        <v>0</v>
      </c>
      <c r="FU16" s="3693">
        <f t="shared" si="59"/>
        <v>0</v>
      </c>
      <c r="FV16" s="3369">
        <f t="shared" si="60"/>
        <v>0</v>
      </c>
      <c r="FW16" s="2788">
        <f t="shared" si="61"/>
        <v>0</v>
      </c>
      <c r="FX16" s="3693" t="e">
        <f t="shared" si="62"/>
        <v>#DIV/0!</v>
      </c>
      <c r="FY16" s="3369">
        <f t="shared" si="63"/>
        <v>0</v>
      </c>
      <c r="FZ16" s="2374">
        <f t="shared" si="64"/>
        <v>0</v>
      </c>
      <c r="GA16" s="3641" t="e">
        <f t="shared" si="75"/>
        <v>#DIV/0!</v>
      </c>
      <c r="GB16" s="3641">
        <f t="shared" si="76"/>
        <v>0</v>
      </c>
    </row>
    <row r="17" spans="1:184">
      <c r="A17" s="1908"/>
      <c r="B17" s="1908"/>
      <c r="C17" s="1803"/>
      <c r="D17" s="1291"/>
      <c r="E17" s="1802"/>
      <c r="F17" s="3501" t="s">
        <v>1806</v>
      </c>
      <c r="G17" s="3502">
        <v>250</v>
      </c>
      <c r="H17" s="3497">
        <v>339.28235372416799</v>
      </c>
      <c r="I17" s="3498">
        <v>14.966437856145856</v>
      </c>
      <c r="J17" s="3498">
        <v>24.230212321959453</v>
      </c>
      <c r="K17" s="3498">
        <v>87.750440225204713</v>
      </c>
      <c r="L17" s="3498">
        <v>-136.30781055304132</v>
      </c>
      <c r="M17" s="3615">
        <v>329.92163357443667</v>
      </c>
      <c r="N17" s="3497">
        <v>0</v>
      </c>
      <c r="O17" s="3498">
        <v>0</v>
      </c>
      <c r="P17" s="3615">
        <v>0</v>
      </c>
      <c r="Q17" s="3616">
        <v>329.92163357443667</v>
      </c>
      <c r="R17" s="3545">
        <v>0</v>
      </c>
      <c r="S17" s="3638">
        <v>329.92163357443667</v>
      </c>
      <c r="T17" s="2362"/>
      <c r="U17" s="1289"/>
      <c r="V17" s="3501" t="s">
        <v>1806</v>
      </c>
      <c r="W17" s="3502">
        <v>250</v>
      </c>
      <c r="X17" s="3497">
        <v>172.9568140228277</v>
      </c>
      <c r="Y17" s="3498">
        <v>7.6294784578572017</v>
      </c>
      <c r="Z17" s="3498">
        <v>12.351895936532607</v>
      </c>
      <c r="AA17" s="3498">
        <v>44.732761382546641</v>
      </c>
      <c r="AB17" s="3498">
        <v>-69.485973499369351</v>
      </c>
      <c r="AC17" s="3615">
        <v>168.18497630039479</v>
      </c>
      <c r="AD17" s="3497">
        <v>0</v>
      </c>
      <c r="AE17" s="3498">
        <v>0</v>
      </c>
      <c r="AF17" s="3630">
        <v>0</v>
      </c>
      <c r="AG17" s="3614">
        <v>168.18497630039479</v>
      </c>
      <c r="AH17" s="4225">
        <v>0</v>
      </c>
      <c r="AI17" s="3638">
        <v>168.18497630039479</v>
      </c>
      <c r="AJ17" s="4029">
        <f t="shared" si="0"/>
        <v>16.818497630039481</v>
      </c>
      <c r="AK17" s="2346"/>
      <c r="AL17" s="3634">
        <v>3818.9349557772589</v>
      </c>
      <c r="AM17" s="3635">
        <v>4258.5871764278154</v>
      </c>
      <c r="AN17" s="3497">
        <v>70.953321597751042</v>
      </c>
      <c r="AO17" s="3608">
        <v>0</v>
      </c>
      <c r="AP17" s="2282"/>
      <c r="AQ17" s="2282"/>
      <c r="AR17" s="2282"/>
      <c r="AS17" s="1291"/>
      <c r="AT17" s="3521" t="s">
        <v>1806</v>
      </c>
      <c r="AU17" s="3649">
        <v>250</v>
      </c>
      <c r="AV17" s="3523">
        <v>339.28235372416799</v>
      </c>
      <c r="AW17" s="3524">
        <v>14.966437856145856</v>
      </c>
      <c r="AX17" s="3524">
        <v>24.230212321959453</v>
      </c>
      <c r="AY17" s="3524">
        <v>87.750440225204713</v>
      </c>
      <c r="AZ17" s="3524">
        <v>-136.30781055304132</v>
      </c>
      <c r="BA17" s="3652">
        <v>329.92163357443667</v>
      </c>
      <c r="BB17" s="3523">
        <v>0</v>
      </c>
      <c r="BC17" s="3524">
        <v>0</v>
      </c>
      <c r="BD17" s="3653">
        <v>0</v>
      </c>
      <c r="BE17" s="3695">
        <v>329.92163357443667</v>
      </c>
      <c r="BF17" s="3545">
        <v>0</v>
      </c>
      <c r="BG17" s="3638">
        <v>329.92163357443667</v>
      </c>
      <c r="BH17" s="2362"/>
      <c r="BI17" s="2340"/>
      <c r="BJ17" s="3521" t="s">
        <v>1806</v>
      </c>
      <c r="BK17" s="3522">
        <v>250</v>
      </c>
      <c r="BL17" s="3523">
        <v>172.9568140228277</v>
      </c>
      <c r="BM17" s="3524">
        <v>7.6294784578572017</v>
      </c>
      <c r="BN17" s="3524">
        <v>12.351895936532607</v>
      </c>
      <c r="BO17" s="3524">
        <v>44.732761382546641</v>
      </c>
      <c r="BP17" s="3524">
        <v>-69.485973499369351</v>
      </c>
      <c r="BQ17" s="3665">
        <v>168.18497630039479</v>
      </c>
      <c r="BR17" s="3523">
        <v>0</v>
      </c>
      <c r="BS17" s="3524">
        <v>0</v>
      </c>
      <c r="BT17" s="3652">
        <v>0</v>
      </c>
      <c r="BU17" s="3654">
        <v>168.18497630039479</v>
      </c>
      <c r="BV17" s="3642">
        <v>0</v>
      </c>
      <c r="BW17" s="3638">
        <v>168.18497630039479</v>
      </c>
      <c r="BX17" s="3638">
        <f t="shared" si="65"/>
        <v>16.818497630039481</v>
      </c>
      <c r="BY17" s="1291"/>
      <c r="BZ17" s="3670">
        <v>3818.9349557772589</v>
      </c>
      <c r="CA17" s="3671">
        <v>4258.5871764278154</v>
      </c>
      <c r="CB17" s="3523">
        <v>70.953321597751042</v>
      </c>
      <c r="CC17" s="3526">
        <v>0</v>
      </c>
      <c r="CD17" s="2362"/>
      <c r="CE17" s="2362"/>
      <c r="CF17" s="2362"/>
      <c r="CG17" s="2346"/>
      <c r="CH17" s="2410" t="str">
        <f t="shared" si="1"/>
        <v>Solar Parabolic Trough W/O Storage 250 MW</v>
      </c>
      <c r="CI17" s="2411">
        <f t="shared" si="2"/>
        <v>250</v>
      </c>
      <c r="CJ17" s="2412">
        <f t="shared" si="3"/>
        <v>0</v>
      </c>
      <c r="CK17" s="3674">
        <f t="shared" si="4"/>
        <v>0</v>
      </c>
      <c r="CL17" s="3674">
        <f t="shared" si="5"/>
        <v>0</v>
      </c>
      <c r="CM17" s="3674">
        <f t="shared" si="6"/>
        <v>0</v>
      </c>
      <c r="CN17" s="3674">
        <f t="shared" si="7"/>
        <v>0</v>
      </c>
      <c r="CO17" s="3675">
        <f t="shared" si="8"/>
        <v>0</v>
      </c>
      <c r="CP17" s="3676">
        <f t="shared" si="9"/>
        <v>0</v>
      </c>
      <c r="CQ17" s="3674">
        <f t="shared" si="10"/>
        <v>0</v>
      </c>
      <c r="CR17" s="3675">
        <f t="shared" si="11"/>
        <v>0</v>
      </c>
      <c r="CS17" s="3677">
        <f t="shared" si="12"/>
        <v>0</v>
      </c>
      <c r="CT17" s="3545"/>
      <c r="CU17" s="3638"/>
      <c r="CV17" s="3638"/>
      <c r="CW17" s="2340"/>
      <c r="CX17" s="2410" t="str">
        <f t="shared" si="13"/>
        <v>Solar Parabolic Trough W/O Storage 250 MW</v>
      </c>
      <c r="CY17" s="2411">
        <f t="shared" si="14"/>
        <v>250</v>
      </c>
      <c r="CZ17" s="2412">
        <f t="shared" si="15"/>
        <v>0</v>
      </c>
      <c r="DA17" s="3674">
        <f t="shared" si="16"/>
        <v>0</v>
      </c>
      <c r="DB17" s="3674">
        <f t="shared" si="17"/>
        <v>0</v>
      </c>
      <c r="DC17" s="3674">
        <f t="shared" si="18"/>
        <v>0</v>
      </c>
      <c r="DD17" s="3674">
        <f t="shared" si="19"/>
        <v>0</v>
      </c>
      <c r="DE17" s="3675">
        <f t="shared" si="20"/>
        <v>0</v>
      </c>
      <c r="DF17" s="3676">
        <f t="shared" si="21"/>
        <v>0</v>
      </c>
      <c r="DG17" s="3674">
        <f t="shared" si="22"/>
        <v>0</v>
      </c>
      <c r="DH17" s="3675">
        <f t="shared" si="23"/>
        <v>0</v>
      </c>
      <c r="DI17" s="3677">
        <f t="shared" si="24"/>
        <v>0</v>
      </c>
      <c r="DJ17" s="3545">
        <f t="shared" si="24"/>
        <v>0</v>
      </c>
      <c r="DK17" s="3638">
        <f t="shared" si="24"/>
        <v>0</v>
      </c>
      <c r="DL17" s="3638">
        <f t="shared" si="24"/>
        <v>0</v>
      </c>
      <c r="DM17" s="2341"/>
      <c r="DN17" s="3687">
        <f t="shared" si="25"/>
        <v>0</v>
      </c>
      <c r="DO17" s="3688">
        <f t="shared" si="26"/>
        <v>0</v>
      </c>
      <c r="DP17" s="3687">
        <f t="shared" si="27"/>
        <v>0</v>
      </c>
      <c r="DQ17" s="3689">
        <f t="shared" si="28"/>
        <v>0</v>
      </c>
      <c r="DT17" s="2288" t="str">
        <f t="shared" si="29"/>
        <v>Solar Parabolic Trough W/O Storage 250 MW</v>
      </c>
      <c r="DU17" s="2289">
        <f t="shared" si="30"/>
        <v>250</v>
      </c>
      <c r="DV17" s="2373">
        <f t="shared" si="31"/>
        <v>0</v>
      </c>
      <c r="DW17" s="2373">
        <f t="shared" si="32"/>
        <v>0</v>
      </c>
      <c r="DX17" s="2788">
        <f t="shared" si="66"/>
        <v>0</v>
      </c>
      <c r="DY17" s="3693">
        <f t="shared" si="32"/>
        <v>0</v>
      </c>
      <c r="DZ17" s="3693">
        <f t="shared" si="32"/>
        <v>0</v>
      </c>
      <c r="EA17" s="3369">
        <f t="shared" si="32"/>
        <v>0</v>
      </c>
      <c r="EB17" s="2374" t="str">
        <f t="shared" si="67"/>
        <v>0.00%</v>
      </c>
      <c r="EC17" s="3950" t="str">
        <f t="shared" si="68"/>
        <v>0.00%</v>
      </c>
      <c r="ED17" s="3369" t="str">
        <f t="shared" si="68"/>
        <v>0.00%</v>
      </c>
      <c r="EE17" s="2374">
        <f t="shared" si="32"/>
        <v>0</v>
      </c>
      <c r="EF17" s="3641"/>
      <c r="EG17" s="3641"/>
      <c r="EJ17" s="2288" t="str">
        <f t="shared" si="33"/>
        <v>Solar Parabolic Trough W/O Storage 250 MW</v>
      </c>
      <c r="EK17" s="2289">
        <f t="shared" si="34"/>
        <v>250</v>
      </c>
      <c r="EL17" s="2788">
        <f t="shared" si="35"/>
        <v>0</v>
      </c>
      <c r="EM17" s="3693">
        <f t="shared" si="36"/>
        <v>0</v>
      </c>
      <c r="EN17" s="3370">
        <f t="shared" si="37"/>
        <v>0</v>
      </c>
      <c r="EO17" s="3693">
        <f t="shared" si="38"/>
        <v>0</v>
      </c>
      <c r="EP17" s="3693">
        <f t="shared" si="39"/>
        <v>0</v>
      </c>
      <c r="EQ17" s="3369">
        <f t="shared" si="40"/>
        <v>0</v>
      </c>
      <c r="ER17" s="2788" t="str">
        <f t="shared" si="41"/>
        <v>0.00%</v>
      </c>
      <c r="ES17" s="3693" t="str">
        <f t="shared" si="42"/>
        <v>0.00%</v>
      </c>
      <c r="ET17" s="3369" t="str">
        <f t="shared" si="43"/>
        <v>0.00%</v>
      </c>
      <c r="EU17" s="2374">
        <f t="shared" si="44"/>
        <v>0</v>
      </c>
      <c r="EV17" s="3641" t="e">
        <f t="shared" si="45"/>
        <v>#DIV/0!</v>
      </c>
      <c r="EW17" s="3641">
        <f t="shared" si="46"/>
        <v>0</v>
      </c>
      <c r="EX17" s="3537"/>
      <c r="EY17" s="4032" t="str">
        <f t="shared" si="69"/>
        <v>Solar Parabolic Trough W/O Storage 250 MW</v>
      </c>
      <c r="EZ17" s="2288">
        <f t="shared" si="69"/>
        <v>250</v>
      </c>
      <c r="FA17" s="2373">
        <f t="shared" si="70"/>
        <v>0</v>
      </c>
      <c r="FB17" s="2373">
        <f t="shared" si="47"/>
        <v>0</v>
      </c>
      <c r="FC17" s="2788">
        <f t="shared" si="48"/>
        <v>0</v>
      </c>
      <c r="FD17" s="3693">
        <f t="shared" si="49"/>
        <v>0</v>
      </c>
      <c r="FE17" s="3693">
        <f t="shared" si="50"/>
        <v>0</v>
      </c>
      <c r="FF17" s="3369">
        <f t="shared" si="51"/>
        <v>0</v>
      </c>
      <c r="FG17" s="2374" t="e">
        <f t="shared" si="52"/>
        <v>#DIV/0!</v>
      </c>
      <c r="FH17" s="3950" t="e">
        <f t="shared" si="53"/>
        <v>#DIV/0!</v>
      </c>
      <c r="FI17" s="3369" t="e">
        <f t="shared" si="54"/>
        <v>#DIV/0!</v>
      </c>
      <c r="FJ17" s="2374">
        <f t="shared" si="55"/>
        <v>0</v>
      </c>
      <c r="FK17" s="3641" t="e">
        <f t="shared" si="71"/>
        <v>#DIV/0!</v>
      </c>
      <c r="FL17" s="3641">
        <f t="shared" si="55"/>
        <v>0</v>
      </c>
      <c r="FO17" s="2288" t="str">
        <f t="shared" si="72"/>
        <v>Solar Parabolic Trough W/O Storage 250 MW</v>
      </c>
      <c r="FP17" s="2288">
        <f t="shared" si="73"/>
        <v>250</v>
      </c>
      <c r="FQ17" s="2788">
        <f t="shared" si="74"/>
        <v>0</v>
      </c>
      <c r="FR17" s="3693">
        <f t="shared" si="56"/>
        <v>0</v>
      </c>
      <c r="FS17" s="3370">
        <f t="shared" si="57"/>
        <v>0</v>
      </c>
      <c r="FT17" s="3693">
        <f t="shared" si="58"/>
        <v>0</v>
      </c>
      <c r="FU17" s="3693">
        <f t="shared" si="59"/>
        <v>0</v>
      </c>
      <c r="FV17" s="3369">
        <f t="shared" si="60"/>
        <v>0</v>
      </c>
      <c r="FW17" s="2788" t="e">
        <f t="shared" si="61"/>
        <v>#DIV/0!</v>
      </c>
      <c r="FX17" s="3693" t="e">
        <f t="shared" si="62"/>
        <v>#DIV/0!</v>
      </c>
      <c r="FY17" s="3369" t="e">
        <f t="shared" si="63"/>
        <v>#DIV/0!</v>
      </c>
      <c r="FZ17" s="2374">
        <f t="shared" si="64"/>
        <v>0</v>
      </c>
      <c r="GA17" s="3641" t="e">
        <f t="shared" si="75"/>
        <v>#DIV/0!</v>
      </c>
      <c r="GB17" s="3641">
        <f t="shared" si="76"/>
        <v>0</v>
      </c>
    </row>
    <row r="18" spans="1:184">
      <c r="A18" s="1908"/>
      <c r="B18" s="1908"/>
      <c r="C18" s="1803"/>
      <c r="D18" s="1291"/>
      <c r="E18" s="1802"/>
      <c r="F18" s="3617" t="s">
        <v>1807</v>
      </c>
      <c r="G18" s="3502">
        <v>250</v>
      </c>
      <c r="H18" s="3497">
        <v>485.21628186969042</v>
      </c>
      <c r="I18" s="3498">
        <v>21.417874428465847</v>
      </c>
      <c r="J18" s="3498">
        <v>6.304526165628606</v>
      </c>
      <c r="K18" s="3498">
        <v>87.750440225204713</v>
      </c>
      <c r="L18" s="3498">
        <v>-195.16660177744353</v>
      </c>
      <c r="M18" s="3615">
        <v>405.522520911546</v>
      </c>
      <c r="N18" s="3497">
        <v>0</v>
      </c>
      <c r="O18" s="3498">
        <v>0</v>
      </c>
      <c r="P18" s="3615">
        <v>0</v>
      </c>
      <c r="Q18" s="3616">
        <v>405.522520911546</v>
      </c>
      <c r="R18" s="3545">
        <v>0</v>
      </c>
      <c r="S18" s="3638">
        <v>405.522520911546</v>
      </c>
      <c r="T18" s="2362"/>
      <c r="U18" s="1289"/>
      <c r="V18" s="3617" t="s">
        <v>1807</v>
      </c>
      <c r="W18" s="3502">
        <v>250</v>
      </c>
      <c r="X18" s="3497">
        <v>152.43657710265273</v>
      </c>
      <c r="Y18" s="3498">
        <v>6.728684895134208</v>
      </c>
      <c r="Z18" s="3498">
        <v>1.980643323095727</v>
      </c>
      <c r="AA18" s="3498">
        <v>27.567864572964794</v>
      </c>
      <c r="AB18" s="3498">
        <v>-61.313953903343645</v>
      </c>
      <c r="AC18" s="3615">
        <v>127.39981599050384</v>
      </c>
      <c r="AD18" s="3497">
        <v>0</v>
      </c>
      <c r="AE18" s="3498">
        <v>0</v>
      </c>
      <c r="AF18" s="3630">
        <v>0</v>
      </c>
      <c r="AG18" s="3614">
        <v>127.39981599050384</v>
      </c>
      <c r="AH18" s="4225">
        <v>0</v>
      </c>
      <c r="AI18" s="3638">
        <v>127.39981599050384</v>
      </c>
      <c r="AJ18" s="4029">
        <f t="shared" si="0"/>
        <v>12.739981599050385</v>
      </c>
      <c r="AK18" s="2346"/>
      <c r="AL18" s="3634">
        <v>5465.1260453220157</v>
      </c>
      <c r="AM18" s="3635">
        <v>6094.2948658923015</v>
      </c>
      <c r="AN18" s="3497">
        <v>70.953321597751042</v>
      </c>
      <c r="AO18" s="3608">
        <v>0</v>
      </c>
      <c r="AP18" s="2282"/>
      <c r="AQ18" s="2282"/>
      <c r="AR18" s="2282"/>
      <c r="AS18" s="1291"/>
      <c r="AT18" s="3647" t="s">
        <v>1807</v>
      </c>
      <c r="AU18" s="3649">
        <v>250</v>
      </c>
      <c r="AV18" s="3523">
        <v>485.21628186969042</v>
      </c>
      <c r="AW18" s="3524">
        <v>21.417874428465847</v>
      </c>
      <c r="AX18" s="3524">
        <v>6.304526165628606</v>
      </c>
      <c r="AY18" s="3524">
        <v>87.750440225204713</v>
      </c>
      <c r="AZ18" s="3524">
        <v>-195.16660177744353</v>
      </c>
      <c r="BA18" s="3652">
        <v>405.522520911546</v>
      </c>
      <c r="BB18" s="3523">
        <v>0</v>
      </c>
      <c r="BC18" s="3524">
        <v>0</v>
      </c>
      <c r="BD18" s="3653">
        <v>0</v>
      </c>
      <c r="BE18" s="3695">
        <v>405.522520911546</v>
      </c>
      <c r="BF18" s="3545">
        <v>0</v>
      </c>
      <c r="BG18" s="3638">
        <v>405.522520911546</v>
      </c>
      <c r="BH18" s="2362"/>
      <c r="BI18" s="2340"/>
      <c r="BJ18" s="3647" t="s">
        <v>1807</v>
      </c>
      <c r="BK18" s="3522">
        <v>250</v>
      </c>
      <c r="BL18" s="3523">
        <v>152.43657710265273</v>
      </c>
      <c r="BM18" s="3524">
        <v>6.728684895134208</v>
      </c>
      <c r="BN18" s="3524">
        <v>1.980643323095727</v>
      </c>
      <c r="BO18" s="3524">
        <v>27.567864572964794</v>
      </c>
      <c r="BP18" s="3524">
        <v>-61.313953903343645</v>
      </c>
      <c r="BQ18" s="3665">
        <v>127.39981599050384</v>
      </c>
      <c r="BR18" s="3523">
        <v>0</v>
      </c>
      <c r="BS18" s="3524">
        <v>0</v>
      </c>
      <c r="BT18" s="3652">
        <v>0</v>
      </c>
      <c r="BU18" s="3654">
        <v>127.39981599050384</v>
      </c>
      <c r="BV18" s="3642">
        <v>0</v>
      </c>
      <c r="BW18" s="3638">
        <v>127.39981599050384</v>
      </c>
      <c r="BX18" s="3638">
        <f t="shared" si="65"/>
        <v>12.739981599050385</v>
      </c>
      <c r="BY18" s="1291"/>
      <c r="BZ18" s="3670">
        <v>5465.1260453220157</v>
      </c>
      <c r="CA18" s="3671">
        <v>6094.2948658923015</v>
      </c>
      <c r="CB18" s="3523">
        <v>70.953321597751042</v>
      </c>
      <c r="CC18" s="3526">
        <v>0</v>
      </c>
      <c r="CD18" s="2362"/>
      <c r="CE18" s="2362"/>
      <c r="CF18" s="2362"/>
      <c r="CG18" s="2346"/>
      <c r="CH18" s="2410" t="str">
        <f t="shared" si="1"/>
        <v>Solar Parabolic Trough With Storage 250 MW</v>
      </c>
      <c r="CI18" s="2411">
        <f t="shared" si="2"/>
        <v>250</v>
      </c>
      <c r="CJ18" s="2412">
        <f t="shared" si="3"/>
        <v>0</v>
      </c>
      <c r="CK18" s="3674">
        <f t="shared" si="4"/>
        <v>0</v>
      </c>
      <c r="CL18" s="3674">
        <f t="shared" si="5"/>
        <v>0</v>
      </c>
      <c r="CM18" s="3674">
        <f t="shared" si="6"/>
        <v>0</v>
      </c>
      <c r="CN18" s="3674">
        <f t="shared" si="7"/>
        <v>0</v>
      </c>
      <c r="CO18" s="3675">
        <f t="shared" si="8"/>
        <v>0</v>
      </c>
      <c r="CP18" s="3676">
        <f t="shared" si="9"/>
        <v>0</v>
      </c>
      <c r="CQ18" s="3674">
        <f t="shared" si="10"/>
        <v>0</v>
      </c>
      <c r="CR18" s="3675">
        <f t="shared" si="11"/>
        <v>0</v>
      </c>
      <c r="CS18" s="3677">
        <f t="shared" si="12"/>
        <v>0</v>
      </c>
      <c r="CT18" s="3545"/>
      <c r="CU18" s="3638"/>
      <c r="CV18" s="3638"/>
      <c r="CW18" s="2340"/>
      <c r="CX18" s="2410" t="str">
        <f t="shared" si="13"/>
        <v>Solar Parabolic Trough With Storage 250 MW</v>
      </c>
      <c r="CY18" s="2411">
        <f t="shared" si="14"/>
        <v>250</v>
      </c>
      <c r="CZ18" s="2412">
        <f t="shared" si="15"/>
        <v>0</v>
      </c>
      <c r="DA18" s="3674">
        <f t="shared" si="16"/>
        <v>0</v>
      </c>
      <c r="DB18" s="3674">
        <f t="shared" si="17"/>
        <v>0</v>
      </c>
      <c r="DC18" s="3674">
        <f t="shared" si="18"/>
        <v>0</v>
      </c>
      <c r="DD18" s="3674">
        <f t="shared" si="19"/>
        <v>0</v>
      </c>
      <c r="DE18" s="3675">
        <f t="shared" si="20"/>
        <v>0</v>
      </c>
      <c r="DF18" s="3676">
        <f t="shared" si="21"/>
        <v>0</v>
      </c>
      <c r="DG18" s="3674">
        <f t="shared" si="22"/>
        <v>0</v>
      </c>
      <c r="DH18" s="3675">
        <f t="shared" si="23"/>
        <v>0</v>
      </c>
      <c r="DI18" s="3677">
        <f t="shared" si="24"/>
        <v>0</v>
      </c>
      <c r="DJ18" s="3545">
        <f t="shared" si="24"/>
        <v>0</v>
      </c>
      <c r="DK18" s="3638">
        <f t="shared" si="24"/>
        <v>0</v>
      </c>
      <c r="DL18" s="3638">
        <f t="shared" si="24"/>
        <v>0</v>
      </c>
      <c r="DM18" s="2341"/>
      <c r="DN18" s="3687">
        <f t="shared" si="25"/>
        <v>0</v>
      </c>
      <c r="DO18" s="3688">
        <f t="shared" si="26"/>
        <v>0</v>
      </c>
      <c r="DP18" s="3687">
        <f t="shared" si="27"/>
        <v>0</v>
      </c>
      <c r="DQ18" s="3689">
        <f t="shared" si="28"/>
        <v>0</v>
      </c>
      <c r="DT18" s="2288" t="str">
        <f t="shared" si="29"/>
        <v>Solar Parabolic Trough With Storage 250 MW</v>
      </c>
      <c r="DU18" s="2289">
        <f t="shared" si="30"/>
        <v>250</v>
      </c>
      <c r="DV18" s="2373">
        <f t="shared" si="31"/>
        <v>0</v>
      </c>
      <c r="DW18" s="2373">
        <f t="shared" si="32"/>
        <v>0</v>
      </c>
      <c r="DX18" s="2788">
        <f t="shared" si="66"/>
        <v>0</v>
      </c>
      <c r="DY18" s="3693">
        <f t="shared" si="32"/>
        <v>0</v>
      </c>
      <c r="DZ18" s="3693">
        <f t="shared" si="32"/>
        <v>0</v>
      </c>
      <c r="EA18" s="3369">
        <f t="shared" si="32"/>
        <v>0</v>
      </c>
      <c r="EB18" s="2374" t="str">
        <f t="shared" si="67"/>
        <v>0.00%</v>
      </c>
      <c r="EC18" s="3950" t="str">
        <f t="shared" si="68"/>
        <v>0.00%</v>
      </c>
      <c r="ED18" s="3369" t="str">
        <f t="shared" si="68"/>
        <v>0.00%</v>
      </c>
      <c r="EE18" s="2374">
        <f t="shared" si="32"/>
        <v>0</v>
      </c>
      <c r="EF18" s="3641"/>
      <c r="EG18" s="3641"/>
      <c r="EJ18" s="2288" t="str">
        <f t="shared" si="33"/>
        <v>Solar Parabolic Trough With Storage 250 MW</v>
      </c>
      <c r="EK18" s="2289">
        <f t="shared" si="34"/>
        <v>250</v>
      </c>
      <c r="EL18" s="2788">
        <f t="shared" si="35"/>
        <v>0</v>
      </c>
      <c r="EM18" s="3693">
        <f t="shared" si="36"/>
        <v>0</v>
      </c>
      <c r="EN18" s="3370">
        <f>IF(DX18="0.00%","0.00%",DB18/Z18)</f>
        <v>0</v>
      </c>
      <c r="EO18" s="3693">
        <f t="shared" si="38"/>
        <v>0</v>
      </c>
      <c r="EP18" s="3693">
        <f t="shared" si="39"/>
        <v>0</v>
      </c>
      <c r="EQ18" s="3369">
        <f t="shared" si="40"/>
        <v>0</v>
      </c>
      <c r="ER18" s="2788" t="str">
        <f t="shared" si="41"/>
        <v>0.00%</v>
      </c>
      <c r="ES18" s="3693" t="str">
        <f t="shared" si="42"/>
        <v>0.00%</v>
      </c>
      <c r="ET18" s="3369" t="str">
        <f t="shared" si="43"/>
        <v>0.00%</v>
      </c>
      <c r="EU18" s="2374">
        <f t="shared" si="44"/>
        <v>0</v>
      </c>
      <c r="EV18" s="3641" t="e">
        <f t="shared" si="45"/>
        <v>#DIV/0!</v>
      </c>
      <c r="EW18" s="3641">
        <f t="shared" si="46"/>
        <v>0</v>
      </c>
      <c r="EX18" s="3537"/>
      <c r="EY18" s="4032" t="str">
        <f t="shared" si="69"/>
        <v>Solar Parabolic Trough With Storage 250 MW</v>
      </c>
      <c r="EZ18" s="2288">
        <f t="shared" si="69"/>
        <v>250</v>
      </c>
      <c r="FA18" s="2373">
        <f t="shared" si="70"/>
        <v>0</v>
      </c>
      <c r="FB18" s="2373">
        <f t="shared" si="47"/>
        <v>0</v>
      </c>
      <c r="FC18" s="2788">
        <f t="shared" si="48"/>
        <v>0</v>
      </c>
      <c r="FD18" s="3693">
        <f t="shared" si="49"/>
        <v>0</v>
      </c>
      <c r="FE18" s="3693">
        <f t="shared" si="50"/>
        <v>0</v>
      </c>
      <c r="FF18" s="3369">
        <f t="shared" si="51"/>
        <v>0</v>
      </c>
      <c r="FG18" s="2374" t="e">
        <f t="shared" si="52"/>
        <v>#DIV/0!</v>
      </c>
      <c r="FH18" s="3950" t="e">
        <f t="shared" si="53"/>
        <v>#DIV/0!</v>
      </c>
      <c r="FI18" s="3369" t="e">
        <f t="shared" si="54"/>
        <v>#DIV/0!</v>
      </c>
      <c r="FJ18" s="2374">
        <f t="shared" si="55"/>
        <v>0</v>
      </c>
      <c r="FK18" s="3641" t="e">
        <f t="shared" si="71"/>
        <v>#DIV/0!</v>
      </c>
      <c r="FL18" s="3641">
        <f t="shared" si="55"/>
        <v>0</v>
      </c>
      <c r="FO18" s="2288" t="str">
        <f t="shared" si="72"/>
        <v>Solar Parabolic Trough With Storage 250 MW</v>
      </c>
      <c r="FP18" s="2288">
        <f t="shared" si="73"/>
        <v>250</v>
      </c>
      <c r="FQ18" s="2788">
        <f t="shared" si="74"/>
        <v>0</v>
      </c>
      <c r="FR18" s="3693">
        <f t="shared" si="56"/>
        <v>0</v>
      </c>
      <c r="FS18" s="3370">
        <f t="shared" si="57"/>
        <v>0</v>
      </c>
      <c r="FT18" s="3693">
        <f t="shared" si="58"/>
        <v>0</v>
      </c>
      <c r="FU18" s="3693">
        <f t="shared" si="59"/>
        <v>0</v>
      </c>
      <c r="FV18" s="3369">
        <f t="shared" si="60"/>
        <v>0</v>
      </c>
      <c r="FW18" s="2788" t="e">
        <f t="shared" si="61"/>
        <v>#DIV/0!</v>
      </c>
      <c r="FX18" s="3693" t="e">
        <f t="shared" si="62"/>
        <v>#DIV/0!</v>
      </c>
      <c r="FY18" s="3369" t="e">
        <f t="shared" si="63"/>
        <v>#DIV/0!</v>
      </c>
      <c r="FZ18" s="2374">
        <f t="shared" si="64"/>
        <v>0</v>
      </c>
      <c r="GA18" s="3641" t="e">
        <f t="shared" si="75"/>
        <v>#DIV/0!</v>
      </c>
      <c r="GB18" s="3641">
        <f t="shared" si="76"/>
        <v>0</v>
      </c>
    </row>
    <row r="19" spans="1:184">
      <c r="A19" s="1908"/>
      <c r="B19" s="1908"/>
      <c r="C19" s="1803"/>
      <c r="D19" s="1291"/>
      <c r="E19" s="1802"/>
      <c r="F19" s="3501" t="s">
        <v>1917</v>
      </c>
      <c r="G19" s="3502">
        <v>100</v>
      </c>
      <c r="H19" s="3497">
        <v>370.46130664245459</v>
      </c>
      <c r="I19" s="3498">
        <v>16.327640499551467</v>
      </c>
      <c r="J19" s="3498">
        <v>26.433958422397527</v>
      </c>
      <c r="K19" s="3498">
        <v>77.682218056614715</v>
      </c>
      <c r="L19" s="3498">
        <v>-148.42743995058498</v>
      </c>
      <c r="M19" s="3615">
        <v>342.47768367043335</v>
      </c>
      <c r="N19" s="3497">
        <v>0</v>
      </c>
      <c r="O19" s="3498">
        <v>0</v>
      </c>
      <c r="P19" s="3615">
        <v>0</v>
      </c>
      <c r="Q19" s="3616">
        <v>342.47768367043335</v>
      </c>
      <c r="R19" s="3545">
        <v>0</v>
      </c>
      <c r="S19" s="3638">
        <v>342.47768367043335</v>
      </c>
      <c r="T19" s="2362"/>
      <c r="U19" s="1289"/>
      <c r="V19" s="3501" t="s">
        <v>1917</v>
      </c>
      <c r="W19" s="3502">
        <v>100</v>
      </c>
      <c r="X19" s="3497">
        <v>165.04624256984502</v>
      </c>
      <c r="Y19" s="3498">
        <v>7.2742164057717904</v>
      </c>
      <c r="Z19" s="3498">
        <v>11.77673736943043</v>
      </c>
      <c r="AA19" s="3498">
        <v>34.608629767399123</v>
      </c>
      <c r="AB19" s="3498">
        <v>-66.1267204397912</v>
      </c>
      <c r="AC19" s="3615">
        <v>152.57910567265517</v>
      </c>
      <c r="AD19" s="3497">
        <v>0</v>
      </c>
      <c r="AE19" s="3498">
        <v>0</v>
      </c>
      <c r="AF19" s="3630">
        <v>0</v>
      </c>
      <c r="AG19" s="3614">
        <v>152.57910567265517</v>
      </c>
      <c r="AH19" s="4225">
        <v>0</v>
      </c>
      <c r="AI19" s="3638">
        <v>152.57910567265517</v>
      </c>
      <c r="AJ19" s="4029">
        <f t="shared" si="0"/>
        <v>15.257910567265517</v>
      </c>
      <c r="AK19" s="2346"/>
      <c r="AL19" s="3634">
        <v>4166.2683965574515</v>
      </c>
      <c r="AM19" s="3635">
        <v>4645.9071370920919</v>
      </c>
      <c r="AN19" s="3497">
        <v>62.812350411598707</v>
      </c>
      <c r="AO19" s="3608">
        <v>0</v>
      </c>
      <c r="AP19" s="2282"/>
      <c r="AQ19" s="2282"/>
      <c r="AR19" s="2282"/>
      <c r="AS19" s="1291"/>
      <c r="AT19" s="3521" t="s">
        <v>1917</v>
      </c>
      <c r="AU19" s="3649">
        <v>100</v>
      </c>
      <c r="AV19" s="3523">
        <v>370.46130664245459</v>
      </c>
      <c r="AW19" s="3524">
        <v>16.327640499551467</v>
      </c>
      <c r="AX19" s="3524">
        <v>26.433958422397527</v>
      </c>
      <c r="AY19" s="3524">
        <v>77.682218056614715</v>
      </c>
      <c r="AZ19" s="3524">
        <v>-148.42743995058498</v>
      </c>
      <c r="BA19" s="3652">
        <v>342.47768367043335</v>
      </c>
      <c r="BB19" s="3523">
        <v>0</v>
      </c>
      <c r="BC19" s="3524">
        <v>0</v>
      </c>
      <c r="BD19" s="3653">
        <v>0</v>
      </c>
      <c r="BE19" s="3695">
        <v>342.47768367043335</v>
      </c>
      <c r="BF19" s="3545">
        <v>0</v>
      </c>
      <c r="BG19" s="3638">
        <v>342.47768367043335</v>
      </c>
      <c r="BH19" s="2362"/>
      <c r="BI19" s="2340"/>
      <c r="BJ19" s="3521" t="s">
        <v>1917</v>
      </c>
      <c r="BK19" s="3522">
        <v>100</v>
      </c>
      <c r="BL19" s="3523">
        <v>165.04624256984502</v>
      </c>
      <c r="BM19" s="3524">
        <v>7.2742164057717904</v>
      </c>
      <c r="BN19" s="3524">
        <v>11.77673736943043</v>
      </c>
      <c r="BO19" s="3524">
        <v>34.608629767399123</v>
      </c>
      <c r="BP19" s="3524">
        <v>-66.1267204397912</v>
      </c>
      <c r="BQ19" s="3665">
        <v>152.57910567265517</v>
      </c>
      <c r="BR19" s="3523">
        <v>0</v>
      </c>
      <c r="BS19" s="3524">
        <v>0</v>
      </c>
      <c r="BT19" s="3652">
        <v>0</v>
      </c>
      <c r="BU19" s="3654">
        <v>152.57910567265517</v>
      </c>
      <c r="BV19" s="3642">
        <v>0</v>
      </c>
      <c r="BW19" s="3638">
        <v>152.57910567265517</v>
      </c>
      <c r="BX19" s="3638">
        <f t="shared" si="65"/>
        <v>15.257910567265517</v>
      </c>
      <c r="BY19" s="1291"/>
      <c r="BZ19" s="3670">
        <v>4166.2683965574515</v>
      </c>
      <c r="CA19" s="3671">
        <v>4645.9071370920919</v>
      </c>
      <c r="CB19" s="3523">
        <v>62.812350411598707</v>
      </c>
      <c r="CC19" s="3526">
        <v>0</v>
      </c>
      <c r="CD19" s="2362"/>
      <c r="CE19" s="2362"/>
      <c r="CF19" s="2362"/>
      <c r="CG19" s="2346"/>
      <c r="CH19" s="2410" t="str">
        <f t="shared" si="1"/>
        <v>Solar Power Tower W/O Storage 100 MW</v>
      </c>
      <c r="CI19" s="2411">
        <f t="shared" si="2"/>
        <v>100</v>
      </c>
      <c r="CJ19" s="2412">
        <f t="shared" si="3"/>
        <v>0</v>
      </c>
      <c r="CK19" s="3674">
        <f t="shared" si="4"/>
        <v>0</v>
      </c>
      <c r="CL19" s="3674">
        <f t="shared" si="5"/>
        <v>0</v>
      </c>
      <c r="CM19" s="3674">
        <f t="shared" si="6"/>
        <v>0</v>
      </c>
      <c r="CN19" s="3674">
        <f t="shared" si="7"/>
        <v>0</v>
      </c>
      <c r="CO19" s="3675">
        <f t="shared" si="8"/>
        <v>0</v>
      </c>
      <c r="CP19" s="3676">
        <f t="shared" si="9"/>
        <v>0</v>
      </c>
      <c r="CQ19" s="3674">
        <f t="shared" si="10"/>
        <v>0</v>
      </c>
      <c r="CR19" s="3675">
        <f t="shared" si="11"/>
        <v>0</v>
      </c>
      <c r="CS19" s="3677">
        <f t="shared" si="12"/>
        <v>0</v>
      </c>
      <c r="CT19" s="3545"/>
      <c r="CU19" s="3638"/>
      <c r="CV19" s="3638"/>
      <c r="CW19" s="2340"/>
      <c r="CX19" s="2410" t="str">
        <f t="shared" si="13"/>
        <v>Solar Power Tower W/O Storage 100 MW</v>
      </c>
      <c r="CY19" s="2411">
        <f t="shared" si="14"/>
        <v>100</v>
      </c>
      <c r="CZ19" s="2412">
        <f t="shared" si="15"/>
        <v>0</v>
      </c>
      <c r="DA19" s="3674">
        <f t="shared" si="16"/>
        <v>0</v>
      </c>
      <c r="DB19" s="3674">
        <f t="shared" si="17"/>
        <v>0</v>
      </c>
      <c r="DC19" s="3674">
        <f t="shared" si="18"/>
        <v>0</v>
      </c>
      <c r="DD19" s="3674">
        <f t="shared" si="19"/>
        <v>0</v>
      </c>
      <c r="DE19" s="3675">
        <f t="shared" si="20"/>
        <v>0</v>
      </c>
      <c r="DF19" s="3676">
        <f t="shared" si="21"/>
        <v>0</v>
      </c>
      <c r="DG19" s="3674">
        <f t="shared" si="22"/>
        <v>0</v>
      </c>
      <c r="DH19" s="3675">
        <f t="shared" si="23"/>
        <v>0</v>
      </c>
      <c r="DI19" s="3677">
        <f t="shared" si="24"/>
        <v>0</v>
      </c>
      <c r="DJ19" s="3545">
        <f t="shared" si="24"/>
        <v>0</v>
      </c>
      <c r="DK19" s="3638">
        <f t="shared" si="24"/>
        <v>0</v>
      </c>
      <c r="DL19" s="3638">
        <f t="shared" si="24"/>
        <v>0</v>
      </c>
      <c r="DM19" s="2341"/>
      <c r="DN19" s="3687">
        <f t="shared" si="25"/>
        <v>0</v>
      </c>
      <c r="DO19" s="3688">
        <f t="shared" si="26"/>
        <v>0</v>
      </c>
      <c r="DP19" s="3687">
        <f t="shared" si="27"/>
        <v>0</v>
      </c>
      <c r="DQ19" s="3689">
        <f t="shared" si="28"/>
        <v>0</v>
      </c>
      <c r="DT19" s="2288" t="str">
        <f t="shared" si="29"/>
        <v>Solar Power Tower W/O Storage 100 MW</v>
      </c>
      <c r="DU19" s="2289">
        <f t="shared" si="30"/>
        <v>100</v>
      </c>
      <c r="DV19" s="2373">
        <f t="shared" si="31"/>
        <v>0</v>
      </c>
      <c r="DW19" s="2373">
        <f t="shared" si="32"/>
        <v>0</v>
      </c>
      <c r="DX19" s="2788">
        <f t="shared" si="66"/>
        <v>0</v>
      </c>
      <c r="DY19" s="3693">
        <f t="shared" si="32"/>
        <v>0</v>
      </c>
      <c r="DZ19" s="3693">
        <f t="shared" si="32"/>
        <v>0</v>
      </c>
      <c r="EA19" s="3369">
        <f t="shared" si="32"/>
        <v>0</v>
      </c>
      <c r="EB19" s="2374" t="str">
        <f t="shared" si="67"/>
        <v>0.00%</v>
      </c>
      <c r="EC19" s="3950" t="str">
        <f t="shared" si="68"/>
        <v>0.00%</v>
      </c>
      <c r="ED19" s="3369" t="str">
        <f t="shared" si="68"/>
        <v>0.00%</v>
      </c>
      <c r="EE19" s="2374">
        <f t="shared" si="32"/>
        <v>0</v>
      </c>
      <c r="EF19" s="3641"/>
      <c r="EG19" s="3641"/>
      <c r="EJ19" s="2288" t="str">
        <f t="shared" si="33"/>
        <v>Solar Power Tower W/O Storage 100 MW</v>
      </c>
      <c r="EK19" s="2289">
        <f t="shared" si="34"/>
        <v>100</v>
      </c>
      <c r="EL19" s="2788">
        <f t="shared" si="35"/>
        <v>0</v>
      </c>
      <c r="EM19" s="3693">
        <f t="shared" si="36"/>
        <v>0</v>
      </c>
      <c r="EN19" s="3370">
        <f t="shared" ref="EN19:EN26" si="77">IF(DX19="0.00%","0.00%",DB19/Z19)</f>
        <v>0</v>
      </c>
      <c r="EO19" s="3693">
        <f t="shared" si="38"/>
        <v>0</v>
      </c>
      <c r="EP19" s="3693">
        <f t="shared" si="39"/>
        <v>0</v>
      </c>
      <c r="EQ19" s="3369">
        <f t="shared" si="40"/>
        <v>0</v>
      </c>
      <c r="ER19" s="2788" t="str">
        <f t="shared" si="41"/>
        <v>0.00%</v>
      </c>
      <c r="ES19" s="3693" t="str">
        <f t="shared" si="42"/>
        <v>0.00%</v>
      </c>
      <c r="ET19" s="3369" t="str">
        <f t="shared" si="43"/>
        <v>0.00%</v>
      </c>
      <c r="EU19" s="2374">
        <f t="shared" si="44"/>
        <v>0</v>
      </c>
      <c r="EV19" s="3641" t="e">
        <f t="shared" si="45"/>
        <v>#DIV/0!</v>
      </c>
      <c r="EW19" s="3641">
        <f t="shared" si="46"/>
        <v>0</v>
      </c>
      <c r="EX19" s="3537"/>
      <c r="EY19" s="4032" t="str">
        <f t="shared" si="69"/>
        <v>Solar Power Tower W/O Storage 100 MW</v>
      </c>
      <c r="EZ19" s="2288">
        <f t="shared" si="69"/>
        <v>100</v>
      </c>
      <c r="FA19" s="2373">
        <f t="shared" si="70"/>
        <v>0</v>
      </c>
      <c r="FB19" s="2373">
        <f t="shared" si="47"/>
        <v>0</v>
      </c>
      <c r="FC19" s="2788">
        <f t="shared" si="48"/>
        <v>0</v>
      </c>
      <c r="FD19" s="3693">
        <f t="shared" si="49"/>
        <v>0</v>
      </c>
      <c r="FE19" s="3693">
        <f t="shared" si="50"/>
        <v>0</v>
      </c>
      <c r="FF19" s="3369">
        <f t="shared" si="51"/>
        <v>0</v>
      </c>
      <c r="FG19" s="2374" t="e">
        <f t="shared" si="52"/>
        <v>#DIV/0!</v>
      </c>
      <c r="FH19" s="3950" t="e">
        <f t="shared" si="53"/>
        <v>#DIV/0!</v>
      </c>
      <c r="FI19" s="3369" t="e">
        <f t="shared" si="54"/>
        <v>#DIV/0!</v>
      </c>
      <c r="FJ19" s="2374">
        <f t="shared" si="55"/>
        <v>0</v>
      </c>
      <c r="FK19" s="3641" t="e">
        <f t="shared" si="71"/>
        <v>#DIV/0!</v>
      </c>
      <c r="FL19" s="3641">
        <f t="shared" si="55"/>
        <v>0</v>
      </c>
      <c r="FO19" s="2288" t="str">
        <f t="shared" si="72"/>
        <v>Solar Power Tower W/O Storage 100 MW</v>
      </c>
      <c r="FP19" s="2288">
        <f t="shared" si="73"/>
        <v>100</v>
      </c>
      <c r="FQ19" s="2788">
        <f t="shared" si="74"/>
        <v>0</v>
      </c>
      <c r="FR19" s="3693">
        <f t="shared" si="56"/>
        <v>0</v>
      </c>
      <c r="FS19" s="3370">
        <f t="shared" si="57"/>
        <v>0</v>
      </c>
      <c r="FT19" s="3693">
        <f t="shared" si="58"/>
        <v>0</v>
      </c>
      <c r="FU19" s="3693">
        <f t="shared" si="59"/>
        <v>0</v>
      </c>
      <c r="FV19" s="3369">
        <f t="shared" si="60"/>
        <v>0</v>
      </c>
      <c r="FW19" s="2788" t="e">
        <f t="shared" si="61"/>
        <v>#DIV/0!</v>
      </c>
      <c r="FX19" s="3693" t="e">
        <f t="shared" si="62"/>
        <v>#DIV/0!</v>
      </c>
      <c r="FY19" s="3369" t="e">
        <f t="shared" si="63"/>
        <v>#DIV/0!</v>
      </c>
      <c r="FZ19" s="2374">
        <f t="shared" si="64"/>
        <v>0</v>
      </c>
      <c r="GA19" s="3641" t="e">
        <f t="shared" si="75"/>
        <v>#DIV/0!</v>
      </c>
      <c r="GB19" s="3641">
        <f t="shared" si="76"/>
        <v>0</v>
      </c>
    </row>
    <row r="20" spans="1:184">
      <c r="A20" s="1803"/>
      <c r="B20" s="1803"/>
      <c r="C20" s="1803"/>
      <c r="D20" s="1291"/>
      <c r="E20" s="1802"/>
      <c r="F20" s="3501" t="s">
        <v>1881</v>
      </c>
      <c r="G20" s="3502">
        <v>100</v>
      </c>
      <c r="H20" s="3497">
        <v>518.07809440662209</v>
      </c>
      <c r="I20" s="3498">
        <v>22.858890117451303</v>
      </c>
      <c r="J20" s="3498">
        <v>6.7287008962552655</v>
      </c>
      <c r="K20" s="3498">
        <v>81.931792348552037</v>
      </c>
      <c r="L20" s="3498">
        <v>-208.13346006730325</v>
      </c>
      <c r="M20" s="3615">
        <v>421.46401770157746</v>
      </c>
      <c r="N20" s="3497">
        <v>0</v>
      </c>
      <c r="O20" s="3498">
        <v>0</v>
      </c>
      <c r="P20" s="3615">
        <v>0</v>
      </c>
      <c r="Q20" s="3616">
        <v>421.46401770157746</v>
      </c>
      <c r="R20" s="3545">
        <v>0</v>
      </c>
      <c r="S20" s="3638">
        <v>421.46401770157746</v>
      </c>
      <c r="T20" s="2362"/>
      <c r="U20" s="1289"/>
      <c r="V20" s="3501" t="s">
        <v>1881</v>
      </c>
      <c r="W20" s="3502">
        <v>100</v>
      </c>
      <c r="X20" s="3497">
        <v>178.87914881381982</v>
      </c>
      <c r="Y20" s="3498">
        <v>7.8925915825906827</v>
      </c>
      <c r="Z20" s="3498">
        <v>2.3232487571656413</v>
      </c>
      <c r="AA20" s="3498">
        <v>28.288957657794175</v>
      </c>
      <c r="AB20" s="3498">
        <v>-71.863173869870678</v>
      </c>
      <c r="AC20" s="3615">
        <v>145.52077294149964</v>
      </c>
      <c r="AD20" s="3497">
        <v>0</v>
      </c>
      <c r="AE20" s="3498">
        <v>0</v>
      </c>
      <c r="AF20" s="3630">
        <v>0</v>
      </c>
      <c r="AG20" s="3614">
        <v>145.52077294149964</v>
      </c>
      <c r="AH20" s="4225">
        <v>0</v>
      </c>
      <c r="AI20" s="3638">
        <v>145.52077294149964</v>
      </c>
      <c r="AJ20" s="4029">
        <f t="shared" si="0"/>
        <v>14.552077294149964</v>
      </c>
      <c r="AK20" s="2346"/>
      <c r="AL20" s="3634">
        <v>5832.8251090127224</v>
      </c>
      <c r="AM20" s="3635">
        <v>6504.3250275867067</v>
      </c>
      <c r="AN20" s="3497">
        <v>66.248474613546122</v>
      </c>
      <c r="AO20" s="3608">
        <v>0</v>
      </c>
      <c r="AP20" s="2282"/>
      <c r="AQ20" s="2282"/>
      <c r="AR20" s="2282"/>
      <c r="AS20" s="1291"/>
      <c r="AT20" s="3521" t="s">
        <v>1881</v>
      </c>
      <c r="AU20" s="3649">
        <v>100</v>
      </c>
      <c r="AV20" s="3523">
        <v>518.07809440662209</v>
      </c>
      <c r="AW20" s="3524">
        <v>22.858890117451303</v>
      </c>
      <c r="AX20" s="3524">
        <v>6.7287008962552655</v>
      </c>
      <c r="AY20" s="3524">
        <v>81.931792348552037</v>
      </c>
      <c r="AZ20" s="3524">
        <v>-208.13346006730325</v>
      </c>
      <c r="BA20" s="3652">
        <v>421.46401770157746</v>
      </c>
      <c r="BB20" s="3523">
        <v>0</v>
      </c>
      <c r="BC20" s="3524">
        <v>0</v>
      </c>
      <c r="BD20" s="3653">
        <v>0</v>
      </c>
      <c r="BE20" s="3695">
        <v>421.46401770157746</v>
      </c>
      <c r="BF20" s="3545">
        <v>0</v>
      </c>
      <c r="BG20" s="3638">
        <v>421.46401770157746</v>
      </c>
      <c r="BH20" s="2362"/>
      <c r="BI20" s="2340"/>
      <c r="BJ20" s="3521" t="s">
        <v>1881</v>
      </c>
      <c r="BK20" s="3522">
        <v>100</v>
      </c>
      <c r="BL20" s="3523">
        <v>178.87914881381982</v>
      </c>
      <c r="BM20" s="3524">
        <v>7.8925915825906827</v>
      </c>
      <c r="BN20" s="3524">
        <v>2.3232487571656413</v>
      </c>
      <c r="BO20" s="3524">
        <v>28.288957657794175</v>
      </c>
      <c r="BP20" s="3524">
        <v>-71.863173869870678</v>
      </c>
      <c r="BQ20" s="3665">
        <v>145.52077294149964</v>
      </c>
      <c r="BR20" s="3523">
        <v>0</v>
      </c>
      <c r="BS20" s="3524">
        <v>0</v>
      </c>
      <c r="BT20" s="3652">
        <v>0</v>
      </c>
      <c r="BU20" s="3654">
        <v>145.52077294149964</v>
      </c>
      <c r="BV20" s="3642">
        <v>0</v>
      </c>
      <c r="BW20" s="3638">
        <v>145.52077294149964</v>
      </c>
      <c r="BX20" s="3638">
        <f t="shared" si="65"/>
        <v>14.552077294149964</v>
      </c>
      <c r="BY20" s="1291"/>
      <c r="BZ20" s="3670">
        <v>5832.8251090127224</v>
      </c>
      <c r="CA20" s="3671">
        <v>6504.3250275867067</v>
      </c>
      <c r="CB20" s="3523">
        <v>66.248474613546122</v>
      </c>
      <c r="CC20" s="3526">
        <v>0</v>
      </c>
      <c r="CD20" s="2362"/>
      <c r="CE20" s="2362"/>
      <c r="CF20" s="2362"/>
      <c r="CG20" s="2346"/>
      <c r="CH20" s="2410" t="str">
        <f t="shared" si="1"/>
        <v>Solar Power Tower With Storage 100 MW 6 HRs</v>
      </c>
      <c r="CI20" s="2411">
        <f t="shared" si="2"/>
        <v>100</v>
      </c>
      <c r="CJ20" s="2412">
        <f t="shared" si="3"/>
        <v>0</v>
      </c>
      <c r="CK20" s="3674">
        <f t="shared" si="4"/>
        <v>0</v>
      </c>
      <c r="CL20" s="3674">
        <f t="shared" si="5"/>
        <v>0</v>
      </c>
      <c r="CM20" s="3674">
        <f t="shared" si="6"/>
        <v>0</v>
      </c>
      <c r="CN20" s="3674">
        <f t="shared" si="7"/>
        <v>0</v>
      </c>
      <c r="CO20" s="3675">
        <f t="shared" si="8"/>
        <v>0</v>
      </c>
      <c r="CP20" s="3676">
        <f t="shared" si="9"/>
        <v>0</v>
      </c>
      <c r="CQ20" s="3674">
        <f t="shared" si="10"/>
        <v>0</v>
      </c>
      <c r="CR20" s="3675">
        <f t="shared" si="11"/>
        <v>0</v>
      </c>
      <c r="CS20" s="3677">
        <f t="shared" si="12"/>
        <v>0</v>
      </c>
      <c r="CT20" s="3545"/>
      <c r="CU20" s="3638"/>
      <c r="CV20" s="3638"/>
      <c r="CW20" s="2340"/>
      <c r="CX20" s="2410" t="str">
        <f t="shared" si="13"/>
        <v>Solar Power Tower With Storage 100 MW 6 HRs</v>
      </c>
      <c r="CY20" s="2411">
        <f t="shared" si="14"/>
        <v>100</v>
      </c>
      <c r="CZ20" s="2412">
        <f t="shared" si="15"/>
        <v>0</v>
      </c>
      <c r="DA20" s="3674">
        <f t="shared" si="16"/>
        <v>0</v>
      </c>
      <c r="DB20" s="3674">
        <f t="shared" si="17"/>
        <v>0</v>
      </c>
      <c r="DC20" s="3674">
        <f t="shared" si="18"/>
        <v>0</v>
      </c>
      <c r="DD20" s="3674">
        <f t="shared" si="19"/>
        <v>0</v>
      </c>
      <c r="DE20" s="3675">
        <f t="shared" si="20"/>
        <v>0</v>
      </c>
      <c r="DF20" s="3676">
        <f t="shared" si="21"/>
        <v>0</v>
      </c>
      <c r="DG20" s="3674">
        <f t="shared" si="22"/>
        <v>0</v>
      </c>
      <c r="DH20" s="3675">
        <f t="shared" si="23"/>
        <v>0</v>
      </c>
      <c r="DI20" s="3677">
        <f t="shared" si="24"/>
        <v>0</v>
      </c>
      <c r="DJ20" s="3545">
        <f t="shared" si="24"/>
        <v>0</v>
      </c>
      <c r="DK20" s="3638">
        <f t="shared" si="24"/>
        <v>0</v>
      </c>
      <c r="DL20" s="3638">
        <f t="shared" si="24"/>
        <v>0</v>
      </c>
      <c r="DM20" s="2341"/>
      <c r="DN20" s="3687">
        <f t="shared" si="25"/>
        <v>0</v>
      </c>
      <c r="DO20" s="3688">
        <f t="shared" si="26"/>
        <v>0</v>
      </c>
      <c r="DP20" s="3687">
        <f t="shared" si="27"/>
        <v>0</v>
      </c>
      <c r="DQ20" s="3689">
        <f t="shared" si="28"/>
        <v>0</v>
      </c>
      <c r="DT20" s="2288" t="str">
        <f t="shared" si="29"/>
        <v>Solar Power Tower With Storage 100 MW 6 HRs</v>
      </c>
      <c r="DU20" s="2289">
        <f t="shared" si="30"/>
        <v>100</v>
      </c>
      <c r="DV20" s="2373">
        <f t="shared" si="31"/>
        <v>0</v>
      </c>
      <c r="DW20" s="2373">
        <f t="shared" si="32"/>
        <v>0</v>
      </c>
      <c r="DX20" s="2788">
        <f t="shared" si="66"/>
        <v>0</v>
      </c>
      <c r="DY20" s="3693">
        <f t="shared" si="32"/>
        <v>0</v>
      </c>
      <c r="DZ20" s="3693">
        <f t="shared" si="32"/>
        <v>0</v>
      </c>
      <c r="EA20" s="3369">
        <f t="shared" si="32"/>
        <v>0</v>
      </c>
      <c r="EB20" s="2374" t="str">
        <f t="shared" si="67"/>
        <v>0.00%</v>
      </c>
      <c r="EC20" s="3950" t="str">
        <f t="shared" si="68"/>
        <v>0.00%</v>
      </c>
      <c r="ED20" s="3369" t="str">
        <f t="shared" si="68"/>
        <v>0.00%</v>
      </c>
      <c r="EE20" s="2374">
        <f t="shared" si="32"/>
        <v>0</v>
      </c>
      <c r="EF20" s="3641"/>
      <c r="EG20" s="3641"/>
      <c r="EJ20" s="2288" t="str">
        <f t="shared" si="33"/>
        <v>Solar Power Tower With Storage 100 MW 6 HRs</v>
      </c>
      <c r="EK20" s="2289">
        <f t="shared" si="34"/>
        <v>100</v>
      </c>
      <c r="EL20" s="2788">
        <f t="shared" si="35"/>
        <v>0</v>
      </c>
      <c r="EM20" s="3693">
        <f t="shared" si="36"/>
        <v>0</v>
      </c>
      <c r="EN20" s="3370">
        <f t="shared" si="77"/>
        <v>0</v>
      </c>
      <c r="EO20" s="3693">
        <f t="shared" si="38"/>
        <v>0</v>
      </c>
      <c r="EP20" s="3693">
        <f t="shared" si="39"/>
        <v>0</v>
      </c>
      <c r="EQ20" s="3369">
        <f t="shared" si="40"/>
        <v>0</v>
      </c>
      <c r="ER20" s="2788" t="str">
        <f t="shared" si="41"/>
        <v>0.00%</v>
      </c>
      <c r="ES20" s="3693" t="str">
        <f t="shared" si="42"/>
        <v>0.00%</v>
      </c>
      <c r="ET20" s="3369" t="str">
        <f t="shared" si="43"/>
        <v>0.00%</v>
      </c>
      <c r="EU20" s="2374">
        <f t="shared" si="44"/>
        <v>0</v>
      </c>
      <c r="EV20" s="3641" t="e">
        <f t="shared" si="45"/>
        <v>#DIV/0!</v>
      </c>
      <c r="EW20" s="3641">
        <f t="shared" si="46"/>
        <v>0</v>
      </c>
      <c r="EX20" s="3537"/>
      <c r="EY20" s="4032" t="str">
        <f t="shared" si="69"/>
        <v>Solar Power Tower With Storage 100 MW 6 HRs</v>
      </c>
      <c r="EZ20" s="2288">
        <f t="shared" si="69"/>
        <v>100</v>
      </c>
      <c r="FA20" s="2373">
        <f t="shared" si="70"/>
        <v>0</v>
      </c>
      <c r="FB20" s="2373">
        <f t="shared" si="47"/>
        <v>0</v>
      </c>
      <c r="FC20" s="2788">
        <f t="shared" si="48"/>
        <v>0</v>
      </c>
      <c r="FD20" s="3693">
        <f t="shared" si="49"/>
        <v>0</v>
      </c>
      <c r="FE20" s="3693">
        <f t="shared" si="50"/>
        <v>0</v>
      </c>
      <c r="FF20" s="3369">
        <f t="shared" si="51"/>
        <v>0</v>
      </c>
      <c r="FG20" s="2374" t="e">
        <f t="shared" si="52"/>
        <v>#DIV/0!</v>
      </c>
      <c r="FH20" s="3950" t="e">
        <f t="shared" si="53"/>
        <v>#DIV/0!</v>
      </c>
      <c r="FI20" s="3369" t="e">
        <f t="shared" si="54"/>
        <v>#DIV/0!</v>
      </c>
      <c r="FJ20" s="2374">
        <f t="shared" si="55"/>
        <v>0</v>
      </c>
      <c r="FK20" s="3641" t="e">
        <f t="shared" si="71"/>
        <v>#DIV/0!</v>
      </c>
      <c r="FL20" s="3641">
        <f t="shared" si="55"/>
        <v>0</v>
      </c>
      <c r="FO20" s="2288" t="str">
        <f t="shared" si="72"/>
        <v>Solar Power Tower With Storage 100 MW 6 HRs</v>
      </c>
      <c r="FP20" s="2288">
        <f t="shared" si="73"/>
        <v>100</v>
      </c>
      <c r="FQ20" s="2788">
        <f t="shared" si="74"/>
        <v>0</v>
      </c>
      <c r="FR20" s="3693">
        <f t="shared" si="56"/>
        <v>0</v>
      </c>
      <c r="FS20" s="3370">
        <f t="shared" si="57"/>
        <v>0</v>
      </c>
      <c r="FT20" s="3693">
        <f t="shared" si="58"/>
        <v>0</v>
      </c>
      <c r="FU20" s="3693">
        <f t="shared" si="59"/>
        <v>0</v>
      </c>
      <c r="FV20" s="3369">
        <f t="shared" si="60"/>
        <v>0</v>
      </c>
      <c r="FW20" s="2788" t="e">
        <f t="shared" si="61"/>
        <v>#DIV/0!</v>
      </c>
      <c r="FX20" s="3693" t="e">
        <f t="shared" si="62"/>
        <v>#DIV/0!</v>
      </c>
      <c r="FY20" s="3369" t="e">
        <f t="shared" si="63"/>
        <v>#DIV/0!</v>
      </c>
      <c r="FZ20" s="2374">
        <f t="shared" si="64"/>
        <v>0</v>
      </c>
      <c r="GA20" s="3641" t="e">
        <f t="shared" si="75"/>
        <v>#DIV/0!</v>
      </c>
      <c r="GB20" s="3641">
        <f t="shared" si="76"/>
        <v>0</v>
      </c>
    </row>
    <row r="21" spans="1:184">
      <c r="A21" s="1803"/>
      <c r="B21" s="1803"/>
      <c r="C21" s="1803"/>
      <c r="D21" s="1291"/>
      <c r="E21" s="1802"/>
      <c r="F21" s="3501" t="s">
        <v>1883</v>
      </c>
      <c r="G21" s="3502">
        <v>100</v>
      </c>
      <c r="H21" s="3497">
        <v>576.34570079521541</v>
      </c>
      <c r="I21" s="3498">
        <v>25.42192214787492</v>
      </c>
      <c r="J21" s="3498">
        <v>7.4831502956631688</v>
      </c>
      <c r="K21" s="3498">
        <v>81.931792348552037</v>
      </c>
      <c r="L21" s="3498">
        <v>-231.32812169457583</v>
      </c>
      <c r="M21" s="3615">
        <v>459.85444389272976</v>
      </c>
      <c r="N21" s="3497">
        <v>0</v>
      </c>
      <c r="O21" s="3498">
        <v>0</v>
      </c>
      <c r="P21" s="3615">
        <v>0</v>
      </c>
      <c r="Q21" s="3616">
        <v>459.85444389272976</v>
      </c>
      <c r="R21" s="3545">
        <v>0</v>
      </c>
      <c r="S21" s="3638">
        <v>459.85444389272976</v>
      </c>
      <c r="T21" s="2362"/>
      <c r="U21" s="1289"/>
      <c r="V21" s="3501" t="s">
        <v>1883</v>
      </c>
      <c r="W21" s="3502">
        <v>100</v>
      </c>
      <c r="X21" s="3497">
        <v>142.95328225776589</v>
      </c>
      <c r="Y21" s="3498">
        <v>6.3054989519760172</v>
      </c>
      <c r="Z21" s="3498">
        <v>1.8560750863886759</v>
      </c>
      <c r="AA21" s="3498">
        <v>20.321863460292956</v>
      </c>
      <c r="AB21" s="3498">
        <v>-57.377220354270477</v>
      </c>
      <c r="AC21" s="3615">
        <v>114.05949940215304</v>
      </c>
      <c r="AD21" s="3497">
        <v>0</v>
      </c>
      <c r="AE21" s="3498">
        <v>0</v>
      </c>
      <c r="AF21" s="3630">
        <v>0</v>
      </c>
      <c r="AG21" s="3614">
        <v>114.05949940215304</v>
      </c>
      <c r="AH21" s="4225">
        <v>0</v>
      </c>
      <c r="AI21" s="3638">
        <v>114.05949940215304</v>
      </c>
      <c r="AJ21" s="4029">
        <f t="shared" si="0"/>
        <v>11.405949940215304</v>
      </c>
      <c r="AK21" s="2346"/>
      <c r="AL21" s="3634">
        <v>6486.8252597394476</v>
      </c>
      <c r="AM21" s="3635">
        <v>7233.6164890852524</v>
      </c>
      <c r="AN21" s="3497">
        <v>66.248474613546122</v>
      </c>
      <c r="AO21" s="3608">
        <v>0</v>
      </c>
      <c r="AP21" s="2282"/>
      <c r="AQ21" s="2282"/>
      <c r="AR21" s="2282"/>
      <c r="AS21" s="1291"/>
      <c r="AT21" s="3521" t="s">
        <v>1883</v>
      </c>
      <c r="AU21" s="3649">
        <v>100</v>
      </c>
      <c r="AV21" s="3523">
        <v>576.34570079521541</v>
      </c>
      <c r="AW21" s="3524">
        <v>25.42192214787492</v>
      </c>
      <c r="AX21" s="3524">
        <v>7.4831502956631688</v>
      </c>
      <c r="AY21" s="3524">
        <v>81.931792348552037</v>
      </c>
      <c r="AZ21" s="3524">
        <v>-231.32812169457583</v>
      </c>
      <c r="BA21" s="3652">
        <v>459.85444389272976</v>
      </c>
      <c r="BB21" s="3523">
        <v>0</v>
      </c>
      <c r="BC21" s="3524">
        <v>0</v>
      </c>
      <c r="BD21" s="3653">
        <v>0</v>
      </c>
      <c r="BE21" s="3695">
        <v>459.85444389272976</v>
      </c>
      <c r="BF21" s="3545">
        <v>0</v>
      </c>
      <c r="BG21" s="3638">
        <v>459.85444389272976</v>
      </c>
      <c r="BH21" s="2362"/>
      <c r="BI21" s="2340"/>
      <c r="BJ21" s="3521" t="s">
        <v>1883</v>
      </c>
      <c r="BK21" s="3522">
        <v>100</v>
      </c>
      <c r="BL21" s="3523">
        <v>142.95328225776589</v>
      </c>
      <c r="BM21" s="3524">
        <v>6.3054989519760172</v>
      </c>
      <c r="BN21" s="3524">
        <v>1.8560750863886759</v>
      </c>
      <c r="BO21" s="3524">
        <v>20.321863460292956</v>
      </c>
      <c r="BP21" s="3524">
        <v>-57.377220354270477</v>
      </c>
      <c r="BQ21" s="3665">
        <v>114.05949940215304</v>
      </c>
      <c r="BR21" s="3523">
        <v>0</v>
      </c>
      <c r="BS21" s="3524">
        <v>0</v>
      </c>
      <c r="BT21" s="3652">
        <v>0</v>
      </c>
      <c r="BU21" s="3654">
        <v>114.05949940215304</v>
      </c>
      <c r="BV21" s="3642">
        <v>0</v>
      </c>
      <c r="BW21" s="3638">
        <v>114.05949940215304</v>
      </c>
      <c r="BX21" s="3638">
        <f t="shared" si="65"/>
        <v>11.405949940215304</v>
      </c>
      <c r="BY21" s="1291"/>
      <c r="BZ21" s="3670">
        <v>6486.8252597394476</v>
      </c>
      <c r="CA21" s="3671">
        <v>7233.6164890852524</v>
      </c>
      <c r="CB21" s="3523">
        <v>66.248474613546122</v>
      </c>
      <c r="CC21" s="3526">
        <v>0</v>
      </c>
      <c r="CD21" s="2362"/>
      <c r="CE21" s="2362"/>
      <c r="CF21" s="2362"/>
      <c r="CG21" s="2346"/>
      <c r="CH21" s="2410" t="str">
        <f t="shared" si="1"/>
        <v>Solar Power Tower With Storage 100 MW 11 HRs</v>
      </c>
      <c r="CI21" s="2411">
        <f t="shared" si="2"/>
        <v>100</v>
      </c>
      <c r="CJ21" s="2412">
        <f t="shared" si="3"/>
        <v>0</v>
      </c>
      <c r="CK21" s="3674">
        <f t="shared" si="4"/>
        <v>0</v>
      </c>
      <c r="CL21" s="3674">
        <f t="shared" si="5"/>
        <v>0</v>
      </c>
      <c r="CM21" s="3674">
        <f t="shared" si="6"/>
        <v>0</v>
      </c>
      <c r="CN21" s="3674">
        <f t="shared" si="7"/>
        <v>0</v>
      </c>
      <c r="CO21" s="3675">
        <f t="shared" si="8"/>
        <v>0</v>
      </c>
      <c r="CP21" s="3676">
        <f t="shared" si="9"/>
        <v>0</v>
      </c>
      <c r="CQ21" s="3674">
        <f t="shared" si="10"/>
        <v>0</v>
      </c>
      <c r="CR21" s="3675">
        <f t="shared" si="11"/>
        <v>0</v>
      </c>
      <c r="CS21" s="3677">
        <f t="shared" si="12"/>
        <v>0</v>
      </c>
      <c r="CT21" s="3545"/>
      <c r="CU21" s="3638"/>
      <c r="CV21" s="3638"/>
      <c r="CW21" s="2340"/>
      <c r="CX21" s="2410" t="str">
        <f t="shared" si="13"/>
        <v>Solar Power Tower With Storage 100 MW 11 HRs</v>
      </c>
      <c r="CY21" s="2411">
        <f t="shared" si="14"/>
        <v>100</v>
      </c>
      <c r="CZ21" s="2412">
        <f t="shared" si="15"/>
        <v>0</v>
      </c>
      <c r="DA21" s="3674">
        <f t="shared" si="16"/>
        <v>0</v>
      </c>
      <c r="DB21" s="3674">
        <f t="shared" si="17"/>
        <v>0</v>
      </c>
      <c r="DC21" s="3674">
        <f t="shared" si="18"/>
        <v>0</v>
      </c>
      <c r="DD21" s="3674">
        <f t="shared" si="19"/>
        <v>0</v>
      </c>
      <c r="DE21" s="3675">
        <f t="shared" si="20"/>
        <v>0</v>
      </c>
      <c r="DF21" s="3676">
        <f t="shared" si="21"/>
        <v>0</v>
      </c>
      <c r="DG21" s="3674">
        <f t="shared" si="22"/>
        <v>0</v>
      </c>
      <c r="DH21" s="3675">
        <f t="shared" si="23"/>
        <v>0</v>
      </c>
      <c r="DI21" s="3677">
        <f t="shared" si="24"/>
        <v>0</v>
      </c>
      <c r="DJ21" s="3545">
        <f t="shared" si="24"/>
        <v>0</v>
      </c>
      <c r="DK21" s="3638">
        <f t="shared" si="24"/>
        <v>0</v>
      </c>
      <c r="DL21" s="3638">
        <f t="shared" si="24"/>
        <v>0</v>
      </c>
      <c r="DM21" s="2341"/>
      <c r="DN21" s="3687">
        <f t="shared" si="25"/>
        <v>0</v>
      </c>
      <c r="DO21" s="3688">
        <f t="shared" si="26"/>
        <v>0</v>
      </c>
      <c r="DP21" s="3687">
        <f t="shared" si="27"/>
        <v>0</v>
      </c>
      <c r="DQ21" s="3689">
        <f t="shared" si="28"/>
        <v>0</v>
      </c>
      <c r="DT21" s="2288" t="str">
        <f t="shared" si="29"/>
        <v>Solar Power Tower With Storage 100 MW 11 HRs</v>
      </c>
      <c r="DU21" s="2289">
        <f t="shared" si="30"/>
        <v>100</v>
      </c>
      <c r="DV21" s="2373">
        <f t="shared" si="31"/>
        <v>0</v>
      </c>
      <c r="DW21" s="2373">
        <f t="shared" si="32"/>
        <v>0</v>
      </c>
      <c r="DX21" s="2788">
        <f t="shared" si="66"/>
        <v>0</v>
      </c>
      <c r="DY21" s="3693">
        <f t="shared" si="32"/>
        <v>0</v>
      </c>
      <c r="DZ21" s="3693">
        <f t="shared" si="32"/>
        <v>0</v>
      </c>
      <c r="EA21" s="3369">
        <f t="shared" si="32"/>
        <v>0</v>
      </c>
      <c r="EB21" s="2374" t="str">
        <f t="shared" si="67"/>
        <v>0.00%</v>
      </c>
      <c r="EC21" s="3950" t="str">
        <f t="shared" si="68"/>
        <v>0.00%</v>
      </c>
      <c r="ED21" s="3369" t="str">
        <f t="shared" si="68"/>
        <v>0.00%</v>
      </c>
      <c r="EE21" s="2374">
        <f t="shared" si="32"/>
        <v>0</v>
      </c>
      <c r="EF21" s="3641"/>
      <c r="EG21" s="3641"/>
      <c r="EJ21" s="2288" t="str">
        <f t="shared" si="33"/>
        <v>Solar Power Tower With Storage 100 MW 11 HRs</v>
      </c>
      <c r="EK21" s="2289">
        <f t="shared" si="34"/>
        <v>100</v>
      </c>
      <c r="EL21" s="2788">
        <f t="shared" si="35"/>
        <v>0</v>
      </c>
      <c r="EM21" s="3693">
        <f t="shared" si="36"/>
        <v>0</v>
      </c>
      <c r="EN21" s="3370">
        <f t="shared" si="77"/>
        <v>0</v>
      </c>
      <c r="EO21" s="3693">
        <f t="shared" si="38"/>
        <v>0</v>
      </c>
      <c r="EP21" s="3693">
        <f t="shared" si="39"/>
        <v>0</v>
      </c>
      <c r="EQ21" s="3369">
        <f t="shared" si="40"/>
        <v>0</v>
      </c>
      <c r="ER21" s="2788" t="str">
        <f t="shared" si="41"/>
        <v>0.00%</v>
      </c>
      <c r="ES21" s="3693" t="str">
        <f t="shared" si="42"/>
        <v>0.00%</v>
      </c>
      <c r="ET21" s="3369" t="str">
        <f t="shared" si="43"/>
        <v>0.00%</v>
      </c>
      <c r="EU21" s="2374">
        <f t="shared" si="44"/>
        <v>0</v>
      </c>
      <c r="EV21" s="3641" t="e">
        <f t="shared" si="45"/>
        <v>#DIV/0!</v>
      </c>
      <c r="EW21" s="3641">
        <f t="shared" si="46"/>
        <v>0</v>
      </c>
      <c r="EX21" s="3537"/>
      <c r="EY21" s="4032" t="str">
        <f t="shared" si="69"/>
        <v>Solar Power Tower With Storage 100 MW 11 HRs</v>
      </c>
      <c r="EZ21" s="2288">
        <f t="shared" si="69"/>
        <v>100</v>
      </c>
      <c r="FA21" s="2373">
        <f t="shared" si="70"/>
        <v>0</v>
      </c>
      <c r="FB21" s="2373">
        <f t="shared" si="47"/>
        <v>0</v>
      </c>
      <c r="FC21" s="2788">
        <f t="shared" si="48"/>
        <v>0</v>
      </c>
      <c r="FD21" s="3693">
        <f t="shared" si="49"/>
        <v>0</v>
      </c>
      <c r="FE21" s="3693">
        <f t="shared" si="50"/>
        <v>0</v>
      </c>
      <c r="FF21" s="3369">
        <f t="shared" si="51"/>
        <v>0</v>
      </c>
      <c r="FG21" s="2374" t="e">
        <f t="shared" si="52"/>
        <v>#DIV/0!</v>
      </c>
      <c r="FH21" s="3950" t="e">
        <f t="shared" si="53"/>
        <v>#DIV/0!</v>
      </c>
      <c r="FI21" s="3369" t="e">
        <f t="shared" si="54"/>
        <v>#DIV/0!</v>
      </c>
      <c r="FJ21" s="2374">
        <f t="shared" si="55"/>
        <v>0</v>
      </c>
      <c r="FK21" s="3641" t="e">
        <f t="shared" si="71"/>
        <v>#DIV/0!</v>
      </c>
      <c r="FL21" s="3641">
        <f t="shared" si="55"/>
        <v>0</v>
      </c>
      <c r="FO21" s="2288" t="str">
        <f t="shared" si="72"/>
        <v>Solar Power Tower With Storage 100 MW 11 HRs</v>
      </c>
      <c r="FP21" s="2288">
        <f t="shared" si="73"/>
        <v>100</v>
      </c>
      <c r="FQ21" s="2788">
        <f t="shared" si="74"/>
        <v>0</v>
      </c>
      <c r="FR21" s="3693">
        <f t="shared" si="56"/>
        <v>0</v>
      </c>
      <c r="FS21" s="3370">
        <f t="shared" si="57"/>
        <v>0</v>
      </c>
      <c r="FT21" s="3693">
        <f t="shared" si="58"/>
        <v>0</v>
      </c>
      <c r="FU21" s="3693">
        <f t="shared" si="59"/>
        <v>0</v>
      </c>
      <c r="FV21" s="3369">
        <f t="shared" si="60"/>
        <v>0</v>
      </c>
      <c r="FW21" s="2788" t="e">
        <f t="shared" si="61"/>
        <v>#DIV/0!</v>
      </c>
      <c r="FX21" s="3693" t="e">
        <f t="shared" si="62"/>
        <v>#DIV/0!</v>
      </c>
      <c r="FY21" s="3369" t="e">
        <f t="shared" si="63"/>
        <v>#DIV/0!</v>
      </c>
      <c r="FZ21" s="2374">
        <f t="shared" si="64"/>
        <v>0</v>
      </c>
      <c r="GA21" s="3641" t="e">
        <f t="shared" si="75"/>
        <v>#DIV/0!</v>
      </c>
      <c r="GB21" s="3641">
        <f t="shared" si="76"/>
        <v>0</v>
      </c>
    </row>
    <row r="22" spans="1:184">
      <c r="A22" s="1803"/>
      <c r="B22" s="1803"/>
      <c r="C22" s="1803"/>
      <c r="D22" s="1291"/>
      <c r="E22" s="1802"/>
      <c r="F22" s="3501" t="s">
        <v>2032</v>
      </c>
      <c r="G22" s="3502">
        <v>100</v>
      </c>
      <c r="H22" s="3497">
        <v>266.67981608926522</v>
      </c>
      <c r="I22" s="3498">
        <v>11.830766803530258</v>
      </c>
      <c r="J22" s="3498">
        <v>3.4824827795784912</v>
      </c>
      <c r="K22" s="3498">
        <v>32.689033014902677</v>
      </c>
      <c r="L22" s="3498">
        <v>-108.57574130700925</v>
      </c>
      <c r="M22" s="3615">
        <v>206.10635738026741</v>
      </c>
      <c r="N22" s="3497">
        <v>0</v>
      </c>
      <c r="O22" s="3498">
        <v>0</v>
      </c>
      <c r="P22" s="3615">
        <v>0</v>
      </c>
      <c r="Q22" s="3616">
        <v>206.10635738026741</v>
      </c>
      <c r="R22" s="3545">
        <v>0</v>
      </c>
      <c r="S22" s="3638">
        <v>206.10635738026741</v>
      </c>
      <c r="T22" s="2362"/>
      <c r="U22" s="1289"/>
      <c r="V22" s="3501" t="s">
        <v>2032</v>
      </c>
      <c r="W22" s="3502">
        <v>100</v>
      </c>
      <c r="X22" s="3497">
        <v>143.71152176803596</v>
      </c>
      <c r="Y22" s="3498">
        <v>6.3755012507170221</v>
      </c>
      <c r="Z22" s="3498">
        <v>1.8766808344306132</v>
      </c>
      <c r="AA22" s="3498">
        <v>17.615846405581554</v>
      </c>
      <c r="AB22" s="3498">
        <v>-58.51055861347956</v>
      </c>
      <c r="AC22" s="3615">
        <v>111.06899164528556</v>
      </c>
      <c r="AD22" s="3497">
        <v>0</v>
      </c>
      <c r="AE22" s="3498">
        <v>0</v>
      </c>
      <c r="AF22" s="3630">
        <v>0</v>
      </c>
      <c r="AG22" s="3614">
        <v>111.06899164528556</v>
      </c>
      <c r="AH22" s="4225">
        <v>0</v>
      </c>
      <c r="AI22" s="3638">
        <v>111.06899164528556</v>
      </c>
      <c r="AJ22" s="4029">
        <f t="shared" si="0"/>
        <v>11.106899164528556</v>
      </c>
      <c r="AK22" s="2346"/>
      <c r="AL22" s="3634">
        <v>3143.9300857037551</v>
      </c>
      <c r="AM22" s="3635">
        <v>3366.3555938350896</v>
      </c>
      <c r="AN22" s="3497">
        <v>26.431724630364716</v>
      </c>
      <c r="AO22" s="3608">
        <v>0</v>
      </c>
      <c r="AP22" s="2282"/>
      <c r="AQ22" s="2282"/>
      <c r="AR22" s="2282"/>
      <c r="AS22" s="1291"/>
      <c r="AT22" s="3521" t="s">
        <v>2032</v>
      </c>
      <c r="AU22" s="3649">
        <v>100</v>
      </c>
      <c r="AV22" s="3523">
        <v>266.67981608926522</v>
      </c>
      <c r="AW22" s="3524">
        <v>11.830766803530258</v>
      </c>
      <c r="AX22" s="3524">
        <v>3.4824827795784912</v>
      </c>
      <c r="AY22" s="3524">
        <v>32.689033014902677</v>
      </c>
      <c r="AZ22" s="3524">
        <v>-108.57574130700925</v>
      </c>
      <c r="BA22" s="3652">
        <v>206.10635738026741</v>
      </c>
      <c r="BB22" s="3523">
        <v>0</v>
      </c>
      <c r="BC22" s="3524">
        <v>0</v>
      </c>
      <c r="BD22" s="3653">
        <v>0</v>
      </c>
      <c r="BE22" s="3695">
        <v>206.10635738026741</v>
      </c>
      <c r="BF22" s="3545">
        <v>0</v>
      </c>
      <c r="BG22" s="3638">
        <v>206.10635738026741</v>
      </c>
      <c r="BH22" s="2362"/>
      <c r="BI22" s="2340"/>
      <c r="BJ22" s="3521" t="s">
        <v>2032</v>
      </c>
      <c r="BK22" s="3522">
        <v>100</v>
      </c>
      <c r="BL22" s="3523">
        <v>143.71152176803596</v>
      </c>
      <c r="BM22" s="3524">
        <v>6.3755012507170221</v>
      </c>
      <c r="BN22" s="3524">
        <v>1.8766808344306132</v>
      </c>
      <c r="BO22" s="3524">
        <v>17.615846405581554</v>
      </c>
      <c r="BP22" s="3524">
        <v>-58.51055861347956</v>
      </c>
      <c r="BQ22" s="3665">
        <v>111.06899164528556</v>
      </c>
      <c r="BR22" s="3523">
        <v>0</v>
      </c>
      <c r="BS22" s="3524">
        <v>0</v>
      </c>
      <c r="BT22" s="3652">
        <v>0</v>
      </c>
      <c r="BU22" s="3654">
        <v>111.06899164528556</v>
      </c>
      <c r="BV22" s="3642">
        <v>0</v>
      </c>
      <c r="BW22" s="3638">
        <v>111.06899164528556</v>
      </c>
      <c r="BX22" s="3638">
        <f t="shared" si="65"/>
        <v>11.106899164528556</v>
      </c>
      <c r="BY22" s="1291"/>
      <c r="BZ22" s="3670">
        <v>3143.9300857037551</v>
      </c>
      <c r="CA22" s="3671">
        <v>3366.3555938350896</v>
      </c>
      <c r="CB22" s="3523">
        <v>26.431724630364716</v>
      </c>
      <c r="CC22" s="3526">
        <v>0</v>
      </c>
      <c r="CD22" s="2362"/>
      <c r="CE22" s="2362"/>
      <c r="CF22" s="2362"/>
      <c r="CG22" s="2346"/>
      <c r="CH22" s="2410" t="str">
        <f t="shared" si="1"/>
        <v>Solar Photovoltaic (Thin-Film) 100 MW</v>
      </c>
      <c r="CI22" s="2411">
        <f t="shared" si="2"/>
        <v>100</v>
      </c>
      <c r="CJ22" s="2412">
        <f t="shared" si="3"/>
        <v>0</v>
      </c>
      <c r="CK22" s="3674">
        <f t="shared" si="4"/>
        <v>0</v>
      </c>
      <c r="CL22" s="3674">
        <f t="shared" si="5"/>
        <v>0</v>
      </c>
      <c r="CM22" s="3674">
        <f t="shared" si="6"/>
        <v>0</v>
      </c>
      <c r="CN22" s="3674">
        <f t="shared" si="7"/>
        <v>0</v>
      </c>
      <c r="CO22" s="3675">
        <f t="shared" si="8"/>
        <v>0</v>
      </c>
      <c r="CP22" s="3676">
        <f t="shared" si="9"/>
        <v>0</v>
      </c>
      <c r="CQ22" s="3674">
        <f t="shared" si="10"/>
        <v>0</v>
      </c>
      <c r="CR22" s="3675">
        <f t="shared" si="11"/>
        <v>0</v>
      </c>
      <c r="CS22" s="3677">
        <f t="shared" si="12"/>
        <v>0</v>
      </c>
      <c r="CT22" s="3545"/>
      <c r="CU22" s="3638"/>
      <c r="CV22" s="3638"/>
      <c r="CW22" s="2340"/>
      <c r="CX22" s="2410" t="str">
        <f t="shared" si="13"/>
        <v>Solar Photovoltaic (Thin-Film) 100 MW</v>
      </c>
      <c r="CY22" s="2411">
        <f t="shared" si="14"/>
        <v>100</v>
      </c>
      <c r="CZ22" s="2412">
        <f t="shared" si="15"/>
        <v>0</v>
      </c>
      <c r="DA22" s="3674">
        <f t="shared" si="16"/>
        <v>0</v>
      </c>
      <c r="DB22" s="3674">
        <f t="shared" si="17"/>
        <v>0</v>
      </c>
      <c r="DC22" s="3674">
        <f t="shared" si="18"/>
        <v>0</v>
      </c>
      <c r="DD22" s="3674">
        <f t="shared" si="19"/>
        <v>0</v>
      </c>
      <c r="DE22" s="3675">
        <f t="shared" si="20"/>
        <v>0</v>
      </c>
      <c r="DF22" s="3676">
        <f t="shared" si="21"/>
        <v>0</v>
      </c>
      <c r="DG22" s="3674">
        <f t="shared" si="22"/>
        <v>0</v>
      </c>
      <c r="DH22" s="3675">
        <f t="shared" si="23"/>
        <v>0</v>
      </c>
      <c r="DI22" s="3677">
        <f t="shared" si="24"/>
        <v>0</v>
      </c>
      <c r="DJ22" s="3545">
        <f t="shared" si="24"/>
        <v>0</v>
      </c>
      <c r="DK22" s="3638">
        <f t="shared" si="24"/>
        <v>0</v>
      </c>
      <c r="DL22" s="3638">
        <f t="shared" si="24"/>
        <v>0</v>
      </c>
      <c r="DM22" s="2341"/>
      <c r="DN22" s="3687">
        <f t="shared" si="25"/>
        <v>0</v>
      </c>
      <c r="DO22" s="3688">
        <f t="shared" si="26"/>
        <v>0</v>
      </c>
      <c r="DP22" s="3687">
        <f t="shared" si="27"/>
        <v>0</v>
      </c>
      <c r="DQ22" s="3689">
        <f t="shared" si="28"/>
        <v>0</v>
      </c>
      <c r="DT22" s="2288" t="str">
        <f t="shared" si="29"/>
        <v>Solar Photovoltaic (Thin-Film) 100 MW</v>
      </c>
      <c r="DU22" s="2289">
        <f t="shared" si="30"/>
        <v>100</v>
      </c>
      <c r="DV22" s="2373">
        <f t="shared" si="31"/>
        <v>0</v>
      </c>
      <c r="DW22" s="2373">
        <f t="shared" si="32"/>
        <v>0</v>
      </c>
      <c r="DX22" s="2788">
        <f t="shared" si="66"/>
        <v>0</v>
      </c>
      <c r="DY22" s="3693">
        <f t="shared" si="32"/>
        <v>0</v>
      </c>
      <c r="DZ22" s="3693">
        <f t="shared" si="32"/>
        <v>0</v>
      </c>
      <c r="EA22" s="3369">
        <f t="shared" si="32"/>
        <v>0</v>
      </c>
      <c r="EB22" s="2374" t="str">
        <f t="shared" si="67"/>
        <v>0.00%</v>
      </c>
      <c r="EC22" s="3950" t="str">
        <f t="shared" si="68"/>
        <v>0.00%</v>
      </c>
      <c r="ED22" s="3369" t="str">
        <f t="shared" si="68"/>
        <v>0.00%</v>
      </c>
      <c r="EE22" s="2374">
        <f t="shared" si="32"/>
        <v>0</v>
      </c>
      <c r="EF22" s="3641"/>
      <c r="EG22" s="3641"/>
      <c r="EJ22" s="2288" t="str">
        <f t="shared" si="33"/>
        <v>Solar Photovoltaic (Thin-Film) 100 MW</v>
      </c>
      <c r="EK22" s="2289">
        <f t="shared" si="34"/>
        <v>100</v>
      </c>
      <c r="EL22" s="2788">
        <f t="shared" si="35"/>
        <v>0</v>
      </c>
      <c r="EM22" s="3693">
        <f t="shared" si="36"/>
        <v>0</v>
      </c>
      <c r="EN22" s="3370">
        <f t="shared" si="77"/>
        <v>0</v>
      </c>
      <c r="EO22" s="3693">
        <f t="shared" si="38"/>
        <v>0</v>
      </c>
      <c r="EP22" s="3693">
        <f t="shared" si="39"/>
        <v>0</v>
      </c>
      <c r="EQ22" s="3369">
        <f t="shared" si="40"/>
        <v>0</v>
      </c>
      <c r="ER22" s="2788" t="str">
        <f t="shared" si="41"/>
        <v>0.00%</v>
      </c>
      <c r="ES22" s="3693" t="str">
        <f t="shared" si="42"/>
        <v>0.00%</v>
      </c>
      <c r="ET22" s="3369" t="str">
        <f t="shared" si="43"/>
        <v>0.00%</v>
      </c>
      <c r="EU22" s="2374">
        <f t="shared" si="44"/>
        <v>0</v>
      </c>
      <c r="EV22" s="3641" t="e">
        <f t="shared" si="45"/>
        <v>#DIV/0!</v>
      </c>
      <c r="EW22" s="3641">
        <f t="shared" si="46"/>
        <v>0</v>
      </c>
      <c r="EX22" s="3537"/>
      <c r="EY22" s="4032" t="str">
        <f t="shared" si="69"/>
        <v>Solar Photovoltaic (Thin-Film) 100 MW</v>
      </c>
      <c r="EZ22" s="2288">
        <f t="shared" si="69"/>
        <v>100</v>
      </c>
      <c r="FA22" s="2373">
        <f t="shared" si="70"/>
        <v>0</v>
      </c>
      <c r="FB22" s="2373">
        <f t="shared" si="47"/>
        <v>0</v>
      </c>
      <c r="FC22" s="2788">
        <f t="shared" si="48"/>
        <v>0</v>
      </c>
      <c r="FD22" s="3693">
        <f t="shared" si="49"/>
        <v>0</v>
      </c>
      <c r="FE22" s="3693">
        <f t="shared" si="50"/>
        <v>0</v>
      </c>
      <c r="FF22" s="3369">
        <f t="shared" si="51"/>
        <v>0</v>
      </c>
      <c r="FG22" s="2374" t="e">
        <f t="shared" si="52"/>
        <v>#DIV/0!</v>
      </c>
      <c r="FH22" s="3950" t="e">
        <f t="shared" si="53"/>
        <v>#DIV/0!</v>
      </c>
      <c r="FI22" s="3369" t="e">
        <f t="shared" si="54"/>
        <v>#DIV/0!</v>
      </c>
      <c r="FJ22" s="2374">
        <f t="shared" si="55"/>
        <v>0</v>
      </c>
      <c r="FK22" s="3641" t="e">
        <f t="shared" si="71"/>
        <v>#DIV/0!</v>
      </c>
      <c r="FL22" s="3641">
        <f t="shared" si="55"/>
        <v>0</v>
      </c>
      <c r="FO22" s="2288" t="str">
        <f t="shared" si="72"/>
        <v>Solar Photovoltaic (Thin-Film) 100 MW</v>
      </c>
      <c r="FP22" s="2288">
        <f t="shared" si="73"/>
        <v>100</v>
      </c>
      <c r="FQ22" s="2788">
        <f t="shared" si="74"/>
        <v>0</v>
      </c>
      <c r="FR22" s="3693">
        <f t="shared" si="56"/>
        <v>0</v>
      </c>
      <c r="FS22" s="3370">
        <f t="shared" si="57"/>
        <v>0</v>
      </c>
      <c r="FT22" s="3693">
        <f t="shared" si="58"/>
        <v>0</v>
      </c>
      <c r="FU22" s="3693">
        <f t="shared" si="59"/>
        <v>0</v>
      </c>
      <c r="FV22" s="3369">
        <f t="shared" si="60"/>
        <v>0</v>
      </c>
      <c r="FW22" s="2788" t="e">
        <f t="shared" si="61"/>
        <v>#DIV/0!</v>
      </c>
      <c r="FX22" s="3693" t="e">
        <f t="shared" si="62"/>
        <v>#DIV/0!</v>
      </c>
      <c r="FY22" s="3369" t="e">
        <f t="shared" si="63"/>
        <v>#DIV/0!</v>
      </c>
      <c r="FZ22" s="2374">
        <f t="shared" si="64"/>
        <v>0</v>
      </c>
      <c r="GA22" s="3641" t="e">
        <f t="shared" si="75"/>
        <v>#DIV/0!</v>
      </c>
      <c r="GB22" s="3641">
        <f t="shared" si="76"/>
        <v>0</v>
      </c>
    </row>
    <row r="23" spans="1:184">
      <c r="A23" s="1803"/>
      <c r="B23" s="1803"/>
      <c r="C23" s="1803"/>
      <c r="D23" s="1291"/>
      <c r="E23" s="1802"/>
      <c r="F23" s="3501" t="s">
        <v>1794</v>
      </c>
      <c r="G23" s="3502">
        <v>100</v>
      </c>
      <c r="H23" s="3497">
        <v>312.12431401181209</v>
      </c>
      <c r="I23" s="3498">
        <v>13.770903993231764</v>
      </c>
      <c r="J23" s="3498">
        <v>4.053577998118274</v>
      </c>
      <c r="K23" s="3498">
        <v>36.611716976690971</v>
      </c>
      <c r="L23" s="3498">
        <v>-125.33912673600091</v>
      </c>
      <c r="M23" s="3615">
        <v>241.22138624385215</v>
      </c>
      <c r="N23" s="3497">
        <v>0</v>
      </c>
      <c r="O23" s="3498">
        <v>0</v>
      </c>
      <c r="P23" s="3615">
        <v>0</v>
      </c>
      <c r="Q23" s="3616">
        <v>241.22138624385215</v>
      </c>
      <c r="R23" s="3545">
        <v>0</v>
      </c>
      <c r="S23" s="3638">
        <v>241.22138624385215</v>
      </c>
      <c r="T23" s="2362"/>
      <c r="U23" s="1289"/>
      <c r="V23" s="3501" t="s">
        <v>1794</v>
      </c>
      <c r="W23" s="3502">
        <v>100</v>
      </c>
      <c r="X23" s="3497">
        <v>141.0402382221952</v>
      </c>
      <c r="Y23" s="3498">
        <v>6.2226859380999198</v>
      </c>
      <c r="Z23" s="3498">
        <v>1.8316983997767451</v>
      </c>
      <c r="AA23" s="3498">
        <v>16.543809797274125</v>
      </c>
      <c r="AB23" s="3498">
        <v>-56.637241957185296</v>
      </c>
      <c r="AC23" s="3615">
        <v>109.00119040016068</v>
      </c>
      <c r="AD23" s="3497">
        <v>0</v>
      </c>
      <c r="AE23" s="3498">
        <v>0</v>
      </c>
      <c r="AF23" s="3630">
        <v>0</v>
      </c>
      <c r="AG23" s="3614">
        <v>109.00119040016068</v>
      </c>
      <c r="AH23" s="4225">
        <v>0</v>
      </c>
      <c r="AI23" s="3638">
        <v>109.00119040016068</v>
      </c>
      <c r="AJ23" s="4029">
        <f t="shared" si="0"/>
        <v>10.900119040016069</v>
      </c>
      <c r="AK23" s="2346"/>
      <c r="AL23" s="3634">
        <v>3659.5057692068049</v>
      </c>
      <c r="AM23" s="3635">
        <v>3918.4070195643403</v>
      </c>
      <c r="AN23" s="3497">
        <v>29.603531586008483</v>
      </c>
      <c r="AO23" s="3608">
        <v>0</v>
      </c>
      <c r="AP23" s="2282"/>
      <c r="AQ23" s="2282"/>
      <c r="AR23" s="2282"/>
      <c r="AS23" s="1291"/>
      <c r="AT23" s="3521" t="s">
        <v>1794</v>
      </c>
      <c r="AU23" s="3649">
        <v>100</v>
      </c>
      <c r="AV23" s="3523">
        <v>312.12431401181209</v>
      </c>
      <c r="AW23" s="3524">
        <v>13.770903993231764</v>
      </c>
      <c r="AX23" s="3524">
        <v>4.053577998118274</v>
      </c>
      <c r="AY23" s="3524">
        <v>36.611716976690971</v>
      </c>
      <c r="AZ23" s="3524">
        <v>-125.33912673600091</v>
      </c>
      <c r="BA23" s="3652">
        <v>241.22138624385215</v>
      </c>
      <c r="BB23" s="3523">
        <v>0</v>
      </c>
      <c r="BC23" s="3524">
        <v>0</v>
      </c>
      <c r="BD23" s="3653">
        <v>0</v>
      </c>
      <c r="BE23" s="3695">
        <v>241.22138624385215</v>
      </c>
      <c r="BF23" s="3545">
        <v>0</v>
      </c>
      <c r="BG23" s="3638">
        <v>241.22138624385215</v>
      </c>
      <c r="BH23" s="2362"/>
      <c r="BI23" s="2340"/>
      <c r="BJ23" s="3521" t="s">
        <v>1794</v>
      </c>
      <c r="BK23" s="3522">
        <v>100</v>
      </c>
      <c r="BL23" s="3523">
        <v>141.0402382221952</v>
      </c>
      <c r="BM23" s="3524">
        <v>6.2226859380999198</v>
      </c>
      <c r="BN23" s="3524">
        <v>1.8316983997767451</v>
      </c>
      <c r="BO23" s="3524">
        <v>16.543809797274125</v>
      </c>
      <c r="BP23" s="3524">
        <v>-56.637241957185296</v>
      </c>
      <c r="BQ23" s="3665">
        <v>109.00119040016068</v>
      </c>
      <c r="BR23" s="3523">
        <v>0</v>
      </c>
      <c r="BS23" s="3524">
        <v>0</v>
      </c>
      <c r="BT23" s="3652">
        <v>0</v>
      </c>
      <c r="BU23" s="3654">
        <v>109.00119040016068</v>
      </c>
      <c r="BV23" s="3642">
        <v>0</v>
      </c>
      <c r="BW23" s="3638">
        <v>109.00119040016068</v>
      </c>
      <c r="BX23" s="3638">
        <f t="shared" si="65"/>
        <v>10.900119040016069</v>
      </c>
      <c r="BY23" s="1291"/>
      <c r="BZ23" s="3670">
        <v>3659.5057692068049</v>
      </c>
      <c r="CA23" s="3671">
        <v>3918.4070195643403</v>
      </c>
      <c r="CB23" s="3523">
        <v>29.603531586008483</v>
      </c>
      <c r="CC23" s="3526">
        <v>0</v>
      </c>
      <c r="CD23" s="2362"/>
      <c r="CE23" s="2362"/>
      <c r="CF23" s="2362"/>
      <c r="CG23" s="2346"/>
      <c r="CH23" s="2410" t="str">
        <f t="shared" si="1"/>
        <v>Solar Photovoltaic (Single Axis) 100 MW</v>
      </c>
      <c r="CI23" s="2411">
        <f t="shared" si="2"/>
        <v>100</v>
      </c>
      <c r="CJ23" s="2412">
        <f t="shared" si="3"/>
        <v>0</v>
      </c>
      <c r="CK23" s="3674">
        <f t="shared" si="4"/>
        <v>0</v>
      </c>
      <c r="CL23" s="3674">
        <f t="shared" si="5"/>
        <v>0</v>
      </c>
      <c r="CM23" s="3674">
        <f t="shared" si="6"/>
        <v>0</v>
      </c>
      <c r="CN23" s="3674">
        <f t="shared" si="7"/>
        <v>0</v>
      </c>
      <c r="CO23" s="3675">
        <f t="shared" si="8"/>
        <v>0</v>
      </c>
      <c r="CP23" s="3676">
        <f t="shared" si="9"/>
        <v>0</v>
      </c>
      <c r="CQ23" s="3674">
        <f t="shared" si="10"/>
        <v>0</v>
      </c>
      <c r="CR23" s="3675">
        <f t="shared" si="11"/>
        <v>0</v>
      </c>
      <c r="CS23" s="3677">
        <f t="shared" si="12"/>
        <v>0</v>
      </c>
      <c r="CT23" s="3545"/>
      <c r="CU23" s="3638"/>
      <c r="CV23" s="3638"/>
      <c r="CW23" s="2340"/>
      <c r="CX23" s="2410" t="str">
        <f t="shared" si="13"/>
        <v>Solar Photovoltaic (Single Axis) 100 MW</v>
      </c>
      <c r="CY23" s="2411">
        <f t="shared" si="14"/>
        <v>100</v>
      </c>
      <c r="CZ23" s="2412">
        <f t="shared" si="15"/>
        <v>0</v>
      </c>
      <c r="DA23" s="3674">
        <f t="shared" si="16"/>
        <v>0</v>
      </c>
      <c r="DB23" s="3674">
        <f t="shared" si="17"/>
        <v>0</v>
      </c>
      <c r="DC23" s="3674">
        <f t="shared" si="18"/>
        <v>0</v>
      </c>
      <c r="DD23" s="3674">
        <f t="shared" si="19"/>
        <v>0</v>
      </c>
      <c r="DE23" s="3675">
        <f t="shared" si="20"/>
        <v>0</v>
      </c>
      <c r="DF23" s="3676">
        <f t="shared" si="21"/>
        <v>0</v>
      </c>
      <c r="DG23" s="3674">
        <f t="shared" si="22"/>
        <v>0</v>
      </c>
      <c r="DH23" s="3675">
        <f t="shared" si="23"/>
        <v>0</v>
      </c>
      <c r="DI23" s="3677">
        <f t="shared" si="24"/>
        <v>0</v>
      </c>
      <c r="DJ23" s="3545">
        <f t="shared" si="24"/>
        <v>0</v>
      </c>
      <c r="DK23" s="3638">
        <f t="shared" si="24"/>
        <v>0</v>
      </c>
      <c r="DL23" s="3638">
        <f t="shared" si="24"/>
        <v>0</v>
      </c>
      <c r="DM23" s="2341"/>
      <c r="DN23" s="3687">
        <f t="shared" si="25"/>
        <v>0</v>
      </c>
      <c r="DO23" s="3688">
        <f t="shared" si="26"/>
        <v>0</v>
      </c>
      <c r="DP23" s="3687">
        <f t="shared" si="27"/>
        <v>0</v>
      </c>
      <c r="DQ23" s="3689">
        <f t="shared" si="28"/>
        <v>0</v>
      </c>
      <c r="DT23" s="2288" t="str">
        <f t="shared" si="29"/>
        <v>Solar Photovoltaic (Single Axis) 100 MW</v>
      </c>
      <c r="DU23" s="2289">
        <f t="shared" si="30"/>
        <v>100</v>
      </c>
      <c r="DV23" s="2373">
        <f t="shared" si="31"/>
        <v>0</v>
      </c>
      <c r="DW23" s="2373">
        <f t="shared" si="32"/>
        <v>0</v>
      </c>
      <c r="DX23" s="2788">
        <f t="shared" si="66"/>
        <v>0</v>
      </c>
      <c r="DY23" s="3693">
        <f t="shared" si="32"/>
        <v>0</v>
      </c>
      <c r="DZ23" s="3693">
        <f t="shared" si="32"/>
        <v>0</v>
      </c>
      <c r="EA23" s="3369">
        <f t="shared" si="32"/>
        <v>0</v>
      </c>
      <c r="EB23" s="2374" t="str">
        <f t="shared" si="67"/>
        <v>0.00%</v>
      </c>
      <c r="EC23" s="3950" t="str">
        <f t="shared" si="68"/>
        <v>0.00%</v>
      </c>
      <c r="ED23" s="3369" t="str">
        <f t="shared" si="68"/>
        <v>0.00%</v>
      </c>
      <c r="EE23" s="2374">
        <f t="shared" si="32"/>
        <v>0</v>
      </c>
      <c r="EF23" s="3641"/>
      <c r="EG23" s="3641"/>
      <c r="EJ23" s="2288" t="str">
        <f t="shared" si="33"/>
        <v>Solar Photovoltaic (Single Axis) 100 MW</v>
      </c>
      <c r="EK23" s="2289">
        <f t="shared" si="34"/>
        <v>100</v>
      </c>
      <c r="EL23" s="2788">
        <f t="shared" si="35"/>
        <v>0</v>
      </c>
      <c r="EM23" s="3693">
        <f t="shared" si="36"/>
        <v>0</v>
      </c>
      <c r="EN23" s="3370">
        <f t="shared" si="77"/>
        <v>0</v>
      </c>
      <c r="EO23" s="3693">
        <f t="shared" si="38"/>
        <v>0</v>
      </c>
      <c r="EP23" s="3693">
        <f t="shared" si="39"/>
        <v>0</v>
      </c>
      <c r="EQ23" s="3369">
        <f t="shared" si="40"/>
        <v>0</v>
      </c>
      <c r="ER23" s="2788" t="str">
        <f t="shared" si="41"/>
        <v>0.00%</v>
      </c>
      <c r="ES23" s="3693" t="str">
        <f t="shared" si="42"/>
        <v>0.00%</v>
      </c>
      <c r="ET23" s="3369" t="str">
        <f t="shared" si="43"/>
        <v>0.00%</v>
      </c>
      <c r="EU23" s="2374">
        <f t="shared" si="44"/>
        <v>0</v>
      </c>
      <c r="EV23" s="3641" t="e">
        <f t="shared" si="45"/>
        <v>#DIV/0!</v>
      </c>
      <c r="EW23" s="3641">
        <f t="shared" si="46"/>
        <v>0</v>
      </c>
      <c r="EX23" s="3537"/>
      <c r="EY23" s="4032" t="str">
        <f t="shared" si="69"/>
        <v>Solar Photovoltaic (Single Axis) 100 MW</v>
      </c>
      <c r="EZ23" s="2288">
        <f t="shared" si="69"/>
        <v>100</v>
      </c>
      <c r="FA23" s="2373">
        <f t="shared" si="70"/>
        <v>0</v>
      </c>
      <c r="FB23" s="2373">
        <f t="shared" si="47"/>
        <v>0</v>
      </c>
      <c r="FC23" s="2788">
        <f t="shared" si="48"/>
        <v>0</v>
      </c>
      <c r="FD23" s="3693">
        <f t="shared" si="49"/>
        <v>0</v>
      </c>
      <c r="FE23" s="3693">
        <f t="shared" si="50"/>
        <v>0</v>
      </c>
      <c r="FF23" s="3369">
        <f t="shared" si="51"/>
        <v>0</v>
      </c>
      <c r="FG23" s="2374" t="e">
        <f t="shared" si="52"/>
        <v>#DIV/0!</v>
      </c>
      <c r="FH23" s="3950" t="e">
        <f t="shared" si="53"/>
        <v>#DIV/0!</v>
      </c>
      <c r="FI23" s="3369" t="e">
        <f t="shared" si="54"/>
        <v>#DIV/0!</v>
      </c>
      <c r="FJ23" s="2374">
        <f t="shared" si="55"/>
        <v>0</v>
      </c>
      <c r="FK23" s="3641" t="e">
        <f t="shared" si="71"/>
        <v>#DIV/0!</v>
      </c>
      <c r="FL23" s="3641">
        <f t="shared" si="55"/>
        <v>0</v>
      </c>
      <c r="FO23" s="2288" t="str">
        <f t="shared" si="72"/>
        <v>Solar Photovoltaic (Single Axis) 100 MW</v>
      </c>
      <c r="FP23" s="2288">
        <f t="shared" si="73"/>
        <v>100</v>
      </c>
      <c r="FQ23" s="2788">
        <f t="shared" si="74"/>
        <v>0</v>
      </c>
      <c r="FR23" s="3693">
        <f t="shared" si="56"/>
        <v>0</v>
      </c>
      <c r="FS23" s="3370">
        <f t="shared" si="57"/>
        <v>0</v>
      </c>
      <c r="FT23" s="3693">
        <f t="shared" si="58"/>
        <v>0</v>
      </c>
      <c r="FU23" s="3693">
        <f t="shared" si="59"/>
        <v>0</v>
      </c>
      <c r="FV23" s="3369">
        <f t="shared" si="60"/>
        <v>0</v>
      </c>
      <c r="FW23" s="2788" t="e">
        <f t="shared" si="61"/>
        <v>#DIV/0!</v>
      </c>
      <c r="FX23" s="3693" t="e">
        <f t="shared" si="62"/>
        <v>#DIV/0!</v>
      </c>
      <c r="FY23" s="3369" t="e">
        <f t="shared" si="63"/>
        <v>#DIV/0!</v>
      </c>
      <c r="FZ23" s="2374">
        <f t="shared" si="64"/>
        <v>0</v>
      </c>
      <c r="GA23" s="3641" t="e">
        <f t="shared" si="75"/>
        <v>#DIV/0!</v>
      </c>
      <c r="GB23" s="3641">
        <f t="shared" si="76"/>
        <v>0</v>
      </c>
    </row>
    <row r="24" spans="1:184" s="89" customFormat="1">
      <c r="A24" s="2340"/>
      <c r="B24" s="2340"/>
      <c r="C24" s="2340"/>
      <c r="D24" s="2341"/>
      <c r="E24" s="1821"/>
      <c r="F24" s="3501" t="s">
        <v>2031</v>
      </c>
      <c r="G24" s="3502">
        <v>20</v>
      </c>
      <c r="H24" s="3497">
        <v>294.36693938239318</v>
      </c>
      <c r="I24" s="3498">
        <v>13.054851613105198</v>
      </c>
      <c r="J24" s="3498">
        <v>3.8428021351097255</v>
      </c>
      <c r="K24" s="3498">
        <v>32.689033014902677</v>
      </c>
      <c r="L24" s="3498">
        <v>-119.74302516259057</v>
      </c>
      <c r="M24" s="3615">
        <v>224.2106009829202</v>
      </c>
      <c r="N24" s="3497">
        <v>0</v>
      </c>
      <c r="O24" s="3498">
        <v>0</v>
      </c>
      <c r="P24" s="3615">
        <v>0</v>
      </c>
      <c r="Q24" s="3616">
        <v>224.2106009829202</v>
      </c>
      <c r="R24" s="3545">
        <v>0</v>
      </c>
      <c r="S24" s="3638">
        <v>224.2106009829202</v>
      </c>
      <c r="T24" s="2362"/>
      <c r="U24" s="2340"/>
      <c r="V24" s="3501" t="s">
        <v>2031</v>
      </c>
      <c r="W24" s="3502">
        <v>20</v>
      </c>
      <c r="X24" s="3497">
        <v>159.2721986617789</v>
      </c>
      <c r="Y24" s="3498">
        <v>7.0635477067670402</v>
      </c>
      <c r="Z24" s="3498">
        <v>2.0792129250833686</v>
      </c>
      <c r="AA24" s="3498">
        <v>17.686952792098907</v>
      </c>
      <c r="AB24" s="3498">
        <v>-64.788983885461562</v>
      </c>
      <c r="AC24" s="3615">
        <v>121.31292820026667</v>
      </c>
      <c r="AD24" s="3497">
        <v>0</v>
      </c>
      <c r="AE24" s="3498">
        <v>0</v>
      </c>
      <c r="AF24" s="3630">
        <v>0</v>
      </c>
      <c r="AG24" s="3614">
        <v>121.31292820026667</v>
      </c>
      <c r="AH24" s="4226">
        <v>0</v>
      </c>
      <c r="AI24" s="3638">
        <v>121.31292820026667</v>
      </c>
      <c r="AJ24" s="4029">
        <f t="shared" si="0"/>
        <v>12.131292820026667</v>
      </c>
      <c r="AK24" s="2341"/>
      <c r="AL24" s="3634">
        <v>3469.2206711903382</v>
      </c>
      <c r="AM24" s="3635">
        <v>3714.6597075474442</v>
      </c>
      <c r="AN24" s="3497">
        <v>26.431724630364716</v>
      </c>
      <c r="AO24" s="3608">
        <v>0</v>
      </c>
      <c r="AP24" s="2362"/>
      <c r="AQ24" s="2362"/>
      <c r="AR24" s="2362"/>
      <c r="AS24" s="2341"/>
      <c r="AT24" s="3521" t="s">
        <v>2031</v>
      </c>
      <c r="AU24" s="3649">
        <v>20</v>
      </c>
      <c r="AV24" s="3523">
        <v>294.36693938239318</v>
      </c>
      <c r="AW24" s="3524">
        <v>13.054851613105198</v>
      </c>
      <c r="AX24" s="3524">
        <v>3.8428021351097255</v>
      </c>
      <c r="AY24" s="3524">
        <v>32.689033014902677</v>
      </c>
      <c r="AZ24" s="3524">
        <v>-119.74302516259057</v>
      </c>
      <c r="BA24" s="3652">
        <v>224.2106009829202</v>
      </c>
      <c r="BB24" s="3523">
        <v>0</v>
      </c>
      <c r="BC24" s="3524">
        <v>0</v>
      </c>
      <c r="BD24" s="3653">
        <v>0</v>
      </c>
      <c r="BE24" s="3695">
        <v>224.2106009829202</v>
      </c>
      <c r="BF24" s="3545">
        <v>0</v>
      </c>
      <c r="BG24" s="3638">
        <v>224.2106009829202</v>
      </c>
      <c r="BH24" s="2362"/>
      <c r="BI24" s="2340"/>
      <c r="BJ24" s="3521" t="s">
        <v>2031</v>
      </c>
      <c r="BK24" s="3522">
        <v>20</v>
      </c>
      <c r="BL24" s="3523">
        <v>159.2721986617789</v>
      </c>
      <c r="BM24" s="3524">
        <v>7.0635477067670402</v>
      </c>
      <c r="BN24" s="3524">
        <v>2.0792129250833686</v>
      </c>
      <c r="BO24" s="3524">
        <v>17.686952792098907</v>
      </c>
      <c r="BP24" s="3524">
        <v>-64.788983885461562</v>
      </c>
      <c r="BQ24" s="3665">
        <v>121.31292820026667</v>
      </c>
      <c r="BR24" s="3523">
        <v>0</v>
      </c>
      <c r="BS24" s="3524">
        <v>0</v>
      </c>
      <c r="BT24" s="3652">
        <v>0</v>
      </c>
      <c r="BU24" s="3654">
        <v>121.31292820026667</v>
      </c>
      <c r="BV24" s="3545">
        <v>0</v>
      </c>
      <c r="BW24" s="3638">
        <v>121.31292820026667</v>
      </c>
      <c r="BX24" s="3638">
        <f t="shared" si="65"/>
        <v>12.131292820026667</v>
      </c>
      <c r="BY24" s="2341"/>
      <c r="BZ24" s="3670">
        <v>3469.2206711903382</v>
      </c>
      <c r="CA24" s="3671">
        <v>3714.6597075474442</v>
      </c>
      <c r="CB24" s="3523">
        <v>26.431724630364716</v>
      </c>
      <c r="CC24" s="3526">
        <v>0</v>
      </c>
      <c r="CD24" s="2362"/>
      <c r="CE24" s="2362"/>
      <c r="CF24" s="2362"/>
      <c r="CG24" s="2341"/>
      <c r="CH24" s="2410" t="str">
        <f t="shared" si="1"/>
        <v>Solar Photovoltaic (Thin-Film) 20 MW</v>
      </c>
      <c r="CI24" s="2411">
        <f t="shared" si="2"/>
        <v>20</v>
      </c>
      <c r="CJ24" s="2412">
        <f t="shared" si="3"/>
        <v>0</v>
      </c>
      <c r="CK24" s="3674">
        <f t="shared" si="4"/>
        <v>0</v>
      </c>
      <c r="CL24" s="3674">
        <f t="shared" si="5"/>
        <v>0</v>
      </c>
      <c r="CM24" s="3674">
        <f t="shared" si="6"/>
        <v>0</v>
      </c>
      <c r="CN24" s="3674">
        <f t="shared" si="7"/>
        <v>0</v>
      </c>
      <c r="CO24" s="3675">
        <f t="shared" si="8"/>
        <v>0</v>
      </c>
      <c r="CP24" s="3676">
        <f t="shared" si="9"/>
        <v>0</v>
      </c>
      <c r="CQ24" s="3674">
        <f t="shared" si="10"/>
        <v>0</v>
      </c>
      <c r="CR24" s="3675">
        <f t="shared" si="11"/>
        <v>0</v>
      </c>
      <c r="CS24" s="3677">
        <f t="shared" si="12"/>
        <v>0</v>
      </c>
      <c r="CT24" s="3545"/>
      <c r="CU24" s="3638"/>
      <c r="CV24" s="3638"/>
      <c r="CW24" s="2340"/>
      <c r="CX24" s="2410" t="str">
        <f t="shared" si="13"/>
        <v>Solar Photovoltaic (Thin-Film) 20 MW</v>
      </c>
      <c r="CY24" s="2411">
        <f t="shared" si="14"/>
        <v>20</v>
      </c>
      <c r="CZ24" s="2412">
        <f t="shared" si="15"/>
        <v>0</v>
      </c>
      <c r="DA24" s="3674">
        <f t="shared" si="16"/>
        <v>0</v>
      </c>
      <c r="DB24" s="3674">
        <f t="shared" si="17"/>
        <v>0</v>
      </c>
      <c r="DC24" s="3674">
        <f t="shared" si="18"/>
        <v>0</v>
      </c>
      <c r="DD24" s="3674">
        <f t="shared" si="19"/>
        <v>0</v>
      </c>
      <c r="DE24" s="3675">
        <f t="shared" si="20"/>
        <v>0</v>
      </c>
      <c r="DF24" s="3676">
        <f t="shared" si="21"/>
        <v>0</v>
      </c>
      <c r="DG24" s="3674">
        <f t="shared" si="22"/>
        <v>0</v>
      </c>
      <c r="DH24" s="3675">
        <f t="shared" si="23"/>
        <v>0</v>
      </c>
      <c r="DI24" s="3677">
        <f t="shared" si="24"/>
        <v>0</v>
      </c>
      <c r="DJ24" s="3545">
        <f t="shared" si="24"/>
        <v>0</v>
      </c>
      <c r="DK24" s="3638">
        <f t="shared" si="24"/>
        <v>0</v>
      </c>
      <c r="DL24" s="3638">
        <f t="shared" si="24"/>
        <v>0</v>
      </c>
      <c r="DM24" s="2341"/>
      <c r="DN24" s="3687">
        <f t="shared" si="25"/>
        <v>0</v>
      </c>
      <c r="DO24" s="3688">
        <f t="shared" si="26"/>
        <v>0</v>
      </c>
      <c r="DP24" s="3687">
        <f t="shared" si="27"/>
        <v>0</v>
      </c>
      <c r="DQ24" s="3689">
        <f t="shared" si="28"/>
        <v>0</v>
      </c>
      <c r="DT24" s="2288" t="str">
        <f t="shared" si="29"/>
        <v>Solar Photovoltaic (Thin-Film) 20 MW</v>
      </c>
      <c r="DU24" s="2289">
        <f t="shared" si="30"/>
        <v>20</v>
      </c>
      <c r="DV24" s="2373">
        <f t="shared" si="31"/>
        <v>0</v>
      </c>
      <c r="DW24" s="2373">
        <f t="shared" si="32"/>
        <v>0</v>
      </c>
      <c r="DX24" s="2788">
        <f t="shared" si="66"/>
        <v>0</v>
      </c>
      <c r="DY24" s="3693">
        <f t="shared" si="32"/>
        <v>0</v>
      </c>
      <c r="DZ24" s="3693">
        <f t="shared" si="32"/>
        <v>0</v>
      </c>
      <c r="EA24" s="3369">
        <f t="shared" si="32"/>
        <v>0</v>
      </c>
      <c r="EB24" s="2374" t="str">
        <f t="shared" si="67"/>
        <v>0.00%</v>
      </c>
      <c r="EC24" s="3950" t="str">
        <f t="shared" si="68"/>
        <v>0.00%</v>
      </c>
      <c r="ED24" s="3369" t="str">
        <f t="shared" si="68"/>
        <v>0.00%</v>
      </c>
      <c r="EE24" s="2374">
        <f t="shared" si="32"/>
        <v>0</v>
      </c>
      <c r="EF24" s="3641"/>
      <c r="EG24" s="3641"/>
      <c r="EJ24" s="2288" t="str">
        <f t="shared" si="33"/>
        <v>Solar Photovoltaic (Thin-Film) 20 MW</v>
      </c>
      <c r="EK24" s="2289">
        <f t="shared" si="34"/>
        <v>20</v>
      </c>
      <c r="EL24" s="2788">
        <f t="shared" si="35"/>
        <v>0</v>
      </c>
      <c r="EM24" s="3693">
        <f t="shared" si="36"/>
        <v>0</v>
      </c>
      <c r="EN24" s="3370">
        <f t="shared" si="77"/>
        <v>0</v>
      </c>
      <c r="EO24" s="3693">
        <f t="shared" si="38"/>
        <v>0</v>
      </c>
      <c r="EP24" s="3693">
        <f t="shared" si="39"/>
        <v>0</v>
      </c>
      <c r="EQ24" s="3369">
        <f t="shared" si="40"/>
        <v>0</v>
      </c>
      <c r="ER24" s="2788" t="str">
        <f t="shared" si="41"/>
        <v>0.00%</v>
      </c>
      <c r="ES24" s="3693" t="str">
        <f t="shared" si="42"/>
        <v>0.00%</v>
      </c>
      <c r="ET24" s="3369" t="str">
        <f t="shared" si="43"/>
        <v>0.00%</v>
      </c>
      <c r="EU24" s="2374">
        <f t="shared" si="44"/>
        <v>0</v>
      </c>
      <c r="EV24" s="3641" t="e">
        <f t="shared" si="45"/>
        <v>#DIV/0!</v>
      </c>
      <c r="EW24" s="3641">
        <f t="shared" si="46"/>
        <v>0</v>
      </c>
      <c r="EX24" s="3533"/>
      <c r="EY24" s="4032" t="str">
        <f t="shared" si="69"/>
        <v>Solar Photovoltaic (Thin-Film) 20 MW</v>
      </c>
      <c r="EZ24" s="2288">
        <f t="shared" si="69"/>
        <v>20</v>
      </c>
      <c r="FA24" s="2373">
        <f t="shared" si="70"/>
        <v>0</v>
      </c>
      <c r="FB24" s="2373">
        <f t="shared" si="47"/>
        <v>0</v>
      </c>
      <c r="FC24" s="2788">
        <f t="shared" si="48"/>
        <v>0</v>
      </c>
      <c r="FD24" s="3693">
        <f t="shared" si="49"/>
        <v>0</v>
      </c>
      <c r="FE24" s="3693">
        <f t="shared" si="50"/>
        <v>0</v>
      </c>
      <c r="FF24" s="3369">
        <f t="shared" si="51"/>
        <v>0</v>
      </c>
      <c r="FG24" s="2374" t="e">
        <f t="shared" si="52"/>
        <v>#DIV/0!</v>
      </c>
      <c r="FH24" s="3950" t="e">
        <f t="shared" si="53"/>
        <v>#DIV/0!</v>
      </c>
      <c r="FI24" s="3369" t="e">
        <f t="shared" si="54"/>
        <v>#DIV/0!</v>
      </c>
      <c r="FJ24" s="2374">
        <f t="shared" si="55"/>
        <v>0</v>
      </c>
      <c r="FK24" s="3641" t="e">
        <f t="shared" si="71"/>
        <v>#DIV/0!</v>
      </c>
      <c r="FL24" s="3641">
        <f t="shared" si="55"/>
        <v>0</v>
      </c>
      <c r="FO24" s="2288" t="str">
        <f t="shared" si="72"/>
        <v>Solar Photovoltaic (Thin-Film) 20 MW</v>
      </c>
      <c r="FP24" s="2288">
        <f t="shared" si="73"/>
        <v>20</v>
      </c>
      <c r="FQ24" s="2788">
        <f t="shared" si="74"/>
        <v>0</v>
      </c>
      <c r="FR24" s="3693">
        <f t="shared" si="56"/>
        <v>0</v>
      </c>
      <c r="FS24" s="3370">
        <f t="shared" si="57"/>
        <v>0</v>
      </c>
      <c r="FT24" s="3693">
        <f t="shared" si="58"/>
        <v>0</v>
      </c>
      <c r="FU24" s="3693">
        <f t="shared" si="59"/>
        <v>0</v>
      </c>
      <c r="FV24" s="3369">
        <f t="shared" si="60"/>
        <v>0</v>
      </c>
      <c r="FW24" s="2788" t="e">
        <f t="shared" si="61"/>
        <v>#DIV/0!</v>
      </c>
      <c r="FX24" s="3693" t="e">
        <f t="shared" si="62"/>
        <v>#DIV/0!</v>
      </c>
      <c r="FY24" s="3369" t="e">
        <f t="shared" si="63"/>
        <v>#DIV/0!</v>
      </c>
      <c r="FZ24" s="2374">
        <f t="shared" si="64"/>
        <v>0</v>
      </c>
      <c r="GA24" s="3641" t="e">
        <f t="shared" si="75"/>
        <v>#DIV/0!</v>
      </c>
      <c r="GB24" s="3641">
        <f t="shared" si="76"/>
        <v>0</v>
      </c>
    </row>
    <row r="25" spans="1:184">
      <c r="A25" s="1803"/>
      <c r="B25" s="1803"/>
      <c r="C25" s="1803"/>
      <c r="D25" s="1291"/>
      <c r="E25" s="1802"/>
      <c r="F25" s="3501" t="s">
        <v>1892</v>
      </c>
      <c r="G25" s="3502">
        <v>20</v>
      </c>
      <c r="H25" s="3618">
        <v>339.92921166137819</v>
      </c>
      <c r="I25" s="3498">
        <v>14.994988801624981</v>
      </c>
      <c r="J25" s="3498">
        <v>4.4138973533016568</v>
      </c>
      <c r="K25" s="3498">
        <v>36.611716976690971</v>
      </c>
      <c r="L25" s="3498">
        <v>-136.43140186960343</v>
      </c>
      <c r="M25" s="3619">
        <v>259.51841292339236</v>
      </c>
      <c r="N25" s="3618">
        <v>0</v>
      </c>
      <c r="O25" s="3620">
        <v>0</v>
      </c>
      <c r="P25" s="3619">
        <v>0</v>
      </c>
      <c r="Q25" s="3621">
        <v>259.51841292339236</v>
      </c>
      <c r="R25" s="3545">
        <v>0</v>
      </c>
      <c r="S25" s="3638">
        <v>259.51841292339236</v>
      </c>
      <c r="T25" s="2362"/>
      <c r="U25" s="1289"/>
      <c r="V25" s="3501" t="s">
        <v>1892</v>
      </c>
      <c r="W25" s="3502">
        <v>20</v>
      </c>
      <c r="X25" s="3618">
        <v>154.22451768280928</v>
      </c>
      <c r="Y25" s="3498">
        <v>6.8031661777083139</v>
      </c>
      <c r="Z25" s="3498">
        <v>2.0025674965895233</v>
      </c>
      <c r="AA25" s="3498">
        <v>16.610588906652694</v>
      </c>
      <c r="AB25" s="3498">
        <v>-61.898378922165861</v>
      </c>
      <c r="AC25" s="3619">
        <v>117.74246134159394</v>
      </c>
      <c r="AD25" s="3618">
        <v>0</v>
      </c>
      <c r="AE25" s="3620">
        <v>0</v>
      </c>
      <c r="AF25" s="3631">
        <v>0</v>
      </c>
      <c r="AG25" s="3629">
        <v>117.74246134159394</v>
      </c>
      <c r="AH25" s="4225">
        <v>0</v>
      </c>
      <c r="AI25" s="3638">
        <v>117.74246134159394</v>
      </c>
      <c r="AJ25" s="4029">
        <f t="shared" si="0"/>
        <v>11.774246134159394</v>
      </c>
      <c r="AK25" s="2346"/>
      <c r="AL25" s="3634">
        <v>3984.7963543793553</v>
      </c>
      <c r="AM25" s="3635">
        <v>4266.7111329404443</v>
      </c>
      <c r="AN25" s="3497">
        <v>29.603531586008483</v>
      </c>
      <c r="AO25" s="3608">
        <v>0</v>
      </c>
      <c r="AP25" s="2282"/>
      <c r="AQ25" s="2282"/>
      <c r="AR25" s="2282"/>
      <c r="AS25" s="1291"/>
      <c r="AT25" s="3521" t="s">
        <v>1892</v>
      </c>
      <c r="AU25" s="3649">
        <v>20</v>
      </c>
      <c r="AV25" s="3655">
        <v>339.92921166137819</v>
      </c>
      <c r="AW25" s="3524">
        <v>14.994988801624981</v>
      </c>
      <c r="AX25" s="3524">
        <v>4.4138973533016568</v>
      </c>
      <c r="AY25" s="3524">
        <v>36.611716976690971</v>
      </c>
      <c r="AZ25" s="3524">
        <v>-136.43140186960343</v>
      </c>
      <c r="BA25" s="3656">
        <v>259.51841292339236</v>
      </c>
      <c r="BB25" s="3655">
        <v>0</v>
      </c>
      <c r="BC25" s="3657">
        <v>0</v>
      </c>
      <c r="BD25" s="3658">
        <v>0</v>
      </c>
      <c r="BE25" s="3695">
        <v>259.51841292339236</v>
      </c>
      <c r="BF25" s="3545">
        <v>0</v>
      </c>
      <c r="BG25" s="3638">
        <v>259.51841292339236</v>
      </c>
      <c r="BH25" s="2362"/>
      <c r="BI25" s="2340"/>
      <c r="BJ25" s="3521" t="s">
        <v>1892</v>
      </c>
      <c r="BK25" s="3522">
        <v>20</v>
      </c>
      <c r="BL25" s="3655">
        <v>154.22451768280928</v>
      </c>
      <c r="BM25" s="3524">
        <v>6.8031661777083139</v>
      </c>
      <c r="BN25" s="3524">
        <v>2.0025674965895233</v>
      </c>
      <c r="BO25" s="3524">
        <v>16.610588906652694</v>
      </c>
      <c r="BP25" s="3524">
        <v>-61.898378922165861</v>
      </c>
      <c r="BQ25" s="3666">
        <v>117.74246134159394</v>
      </c>
      <c r="BR25" s="3655">
        <v>0</v>
      </c>
      <c r="BS25" s="3657">
        <v>0</v>
      </c>
      <c r="BT25" s="3656">
        <v>0</v>
      </c>
      <c r="BU25" s="3667">
        <v>117.74246134159394</v>
      </c>
      <c r="BV25" s="3642">
        <v>0</v>
      </c>
      <c r="BW25" s="3638">
        <v>117.74246134159394</v>
      </c>
      <c r="BX25" s="3638">
        <f t="shared" si="65"/>
        <v>11.774246134159394</v>
      </c>
      <c r="BY25" s="1291"/>
      <c r="BZ25" s="3670">
        <v>3984.7963543793553</v>
      </c>
      <c r="CA25" s="3671">
        <v>4266.7111329404443</v>
      </c>
      <c r="CB25" s="3523">
        <v>29.603531586008483</v>
      </c>
      <c r="CC25" s="3526">
        <v>0</v>
      </c>
      <c r="CD25" s="2362"/>
      <c r="CE25" s="2362"/>
      <c r="CF25" s="2362"/>
      <c r="CG25" s="2346"/>
      <c r="CH25" s="2410" t="str">
        <f t="shared" si="1"/>
        <v>Solar Photovoltaic (Single Axis) 20 MW</v>
      </c>
      <c r="CI25" s="2411">
        <f t="shared" si="2"/>
        <v>20</v>
      </c>
      <c r="CJ25" s="2412">
        <f t="shared" si="3"/>
        <v>0</v>
      </c>
      <c r="CK25" s="3674">
        <f t="shared" si="4"/>
        <v>0</v>
      </c>
      <c r="CL25" s="3674">
        <f t="shared" si="5"/>
        <v>0</v>
      </c>
      <c r="CM25" s="3674">
        <f t="shared" si="6"/>
        <v>0</v>
      </c>
      <c r="CN25" s="3674">
        <f t="shared" si="7"/>
        <v>0</v>
      </c>
      <c r="CO25" s="3678">
        <f t="shared" si="8"/>
        <v>0</v>
      </c>
      <c r="CP25" s="3679">
        <f t="shared" si="9"/>
        <v>0</v>
      </c>
      <c r="CQ25" s="3680">
        <f t="shared" si="10"/>
        <v>0</v>
      </c>
      <c r="CR25" s="3678">
        <f t="shared" si="11"/>
        <v>0</v>
      </c>
      <c r="CS25" s="3681">
        <f t="shared" si="12"/>
        <v>0</v>
      </c>
      <c r="CT25" s="3646"/>
      <c r="CU25" s="3638"/>
      <c r="CV25" s="3638"/>
      <c r="CW25" s="2340"/>
      <c r="CX25" s="2410" t="str">
        <f t="shared" si="13"/>
        <v>Solar Photovoltaic (Single Axis) 20 MW</v>
      </c>
      <c r="CY25" s="2411">
        <f t="shared" si="14"/>
        <v>20</v>
      </c>
      <c r="CZ25" s="2412">
        <f t="shared" si="15"/>
        <v>0</v>
      </c>
      <c r="DA25" s="3674">
        <f t="shared" si="16"/>
        <v>0</v>
      </c>
      <c r="DB25" s="3674">
        <f t="shared" si="17"/>
        <v>0</v>
      </c>
      <c r="DC25" s="3674">
        <f t="shared" si="18"/>
        <v>0</v>
      </c>
      <c r="DD25" s="3674">
        <f t="shared" si="19"/>
        <v>0</v>
      </c>
      <c r="DE25" s="3678">
        <f t="shared" si="20"/>
        <v>0</v>
      </c>
      <c r="DF25" s="3679">
        <f t="shared" si="21"/>
        <v>0</v>
      </c>
      <c r="DG25" s="3680">
        <f t="shared" si="22"/>
        <v>0</v>
      </c>
      <c r="DH25" s="3678">
        <f t="shared" si="23"/>
        <v>0</v>
      </c>
      <c r="DI25" s="3681">
        <f t="shared" ref="DI25:DL30" si="78">IF($G25=0,"",BU25-AG25)</f>
        <v>0</v>
      </c>
      <c r="DJ25" s="3646">
        <f t="shared" si="78"/>
        <v>0</v>
      </c>
      <c r="DK25" s="3638">
        <f t="shared" si="78"/>
        <v>0</v>
      </c>
      <c r="DL25" s="3638">
        <f t="shared" si="78"/>
        <v>0</v>
      </c>
      <c r="DM25" s="2341"/>
      <c r="DN25" s="3687">
        <f t="shared" si="25"/>
        <v>0</v>
      </c>
      <c r="DO25" s="3688">
        <f t="shared" si="26"/>
        <v>0</v>
      </c>
      <c r="DP25" s="3687">
        <f t="shared" si="27"/>
        <v>0</v>
      </c>
      <c r="DQ25" s="3689">
        <f t="shared" si="28"/>
        <v>0</v>
      </c>
      <c r="DT25" s="2288" t="str">
        <f t="shared" si="29"/>
        <v>Solar Photovoltaic (Single Axis) 20 MW</v>
      </c>
      <c r="DU25" s="2289">
        <f t="shared" si="30"/>
        <v>20</v>
      </c>
      <c r="DV25" s="2373">
        <f t="shared" si="31"/>
        <v>0</v>
      </c>
      <c r="DW25" s="2373">
        <f t="shared" ref="DW25:EG30" si="79">IF($H25=0,"",CK25/I25)</f>
        <v>0</v>
      </c>
      <c r="DX25" s="2788">
        <f t="shared" si="66"/>
        <v>0</v>
      </c>
      <c r="DY25" s="3693">
        <f t="shared" si="79"/>
        <v>0</v>
      </c>
      <c r="DZ25" s="3693">
        <f t="shared" si="79"/>
        <v>0</v>
      </c>
      <c r="EA25" s="3369">
        <f t="shared" si="79"/>
        <v>0</v>
      </c>
      <c r="EB25" s="2374" t="str">
        <f t="shared" si="67"/>
        <v>0.00%</v>
      </c>
      <c r="EC25" s="3950" t="str">
        <f t="shared" si="68"/>
        <v>0.00%</v>
      </c>
      <c r="ED25" s="3369" t="str">
        <f t="shared" si="68"/>
        <v>0.00%</v>
      </c>
      <c r="EE25" s="2374">
        <f t="shared" si="79"/>
        <v>0</v>
      </c>
      <c r="EF25" s="3641"/>
      <c r="EG25" s="3641"/>
      <c r="EJ25" s="2288" t="str">
        <f t="shared" si="33"/>
        <v>Solar Photovoltaic (Single Axis) 20 MW</v>
      </c>
      <c r="EK25" s="2289">
        <f t="shared" si="34"/>
        <v>20</v>
      </c>
      <c r="EL25" s="2788">
        <f t="shared" si="35"/>
        <v>0</v>
      </c>
      <c r="EM25" s="3693">
        <f t="shared" ref="EM25:EW30" si="80">IF($H25=0,"",DA25/Y25)</f>
        <v>0</v>
      </c>
      <c r="EN25" s="3370">
        <f t="shared" si="77"/>
        <v>0</v>
      </c>
      <c r="EO25" s="3693">
        <f t="shared" si="38"/>
        <v>0</v>
      </c>
      <c r="EP25" s="3693">
        <f t="shared" si="39"/>
        <v>0</v>
      </c>
      <c r="EQ25" s="3369">
        <f t="shared" si="40"/>
        <v>0</v>
      </c>
      <c r="ER25" s="2788" t="str">
        <f t="shared" si="41"/>
        <v>0.00%</v>
      </c>
      <c r="ES25" s="3693" t="str">
        <f t="shared" si="42"/>
        <v>0.00%</v>
      </c>
      <c r="ET25" s="3369" t="str">
        <f t="shared" si="43"/>
        <v>0.00%</v>
      </c>
      <c r="EU25" s="2374">
        <f t="shared" si="80"/>
        <v>0</v>
      </c>
      <c r="EV25" s="3641" t="e">
        <f t="shared" si="80"/>
        <v>#DIV/0!</v>
      </c>
      <c r="EW25" s="3641">
        <f t="shared" si="80"/>
        <v>0</v>
      </c>
      <c r="EX25" s="3537"/>
      <c r="EY25" s="4032" t="str">
        <f t="shared" si="69"/>
        <v>Solar Photovoltaic (Single Axis) 20 MW</v>
      </c>
      <c r="EZ25" s="2288">
        <f t="shared" si="69"/>
        <v>20</v>
      </c>
      <c r="FA25" s="2373">
        <f t="shared" si="70"/>
        <v>0</v>
      </c>
      <c r="FB25" s="2373">
        <f t="shared" si="47"/>
        <v>0</v>
      </c>
      <c r="FC25" s="2788">
        <f t="shared" si="48"/>
        <v>0</v>
      </c>
      <c r="FD25" s="3693">
        <f t="shared" si="49"/>
        <v>0</v>
      </c>
      <c r="FE25" s="3693">
        <f t="shared" si="50"/>
        <v>0</v>
      </c>
      <c r="FF25" s="3369">
        <f t="shared" si="51"/>
        <v>0</v>
      </c>
      <c r="FG25" s="2374" t="e">
        <f t="shared" si="52"/>
        <v>#DIV/0!</v>
      </c>
      <c r="FH25" s="3950" t="e">
        <f t="shared" si="53"/>
        <v>#DIV/0!</v>
      </c>
      <c r="FI25" s="3369" t="e">
        <f t="shared" si="54"/>
        <v>#DIV/0!</v>
      </c>
      <c r="FJ25" s="2374">
        <f t="shared" si="55"/>
        <v>0</v>
      </c>
      <c r="FK25" s="3641" t="e">
        <f t="shared" si="71"/>
        <v>#DIV/0!</v>
      </c>
      <c r="FL25" s="3641">
        <f t="shared" si="55"/>
        <v>0</v>
      </c>
      <c r="FO25" s="2288" t="str">
        <f t="shared" si="72"/>
        <v>Solar Photovoltaic (Single Axis) 20 MW</v>
      </c>
      <c r="FP25" s="2288">
        <f t="shared" si="73"/>
        <v>20</v>
      </c>
      <c r="FQ25" s="2788">
        <f t="shared" si="74"/>
        <v>0</v>
      </c>
      <c r="FR25" s="3693">
        <f t="shared" si="56"/>
        <v>0</v>
      </c>
      <c r="FS25" s="3370">
        <f t="shared" si="57"/>
        <v>0</v>
      </c>
      <c r="FT25" s="3693">
        <f t="shared" si="58"/>
        <v>0</v>
      </c>
      <c r="FU25" s="3693">
        <f t="shared" si="59"/>
        <v>0</v>
      </c>
      <c r="FV25" s="3369">
        <f t="shared" si="60"/>
        <v>0</v>
      </c>
      <c r="FW25" s="2788" t="e">
        <f t="shared" si="61"/>
        <v>#DIV/0!</v>
      </c>
      <c r="FX25" s="3693" t="e">
        <f t="shared" si="62"/>
        <v>#DIV/0!</v>
      </c>
      <c r="FY25" s="3369" t="e">
        <f t="shared" si="63"/>
        <v>#DIV/0!</v>
      </c>
      <c r="FZ25" s="2374">
        <f t="shared" si="64"/>
        <v>0</v>
      </c>
      <c r="GA25" s="3641" t="e">
        <f t="shared" si="75"/>
        <v>#DIV/0!</v>
      </c>
      <c r="GB25" s="3641">
        <f t="shared" si="76"/>
        <v>0</v>
      </c>
    </row>
    <row r="26" spans="1:184">
      <c r="A26" s="1803"/>
      <c r="B26" s="1803"/>
      <c r="C26" s="1803"/>
      <c r="D26" s="1291"/>
      <c r="E26" s="1802"/>
      <c r="F26" s="3501" t="s">
        <v>1795</v>
      </c>
      <c r="G26" s="3502">
        <v>100</v>
      </c>
      <c r="H26" s="3497">
        <v>171.31335951810115</v>
      </c>
      <c r="I26" s="3498">
        <v>14.635139806572186</v>
      </c>
      <c r="J26" s="3498">
        <v>21.391440826369717</v>
      </c>
      <c r="K26" s="3498">
        <v>0</v>
      </c>
      <c r="L26" s="3498">
        <v>-51.649302851754157</v>
      </c>
      <c r="M26" s="3615">
        <v>155.69063729928891</v>
      </c>
      <c r="N26" s="3497">
        <v>0</v>
      </c>
      <c r="O26" s="3498">
        <v>26.054494620263569</v>
      </c>
      <c r="P26" s="3615">
        <v>26.054494620263569</v>
      </c>
      <c r="Q26" s="3616">
        <v>181.74513191955248</v>
      </c>
      <c r="R26" s="3545">
        <v>0</v>
      </c>
      <c r="S26" s="3638">
        <v>181.74513191955248</v>
      </c>
      <c r="T26" s="2362"/>
      <c r="U26" s="1289"/>
      <c r="V26" s="3501" t="s">
        <v>1795</v>
      </c>
      <c r="W26" s="3502">
        <v>100</v>
      </c>
      <c r="X26" s="3497">
        <v>80.235093667898113</v>
      </c>
      <c r="Y26" s="3498">
        <v>6.8544088827995404</v>
      </c>
      <c r="Z26" s="3498">
        <v>10.018741464314834</v>
      </c>
      <c r="AA26" s="3498">
        <v>0</v>
      </c>
      <c r="AB26" s="3498">
        <v>-24.190096229793824</v>
      </c>
      <c r="AC26" s="3615">
        <v>72.918147785218665</v>
      </c>
      <c r="AD26" s="3497">
        <v>0</v>
      </c>
      <c r="AE26" s="3498">
        <v>12.202695821312828</v>
      </c>
      <c r="AF26" s="3630">
        <v>12.202695821312828</v>
      </c>
      <c r="AG26" s="3614">
        <v>85.120843606531494</v>
      </c>
      <c r="AH26" s="4225">
        <v>0</v>
      </c>
      <c r="AI26" s="3638">
        <v>85.120843606531494</v>
      </c>
      <c r="AJ26" s="4029">
        <f t="shared" si="0"/>
        <v>8.5120843606531498</v>
      </c>
      <c r="AK26" s="2346"/>
      <c r="AL26" s="3634">
        <v>1910.5228692064391</v>
      </c>
      <c r="AM26" s="3635">
        <v>2073.8363425907637</v>
      </c>
      <c r="AN26" s="3497">
        <v>0</v>
      </c>
      <c r="AO26" s="3608">
        <v>9.5154208669312972</v>
      </c>
      <c r="AP26" s="2282"/>
      <c r="AQ26" s="2282"/>
      <c r="AR26" s="2282"/>
      <c r="AS26" s="1291"/>
      <c r="AT26" s="3521" t="s">
        <v>1795</v>
      </c>
      <c r="AU26" s="3649">
        <v>100</v>
      </c>
      <c r="AV26" s="3523">
        <v>171.31335951810115</v>
      </c>
      <c r="AW26" s="3524">
        <v>14.635139806572186</v>
      </c>
      <c r="AX26" s="3524">
        <v>21.391440826369717</v>
      </c>
      <c r="AY26" s="3524">
        <v>0</v>
      </c>
      <c r="AZ26" s="3524">
        <v>-51.649302851754157</v>
      </c>
      <c r="BA26" s="3652">
        <v>155.69063729928891</v>
      </c>
      <c r="BB26" s="3523">
        <v>0</v>
      </c>
      <c r="BC26" s="3524">
        <v>26.054494620263569</v>
      </c>
      <c r="BD26" s="3653">
        <v>26.054494620263569</v>
      </c>
      <c r="BE26" s="3695">
        <v>181.74513191955248</v>
      </c>
      <c r="BF26" s="3545">
        <v>0</v>
      </c>
      <c r="BG26" s="3638">
        <v>181.74513191955248</v>
      </c>
      <c r="BH26" s="2362"/>
      <c r="BI26" s="2340"/>
      <c r="BJ26" s="3521" t="s">
        <v>1795</v>
      </c>
      <c r="BK26" s="3522">
        <v>100</v>
      </c>
      <c r="BL26" s="3523">
        <v>80.235093667898113</v>
      </c>
      <c r="BM26" s="3524">
        <v>6.8544088827995404</v>
      </c>
      <c r="BN26" s="3524">
        <v>10.018741464314834</v>
      </c>
      <c r="BO26" s="3524">
        <v>0</v>
      </c>
      <c r="BP26" s="3524">
        <v>-24.190096229793824</v>
      </c>
      <c r="BQ26" s="3665">
        <v>72.918147785218665</v>
      </c>
      <c r="BR26" s="3523">
        <v>0</v>
      </c>
      <c r="BS26" s="3524">
        <v>12.202695821312828</v>
      </c>
      <c r="BT26" s="3652">
        <v>12.202695821312828</v>
      </c>
      <c r="BU26" s="3654">
        <v>85.120843606531494</v>
      </c>
      <c r="BV26" s="3642">
        <v>0</v>
      </c>
      <c r="BW26" s="3638">
        <v>85.120843606531494</v>
      </c>
      <c r="BX26" s="3638">
        <f t="shared" si="65"/>
        <v>8.5120843606531498</v>
      </c>
      <c r="BY26" s="1291"/>
      <c r="BZ26" s="3670">
        <v>1910.5228692064391</v>
      </c>
      <c r="CA26" s="3671">
        <v>2073.8363425907637</v>
      </c>
      <c r="CB26" s="3523">
        <v>0</v>
      </c>
      <c r="CC26" s="3526">
        <v>9.5154208669312972</v>
      </c>
      <c r="CD26" s="2362"/>
      <c r="CE26" s="2362"/>
      <c r="CF26" s="2362"/>
      <c r="CG26" s="2346"/>
      <c r="CH26" s="2410" t="str">
        <f t="shared" si="1"/>
        <v>Wind - Class 3 100 MW</v>
      </c>
      <c r="CI26" s="2411">
        <f t="shared" si="2"/>
        <v>100</v>
      </c>
      <c r="CJ26" s="2412">
        <f t="shared" si="3"/>
        <v>0</v>
      </c>
      <c r="CK26" s="3674">
        <f t="shared" si="4"/>
        <v>0</v>
      </c>
      <c r="CL26" s="3674">
        <f t="shared" si="5"/>
        <v>0</v>
      </c>
      <c r="CM26" s="3674">
        <f t="shared" si="6"/>
        <v>0</v>
      </c>
      <c r="CN26" s="3674">
        <f t="shared" si="7"/>
        <v>0</v>
      </c>
      <c r="CO26" s="3675">
        <f t="shared" si="8"/>
        <v>0</v>
      </c>
      <c r="CP26" s="3676">
        <f t="shared" si="9"/>
        <v>0</v>
      </c>
      <c r="CQ26" s="3674">
        <f t="shared" si="10"/>
        <v>0</v>
      </c>
      <c r="CR26" s="3675">
        <f t="shared" si="11"/>
        <v>0</v>
      </c>
      <c r="CS26" s="3677">
        <f t="shared" si="12"/>
        <v>0</v>
      </c>
      <c r="CT26" s="3545"/>
      <c r="CU26" s="3638"/>
      <c r="CV26" s="3638"/>
      <c r="CW26" s="2340"/>
      <c r="CX26" s="2410" t="str">
        <f t="shared" si="13"/>
        <v>Wind - Class 3 100 MW</v>
      </c>
      <c r="CY26" s="2411">
        <f t="shared" si="14"/>
        <v>100</v>
      </c>
      <c r="CZ26" s="2412">
        <f t="shared" si="15"/>
        <v>0</v>
      </c>
      <c r="DA26" s="3674">
        <f t="shared" si="16"/>
        <v>0</v>
      </c>
      <c r="DB26" s="3674">
        <f t="shared" si="17"/>
        <v>0</v>
      </c>
      <c r="DC26" s="3674">
        <f t="shared" si="18"/>
        <v>0</v>
      </c>
      <c r="DD26" s="3674">
        <f t="shared" si="19"/>
        <v>0</v>
      </c>
      <c r="DE26" s="3675">
        <f t="shared" si="20"/>
        <v>0</v>
      </c>
      <c r="DF26" s="3676">
        <f t="shared" si="21"/>
        <v>0</v>
      </c>
      <c r="DG26" s="3674">
        <f t="shared" si="22"/>
        <v>0</v>
      </c>
      <c r="DH26" s="3675">
        <f t="shared" si="23"/>
        <v>0</v>
      </c>
      <c r="DI26" s="3677">
        <f t="shared" si="78"/>
        <v>0</v>
      </c>
      <c r="DJ26" s="3545">
        <f t="shared" si="78"/>
        <v>0</v>
      </c>
      <c r="DK26" s="3638">
        <f t="shared" si="78"/>
        <v>0</v>
      </c>
      <c r="DL26" s="3638">
        <f t="shared" si="78"/>
        <v>0</v>
      </c>
      <c r="DM26" s="2341"/>
      <c r="DN26" s="3687">
        <f t="shared" si="25"/>
        <v>0</v>
      </c>
      <c r="DO26" s="3688">
        <f t="shared" si="26"/>
        <v>0</v>
      </c>
      <c r="DP26" s="3687">
        <f t="shared" si="27"/>
        <v>0</v>
      </c>
      <c r="DQ26" s="3689">
        <f t="shared" si="28"/>
        <v>0</v>
      </c>
      <c r="DT26" s="2288" t="str">
        <f t="shared" si="29"/>
        <v>Wind - Class 3 100 MW</v>
      </c>
      <c r="DU26" s="2289">
        <f t="shared" si="30"/>
        <v>100</v>
      </c>
      <c r="DV26" s="2373">
        <f t="shared" si="31"/>
        <v>0</v>
      </c>
      <c r="DW26" s="2373">
        <f t="shared" si="79"/>
        <v>0</v>
      </c>
      <c r="DX26" s="2788">
        <f>IF(J26=0,"0.00%",CL26/J26)</f>
        <v>0</v>
      </c>
      <c r="DY26" s="3693" t="e">
        <f t="shared" si="79"/>
        <v>#DIV/0!</v>
      </c>
      <c r="DZ26" s="3693">
        <f t="shared" si="79"/>
        <v>0</v>
      </c>
      <c r="EA26" s="3369">
        <f t="shared" si="79"/>
        <v>0</v>
      </c>
      <c r="EB26" s="2374" t="str">
        <f>IF(N26=0,"0.00%",CP26/N26)</f>
        <v>0.00%</v>
      </c>
      <c r="EC26" s="3950">
        <f>IF(O26=0,"0.00%",CQ26/O26)</f>
        <v>0</v>
      </c>
      <c r="ED26" s="3369">
        <f>IF(P26=0,"0.00%",CR26/P26)</f>
        <v>0</v>
      </c>
      <c r="EE26" s="2374">
        <f t="shared" si="79"/>
        <v>0</v>
      </c>
      <c r="EF26" s="3641"/>
      <c r="EG26" s="3641"/>
      <c r="EJ26" s="2288" t="str">
        <f t="shared" si="33"/>
        <v>Wind - Class 3 100 MW</v>
      </c>
      <c r="EK26" s="2289">
        <f t="shared" si="34"/>
        <v>100</v>
      </c>
      <c r="EL26" s="2788">
        <f t="shared" si="35"/>
        <v>0</v>
      </c>
      <c r="EM26" s="3693">
        <f t="shared" si="80"/>
        <v>0</v>
      </c>
      <c r="EN26" s="3370">
        <f t="shared" si="77"/>
        <v>0</v>
      </c>
      <c r="EO26" s="3693" t="e">
        <f t="shared" si="38"/>
        <v>#DIV/0!</v>
      </c>
      <c r="EP26" s="3693">
        <f t="shared" si="39"/>
        <v>0</v>
      </c>
      <c r="EQ26" s="3369">
        <f t="shared" si="40"/>
        <v>0</v>
      </c>
      <c r="ER26" s="2788" t="str">
        <f t="shared" si="41"/>
        <v>0.00%</v>
      </c>
      <c r="ES26" s="3693">
        <f t="shared" si="42"/>
        <v>0</v>
      </c>
      <c r="ET26" s="3369">
        <f t="shared" si="43"/>
        <v>0</v>
      </c>
      <c r="EU26" s="2374">
        <f t="shared" si="80"/>
        <v>0</v>
      </c>
      <c r="EV26" s="3641" t="e">
        <f t="shared" si="80"/>
        <v>#DIV/0!</v>
      </c>
      <c r="EW26" s="3641">
        <f t="shared" si="80"/>
        <v>0</v>
      </c>
      <c r="EX26" s="3537"/>
      <c r="EY26" s="4032" t="str">
        <f t="shared" si="69"/>
        <v>Wind - Class 3 100 MW</v>
      </c>
      <c r="EZ26" s="2288">
        <f t="shared" si="69"/>
        <v>100</v>
      </c>
      <c r="FA26" s="2373">
        <f t="shared" si="70"/>
        <v>0</v>
      </c>
      <c r="FB26" s="2373">
        <f t="shared" si="47"/>
        <v>0</v>
      </c>
      <c r="FC26" s="2788">
        <f t="shared" si="48"/>
        <v>0</v>
      </c>
      <c r="FD26" s="3693" t="e">
        <f t="shared" si="49"/>
        <v>#DIV/0!</v>
      </c>
      <c r="FE26" s="3693">
        <f t="shared" si="50"/>
        <v>0</v>
      </c>
      <c r="FF26" s="3369">
        <f t="shared" si="51"/>
        <v>0</v>
      </c>
      <c r="FG26" s="2374" t="e">
        <f t="shared" si="52"/>
        <v>#DIV/0!</v>
      </c>
      <c r="FH26" s="3950">
        <f t="shared" si="53"/>
        <v>0</v>
      </c>
      <c r="FI26" s="3369">
        <f t="shared" si="54"/>
        <v>0</v>
      </c>
      <c r="FJ26" s="2374">
        <f t="shared" si="55"/>
        <v>0</v>
      </c>
      <c r="FK26" s="3641" t="e">
        <f t="shared" si="71"/>
        <v>#DIV/0!</v>
      </c>
      <c r="FL26" s="3641">
        <f t="shared" si="55"/>
        <v>0</v>
      </c>
      <c r="FO26" s="2288" t="str">
        <f t="shared" si="72"/>
        <v>Wind - Class 3 100 MW</v>
      </c>
      <c r="FP26" s="2288">
        <f t="shared" si="73"/>
        <v>100</v>
      </c>
      <c r="FQ26" s="2788">
        <f t="shared" si="74"/>
        <v>0</v>
      </c>
      <c r="FR26" s="3693">
        <f t="shared" si="56"/>
        <v>0</v>
      </c>
      <c r="FS26" s="3370">
        <f t="shared" si="57"/>
        <v>0</v>
      </c>
      <c r="FT26" s="3693" t="e">
        <f t="shared" si="58"/>
        <v>#DIV/0!</v>
      </c>
      <c r="FU26" s="3693">
        <f t="shared" si="59"/>
        <v>0</v>
      </c>
      <c r="FV26" s="3369">
        <f t="shared" si="60"/>
        <v>0</v>
      </c>
      <c r="FW26" s="2788" t="e">
        <f t="shared" si="61"/>
        <v>#DIV/0!</v>
      </c>
      <c r="FX26" s="3693">
        <f t="shared" si="62"/>
        <v>0</v>
      </c>
      <c r="FY26" s="3369">
        <f t="shared" si="63"/>
        <v>0</v>
      </c>
      <c r="FZ26" s="2374">
        <f t="shared" si="64"/>
        <v>0</v>
      </c>
      <c r="GA26" s="3641" t="e">
        <f t="shared" si="75"/>
        <v>#DIV/0!</v>
      </c>
      <c r="GB26" s="3641">
        <f t="shared" si="76"/>
        <v>0</v>
      </c>
    </row>
    <row r="27" spans="1:184" ht="13.5" thickBot="1">
      <c r="A27" s="1803"/>
      <c r="B27" s="1803"/>
      <c r="C27" s="1803"/>
      <c r="D27" s="1291"/>
      <c r="E27" s="1802"/>
      <c r="F27" s="3622" t="s">
        <v>1796</v>
      </c>
      <c r="G27" s="3623">
        <v>100</v>
      </c>
      <c r="H27" s="3624">
        <v>163.339380640857</v>
      </c>
      <c r="I27" s="3625">
        <v>13.958639586970007</v>
      </c>
      <c r="J27" s="3625">
        <v>20.402634801425034</v>
      </c>
      <c r="K27" s="3625">
        <v>0</v>
      </c>
      <c r="L27" s="3625">
        <v>-49.671827479434569</v>
      </c>
      <c r="M27" s="3626">
        <v>148.02882754981746</v>
      </c>
      <c r="N27" s="3624">
        <v>0</v>
      </c>
      <c r="O27" s="3625">
        <v>25.052398673330355</v>
      </c>
      <c r="P27" s="3626">
        <v>25.052398673330355</v>
      </c>
      <c r="Q27" s="4322">
        <v>173.08122622314781</v>
      </c>
      <c r="R27" s="3545">
        <v>0</v>
      </c>
      <c r="S27" s="3638">
        <v>173.08122622314781</v>
      </c>
      <c r="T27" s="2362"/>
      <c r="U27" s="1289"/>
      <c r="V27" s="3622" t="s">
        <v>1796</v>
      </c>
      <c r="W27" s="3623">
        <v>100</v>
      </c>
      <c r="X27" s="3624">
        <v>79.560476567214337</v>
      </c>
      <c r="Y27" s="3625">
        <v>6.7990708267172648</v>
      </c>
      <c r="Z27" s="3625">
        <v>9.9378566372632431</v>
      </c>
      <c r="AA27" s="3625">
        <v>0</v>
      </c>
      <c r="AB27" s="3625">
        <v>-24.194497681594321</v>
      </c>
      <c r="AC27" s="3626">
        <v>72.102906349600516</v>
      </c>
      <c r="AD27" s="3624">
        <v>0</v>
      </c>
      <c r="AE27" s="3625">
        <v>12.202695821312828</v>
      </c>
      <c r="AF27" s="3632">
        <v>12.202695821312828</v>
      </c>
      <c r="AG27" s="3628">
        <v>84.305602170913346</v>
      </c>
      <c r="AH27" s="4225">
        <v>0</v>
      </c>
      <c r="AI27" s="3638">
        <v>84.305602170913346</v>
      </c>
      <c r="AJ27" s="4029">
        <f t="shared" si="0"/>
        <v>8.430560217091335</v>
      </c>
      <c r="AK27" s="2346"/>
      <c r="AL27" s="3636">
        <v>1822.2101398676496</v>
      </c>
      <c r="AM27" s="3637">
        <v>1977.9745496920298</v>
      </c>
      <c r="AN27" s="3624">
        <v>0</v>
      </c>
      <c r="AO27" s="3610">
        <v>9.5154208669312972</v>
      </c>
      <c r="AP27" s="2282"/>
      <c r="AQ27" s="2282"/>
      <c r="AR27" s="2282"/>
      <c r="AS27" s="1291"/>
      <c r="AT27" s="3659" t="s">
        <v>1796</v>
      </c>
      <c r="AU27" s="3650">
        <v>100</v>
      </c>
      <c r="AV27" s="3660">
        <v>163.339380640857</v>
      </c>
      <c r="AW27" s="3661">
        <v>13.958639586970007</v>
      </c>
      <c r="AX27" s="3661">
        <v>20.402634801425034</v>
      </c>
      <c r="AY27" s="3661">
        <v>0</v>
      </c>
      <c r="AZ27" s="3661">
        <v>-49.671827479434569</v>
      </c>
      <c r="BA27" s="3662">
        <v>148.02882754981746</v>
      </c>
      <c r="BB27" s="3660">
        <v>0</v>
      </c>
      <c r="BC27" s="3661">
        <v>25.052398673330355</v>
      </c>
      <c r="BD27" s="3663">
        <v>25.052398673330355</v>
      </c>
      <c r="BE27" s="3696">
        <v>173.08122622314781</v>
      </c>
      <c r="BF27" s="3545">
        <v>0</v>
      </c>
      <c r="BG27" s="3638">
        <v>173.08122622314781</v>
      </c>
      <c r="BH27" s="2362"/>
      <c r="BI27" s="2340"/>
      <c r="BJ27" s="3659" t="s">
        <v>1796</v>
      </c>
      <c r="BK27" s="3668">
        <v>100</v>
      </c>
      <c r="BL27" s="3660">
        <v>79.560476567214337</v>
      </c>
      <c r="BM27" s="3661">
        <v>6.7990708267172648</v>
      </c>
      <c r="BN27" s="3661">
        <v>9.9378566372632431</v>
      </c>
      <c r="BO27" s="3661">
        <v>0</v>
      </c>
      <c r="BP27" s="3661">
        <v>-24.194497681594321</v>
      </c>
      <c r="BQ27" s="3669">
        <v>72.102906349600516</v>
      </c>
      <c r="BR27" s="3660">
        <v>0</v>
      </c>
      <c r="BS27" s="3661">
        <v>12.202695821312828</v>
      </c>
      <c r="BT27" s="3662">
        <v>12.202695821312828</v>
      </c>
      <c r="BU27" s="3664">
        <v>84.305602170913346</v>
      </c>
      <c r="BV27" s="3642">
        <v>0</v>
      </c>
      <c r="BW27" s="3638">
        <v>84.305602170913346</v>
      </c>
      <c r="BX27" s="3638">
        <f t="shared" si="65"/>
        <v>8.430560217091335</v>
      </c>
      <c r="BY27" s="1291"/>
      <c r="BZ27" s="3672">
        <v>1822.2101398676496</v>
      </c>
      <c r="CA27" s="3673">
        <v>1977.9745496920298</v>
      </c>
      <c r="CB27" s="3660">
        <v>0</v>
      </c>
      <c r="CC27" s="3557">
        <v>9.5154208669312972</v>
      </c>
      <c r="CD27" s="2362"/>
      <c r="CE27" s="2362"/>
      <c r="CF27" s="2362"/>
      <c r="CG27" s="2346"/>
      <c r="CH27" s="2416" t="str">
        <f t="shared" si="1"/>
        <v>Wind - Class 4 100 MW</v>
      </c>
      <c r="CI27" s="2417">
        <f t="shared" si="2"/>
        <v>100</v>
      </c>
      <c r="CJ27" s="2418">
        <f t="shared" si="3"/>
        <v>0</v>
      </c>
      <c r="CK27" s="3682">
        <f t="shared" si="4"/>
        <v>0</v>
      </c>
      <c r="CL27" s="3682">
        <f t="shared" si="5"/>
        <v>0</v>
      </c>
      <c r="CM27" s="3682">
        <f t="shared" si="6"/>
        <v>0</v>
      </c>
      <c r="CN27" s="3682">
        <f t="shared" si="7"/>
        <v>0</v>
      </c>
      <c r="CO27" s="3683">
        <f t="shared" si="8"/>
        <v>0</v>
      </c>
      <c r="CP27" s="3684">
        <f t="shared" si="9"/>
        <v>0</v>
      </c>
      <c r="CQ27" s="3682">
        <f t="shared" si="10"/>
        <v>0</v>
      </c>
      <c r="CR27" s="3683">
        <f t="shared" si="11"/>
        <v>0</v>
      </c>
      <c r="CS27" s="3685">
        <f t="shared" si="12"/>
        <v>0</v>
      </c>
      <c r="CT27" s="3545"/>
      <c r="CU27" s="3638"/>
      <c r="CV27" s="3638"/>
      <c r="CW27" s="2340"/>
      <c r="CX27" s="2416" t="str">
        <f t="shared" si="13"/>
        <v>Wind - Class 4 100 MW</v>
      </c>
      <c r="CY27" s="2417">
        <f t="shared" si="14"/>
        <v>100</v>
      </c>
      <c r="CZ27" s="2418">
        <f t="shared" si="15"/>
        <v>0</v>
      </c>
      <c r="DA27" s="3682">
        <f t="shared" si="16"/>
        <v>0</v>
      </c>
      <c r="DB27" s="3682">
        <f t="shared" si="17"/>
        <v>0</v>
      </c>
      <c r="DC27" s="3682">
        <f t="shared" si="18"/>
        <v>0</v>
      </c>
      <c r="DD27" s="3682">
        <f t="shared" si="19"/>
        <v>0</v>
      </c>
      <c r="DE27" s="3683">
        <f t="shared" si="20"/>
        <v>0</v>
      </c>
      <c r="DF27" s="3684">
        <f t="shared" si="21"/>
        <v>0</v>
      </c>
      <c r="DG27" s="3682">
        <f t="shared" si="22"/>
        <v>0</v>
      </c>
      <c r="DH27" s="3683">
        <f t="shared" si="23"/>
        <v>0</v>
      </c>
      <c r="DI27" s="3685">
        <f t="shared" si="78"/>
        <v>0</v>
      </c>
      <c r="DJ27" s="3545">
        <f t="shared" si="78"/>
        <v>0</v>
      </c>
      <c r="DK27" s="3638">
        <f t="shared" si="78"/>
        <v>0</v>
      </c>
      <c r="DL27" s="3638">
        <f t="shared" si="78"/>
        <v>0</v>
      </c>
      <c r="DM27" s="2341"/>
      <c r="DN27" s="3690">
        <f t="shared" si="25"/>
        <v>0</v>
      </c>
      <c r="DO27" s="3691">
        <f t="shared" si="26"/>
        <v>0</v>
      </c>
      <c r="DP27" s="3690">
        <f t="shared" si="27"/>
        <v>0</v>
      </c>
      <c r="DQ27" s="3692">
        <f t="shared" si="28"/>
        <v>0</v>
      </c>
      <c r="DT27" s="2350" t="str">
        <f t="shared" si="29"/>
        <v>Wind - Class 4 100 MW</v>
      </c>
      <c r="DU27" s="2371">
        <f t="shared" si="30"/>
        <v>100</v>
      </c>
      <c r="DV27" s="2375">
        <f t="shared" si="31"/>
        <v>0</v>
      </c>
      <c r="DW27" s="2375">
        <f t="shared" si="79"/>
        <v>0</v>
      </c>
      <c r="DX27" s="2789">
        <f t="shared" ref="DX27" si="81">IF($J27=0,"",CL27/J27)</f>
        <v>0</v>
      </c>
      <c r="DY27" s="3694" t="e">
        <f t="shared" si="79"/>
        <v>#DIV/0!</v>
      </c>
      <c r="DZ27" s="3694">
        <f t="shared" si="79"/>
        <v>0</v>
      </c>
      <c r="EA27" s="2790">
        <f t="shared" si="79"/>
        <v>0</v>
      </c>
      <c r="EB27" s="2376" t="str">
        <f>IF(N27=0,"0.00%",CP27/N27)</f>
        <v>0.00%</v>
      </c>
      <c r="EC27" s="3951">
        <f t="shared" ref="EC27:EC39" si="82">IF($P27=0,"",CQ27/O27)</f>
        <v>0</v>
      </c>
      <c r="ED27" s="2790">
        <f t="shared" ref="ED27:ED39" si="83">IF($P27=0,"",CR27/P27)</f>
        <v>0</v>
      </c>
      <c r="EE27" s="2376">
        <f t="shared" si="79"/>
        <v>0</v>
      </c>
      <c r="EF27" s="3641"/>
      <c r="EG27" s="3641"/>
      <c r="EJ27" s="2350" t="str">
        <f t="shared" si="33"/>
        <v>Wind - Class 4 100 MW</v>
      </c>
      <c r="EK27" s="2371">
        <f t="shared" si="34"/>
        <v>100</v>
      </c>
      <c r="EL27" s="2789">
        <f t="shared" si="35"/>
        <v>0</v>
      </c>
      <c r="EM27" s="3694">
        <f t="shared" si="80"/>
        <v>0</v>
      </c>
      <c r="EN27" s="2791">
        <f t="shared" ref="EN27" si="84">IF($DX27="","",DB27/Z27)</f>
        <v>0</v>
      </c>
      <c r="EO27" s="3694" t="e">
        <f t="shared" si="80"/>
        <v>#DIV/0!</v>
      </c>
      <c r="EP27" s="3694">
        <f t="shared" si="80"/>
        <v>0</v>
      </c>
      <c r="EQ27" s="2790">
        <f t="shared" si="80"/>
        <v>0</v>
      </c>
      <c r="ER27" s="2789">
        <v>0</v>
      </c>
      <c r="ES27" s="3694">
        <f t="shared" ref="ES27:ES39" si="85">IF(EC27="","",DG27/AE27)</f>
        <v>0</v>
      </c>
      <c r="ET27" s="2790">
        <f t="shared" ref="ET27:ET39" si="86">IF(ED27="","",DH27/AF27)</f>
        <v>0</v>
      </c>
      <c r="EU27" s="2376">
        <f t="shared" si="80"/>
        <v>0</v>
      </c>
      <c r="EV27" s="3641" t="e">
        <f t="shared" si="80"/>
        <v>#DIV/0!</v>
      </c>
      <c r="EW27" s="3641">
        <f t="shared" si="80"/>
        <v>0</v>
      </c>
      <c r="EX27" s="3537"/>
      <c r="EY27" s="4033" t="str">
        <f t="shared" si="69"/>
        <v>Wind - Class 4 100 MW</v>
      </c>
      <c r="EZ27" s="2350">
        <f t="shared" si="69"/>
        <v>100</v>
      </c>
      <c r="FA27" s="2375">
        <f t="shared" si="70"/>
        <v>0</v>
      </c>
      <c r="FB27" s="2375">
        <f t="shared" si="47"/>
        <v>0</v>
      </c>
      <c r="FC27" s="2789">
        <f t="shared" si="48"/>
        <v>0</v>
      </c>
      <c r="FD27" s="3694" t="e">
        <f t="shared" si="49"/>
        <v>#DIV/0!</v>
      </c>
      <c r="FE27" s="3694">
        <f t="shared" si="50"/>
        <v>0</v>
      </c>
      <c r="FF27" s="2790">
        <f t="shared" si="51"/>
        <v>0</v>
      </c>
      <c r="FG27" s="2376" t="e">
        <f t="shared" si="52"/>
        <v>#DIV/0!</v>
      </c>
      <c r="FH27" s="3951">
        <f t="shared" si="53"/>
        <v>0</v>
      </c>
      <c r="FI27" s="2790">
        <f t="shared" si="54"/>
        <v>0</v>
      </c>
      <c r="FJ27" s="2376">
        <f t="shared" si="55"/>
        <v>0</v>
      </c>
      <c r="FK27" s="3641" t="e">
        <f t="shared" si="71"/>
        <v>#DIV/0!</v>
      </c>
      <c r="FL27" s="3641">
        <f t="shared" si="55"/>
        <v>0</v>
      </c>
      <c r="FO27" s="2288" t="str">
        <f t="shared" si="72"/>
        <v>Wind - Class 4 100 MW</v>
      </c>
      <c r="FP27" s="2288">
        <f t="shared" si="73"/>
        <v>100</v>
      </c>
      <c r="FQ27" s="2789">
        <f t="shared" si="74"/>
        <v>0</v>
      </c>
      <c r="FR27" s="3694">
        <f t="shared" si="56"/>
        <v>0</v>
      </c>
      <c r="FS27" s="2791">
        <f t="shared" si="57"/>
        <v>0</v>
      </c>
      <c r="FT27" s="3694" t="e">
        <f t="shared" si="58"/>
        <v>#DIV/0!</v>
      </c>
      <c r="FU27" s="3694">
        <f t="shared" si="59"/>
        <v>0</v>
      </c>
      <c r="FV27" s="2790">
        <f t="shared" si="60"/>
        <v>0</v>
      </c>
      <c r="FW27" s="2789" t="e">
        <f t="shared" si="61"/>
        <v>#DIV/0!</v>
      </c>
      <c r="FX27" s="3694">
        <f t="shared" si="62"/>
        <v>0</v>
      </c>
      <c r="FY27" s="2790">
        <f t="shared" si="63"/>
        <v>0</v>
      </c>
      <c r="FZ27" s="2376">
        <f t="shared" si="64"/>
        <v>0</v>
      </c>
      <c r="GA27" s="3641" t="e">
        <f t="shared" si="75"/>
        <v>#DIV/0!</v>
      </c>
      <c r="GB27" s="3641">
        <f t="shared" si="76"/>
        <v>0</v>
      </c>
    </row>
    <row r="28" spans="1:184" s="2332" customFormat="1">
      <c r="A28" s="2390"/>
      <c r="B28" s="2390"/>
      <c r="C28" s="2390"/>
      <c r="D28" s="2349"/>
      <c r="E28" s="1872"/>
      <c r="F28" s="2349"/>
      <c r="G28" s="2271"/>
      <c r="H28" s="3366"/>
      <c r="I28" s="3366"/>
      <c r="J28" s="3366"/>
      <c r="K28" s="3366"/>
      <c r="L28" s="3366"/>
      <c r="M28" s="2362"/>
      <c r="N28" s="3366"/>
      <c r="O28" s="3366"/>
      <c r="P28" s="2362"/>
      <c r="Q28" s="2366"/>
      <c r="R28" s="2366"/>
      <c r="S28" s="2362"/>
      <c r="T28" s="2362"/>
      <c r="U28" s="2390"/>
      <c r="V28" s="2349"/>
      <c r="W28" s="2271"/>
      <c r="X28" s="3366"/>
      <c r="Y28" s="3366"/>
      <c r="Z28" s="3366"/>
      <c r="AA28" s="3366"/>
      <c r="AB28" s="3366"/>
      <c r="AC28" s="3363"/>
      <c r="AD28" s="3612"/>
      <c r="AE28" s="3612"/>
      <c r="AF28" s="3363"/>
      <c r="AG28" s="3697"/>
      <c r="AH28" s="3613"/>
      <c r="AI28" s="3363"/>
      <c r="AJ28" s="3363"/>
      <c r="AK28" s="2349"/>
      <c r="AL28" s="3362"/>
      <c r="AM28" s="3362"/>
      <c r="AN28" s="2366"/>
      <c r="AO28" s="2366"/>
      <c r="AP28" s="2362"/>
      <c r="AQ28" s="2362"/>
      <c r="AR28" s="2362"/>
      <c r="AS28" s="2349"/>
      <c r="AT28" s="2349"/>
      <c r="AU28" s="2271"/>
      <c r="AV28" s="3366"/>
      <c r="AW28" s="3366"/>
      <c r="AX28" s="3366"/>
      <c r="AY28" s="3366"/>
      <c r="AZ28" s="3366"/>
      <c r="BA28" s="2362"/>
      <c r="BB28" s="3366"/>
      <c r="BC28" s="3366"/>
      <c r="BD28" s="3363"/>
      <c r="BE28" s="251"/>
      <c r="BF28" s="2366"/>
      <c r="BG28" s="2362"/>
      <c r="BH28" s="2362"/>
      <c r="BI28" s="2390"/>
      <c r="BJ28" s="2349"/>
      <c r="BK28" s="2271"/>
      <c r="BL28" s="3366"/>
      <c r="BM28" s="3366"/>
      <c r="BN28" s="3366"/>
      <c r="BO28" s="3366"/>
      <c r="BP28" s="3366"/>
      <c r="BQ28" s="3363"/>
      <c r="BR28" s="3366"/>
      <c r="BS28" s="3366"/>
      <c r="BT28" s="2362"/>
      <c r="BU28" s="810"/>
      <c r="BV28" s="2366"/>
      <c r="BW28" s="2362"/>
      <c r="BX28" s="2362"/>
      <c r="BY28" s="2349"/>
      <c r="BZ28" s="3365"/>
      <c r="CA28" s="3365"/>
      <c r="CB28" s="2366"/>
      <c r="CC28" s="2366"/>
      <c r="CD28" s="2362"/>
      <c r="CE28" s="2362"/>
      <c r="CF28" s="2362"/>
      <c r="CG28" s="2349"/>
      <c r="CH28" s="2349"/>
      <c r="CI28" s="2271"/>
      <c r="CJ28" s="3364"/>
      <c r="CK28" s="3366"/>
      <c r="CL28" s="3366"/>
      <c r="CM28" s="3366"/>
      <c r="CN28" s="3366"/>
      <c r="CO28" s="2362"/>
      <c r="CP28" s="3366"/>
      <c r="CQ28" s="3366"/>
      <c r="CR28" s="2362"/>
      <c r="CS28" s="2362"/>
      <c r="CT28" s="2366"/>
      <c r="CU28" s="2362"/>
      <c r="CV28" s="2362"/>
      <c r="CW28" s="2390"/>
      <c r="CX28" s="2349"/>
      <c r="CY28" s="2271"/>
      <c r="CZ28" s="3364"/>
      <c r="DA28" s="3366"/>
      <c r="DB28" s="3366"/>
      <c r="DC28" s="3366"/>
      <c r="DD28" s="3366"/>
      <c r="DE28" s="2362"/>
      <c r="DF28" s="3366"/>
      <c r="DG28" s="3366"/>
      <c r="DH28" s="2362"/>
      <c r="DI28" s="2362"/>
      <c r="DJ28" s="2366"/>
      <c r="DK28" s="2362"/>
      <c r="DL28" s="2362"/>
      <c r="DM28" s="2349"/>
      <c r="DN28" s="3365"/>
      <c r="DO28" s="3365"/>
      <c r="DP28" s="3365"/>
      <c r="DQ28" s="3365"/>
      <c r="DT28" s="2349"/>
      <c r="DU28" s="2271"/>
      <c r="DV28" s="2622"/>
      <c r="DW28" s="2622"/>
      <c r="DX28" s="2622"/>
      <c r="DY28" s="2622"/>
      <c r="DZ28" s="2622"/>
      <c r="EA28" s="2622"/>
      <c r="EB28" s="2622"/>
      <c r="EC28" s="2622"/>
      <c r="ED28" s="2622"/>
      <c r="EE28" s="2622"/>
      <c r="EF28" s="2622"/>
      <c r="EG28" s="2622"/>
      <c r="EJ28" s="2349"/>
      <c r="EK28" s="2271"/>
      <c r="EL28" s="2622"/>
      <c r="EM28" s="2622"/>
      <c r="EN28" s="2622"/>
      <c r="EO28" s="2622"/>
      <c r="EP28" s="2622"/>
      <c r="EQ28" s="2622"/>
      <c r="ER28" s="2622"/>
      <c r="ES28" s="2622"/>
      <c r="ET28" s="2622"/>
      <c r="EU28" s="2622"/>
      <c r="EV28" s="2622"/>
      <c r="EW28" s="2622"/>
      <c r="EY28" s="2349"/>
      <c r="EZ28" s="2271"/>
      <c r="FA28" s="2622"/>
      <c r="FB28" s="2622"/>
      <c r="FC28" s="2622"/>
      <c r="FD28" s="2622"/>
      <c r="FE28" s="2622"/>
      <c r="FF28" s="2622"/>
      <c r="FG28" s="2622"/>
      <c r="FH28" s="2622"/>
      <c r="FI28" s="2622"/>
      <c r="FJ28" s="2622"/>
      <c r="FK28" s="2622"/>
      <c r="FL28" s="2622"/>
      <c r="FO28" s="2349"/>
      <c r="FP28" s="2271"/>
      <c r="FQ28" s="2622"/>
      <c r="FR28" s="2622"/>
      <c r="FS28" s="2622"/>
      <c r="FT28" s="2622"/>
      <c r="FU28" s="2622"/>
      <c r="FV28" s="2622"/>
      <c r="FW28" s="2622"/>
      <c r="FX28" s="2622"/>
      <c r="FY28" s="2622"/>
      <c r="FZ28" s="2622"/>
      <c r="GA28" s="2622"/>
      <c r="GB28" s="2622"/>
    </row>
    <row r="29" spans="1:184" s="2332" customFormat="1">
      <c r="A29" s="2390"/>
      <c r="B29" s="2390"/>
      <c r="C29" s="2390"/>
      <c r="D29" s="2349"/>
      <c r="E29" s="1872"/>
      <c r="F29" s="2349"/>
      <c r="G29" s="2271"/>
      <c r="H29" s="2366"/>
      <c r="I29" s="2366"/>
      <c r="J29" s="2366"/>
      <c r="K29" s="2366"/>
      <c r="L29" s="2366"/>
      <c r="M29" s="2362"/>
      <c r="N29" s="2366"/>
      <c r="O29" s="2366"/>
      <c r="P29" s="2362"/>
      <c r="Q29" s="2366"/>
      <c r="R29" s="2366"/>
      <c r="S29" s="2362"/>
      <c r="T29" s="2362"/>
      <c r="U29" s="2390"/>
      <c r="V29" s="2349"/>
      <c r="W29" s="2271"/>
      <c r="X29" s="2366"/>
      <c r="Y29" s="2366"/>
      <c r="Z29" s="2366"/>
      <c r="AA29" s="2366"/>
      <c r="AB29" s="2366"/>
      <c r="AC29" s="2362"/>
      <c r="AD29" s="2366"/>
      <c r="AE29" s="2366"/>
      <c r="AF29" s="2362"/>
      <c r="AG29" s="251"/>
      <c r="AH29" s="2366"/>
      <c r="AI29" s="2362"/>
      <c r="AJ29" s="2362" t="str">
        <f>IF(W29=0,"",AI29/10)</f>
        <v/>
      </c>
      <c r="AK29" s="2349"/>
      <c r="AL29" s="3362"/>
      <c r="AM29" s="3362"/>
      <c r="AN29" s="2366"/>
      <c r="AO29" s="2366"/>
      <c r="AP29" s="2362"/>
      <c r="AQ29" s="2362"/>
      <c r="AR29" s="2362"/>
      <c r="AS29" s="2349"/>
      <c r="AT29" s="2349"/>
      <c r="AU29" s="2271"/>
      <c r="AV29" s="2366"/>
      <c r="AW29" s="2366"/>
      <c r="AX29" s="2366"/>
      <c r="AY29" s="2366"/>
      <c r="AZ29" s="2366"/>
      <c r="BA29" s="2362"/>
      <c r="BB29" s="2366"/>
      <c r="BC29" s="2366"/>
      <c r="BD29" s="3363"/>
      <c r="BE29" s="251"/>
      <c r="BF29" s="2366"/>
      <c r="BG29" s="2362"/>
      <c r="BH29" s="2362"/>
      <c r="BI29" s="2390"/>
      <c r="BJ29" s="2349"/>
      <c r="BK29" s="2271"/>
      <c r="BL29" s="2366"/>
      <c r="BM29" s="2366"/>
      <c r="BN29" s="2366"/>
      <c r="BO29" s="2366"/>
      <c r="BP29" s="2366"/>
      <c r="BQ29" s="3363"/>
      <c r="BR29" s="2366"/>
      <c r="BS29" s="2366"/>
      <c r="BT29" s="2362"/>
      <c r="BU29" s="810"/>
      <c r="BV29" s="2366"/>
      <c r="BW29" s="2362"/>
      <c r="BX29" s="2362" t="str">
        <f t="shared" si="65"/>
        <v/>
      </c>
      <c r="BY29" s="2349"/>
      <c r="BZ29" s="2366"/>
      <c r="CA29" s="2366"/>
      <c r="CB29" s="2366"/>
      <c r="CC29" s="2366"/>
      <c r="CD29" s="2362"/>
      <c r="CE29" s="2362"/>
      <c r="CF29" s="2362"/>
      <c r="CG29" s="2349"/>
      <c r="CH29" s="2349" t="str">
        <f t="shared" si="1"/>
        <v/>
      </c>
      <c r="CI29" s="2271" t="str">
        <f t="shared" si="2"/>
        <v/>
      </c>
      <c r="CJ29" s="3364" t="str">
        <f t="shared" si="3"/>
        <v/>
      </c>
      <c r="CK29" s="2366" t="str">
        <f t="shared" si="4"/>
        <v/>
      </c>
      <c r="CL29" s="2366" t="str">
        <f t="shared" si="5"/>
        <v/>
      </c>
      <c r="CM29" s="2366" t="str">
        <f t="shared" si="6"/>
        <v/>
      </c>
      <c r="CN29" s="2366" t="str">
        <f t="shared" si="7"/>
        <v/>
      </c>
      <c r="CO29" s="2362" t="str">
        <f t="shared" si="8"/>
        <v/>
      </c>
      <c r="CP29" s="2366" t="str">
        <f t="shared" si="9"/>
        <v/>
      </c>
      <c r="CQ29" s="2366" t="str">
        <f t="shared" si="10"/>
        <v/>
      </c>
      <c r="CR29" s="2362" t="str">
        <f t="shared" si="11"/>
        <v/>
      </c>
      <c r="CS29" s="2362" t="str">
        <f t="shared" si="12"/>
        <v/>
      </c>
      <c r="CT29" s="2366" t="str">
        <f t="shared" ref="CT29:CU30" si="87">IF($G29=0,"",BF29-R29)</f>
        <v/>
      </c>
      <c r="CU29" s="2362" t="str">
        <f t="shared" si="87"/>
        <v/>
      </c>
      <c r="CV29" s="2362"/>
      <c r="CW29" s="2390"/>
      <c r="CX29" s="2349" t="str">
        <f t="shared" si="13"/>
        <v/>
      </c>
      <c r="CY29" s="2271" t="str">
        <f t="shared" si="14"/>
        <v/>
      </c>
      <c r="CZ29" s="3364" t="str">
        <f t="shared" si="15"/>
        <v/>
      </c>
      <c r="DA29" s="2366" t="str">
        <f t="shared" si="16"/>
        <v/>
      </c>
      <c r="DB29" s="2366" t="str">
        <f t="shared" si="17"/>
        <v/>
      </c>
      <c r="DC29" s="2366" t="str">
        <f t="shared" si="18"/>
        <v/>
      </c>
      <c r="DD29" s="2366" t="str">
        <f t="shared" si="19"/>
        <v/>
      </c>
      <c r="DE29" s="2362" t="str">
        <f t="shared" si="20"/>
        <v/>
      </c>
      <c r="DF29" s="2366" t="str">
        <f t="shared" si="21"/>
        <v/>
      </c>
      <c r="DG29" s="2366" t="str">
        <f t="shared" si="22"/>
        <v/>
      </c>
      <c r="DH29" s="2362" t="str">
        <f t="shared" si="23"/>
        <v/>
      </c>
      <c r="DI29" s="2362" t="str">
        <f t="shared" si="78"/>
        <v/>
      </c>
      <c r="DJ29" s="2366" t="str">
        <f t="shared" si="78"/>
        <v/>
      </c>
      <c r="DK29" s="2362" t="str">
        <f t="shared" si="78"/>
        <v/>
      </c>
      <c r="DL29" s="2362" t="str">
        <f t="shared" si="78"/>
        <v/>
      </c>
      <c r="DM29" s="2349"/>
      <c r="DN29" s="3365" t="str">
        <f t="shared" si="25"/>
        <v/>
      </c>
      <c r="DO29" s="3365" t="str">
        <f t="shared" si="26"/>
        <v/>
      </c>
      <c r="DP29" s="3365" t="str">
        <f t="shared" si="27"/>
        <v/>
      </c>
      <c r="DQ29" s="3365" t="str">
        <f t="shared" si="28"/>
        <v/>
      </c>
      <c r="DT29" s="2349" t="str">
        <f t="shared" si="29"/>
        <v/>
      </c>
      <c r="DU29" s="2271" t="str">
        <f t="shared" si="30"/>
        <v/>
      </c>
      <c r="DV29" s="2622" t="str">
        <f t="shared" si="31"/>
        <v/>
      </c>
      <c r="DW29" s="2622" t="str">
        <f t="shared" si="79"/>
        <v/>
      </c>
      <c r="DX29" s="2622"/>
      <c r="DY29" s="2622" t="str">
        <f t="shared" si="79"/>
        <v/>
      </c>
      <c r="DZ29" s="2622" t="str">
        <f t="shared" si="79"/>
        <v/>
      </c>
      <c r="EA29" s="2622" t="str">
        <f t="shared" si="79"/>
        <v/>
      </c>
      <c r="EB29" s="2622" t="str">
        <f t="shared" ref="EB29:EB39" si="88">IF($N29=0,"",CP29/N29)</f>
        <v/>
      </c>
      <c r="EC29" s="2622" t="str">
        <f t="shared" si="82"/>
        <v/>
      </c>
      <c r="ED29" s="2622" t="str">
        <f t="shared" si="83"/>
        <v/>
      </c>
      <c r="EE29" s="2622" t="str">
        <f t="shared" si="79"/>
        <v/>
      </c>
      <c r="EF29" s="2622" t="str">
        <f t="shared" si="79"/>
        <v/>
      </c>
      <c r="EG29" s="2622" t="str">
        <f t="shared" si="79"/>
        <v/>
      </c>
      <c r="EJ29" s="2349" t="str">
        <f t="shared" si="33"/>
        <v/>
      </c>
      <c r="EK29" s="2271" t="str">
        <f t="shared" si="34"/>
        <v/>
      </c>
      <c r="EL29" s="2622" t="str">
        <f t="shared" si="35"/>
        <v/>
      </c>
      <c r="EM29" s="2622"/>
      <c r="EN29" s="2622"/>
      <c r="EO29" s="2622" t="str">
        <f t="shared" si="80"/>
        <v/>
      </c>
      <c r="EP29" s="2622" t="str">
        <f t="shared" si="80"/>
        <v/>
      </c>
      <c r="EQ29" s="2622" t="str">
        <f t="shared" si="80"/>
        <v/>
      </c>
      <c r="ER29" s="2622" t="str">
        <f t="shared" ref="ER29:ER39" si="89">IF(EB29="","",DF29/AD29)</f>
        <v/>
      </c>
      <c r="ES29" s="2622" t="str">
        <f t="shared" si="85"/>
        <v/>
      </c>
      <c r="ET29" s="2622" t="str">
        <f t="shared" si="86"/>
        <v/>
      </c>
      <c r="EU29" s="2622" t="str">
        <f t="shared" si="80"/>
        <v/>
      </c>
      <c r="EV29" s="2622" t="str">
        <f t="shared" si="80"/>
        <v/>
      </c>
      <c r="EW29" s="2622" t="str">
        <f t="shared" si="80"/>
        <v/>
      </c>
      <c r="EY29" s="2349" t="str">
        <f t="shared" ref="EY29:EY39" si="90">IF(DM29=0, "",DM29)</f>
        <v/>
      </c>
      <c r="EZ29" s="2271" t="str">
        <f t="shared" ref="EZ29:EZ39" si="91">IF(DN29=0, "",DN29)</f>
        <v/>
      </c>
      <c r="FA29" s="2622" t="str">
        <f t="shared" ref="FA29:FA39" si="92">IF($H29=0,"",DO29/AM29)</f>
        <v/>
      </c>
      <c r="FB29" s="2622" t="str">
        <f t="shared" ref="FB29:FB39" si="93">IF($H29=0,"",DP29/AN29)</f>
        <v/>
      </c>
      <c r="FC29" s="2622"/>
      <c r="FD29" s="2622" t="str">
        <f t="shared" ref="FD29:FD39" si="94">IF($H29=0,"",DR29/AP29)</f>
        <v/>
      </c>
      <c r="FE29" s="2622" t="str">
        <f t="shared" ref="FE29:FE39" si="95">IF($H29=0,"",DS29/AQ29)</f>
        <v/>
      </c>
      <c r="FF29" s="2622" t="str">
        <f t="shared" ref="FF29:FF39" si="96">IF($H29=0,"",DT29/AR29)</f>
        <v/>
      </c>
      <c r="FG29" s="2622" t="str">
        <f t="shared" ref="FG29:FG39" si="97">IF($N29=0,"",DU29/AS29)</f>
        <v/>
      </c>
      <c r="FH29" s="2622" t="str">
        <f t="shared" ref="FH29:FH39" si="98">IF($P29=0,"",DV29/AT29)</f>
        <v/>
      </c>
      <c r="FI29" s="2622" t="str">
        <f t="shared" ref="FI29:FI39" si="99">IF($P29=0,"",DW29/AU29)</f>
        <v/>
      </c>
      <c r="FJ29" s="2622" t="str">
        <f t="shared" ref="FJ29:FJ30" si="100">IF($H29=0,"",DX29/AV29)</f>
        <v/>
      </c>
      <c r="FK29" s="2622" t="str">
        <f t="shared" ref="FK29:FK30" si="101">IF($H29=0,"",DY29/AW29)</f>
        <v/>
      </c>
      <c r="FL29" s="2622" t="str">
        <f t="shared" ref="FL29:FL30" si="102">IF($H29=0,"",DZ29/AX29)</f>
        <v/>
      </c>
      <c r="FO29" s="2349" t="str">
        <f t="shared" ref="FO29:FO39" si="103">IF(EC29=0, "",EC29)</f>
        <v/>
      </c>
      <c r="FP29" s="2271" t="str">
        <f t="shared" ref="FP29:FP39" si="104">IF(ED29=0, "",ED29)</f>
        <v/>
      </c>
      <c r="FQ29" s="2622" t="str">
        <f t="shared" ref="FQ29:FQ39" si="105">IF($H29=0,"",EE29/BC29)</f>
        <v/>
      </c>
      <c r="FR29" s="2622"/>
      <c r="FS29" s="2622"/>
      <c r="FT29" s="2622" t="str">
        <f t="shared" ref="FT29:FT39" si="106">IF($H29=0,"",EH29/BF29)</f>
        <v/>
      </c>
      <c r="FU29" s="2622" t="str">
        <f t="shared" ref="FU29:FU39" si="107">IF($H29=0,"",EI29/BG29)</f>
        <v/>
      </c>
      <c r="FV29" s="2622" t="str">
        <f t="shared" ref="FV29:FV39" si="108">IF($H29=0,"",EJ29/BH29)</f>
        <v/>
      </c>
      <c r="FW29" s="2622" t="str">
        <f t="shared" ref="FW29:FW39" si="109">IF(FG29="","",EK29/BI29)</f>
        <v/>
      </c>
      <c r="FX29" s="2622" t="str">
        <f t="shared" ref="FX29:FX39" si="110">IF(FH29="","",EL29/BJ29)</f>
        <v/>
      </c>
      <c r="FY29" s="2622" t="str">
        <f t="shared" ref="FY29:FY39" si="111">IF(FI29="","",EM29/BK29)</f>
        <v/>
      </c>
      <c r="FZ29" s="2622" t="str">
        <f t="shared" ref="FZ29:FZ30" si="112">IF($H29=0,"",EN29/BL29)</f>
        <v/>
      </c>
      <c r="GA29" s="2622" t="str">
        <f t="shared" ref="GA29:GA39" si="113">IF($H29=0,"",EO29/BM29)</f>
        <v/>
      </c>
      <c r="GB29" s="2622" t="str">
        <f t="shared" ref="GB29:GB39" si="114">IF($H29=0,"",EP29/BN29)</f>
        <v/>
      </c>
    </row>
    <row r="30" spans="1:184" s="2332" customFormat="1">
      <c r="A30" s="2390"/>
      <c r="B30" s="2390"/>
      <c r="C30" s="2390"/>
      <c r="D30" s="2349"/>
      <c r="E30" s="1872"/>
      <c r="F30" s="2349"/>
      <c r="G30" s="2271"/>
      <c r="H30" s="2366"/>
      <c r="I30" s="2366"/>
      <c r="J30" s="2366"/>
      <c r="K30" s="2366"/>
      <c r="L30" s="2366"/>
      <c r="M30" s="2362"/>
      <c r="N30" s="2366"/>
      <c r="O30" s="2366"/>
      <c r="P30" s="2362"/>
      <c r="Q30" s="2366"/>
      <c r="R30" s="2366"/>
      <c r="S30" s="2362"/>
      <c r="T30" s="2362"/>
      <c r="U30" s="2390"/>
      <c r="V30" s="2349"/>
      <c r="W30" s="2271"/>
      <c r="X30" s="2366"/>
      <c r="Y30" s="2366"/>
      <c r="Z30" s="2366"/>
      <c r="AA30" s="2366"/>
      <c r="AB30" s="2366"/>
      <c r="AC30" s="2362"/>
      <c r="AD30" s="2366"/>
      <c r="AE30" s="2366"/>
      <c r="AF30" s="2362"/>
      <c r="AG30" s="251"/>
      <c r="AH30" s="2366"/>
      <c r="AI30" s="2362"/>
      <c r="AJ30" s="2362" t="str">
        <f>IF(W30=0,"",AI30/10)</f>
        <v/>
      </c>
      <c r="AK30" s="2349"/>
      <c r="AL30" s="3362"/>
      <c r="AM30" s="3362"/>
      <c r="AN30" s="2366"/>
      <c r="AO30" s="2366"/>
      <c r="AP30" s="2362"/>
      <c r="AQ30" s="2362"/>
      <c r="AR30" s="2362"/>
      <c r="AS30" s="2349"/>
      <c r="AT30" s="2349"/>
      <c r="AU30" s="2271"/>
      <c r="AV30" s="2366"/>
      <c r="AW30" s="2366"/>
      <c r="AX30" s="2366"/>
      <c r="AY30" s="2366"/>
      <c r="AZ30" s="2366"/>
      <c r="BA30" s="2362"/>
      <c r="BB30" s="2366"/>
      <c r="BC30" s="2366"/>
      <c r="BD30" s="3363"/>
      <c r="BE30" s="251"/>
      <c r="BF30" s="2366"/>
      <c r="BG30" s="2362"/>
      <c r="BH30" s="2362"/>
      <c r="BI30" s="2390"/>
      <c r="BJ30" s="2349"/>
      <c r="BK30" s="2271"/>
      <c r="BL30" s="2366"/>
      <c r="BM30" s="2366"/>
      <c r="BN30" s="2366"/>
      <c r="BO30" s="2366"/>
      <c r="BP30" s="2366"/>
      <c r="BQ30" s="3363"/>
      <c r="BR30" s="2366"/>
      <c r="BS30" s="2366"/>
      <c r="BT30" s="2362"/>
      <c r="BU30" s="810"/>
      <c r="BV30" s="2366"/>
      <c r="BW30" s="2362"/>
      <c r="BX30" s="2362" t="str">
        <f t="shared" si="65"/>
        <v/>
      </c>
      <c r="BY30" s="2349"/>
      <c r="BZ30" s="2366"/>
      <c r="CA30" s="2366"/>
      <c r="CB30" s="2366"/>
      <c r="CC30" s="2366"/>
      <c r="CD30" s="2362"/>
      <c r="CE30" s="2362"/>
      <c r="CF30" s="2362"/>
      <c r="CG30" s="2349"/>
      <c r="CH30" s="2349" t="str">
        <f t="shared" si="1"/>
        <v/>
      </c>
      <c r="CI30" s="2271" t="str">
        <f t="shared" si="2"/>
        <v/>
      </c>
      <c r="CJ30" s="3364" t="str">
        <f t="shared" si="3"/>
        <v/>
      </c>
      <c r="CK30" s="2366" t="str">
        <f t="shared" si="4"/>
        <v/>
      </c>
      <c r="CL30" s="2366" t="str">
        <f t="shared" si="5"/>
        <v/>
      </c>
      <c r="CM30" s="2366" t="str">
        <f t="shared" si="6"/>
        <v/>
      </c>
      <c r="CN30" s="2366" t="str">
        <f t="shared" si="7"/>
        <v/>
      </c>
      <c r="CO30" s="2362" t="str">
        <f t="shared" si="8"/>
        <v/>
      </c>
      <c r="CP30" s="2366" t="str">
        <f t="shared" si="9"/>
        <v/>
      </c>
      <c r="CQ30" s="2366" t="str">
        <f t="shared" si="10"/>
        <v/>
      </c>
      <c r="CR30" s="2362" t="str">
        <f t="shared" si="11"/>
        <v/>
      </c>
      <c r="CS30" s="2362" t="str">
        <f t="shared" si="12"/>
        <v/>
      </c>
      <c r="CT30" s="2366" t="str">
        <f t="shared" si="87"/>
        <v/>
      </c>
      <c r="CU30" s="2362" t="str">
        <f t="shared" si="87"/>
        <v/>
      </c>
      <c r="CV30" s="2362"/>
      <c r="CW30" s="2390"/>
      <c r="CX30" s="2349" t="str">
        <f t="shared" si="13"/>
        <v/>
      </c>
      <c r="CY30" s="2271" t="str">
        <f t="shared" si="14"/>
        <v/>
      </c>
      <c r="CZ30" s="3364" t="str">
        <f t="shared" si="15"/>
        <v/>
      </c>
      <c r="DA30" s="2366" t="str">
        <f t="shared" si="16"/>
        <v/>
      </c>
      <c r="DB30" s="2366" t="str">
        <f t="shared" si="17"/>
        <v/>
      </c>
      <c r="DC30" s="2366" t="str">
        <f t="shared" si="18"/>
        <v/>
      </c>
      <c r="DD30" s="2366" t="str">
        <f t="shared" si="19"/>
        <v/>
      </c>
      <c r="DE30" s="2362" t="str">
        <f t="shared" si="20"/>
        <v/>
      </c>
      <c r="DF30" s="2366" t="str">
        <f t="shared" si="21"/>
        <v/>
      </c>
      <c r="DG30" s="2366" t="str">
        <f t="shared" si="22"/>
        <v/>
      </c>
      <c r="DH30" s="2362" t="str">
        <f t="shared" si="23"/>
        <v/>
      </c>
      <c r="DI30" s="2362" t="str">
        <f t="shared" si="78"/>
        <v/>
      </c>
      <c r="DJ30" s="2366" t="str">
        <f t="shared" si="78"/>
        <v/>
      </c>
      <c r="DK30" s="2362" t="str">
        <f t="shared" si="78"/>
        <v/>
      </c>
      <c r="DL30" s="2362" t="str">
        <f t="shared" si="78"/>
        <v/>
      </c>
      <c r="DM30" s="2349"/>
      <c r="DN30" s="3365" t="str">
        <f t="shared" si="25"/>
        <v/>
      </c>
      <c r="DO30" s="3365" t="str">
        <f t="shared" si="26"/>
        <v/>
      </c>
      <c r="DP30" s="3365" t="str">
        <f t="shared" si="27"/>
        <v/>
      </c>
      <c r="DQ30" s="3365" t="str">
        <f t="shared" si="28"/>
        <v/>
      </c>
      <c r="DT30" s="2349" t="str">
        <f t="shared" si="29"/>
        <v/>
      </c>
      <c r="DU30" s="2271" t="str">
        <f t="shared" si="30"/>
        <v/>
      </c>
      <c r="DV30" s="2622" t="str">
        <f t="shared" si="31"/>
        <v/>
      </c>
      <c r="DW30" s="2622" t="str">
        <f t="shared" si="79"/>
        <v/>
      </c>
      <c r="DX30" s="2622"/>
      <c r="DY30" s="2622" t="str">
        <f t="shared" si="79"/>
        <v/>
      </c>
      <c r="DZ30" s="2622" t="str">
        <f t="shared" si="79"/>
        <v/>
      </c>
      <c r="EA30" s="2622" t="str">
        <f t="shared" si="79"/>
        <v/>
      </c>
      <c r="EB30" s="2622" t="str">
        <f t="shared" si="88"/>
        <v/>
      </c>
      <c r="EC30" s="2622" t="str">
        <f t="shared" si="82"/>
        <v/>
      </c>
      <c r="ED30" s="2622" t="str">
        <f t="shared" si="83"/>
        <v/>
      </c>
      <c r="EE30" s="2622" t="str">
        <f t="shared" si="79"/>
        <v/>
      </c>
      <c r="EF30" s="2622" t="str">
        <f t="shared" si="79"/>
        <v/>
      </c>
      <c r="EG30" s="2622" t="str">
        <f t="shared" si="79"/>
        <v/>
      </c>
      <c r="EJ30" s="2349" t="str">
        <f t="shared" si="33"/>
        <v/>
      </c>
      <c r="EK30" s="2271" t="str">
        <f t="shared" si="34"/>
        <v/>
      </c>
      <c r="EL30" s="2622" t="str">
        <f t="shared" si="35"/>
        <v/>
      </c>
      <c r="EM30" s="2622"/>
      <c r="EN30" s="2622"/>
      <c r="EO30" s="2622" t="str">
        <f t="shared" si="80"/>
        <v/>
      </c>
      <c r="EP30" s="2622" t="str">
        <f t="shared" si="80"/>
        <v/>
      </c>
      <c r="EQ30" s="2622" t="str">
        <f t="shared" si="80"/>
        <v/>
      </c>
      <c r="ER30" s="2622" t="str">
        <f t="shared" si="89"/>
        <v/>
      </c>
      <c r="ES30" s="2622" t="str">
        <f t="shared" si="85"/>
        <v/>
      </c>
      <c r="ET30" s="2622" t="str">
        <f t="shared" si="86"/>
        <v/>
      </c>
      <c r="EU30" s="2622" t="str">
        <f t="shared" si="80"/>
        <v/>
      </c>
      <c r="EV30" s="2622" t="str">
        <f t="shared" si="80"/>
        <v/>
      </c>
      <c r="EW30" s="2622" t="str">
        <f t="shared" si="80"/>
        <v/>
      </c>
      <c r="EY30" s="2349" t="str">
        <f t="shared" si="90"/>
        <v/>
      </c>
      <c r="EZ30" s="2271" t="str">
        <f t="shared" si="91"/>
        <v/>
      </c>
      <c r="FA30" s="2622" t="str">
        <f t="shared" si="92"/>
        <v/>
      </c>
      <c r="FB30" s="2622" t="str">
        <f t="shared" si="93"/>
        <v/>
      </c>
      <c r="FC30" s="2622"/>
      <c r="FD30" s="2622" t="str">
        <f t="shared" si="94"/>
        <v/>
      </c>
      <c r="FE30" s="2622" t="str">
        <f t="shared" si="95"/>
        <v/>
      </c>
      <c r="FF30" s="2622" t="str">
        <f t="shared" si="96"/>
        <v/>
      </c>
      <c r="FG30" s="2622" t="str">
        <f t="shared" si="97"/>
        <v/>
      </c>
      <c r="FH30" s="2622" t="str">
        <f t="shared" si="98"/>
        <v/>
      </c>
      <c r="FI30" s="2622" t="str">
        <f t="shared" si="99"/>
        <v/>
      </c>
      <c r="FJ30" s="2622" t="str">
        <f t="shared" si="100"/>
        <v/>
      </c>
      <c r="FK30" s="2622" t="str">
        <f t="shared" si="101"/>
        <v/>
      </c>
      <c r="FL30" s="2622" t="str">
        <f t="shared" si="102"/>
        <v/>
      </c>
      <c r="FO30" s="2349" t="str">
        <f t="shared" si="103"/>
        <v/>
      </c>
      <c r="FP30" s="2271" t="str">
        <f t="shared" si="104"/>
        <v/>
      </c>
      <c r="FQ30" s="2622" t="str">
        <f t="shared" si="105"/>
        <v/>
      </c>
      <c r="FR30" s="2622"/>
      <c r="FS30" s="2622"/>
      <c r="FT30" s="2622" t="str">
        <f t="shared" si="106"/>
        <v/>
      </c>
      <c r="FU30" s="2622" t="str">
        <f t="shared" si="107"/>
        <v/>
      </c>
      <c r="FV30" s="2622" t="str">
        <f t="shared" si="108"/>
        <v/>
      </c>
      <c r="FW30" s="2622" t="str">
        <f t="shared" si="109"/>
        <v/>
      </c>
      <c r="FX30" s="2622" t="str">
        <f t="shared" si="110"/>
        <v/>
      </c>
      <c r="FY30" s="2622" t="str">
        <f t="shared" si="111"/>
        <v/>
      </c>
      <c r="FZ30" s="2622" t="str">
        <f t="shared" si="112"/>
        <v/>
      </c>
      <c r="GA30" s="2622" t="str">
        <f t="shared" si="113"/>
        <v/>
      </c>
      <c r="GB30" s="2622" t="str">
        <f t="shared" si="114"/>
        <v/>
      </c>
    </row>
    <row r="31" spans="1:184" s="2332" customFormat="1">
      <c r="A31" s="2390"/>
      <c r="B31" s="2390"/>
      <c r="C31" s="2390"/>
      <c r="D31" s="2349"/>
      <c r="E31" s="1872"/>
      <c r="F31" s="2349"/>
      <c r="G31" s="2271"/>
      <c r="H31" s="2366"/>
      <c r="I31" s="2366"/>
      <c r="J31" s="2366"/>
      <c r="K31" s="2366"/>
      <c r="L31" s="2366"/>
      <c r="M31" s="2362"/>
      <c r="N31" s="2366"/>
      <c r="O31" s="2366"/>
      <c r="P31" s="2362"/>
      <c r="Q31" s="2362"/>
      <c r="R31" s="2362"/>
      <c r="S31" s="2362"/>
      <c r="T31" s="2362"/>
      <c r="U31" s="2390"/>
      <c r="V31" s="2349"/>
      <c r="W31" s="2271"/>
      <c r="X31" s="2366"/>
      <c r="Y31" s="2366"/>
      <c r="Z31" s="2366"/>
      <c r="AA31" s="2366"/>
      <c r="AB31" s="2366"/>
      <c r="AC31" s="2362"/>
      <c r="AD31" s="2366"/>
      <c r="AE31" s="2366"/>
      <c r="AF31" s="2362"/>
      <c r="AG31" s="251"/>
      <c r="AH31" s="2366"/>
      <c r="AI31" s="2362"/>
      <c r="AJ31" s="2362" t="str">
        <f t="shared" ref="AJ31:AJ39" si="115">IF(W31=0,"",AI31/10)</f>
        <v/>
      </c>
      <c r="AK31" s="2349"/>
      <c r="AL31" s="3362"/>
      <c r="AM31" s="3362"/>
      <c r="AN31" s="2366"/>
      <c r="AO31" s="2366"/>
      <c r="AP31" s="2362"/>
      <c r="AQ31" s="2362"/>
      <c r="AR31" s="2362"/>
      <c r="AS31" s="2349"/>
      <c r="AT31" s="2349"/>
      <c r="AU31" s="2271"/>
      <c r="AV31" s="2366"/>
      <c r="AW31" s="2366"/>
      <c r="AX31" s="2366"/>
      <c r="AY31" s="2366"/>
      <c r="AZ31" s="2366"/>
      <c r="BA31" s="2362"/>
      <c r="BB31" s="2366"/>
      <c r="BC31" s="2366"/>
      <c r="BD31" s="3363"/>
      <c r="BE31" s="251"/>
      <c r="BF31" s="2362"/>
      <c r="BG31" s="2362"/>
      <c r="BH31" s="2362"/>
      <c r="BI31" s="2390"/>
      <c r="BJ31" s="2349"/>
      <c r="BK31" s="2271"/>
      <c r="BL31" s="2366"/>
      <c r="BM31" s="2366"/>
      <c r="BN31" s="2366"/>
      <c r="BO31" s="2366"/>
      <c r="BP31" s="2366"/>
      <c r="BQ31" s="3363"/>
      <c r="BR31" s="2366"/>
      <c r="BS31" s="2366"/>
      <c r="BT31" s="2362"/>
      <c r="BU31" s="810"/>
      <c r="BV31" s="2362"/>
      <c r="BW31" s="2362"/>
      <c r="BX31" s="2362"/>
      <c r="BY31" s="2349"/>
      <c r="BZ31" s="2366"/>
      <c r="CA31" s="2366"/>
      <c r="CB31" s="2366"/>
      <c r="CC31" s="2366"/>
      <c r="CD31" s="2362"/>
      <c r="CE31" s="2362"/>
      <c r="CF31" s="2362"/>
      <c r="CG31" s="2349"/>
      <c r="CH31" s="2349" t="str">
        <f t="shared" si="1"/>
        <v/>
      </c>
      <c r="CI31" s="2271" t="str">
        <f t="shared" si="2"/>
        <v/>
      </c>
      <c r="CJ31" s="3364" t="str">
        <f t="shared" ref="CJ31:CJ39" si="116">IF($G31=0,"",AV31-H31)</f>
        <v/>
      </c>
      <c r="CK31" s="2366" t="str">
        <f t="shared" ref="CK31:CK39" si="117">IF($G31=0,"",AW31-I31)</f>
        <v/>
      </c>
      <c r="CL31" s="2366" t="str">
        <f t="shared" ref="CL31:CL39" si="118">IF($G31=0,"",AX31-J31)</f>
        <v/>
      </c>
      <c r="CM31" s="2366" t="str">
        <f t="shared" ref="CM31:CM39" si="119">IF($G31=0,"",AY31-K31)</f>
        <v/>
      </c>
      <c r="CN31" s="2366" t="str">
        <f t="shared" ref="CN31:CN39" si="120">IF($G31=0,"",AZ31-L31)</f>
        <v/>
      </c>
      <c r="CO31" s="2362" t="str">
        <f t="shared" ref="CO31:CO39" si="121">IF($G31=0,"",BA31-M31)</f>
        <v/>
      </c>
      <c r="CP31" s="2366" t="str">
        <f t="shared" ref="CP31:CP39" si="122">IF($G31=0,"",BB31-N31)</f>
        <v/>
      </c>
      <c r="CQ31" s="2366" t="str">
        <f t="shared" ref="CQ31:CQ39" si="123">IF($G31=0,"",BC31-O31)</f>
        <v/>
      </c>
      <c r="CR31" s="2362" t="str">
        <f t="shared" ref="CR31:CR39" si="124">IF($G31=0,"",BD31-P31)</f>
        <v/>
      </c>
      <c r="CS31" s="2362"/>
      <c r="CT31" s="2362" t="str">
        <f t="shared" ref="CT31:CT39" si="125">IF($G31=0,"",BF31-Q31)</f>
        <v/>
      </c>
      <c r="CU31" s="2362" t="str">
        <f t="shared" ref="CU31:CU39" si="126">IF($G31=0,"",BG31-R31)</f>
        <v/>
      </c>
      <c r="CV31" s="2362"/>
      <c r="CW31" s="2390"/>
      <c r="CX31" s="2349" t="str">
        <f t="shared" si="13"/>
        <v/>
      </c>
      <c r="CY31" s="2271" t="str">
        <f t="shared" si="14"/>
        <v/>
      </c>
      <c r="CZ31" s="3364" t="str">
        <f t="shared" si="15"/>
        <v/>
      </c>
      <c r="DA31" s="2366" t="str">
        <f t="shared" si="16"/>
        <v/>
      </c>
      <c r="DB31" s="2366" t="str">
        <f t="shared" si="17"/>
        <v/>
      </c>
      <c r="DC31" s="2366" t="str">
        <f t="shared" si="18"/>
        <v/>
      </c>
      <c r="DD31" s="2366" t="str">
        <f t="shared" si="19"/>
        <v/>
      </c>
      <c r="DE31" s="2362" t="str">
        <f t="shared" si="20"/>
        <v/>
      </c>
      <c r="DF31" s="2366" t="str">
        <f t="shared" si="21"/>
        <v/>
      </c>
      <c r="DG31" s="2366" t="str">
        <f t="shared" si="22"/>
        <v/>
      </c>
      <c r="DH31" s="2362" t="str">
        <f t="shared" si="23"/>
        <v/>
      </c>
      <c r="DI31" s="2362"/>
      <c r="DJ31" s="2362" t="str">
        <f t="shared" ref="DJ31:DJ39" si="127">IF($G31=0,"",BV31-AH31)</f>
        <v/>
      </c>
      <c r="DK31" s="2362" t="str">
        <f t="shared" ref="DK31:DK39" si="128">IF($G31=0,"",BW31-AI31)</f>
        <v/>
      </c>
      <c r="DL31" s="2362" t="str">
        <f t="shared" ref="DL31:DL39" si="129">IF($G31=0,"",DK31/10)</f>
        <v/>
      </c>
      <c r="DM31" s="2349"/>
      <c r="DN31" s="3365" t="str">
        <f t="shared" si="25"/>
        <v/>
      </c>
      <c r="DO31" s="3365" t="str">
        <f t="shared" si="26"/>
        <v/>
      </c>
      <c r="DP31" s="3365" t="str">
        <f t="shared" si="27"/>
        <v/>
      </c>
      <c r="DQ31" s="3365" t="str">
        <f t="shared" si="28"/>
        <v/>
      </c>
      <c r="DT31" s="2349" t="str">
        <f t="shared" si="29"/>
        <v/>
      </c>
      <c r="DU31" s="2271" t="str">
        <f t="shared" si="30"/>
        <v/>
      </c>
      <c r="DV31" s="2622" t="str">
        <f t="shared" si="31"/>
        <v/>
      </c>
      <c r="DW31" s="2622" t="str">
        <f t="shared" ref="DW31:DW39" si="130">IF($H31=0,"",CK31/I31)</f>
        <v/>
      </c>
      <c r="DX31" s="2622"/>
      <c r="DY31" s="2622" t="str">
        <f t="shared" ref="DY31:DY39" si="131">IF($H31=0,"",CM31/K31)</f>
        <v/>
      </c>
      <c r="DZ31" s="2622" t="str">
        <f t="shared" ref="DZ31:DZ39" si="132">IF($H31=0,"",CN31/L31)</f>
        <v/>
      </c>
      <c r="EA31" s="2622" t="str">
        <f t="shared" ref="EA31:EA39" si="133">IF($H31=0,"",CO31/M31)</f>
        <v/>
      </c>
      <c r="EB31" s="2622" t="str">
        <f t="shared" si="88"/>
        <v/>
      </c>
      <c r="EC31" s="2622" t="str">
        <f t="shared" si="82"/>
        <v/>
      </c>
      <c r="ED31" s="2622" t="str">
        <f t="shared" si="83"/>
        <v/>
      </c>
      <c r="EE31" s="2622"/>
      <c r="EF31" s="2622" t="str">
        <f t="shared" ref="EF31:EF39" si="134">IF($H31=0,"",CT31/Q31)</f>
        <v/>
      </c>
      <c r="EG31" s="2622" t="str">
        <f t="shared" ref="EG31:EG39" si="135">IF($H31=0,"",CU31/R31)</f>
        <v/>
      </c>
      <c r="EJ31" s="2349" t="str">
        <f t="shared" si="33"/>
        <v/>
      </c>
      <c r="EK31" s="2271" t="str">
        <f t="shared" si="34"/>
        <v/>
      </c>
      <c r="EL31" s="2622" t="str">
        <f t="shared" si="35"/>
        <v/>
      </c>
      <c r="EM31" s="2622"/>
      <c r="EN31" s="2622"/>
      <c r="EO31" s="2622" t="str">
        <f t="shared" ref="EO31:EO39" si="136">IF($H31=0,"",DC31/AA31)</f>
        <v/>
      </c>
      <c r="EP31" s="2622" t="str">
        <f t="shared" ref="EP31:EP39" si="137">IF($H31=0,"",DD31/AB31)</f>
        <v/>
      </c>
      <c r="EQ31" s="2622" t="str">
        <f t="shared" ref="EQ31:EQ39" si="138">IF($H31=0,"",DE31/AC31)</f>
        <v/>
      </c>
      <c r="ER31" s="2622" t="str">
        <f t="shared" si="89"/>
        <v/>
      </c>
      <c r="ES31" s="2622" t="str">
        <f t="shared" si="85"/>
        <v/>
      </c>
      <c r="ET31" s="2622" t="str">
        <f t="shared" si="86"/>
        <v/>
      </c>
      <c r="EU31" s="2622"/>
      <c r="EV31" s="2622" t="str">
        <f t="shared" ref="EV31:EV39" si="139">IF($H31=0,"",DJ31/AH31)</f>
        <v/>
      </c>
      <c r="EW31" s="2622" t="str">
        <f t="shared" ref="EW31:EW39" si="140">IF($H31=0,"",DK31/AI31)</f>
        <v/>
      </c>
      <c r="EY31" s="2349" t="str">
        <f t="shared" si="90"/>
        <v/>
      </c>
      <c r="EZ31" s="2271" t="str">
        <f t="shared" si="91"/>
        <v/>
      </c>
      <c r="FA31" s="2622" t="str">
        <f t="shared" si="92"/>
        <v/>
      </c>
      <c r="FB31" s="2622" t="str">
        <f t="shared" si="93"/>
        <v/>
      </c>
      <c r="FC31" s="2622"/>
      <c r="FD31" s="2622" t="str">
        <f t="shared" si="94"/>
        <v/>
      </c>
      <c r="FE31" s="2622" t="str">
        <f t="shared" si="95"/>
        <v/>
      </c>
      <c r="FF31" s="2622" t="str">
        <f t="shared" si="96"/>
        <v/>
      </c>
      <c r="FG31" s="2622" t="str">
        <f t="shared" si="97"/>
        <v/>
      </c>
      <c r="FH31" s="2622" t="str">
        <f t="shared" si="98"/>
        <v/>
      </c>
      <c r="FI31" s="2622" t="str">
        <f t="shared" si="99"/>
        <v/>
      </c>
      <c r="FJ31" s="2622"/>
      <c r="FK31" s="2622" t="str">
        <f t="shared" ref="FK31:FK39" si="141">IF($H31=0,"",DY31/AV31)</f>
        <v/>
      </c>
      <c r="FL31" s="2622" t="str">
        <f t="shared" ref="FL31:FL39" si="142">IF($H31=0,"",DZ31/AW31)</f>
        <v/>
      </c>
      <c r="FO31" s="2349" t="str">
        <f t="shared" si="103"/>
        <v/>
      </c>
      <c r="FP31" s="2271" t="str">
        <f t="shared" si="104"/>
        <v/>
      </c>
      <c r="FQ31" s="2622" t="str">
        <f t="shared" si="105"/>
        <v/>
      </c>
      <c r="FR31" s="2622"/>
      <c r="FS31" s="2622"/>
      <c r="FT31" s="2622" t="str">
        <f t="shared" si="106"/>
        <v/>
      </c>
      <c r="FU31" s="2622" t="str">
        <f t="shared" si="107"/>
        <v/>
      </c>
      <c r="FV31" s="2622" t="str">
        <f t="shared" si="108"/>
        <v/>
      </c>
      <c r="FW31" s="2622" t="str">
        <f t="shared" si="109"/>
        <v/>
      </c>
      <c r="FX31" s="2622" t="str">
        <f t="shared" si="110"/>
        <v/>
      </c>
      <c r="FY31" s="2622" t="str">
        <f t="shared" si="111"/>
        <v/>
      </c>
      <c r="FZ31" s="2622"/>
      <c r="GA31" s="2622" t="str">
        <f t="shared" si="113"/>
        <v/>
      </c>
      <c r="GB31" s="2622" t="str">
        <f t="shared" si="114"/>
        <v/>
      </c>
    </row>
    <row r="32" spans="1:184" s="2332" customFormat="1">
      <c r="A32" s="2390"/>
      <c r="B32" s="2390"/>
      <c r="C32" s="2390"/>
      <c r="D32" s="2349"/>
      <c r="E32" s="1872"/>
      <c r="F32" s="2349"/>
      <c r="G32" s="2271"/>
      <c r="H32" s="2366"/>
      <c r="I32" s="2366"/>
      <c r="J32" s="2366"/>
      <c r="K32" s="2366"/>
      <c r="L32" s="2366"/>
      <c r="M32" s="2362"/>
      <c r="N32" s="2366"/>
      <c r="O32" s="2366"/>
      <c r="P32" s="2362"/>
      <c r="Q32" s="2362"/>
      <c r="R32" s="2362"/>
      <c r="S32" s="2362"/>
      <c r="T32" s="2362"/>
      <c r="U32" s="2390"/>
      <c r="V32" s="2349"/>
      <c r="W32" s="2271"/>
      <c r="X32" s="2366"/>
      <c r="Y32" s="2366"/>
      <c r="Z32" s="2366"/>
      <c r="AA32" s="2366"/>
      <c r="AB32" s="2366"/>
      <c r="AC32" s="2362"/>
      <c r="AD32" s="2366"/>
      <c r="AE32" s="2366"/>
      <c r="AF32" s="2362"/>
      <c r="AG32" s="251"/>
      <c r="AH32" s="2366"/>
      <c r="AI32" s="2362"/>
      <c r="AJ32" s="2362" t="str">
        <f t="shared" si="115"/>
        <v/>
      </c>
      <c r="AK32" s="2349"/>
      <c r="AL32" s="3362"/>
      <c r="AM32" s="3362"/>
      <c r="AN32" s="2366"/>
      <c r="AO32" s="2366"/>
      <c r="AP32" s="2362"/>
      <c r="AQ32" s="2362"/>
      <c r="AR32" s="2362"/>
      <c r="AS32" s="2349"/>
      <c r="AT32" s="2349"/>
      <c r="AU32" s="2271"/>
      <c r="AV32" s="2366"/>
      <c r="AW32" s="2366"/>
      <c r="AX32" s="2366"/>
      <c r="AY32" s="2366"/>
      <c r="AZ32" s="2366"/>
      <c r="BA32" s="2362"/>
      <c r="BB32" s="2366"/>
      <c r="BC32" s="2366"/>
      <c r="BD32" s="3363"/>
      <c r="BE32" s="251"/>
      <c r="BF32" s="2362"/>
      <c r="BG32" s="2362"/>
      <c r="BH32" s="2362"/>
      <c r="BI32" s="2390"/>
      <c r="BJ32" s="2349"/>
      <c r="BK32" s="2271"/>
      <c r="BL32" s="2366"/>
      <c r="BM32" s="2366"/>
      <c r="BN32" s="2366"/>
      <c r="BO32" s="2366"/>
      <c r="BP32" s="2366"/>
      <c r="BQ32" s="3363"/>
      <c r="BR32" s="2366"/>
      <c r="BS32" s="2366"/>
      <c r="BT32" s="2362"/>
      <c r="BU32" s="810"/>
      <c r="BV32" s="2362"/>
      <c r="BW32" s="2362"/>
      <c r="BX32" s="2362"/>
      <c r="BY32" s="2349"/>
      <c r="BZ32" s="2366"/>
      <c r="CA32" s="2366"/>
      <c r="CB32" s="2366"/>
      <c r="CC32" s="2366"/>
      <c r="CD32" s="2362"/>
      <c r="CE32" s="2362"/>
      <c r="CF32" s="2362"/>
      <c r="CG32" s="2349"/>
      <c r="CH32" s="2349" t="str">
        <f t="shared" si="1"/>
        <v/>
      </c>
      <c r="CI32" s="2271" t="str">
        <f t="shared" si="2"/>
        <v/>
      </c>
      <c r="CJ32" s="3364" t="str">
        <f t="shared" si="116"/>
        <v/>
      </c>
      <c r="CK32" s="2366" t="str">
        <f t="shared" si="117"/>
        <v/>
      </c>
      <c r="CL32" s="2366" t="str">
        <f t="shared" si="118"/>
        <v/>
      </c>
      <c r="CM32" s="2366" t="str">
        <f t="shared" si="119"/>
        <v/>
      </c>
      <c r="CN32" s="2366" t="str">
        <f t="shared" si="120"/>
        <v/>
      </c>
      <c r="CO32" s="2362" t="str">
        <f t="shared" si="121"/>
        <v/>
      </c>
      <c r="CP32" s="2366" t="str">
        <f t="shared" si="122"/>
        <v/>
      </c>
      <c r="CQ32" s="2366" t="str">
        <f t="shared" si="123"/>
        <v/>
      </c>
      <c r="CR32" s="2362" t="str">
        <f t="shared" si="124"/>
        <v/>
      </c>
      <c r="CS32" s="2362"/>
      <c r="CT32" s="2362" t="str">
        <f t="shared" si="125"/>
        <v/>
      </c>
      <c r="CU32" s="2362" t="str">
        <f t="shared" si="126"/>
        <v/>
      </c>
      <c r="CV32" s="2362"/>
      <c r="CW32" s="2390"/>
      <c r="CX32" s="2349" t="str">
        <f t="shared" si="13"/>
        <v/>
      </c>
      <c r="CY32" s="2271" t="str">
        <f t="shared" si="14"/>
        <v/>
      </c>
      <c r="CZ32" s="3364" t="str">
        <f t="shared" si="15"/>
        <v/>
      </c>
      <c r="DA32" s="2366" t="str">
        <f t="shared" si="16"/>
        <v/>
      </c>
      <c r="DB32" s="2366" t="str">
        <f t="shared" si="17"/>
        <v/>
      </c>
      <c r="DC32" s="2366" t="str">
        <f t="shared" si="18"/>
        <v/>
      </c>
      <c r="DD32" s="2366" t="str">
        <f t="shared" si="19"/>
        <v/>
      </c>
      <c r="DE32" s="2362" t="str">
        <f t="shared" si="20"/>
        <v/>
      </c>
      <c r="DF32" s="2366" t="str">
        <f t="shared" si="21"/>
        <v/>
      </c>
      <c r="DG32" s="2366" t="str">
        <f t="shared" si="22"/>
        <v/>
      </c>
      <c r="DH32" s="2362" t="str">
        <f t="shared" si="23"/>
        <v/>
      </c>
      <c r="DI32" s="2362"/>
      <c r="DJ32" s="2362" t="str">
        <f t="shared" si="127"/>
        <v/>
      </c>
      <c r="DK32" s="2362" t="str">
        <f t="shared" si="128"/>
        <v/>
      </c>
      <c r="DL32" s="2362" t="str">
        <f t="shared" si="129"/>
        <v/>
      </c>
      <c r="DM32" s="2349"/>
      <c r="DN32" s="3365" t="str">
        <f t="shared" si="25"/>
        <v/>
      </c>
      <c r="DO32" s="3365" t="str">
        <f t="shared" si="26"/>
        <v/>
      </c>
      <c r="DP32" s="3365" t="str">
        <f t="shared" si="27"/>
        <v/>
      </c>
      <c r="DQ32" s="3365" t="str">
        <f t="shared" si="28"/>
        <v/>
      </c>
      <c r="DT32" s="2349" t="str">
        <f t="shared" si="29"/>
        <v/>
      </c>
      <c r="DU32" s="2271" t="str">
        <f t="shared" si="30"/>
        <v/>
      </c>
      <c r="DV32" s="2622" t="str">
        <f t="shared" si="31"/>
        <v/>
      </c>
      <c r="DW32" s="2622" t="str">
        <f t="shared" si="130"/>
        <v/>
      </c>
      <c r="DX32" s="2622"/>
      <c r="DY32" s="2622" t="str">
        <f t="shared" si="131"/>
        <v/>
      </c>
      <c r="DZ32" s="2622" t="str">
        <f t="shared" si="132"/>
        <v/>
      </c>
      <c r="EA32" s="2622" t="str">
        <f t="shared" si="133"/>
        <v/>
      </c>
      <c r="EB32" s="2622" t="str">
        <f t="shared" si="88"/>
        <v/>
      </c>
      <c r="EC32" s="2622" t="str">
        <f t="shared" si="82"/>
        <v/>
      </c>
      <c r="ED32" s="2622" t="str">
        <f t="shared" si="83"/>
        <v/>
      </c>
      <c r="EE32" s="2622"/>
      <c r="EF32" s="2622" t="str">
        <f t="shared" si="134"/>
        <v/>
      </c>
      <c r="EG32" s="2622" t="str">
        <f t="shared" si="135"/>
        <v/>
      </c>
      <c r="EJ32" s="2349" t="str">
        <f t="shared" si="33"/>
        <v/>
      </c>
      <c r="EK32" s="2271" t="str">
        <f t="shared" si="34"/>
        <v/>
      </c>
      <c r="EL32" s="2622" t="str">
        <f t="shared" si="35"/>
        <v/>
      </c>
      <c r="EM32" s="2622"/>
      <c r="EN32" s="2622"/>
      <c r="EO32" s="2622" t="str">
        <f t="shared" si="136"/>
        <v/>
      </c>
      <c r="EP32" s="2622" t="str">
        <f t="shared" si="137"/>
        <v/>
      </c>
      <c r="EQ32" s="2622" t="str">
        <f t="shared" si="138"/>
        <v/>
      </c>
      <c r="ER32" s="2622" t="str">
        <f t="shared" si="89"/>
        <v/>
      </c>
      <c r="ES32" s="2622" t="str">
        <f t="shared" si="85"/>
        <v/>
      </c>
      <c r="ET32" s="2622" t="str">
        <f t="shared" si="86"/>
        <v/>
      </c>
      <c r="EU32" s="2622"/>
      <c r="EV32" s="2622" t="str">
        <f t="shared" si="139"/>
        <v/>
      </c>
      <c r="EW32" s="2622" t="str">
        <f t="shared" si="140"/>
        <v/>
      </c>
      <c r="EY32" s="2349" t="str">
        <f t="shared" si="90"/>
        <v/>
      </c>
      <c r="EZ32" s="2271" t="str">
        <f t="shared" si="91"/>
        <v/>
      </c>
      <c r="FA32" s="2622" t="str">
        <f t="shared" si="92"/>
        <v/>
      </c>
      <c r="FB32" s="2622" t="str">
        <f t="shared" si="93"/>
        <v/>
      </c>
      <c r="FC32" s="2622"/>
      <c r="FD32" s="2622" t="str">
        <f t="shared" si="94"/>
        <v/>
      </c>
      <c r="FE32" s="2622" t="str">
        <f t="shared" si="95"/>
        <v/>
      </c>
      <c r="FF32" s="2622" t="str">
        <f t="shared" si="96"/>
        <v/>
      </c>
      <c r="FG32" s="2622" t="str">
        <f t="shared" si="97"/>
        <v/>
      </c>
      <c r="FH32" s="2622" t="str">
        <f t="shared" si="98"/>
        <v/>
      </c>
      <c r="FI32" s="2622" t="str">
        <f t="shared" si="99"/>
        <v/>
      </c>
      <c r="FJ32" s="2622"/>
      <c r="FK32" s="2622" t="str">
        <f t="shared" si="141"/>
        <v/>
      </c>
      <c r="FL32" s="2622" t="str">
        <f t="shared" si="142"/>
        <v/>
      </c>
      <c r="FO32" s="2349" t="str">
        <f t="shared" si="103"/>
        <v/>
      </c>
      <c r="FP32" s="2271" t="str">
        <f t="shared" si="104"/>
        <v/>
      </c>
      <c r="FQ32" s="2622" t="str">
        <f t="shared" si="105"/>
        <v/>
      </c>
      <c r="FR32" s="2622"/>
      <c r="FS32" s="2622"/>
      <c r="FT32" s="2622" t="str">
        <f t="shared" si="106"/>
        <v/>
      </c>
      <c r="FU32" s="2622" t="str">
        <f t="shared" si="107"/>
        <v/>
      </c>
      <c r="FV32" s="2622" t="str">
        <f t="shared" si="108"/>
        <v/>
      </c>
      <c r="FW32" s="2622" t="str">
        <f t="shared" si="109"/>
        <v/>
      </c>
      <c r="FX32" s="2622" t="str">
        <f t="shared" si="110"/>
        <v/>
      </c>
      <c r="FY32" s="2622" t="str">
        <f t="shared" si="111"/>
        <v/>
      </c>
      <c r="FZ32" s="2622"/>
      <c r="GA32" s="2622" t="str">
        <f t="shared" si="113"/>
        <v/>
      </c>
      <c r="GB32" s="2622" t="str">
        <f t="shared" si="114"/>
        <v/>
      </c>
    </row>
    <row r="33" spans="1:184" s="2332" customFormat="1">
      <c r="A33" s="2390"/>
      <c r="B33" s="2390"/>
      <c r="C33" s="2390"/>
      <c r="D33" s="2349"/>
      <c r="E33" s="1872"/>
      <c r="F33" s="2349"/>
      <c r="G33" s="2271"/>
      <c r="H33" s="2366"/>
      <c r="I33" s="2366"/>
      <c r="J33" s="2366"/>
      <c r="K33" s="2366"/>
      <c r="L33" s="2366"/>
      <c r="M33" s="2362"/>
      <c r="N33" s="2366"/>
      <c r="O33" s="2366"/>
      <c r="P33" s="2362"/>
      <c r="Q33" s="2362"/>
      <c r="R33" s="2362"/>
      <c r="S33" s="2362"/>
      <c r="T33" s="2362"/>
      <c r="U33" s="2390"/>
      <c r="V33" s="2349"/>
      <c r="W33" s="2271"/>
      <c r="X33" s="2366"/>
      <c r="Y33" s="2366"/>
      <c r="Z33" s="2366"/>
      <c r="AA33" s="2366"/>
      <c r="AB33" s="2366"/>
      <c r="AC33" s="2362"/>
      <c r="AD33" s="2366"/>
      <c r="AE33" s="2366"/>
      <c r="AF33" s="2362"/>
      <c r="AG33" s="251"/>
      <c r="AH33" s="2366"/>
      <c r="AI33" s="2362"/>
      <c r="AJ33" s="2362" t="str">
        <f t="shared" si="115"/>
        <v/>
      </c>
      <c r="AK33" s="2349"/>
      <c r="AL33" s="3362"/>
      <c r="AM33" s="3362"/>
      <c r="AN33" s="2366"/>
      <c r="AO33" s="2366"/>
      <c r="AP33" s="2362"/>
      <c r="AQ33" s="2362"/>
      <c r="AR33" s="2362"/>
      <c r="AS33" s="2349"/>
      <c r="AT33" s="2349"/>
      <c r="AU33" s="2271"/>
      <c r="AV33" s="2366"/>
      <c r="AW33" s="2366"/>
      <c r="AX33" s="2366"/>
      <c r="AY33" s="2366"/>
      <c r="AZ33" s="2366"/>
      <c r="BA33" s="2362"/>
      <c r="BB33" s="2366"/>
      <c r="BC33" s="2366"/>
      <c r="BD33" s="3363"/>
      <c r="BE33" s="251"/>
      <c r="BF33" s="2362"/>
      <c r="BG33" s="2362"/>
      <c r="BH33" s="2362"/>
      <c r="BI33" s="2390"/>
      <c r="BJ33" s="2349"/>
      <c r="BK33" s="2271"/>
      <c r="BL33" s="2366"/>
      <c r="BM33" s="2366"/>
      <c r="BN33" s="2366"/>
      <c r="BO33" s="2366"/>
      <c r="BP33" s="2366"/>
      <c r="BQ33" s="3363"/>
      <c r="BR33" s="2366"/>
      <c r="BS33" s="2366"/>
      <c r="BT33" s="2362"/>
      <c r="BU33" s="810"/>
      <c r="BV33" s="2362"/>
      <c r="BW33" s="2362"/>
      <c r="BX33" s="2362"/>
      <c r="BY33" s="2349"/>
      <c r="BZ33" s="2366"/>
      <c r="CA33" s="2366"/>
      <c r="CB33" s="2366"/>
      <c r="CC33" s="2366"/>
      <c r="CD33" s="2362"/>
      <c r="CE33" s="2362"/>
      <c r="CF33" s="2362"/>
      <c r="CG33" s="2349"/>
      <c r="CH33" s="2349" t="str">
        <f t="shared" si="1"/>
        <v/>
      </c>
      <c r="CI33" s="2271" t="str">
        <f t="shared" si="2"/>
        <v/>
      </c>
      <c r="CJ33" s="3364" t="str">
        <f t="shared" si="116"/>
        <v/>
      </c>
      <c r="CK33" s="2366" t="str">
        <f t="shared" si="117"/>
        <v/>
      </c>
      <c r="CL33" s="2366" t="str">
        <f t="shared" si="118"/>
        <v/>
      </c>
      <c r="CM33" s="2366" t="str">
        <f t="shared" si="119"/>
        <v/>
      </c>
      <c r="CN33" s="2366" t="str">
        <f t="shared" si="120"/>
        <v/>
      </c>
      <c r="CO33" s="2362" t="str">
        <f t="shared" si="121"/>
        <v/>
      </c>
      <c r="CP33" s="2366" t="str">
        <f t="shared" si="122"/>
        <v/>
      </c>
      <c r="CQ33" s="2366" t="str">
        <f t="shared" si="123"/>
        <v/>
      </c>
      <c r="CR33" s="2362" t="str">
        <f t="shared" si="124"/>
        <v/>
      </c>
      <c r="CS33" s="2362"/>
      <c r="CT33" s="2362" t="str">
        <f t="shared" si="125"/>
        <v/>
      </c>
      <c r="CU33" s="2362" t="str">
        <f t="shared" si="126"/>
        <v/>
      </c>
      <c r="CV33" s="2362"/>
      <c r="CW33" s="2390"/>
      <c r="CX33" s="2349" t="str">
        <f t="shared" si="13"/>
        <v/>
      </c>
      <c r="CY33" s="2271" t="str">
        <f t="shared" si="14"/>
        <v/>
      </c>
      <c r="CZ33" s="3364" t="str">
        <f t="shared" si="15"/>
        <v/>
      </c>
      <c r="DA33" s="2366" t="str">
        <f t="shared" si="16"/>
        <v/>
      </c>
      <c r="DB33" s="2366" t="str">
        <f t="shared" si="17"/>
        <v/>
      </c>
      <c r="DC33" s="2366" t="str">
        <f t="shared" si="18"/>
        <v/>
      </c>
      <c r="DD33" s="2366" t="str">
        <f t="shared" si="19"/>
        <v/>
      </c>
      <c r="DE33" s="2362" t="str">
        <f t="shared" si="20"/>
        <v/>
      </c>
      <c r="DF33" s="2366" t="str">
        <f t="shared" si="21"/>
        <v/>
      </c>
      <c r="DG33" s="2366" t="str">
        <f t="shared" si="22"/>
        <v/>
      </c>
      <c r="DH33" s="2362" t="str">
        <f t="shared" si="23"/>
        <v/>
      </c>
      <c r="DI33" s="2362"/>
      <c r="DJ33" s="2362" t="str">
        <f t="shared" si="127"/>
        <v/>
      </c>
      <c r="DK33" s="2362" t="str">
        <f t="shared" si="128"/>
        <v/>
      </c>
      <c r="DL33" s="2362" t="str">
        <f t="shared" si="129"/>
        <v/>
      </c>
      <c r="DM33" s="2349"/>
      <c r="DN33" s="3365" t="str">
        <f t="shared" si="25"/>
        <v/>
      </c>
      <c r="DO33" s="3365" t="str">
        <f t="shared" si="26"/>
        <v/>
      </c>
      <c r="DP33" s="3365" t="str">
        <f t="shared" si="27"/>
        <v/>
      </c>
      <c r="DQ33" s="3365" t="str">
        <f t="shared" si="28"/>
        <v/>
      </c>
      <c r="DT33" s="2349" t="str">
        <f t="shared" si="29"/>
        <v/>
      </c>
      <c r="DU33" s="2271" t="str">
        <f t="shared" si="30"/>
        <v/>
      </c>
      <c r="DV33" s="2622" t="str">
        <f t="shared" si="31"/>
        <v/>
      </c>
      <c r="DW33" s="2622" t="str">
        <f t="shared" si="130"/>
        <v/>
      </c>
      <c r="DX33" s="2622"/>
      <c r="DY33" s="2622" t="str">
        <f t="shared" si="131"/>
        <v/>
      </c>
      <c r="DZ33" s="2622" t="str">
        <f t="shared" si="132"/>
        <v/>
      </c>
      <c r="EA33" s="2622" t="str">
        <f t="shared" si="133"/>
        <v/>
      </c>
      <c r="EB33" s="2622" t="str">
        <f t="shared" si="88"/>
        <v/>
      </c>
      <c r="EC33" s="2622" t="str">
        <f t="shared" si="82"/>
        <v/>
      </c>
      <c r="ED33" s="2622" t="str">
        <f t="shared" si="83"/>
        <v/>
      </c>
      <c r="EE33" s="2622"/>
      <c r="EF33" s="2622" t="str">
        <f t="shared" si="134"/>
        <v/>
      </c>
      <c r="EG33" s="2622" t="str">
        <f t="shared" si="135"/>
        <v/>
      </c>
      <c r="EJ33" s="2349" t="str">
        <f t="shared" si="33"/>
        <v/>
      </c>
      <c r="EK33" s="2271" t="str">
        <f t="shared" si="34"/>
        <v/>
      </c>
      <c r="EL33" s="2622" t="str">
        <f t="shared" si="35"/>
        <v/>
      </c>
      <c r="EM33" s="2622"/>
      <c r="EN33" s="2622"/>
      <c r="EO33" s="2622" t="str">
        <f t="shared" si="136"/>
        <v/>
      </c>
      <c r="EP33" s="2622" t="str">
        <f t="shared" si="137"/>
        <v/>
      </c>
      <c r="EQ33" s="2622" t="str">
        <f t="shared" si="138"/>
        <v/>
      </c>
      <c r="ER33" s="2622" t="str">
        <f t="shared" si="89"/>
        <v/>
      </c>
      <c r="ES33" s="2622" t="str">
        <f t="shared" si="85"/>
        <v/>
      </c>
      <c r="ET33" s="2622" t="str">
        <f t="shared" si="86"/>
        <v/>
      </c>
      <c r="EU33" s="2622"/>
      <c r="EV33" s="2622" t="str">
        <f t="shared" si="139"/>
        <v/>
      </c>
      <c r="EW33" s="2622" t="str">
        <f t="shared" si="140"/>
        <v/>
      </c>
      <c r="EY33" s="2349" t="str">
        <f t="shared" si="90"/>
        <v/>
      </c>
      <c r="EZ33" s="2271" t="str">
        <f t="shared" si="91"/>
        <v/>
      </c>
      <c r="FA33" s="2622" t="str">
        <f t="shared" si="92"/>
        <v/>
      </c>
      <c r="FB33" s="2622" t="str">
        <f t="shared" si="93"/>
        <v/>
      </c>
      <c r="FC33" s="2622"/>
      <c r="FD33" s="2622" t="str">
        <f t="shared" si="94"/>
        <v/>
      </c>
      <c r="FE33" s="2622" t="str">
        <f t="shared" si="95"/>
        <v/>
      </c>
      <c r="FF33" s="2622" t="str">
        <f t="shared" si="96"/>
        <v/>
      </c>
      <c r="FG33" s="2622" t="str">
        <f t="shared" si="97"/>
        <v/>
      </c>
      <c r="FH33" s="2622" t="str">
        <f t="shared" si="98"/>
        <v/>
      </c>
      <c r="FI33" s="2622" t="str">
        <f t="shared" si="99"/>
        <v/>
      </c>
      <c r="FJ33" s="2622"/>
      <c r="FK33" s="2622" t="str">
        <f t="shared" si="141"/>
        <v/>
      </c>
      <c r="FL33" s="2622" t="str">
        <f t="shared" si="142"/>
        <v/>
      </c>
      <c r="FO33" s="2349" t="str">
        <f t="shared" si="103"/>
        <v/>
      </c>
      <c r="FP33" s="2271" t="str">
        <f t="shared" si="104"/>
        <v/>
      </c>
      <c r="FQ33" s="2622" t="str">
        <f t="shared" si="105"/>
        <v/>
      </c>
      <c r="FR33" s="2622"/>
      <c r="FS33" s="2622"/>
      <c r="FT33" s="2622" t="str">
        <f t="shared" si="106"/>
        <v/>
      </c>
      <c r="FU33" s="2622" t="str">
        <f t="shared" si="107"/>
        <v/>
      </c>
      <c r="FV33" s="2622" t="str">
        <f t="shared" si="108"/>
        <v/>
      </c>
      <c r="FW33" s="2622" t="str">
        <f t="shared" si="109"/>
        <v/>
      </c>
      <c r="FX33" s="2622" t="str">
        <f t="shared" si="110"/>
        <v/>
      </c>
      <c r="FY33" s="2622" t="str">
        <f t="shared" si="111"/>
        <v/>
      </c>
      <c r="FZ33" s="2622"/>
      <c r="GA33" s="2622" t="str">
        <f t="shared" si="113"/>
        <v/>
      </c>
      <c r="GB33" s="2622" t="str">
        <f t="shared" si="114"/>
        <v/>
      </c>
    </row>
    <row r="34" spans="1:184" s="2332" customFormat="1">
      <c r="A34" s="2390"/>
      <c r="B34" s="2390"/>
      <c r="C34" s="2390"/>
      <c r="D34" s="2349"/>
      <c r="E34" s="1872"/>
      <c r="F34" s="2349"/>
      <c r="G34" s="2271"/>
      <c r="H34" s="3366"/>
      <c r="I34" s="3366"/>
      <c r="J34" s="3366"/>
      <c r="K34" s="3366"/>
      <c r="L34" s="3366"/>
      <c r="M34" s="2362"/>
      <c r="N34" s="3366"/>
      <c r="O34" s="3366"/>
      <c r="P34" s="2362"/>
      <c r="Q34" s="2362"/>
      <c r="R34" s="2362"/>
      <c r="S34" s="2362"/>
      <c r="T34" s="2362"/>
      <c r="U34" s="2390"/>
      <c r="V34" s="2349"/>
      <c r="W34" s="2271"/>
      <c r="X34" s="3366"/>
      <c r="Y34" s="3366"/>
      <c r="Z34" s="3366"/>
      <c r="AA34" s="3366"/>
      <c r="AB34" s="3366"/>
      <c r="AC34" s="2362"/>
      <c r="AD34" s="3366"/>
      <c r="AE34" s="3366"/>
      <c r="AF34" s="2362"/>
      <c r="AG34" s="251"/>
      <c r="AH34" s="2366"/>
      <c r="AI34" s="2362"/>
      <c r="AJ34" s="2362" t="str">
        <f t="shared" si="115"/>
        <v/>
      </c>
      <c r="AK34" s="2349"/>
      <c r="AL34" s="3362"/>
      <c r="AM34" s="3362"/>
      <c r="AN34" s="2366"/>
      <c r="AO34" s="2366"/>
      <c r="AP34" s="2362"/>
      <c r="AQ34" s="2362"/>
      <c r="AR34" s="2362"/>
      <c r="AS34" s="2349"/>
      <c r="AT34" s="2349"/>
      <c r="AU34" s="2271"/>
      <c r="AV34" s="3366"/>
      <c r="AW34" s="3366"/>
      <c r="AX34" s="3366"/>
      <c r="AY34" s="3366"/>
      <c r="AZ34" s="3366"/>
      <c r="BA34" s="2362"/>
      <c r="BB34" s="3366"/>
      <c r="BC34" s="3366"/>
      <c r="BD34" s="3363"/>
      <c r="BE34" s="251"/>
      <c r="BF34" s="2362"/>
      <c r="BG34" s="2362"/>
      <c r="BH34" s="2362"/>
      <c r="BI34" s="2390"/>
      <c r="BJ34" s="2349"/>
      <c r="BK34" s="2271"/>
      <c r="BL34" s="3366"/>
      <c r="BM34" s="3366"/>
      <c r="BN34" s="3366"/>
      <c r="BO34" s="3366"/>
      <c r="BP34" s="3366"/>
      <c r="BQ34" s="3363"/>
      <c r="BR34" s="3366"/>
      <c r="BS34" s="3366"/>
      <c r="BT34" s="2362"/>
      <c r="BU34" s="810"/>
      <c r="BV34" s="2362"/>
      <c r="BW34" s="2362"/>
      <c r="BX34" s="2362"/>
      <c r="BY34" s="2349"/>
      <c r="BZ34" s="2366"/>
      <c r="CA34" s="2366"/>
      <c r="CB34" s="2366"/>
      <c r="CC34" s="2366"/>
      <c r="CD34" s="2362"/>
      <c r="CE34" s="2362"/>
      <c r="CF34" s="2362"/>
      <c r="CG34" s="2349"/>
      <c r="CH34" s="2349" t="str">
        <f t="shared" si="1"/>
        <v/>
      </c>
      <c r="CI34" s="2271" t="str">
        <f t="shared" si="2"/>
        <v/>
      </c>
      <c r="CJ34" s="3364" t="str">
        <f t="shared" si="116"/>
        <v/>
      </c>
      <c r="CK34" s="3366" t="str">
        <f t="shared" si="117"/>
        <v/>
      </c>
      <c r="CL34" s="3366" t="str">
        <f t="shared" si="118"/>
        <v/>
      </c>
      <c r="CM34" s="3366" t="str">
        <f t="shared" si="119"/>
        <v/>
      </c>
      <c r="CN34" s="3366" t="str">
        <f t="shared" si="120"/>
        <v/>
      </c>
      <c r="CO34" s="2362" t="str">
        <f t="shared" si="121"/>
        <v/>
      </c>
      <c r="CP34" s="3366" t="str">
        <f t="shared" si="122"/>
        <v/>
      </c>
      <c r="CQ34" s="3366" t="str">
        <f t="shared" si="123"/>
        <v/>
      </c>
      <c r="CR34" s="2362" t="str">
        <f t="shared" si="124"/>
        <v/>
      </c>
      <c r="CS34" s="2362"/>
      <c r="CT34" s="2362" t="str">
        <f t="shared" si="125"/>
        <v/>
      </c>
      <c r="CU34" s="2362" t="str">
        <f t="shared" si="126"/>
        <v/>
      </c>
      <c r="CV34" s="2362"/>
      <c r="CW34" s="2390"/>
      <c r="CX34" s="2349" t="str">
        <f t="shared" si="13"/>
        <v/>
      </c>
      <c r="CY34" s="2271" t="str">
        <f t="shared" si="14"/>
        <v/>
      </c>
      <c r="CZ34" s="3364" t="str">
        <f t="shared" si="15"/>
        <v/>
      </c>
      <c r="DA34" s="3366" t="str">
        <f t="shared" si="16"/>
        <v/>
      </c>
      <c r="DB34" s="3366" t="str">
        <f t="shared" si="17"/>
        <v/>
      </c>
      <c r="DC34" s="3366" t="str">
        <f t="shared" si="18"/>
        <v/>
      </c>
      <c r="DD34" s="3366" t="str">
        <f t="shared" si="19"/>
        <v/>
      </c>
      <c r="DE34" s="2362" t="str">
        <f t="shared" si="20"/>
        <v/>
      </c>
      <c r="DF34" s="3366" t="str">
        <f t="shared" si="21"/>
        <v/>
      </c>
      <c r="DG34" s="3366" t="str">
        <f t="shared" si="22"/>
        <v/>
      </c>
      <c r="DH34" s="2362" t="str">
        <f t="shared" si="23"/>
        <v/>
      </c>
      <c r="DI34" s="2362"/>
      <c r="DJ34" s="2362" t="str">
        <f t="shared" si="127"/>
        <v/>
      </c>
      <c r="DK34" s="2362" t="str">
        <f t="shared" si="128"/>
        <v/>
      </c>
      <c r="DL34" s="2362" t="str">
        <f t="shared" si="129"/>
        <v/>
      </c>
      <c r="DM34" s="2349"/>
      <c r="DN34" s="3365" t="str">
        <f t="shared" si="25"/>
        <v/>
      </c>
      <c r="DO34" s="3365" t="str">
        <f t="shared" si="26"/>
        <v/>
      </c>
      <c r="DP34" s="3365" t="str">
        <f t="shared" si="27"/>
        <v/>
      </c>
      <c r="DQ34" s="3365" t="str">
        <f t="shared" si="28"/>
        <v/>
      </c>
      <c r="DT34" s="2349" t="str">
        <f t="shared" si="29"/>
        <v/>
      </c>
      <c r="DU34" s="2271" t="str">
        <f t="shared" si="30"/>
        <v/>
      </c>
      <c r="DV34" s="2622" t="str">
        <f t="shared" si="31"/>
        <v/>
      </c>
      <c r="DW34" s="2622" t="str">
        <f t="shared" si="130"/>
        <v/>
      </c>
      <c r="DX34" s="2622"/>
      <c r="DY34" s="2622" t="str">
        <f t="shared" si="131"/>
        <v/>
      </c>
      <c r="DZ34" s="2622" t="str">
        <f t="shared" si="132"/>
        <v/>
      </c>
      <c r="EA34" s="2622" t="str">
        <f t="shared" si="133"/>
        <v/>
      </c>
      <c r="EB34" s="2622" t="str">
        <f t="shared" si="88"/>
        <v/>
      </c>
      <c r="EC34" s="2622" t="str">
        <f t="shared" si="82"/>
        <v/>
      </c>
      <c r="ED34" s="2622" t="str">
        <f t="shared" si="83"/>
        <v/>
      </c>
      <c r="EE34" s="2622"/>
      <c r="EF34" s="2622" t="str">
        <f t="shared" si="134"/>
        <v/>
      </c>
      <c r="EG34" s="2622" t="str">
        <f t="shared" si="135"/>
        <v/>
      </c>
      <c r="EJ34" s="2349" t="str">
        <f t="shared" si="33"/>
        <v/>
      </c>
      <c r="EK34" s="2271" t="str">
        <f t="shared" si="34"/>
        <v/>
      </c>
      <c r="EL34" s="2622" t="str">
        <f t="shared" si="35"/>
        <v/>
      </c>
      <c r="EM34" s="2622"/>
      <c r="EN34" s="2622"/>
      <c r="EO34" s="2622" t="str">
        <f t="shared" si="136"/>
        <v/>
      </c>
      <c r="EP34" s="2622" t="str">
        <f t="shared" si="137"/>
        <v/>
      </c>
      <c r="EQ34" s="2622" t="str">
        <f t="shared" si="138"/>
        <v/>
      </c>
      <c r="ER34" s="2622" t="str">
        <f t="shared" si="89"/>
        <v/>
      </c>
      <c r="ES34" s="2622" t="str">
        <f t="shared" si="85"/>
        <v/>
      </c>
      <c r="ET34" s="2622" t="str">
        <f t="shared" si="86"/>
        <v/>
      </c>
      <c r="EU34" s="2622"/>
      <c r="EV34" s="2622" t="str">
        <f t="shared" si="139"/>
        <v/>
      </c>
      <c r="EW34" s="2622" t="str">
        <f t="shared" si="140"/>
        <v/>
      </c>
      <c r="EY34" s="2349" t="str">
        <f t="shared" si="90"/>
        <v/>
      </c>
      <c r="EZ34" s="2271" t="str">
        <f t="shared" si="91"/>
        <v/>
      </c>
      <c r="FA34" s="2622" t="str">
        <f t="shared" si="92"/>
        <v/>
      </c>
      <c r="FB34" s="2622" t="str">
        <f t="shared" si="93"/>
        <v/>
      </c>
      <c r="FC34" s="2622"/>
      <c r="FD34" s="2622" t="str">
        <f t="shared" si="94"/>
        <v/>
      </c>
      <c r="FE34" s="2622" t="str">
        <f t="shared" si="95"/>
        <v/>
      </c>
      <c r="FF34" s="2622" t="str">
        <f t="shared" si="96"/>
        <v/>
      </c>
      <c r="FG34" s="2622" t="str">
        <f t="shared" si="97"/>
        <v/>
      </c>
      <c r="FH34" s="2622" t="str">
        <f t="shared" si="98"/>
        <v/>
      </c>
      <c r="FI34" s="2622" t="str">
        <f t="shared" si="99"/>
        <v/>
      </c>
      <c r="FJ34" s="2622"/>
      <c r="FK34" s="2622" t="str">
        <f t="shared" si="141"/>
        <v/>
      </c>
      <c r="FL34" s="2622" t="str">
        <f t="shared" si="142"/>
        <v/>
      </c>
      <c r="FO34" s="2349" t="str">
        <f t="shared" si="103"/>
        <v/>
      </c>
      <c r="FP34" s="2271" t="str">
        <f t="shared" si="104"/>
        <v/>
      </c>
      <c r="FQ34" s="2622" t="str">
        <f t="shared" si="105"/>
        <v/>
      </c>
      <c r="FR34" s="2622"/>
      <c r="FS34" s="2622"/>
      <c r="FT34" s="2622" t="str">
        <f t="shared" si="106"/>
        <v/>
      </c>
      <c r="FU34" s="2622" t="str">
        <f t="shared" si="107"/>
        <v/>
      </c>
      <c r="FV34" s="2622" t="str">
        <f t="shared" si="108"/>
        <v/>
      </c>
      <c r="FW34" s="2622" t="str">
        <f t="shared" si="109"/>
        <v/>
      </c>
      <c r="FX34" s="2622" t="str">
        <f t="shared" si="110"/>
        <v/>
      </c>
      <c r="FY34" s="2622" t="str">
        <f t="shared" si="111"/>
        <v/>
      </c>
      <c r="FZ34" s="2622"/>
      <c r="GA34" s="2622" t="str">
        <f t="shared" si="113"/>
        <v/>
      </c>
      <c r="GB34" s="2622" t="str">
        <f t="shared" si="114"/>
        <v/>
      </c>
    </row>
    <row r="35" spans="1:184" s="2332" customFormat="1">
      <c r="A35" s="2390"/>
      <c r="B35" s="2390"/>
      <c r="C35" s="2390"/>
      <c r="D35" s="2349"/>
      <c r="E35" s="1872"/>
      <c r="F35" s="2349"/>
      <c r="G35" s="2271"/>
      <c r="H35" s="2366"/>
      <c r="I35" s="2366"/>
      <c r="J35" s="2366"/>
      <c r="K35" s="2366"/>
      <c r="L35" s="2366"/>
      <c r="M35" s="2362"/>
      <c r="N35" s="2366"/>
      <c r="O35" s="2366"/>
      <c r="P35" s="2362"/>
      <c r="Q35" s="2362"/>
      <c r="R35" s="2362"/>
      <c r="S35" s="2362"/>
      <c r="T35" s="2362"/>
      <c r="U35" s="2390"/>
      <c r="V35" s="2349"/>
      <c r="W35" s="2271"/>
      <c r="X35" s="2366"/>
      <c r="Y35" s="2366"/>
      <c r="Z35" s="2366"/>
      <c r="AA35" s="2366"/>
      <c r="AB35" s="2366"/>
      <c r="AC35" s="2362"/>
      <c r="AD35" s="2366"/>
      <c r="AE35" s="2366"/>
      <c r="AF35" s="2362"/>
      <c r="AG35" s="251"/>
      <c r="AH35" s="2366"/>
      <c r="AI35" s="2362"/>
      <c r="AJ35" s="2362" t="str">
        <f t="shared" si="115"/>
        <v/>
      </c>
      <c r="AK35" s="2349"/>
      <c r="AL35" s="3362"/>
      <c r="AM35" s="3362"/>
      <c r="AN35" s="2366"/>
      <c r="AO35" s="2366"/>
      <c r="AP35" s="2362"/>
      <c r="AQ35" s="2362"/>
      <c r="AR35" s="2362"/>
      <c r="AS35" s="2349"/>
      <c r="AT35" s="2349"/>
      <c r="AU35" s="2271"/>
      <c r="AV35" s="2366"/>
      <c r="AW35" s="2366"/>
      <c r="AX35" s="2366"/>
      <c r="AY35" s="2366"/>
      <c r="AZ35" s="2366"/>
      <c r="BA35" s="2362"/>
      <c r="BB35" s="2366"/>
      <c r="BC35" s="2366"/>
      <c r="BD35" s="3363"/>
      <c r="BE35" s="251"/>
      <c r="BF35" s="2362"/>
      <c r="BG35" s="2362"/>
      <c r="BH35" s="2362"/>
      <c r="BI35" s="2390"/>
      <c r="BJ35" s="2349"/>
      <c r="BK35" s="2271"/>
      <c r="BL35" s="2366"/>
      <c r="BM35" s="2366"/>
      <c r="BN35" s="2366"/>
      <c r="BO35" s="2366"/>
      <c r="BP35" s="2366"/>
      <c r="BQ35" s="3363"/>
      <c r="BR35" s="2366"/>
      <c r="BS35" s="2366"/>
      <c r="BT35" s="2362"/>
      <c r="BU35" s="810"/>
      <c r="BV35" s="2362"/>
      <c r="BW35" s="2362"/>
      <c r="BX35" s="2362"/>
      <c r="BY35" s="2349"/>
      <c r="BZ35" s="2366"/>
      <c r="CA35" s="2366"/>
      <c r="CB35" s="2366"/>
      <c r="CC35" s="2366"/>
      <c r="CD35" s="2362"/>
      <c r="CE35" s="2362"/>
      <c r="CF35" s="2362"/>
      <c r="CG35" s="2349"/>
      <c r="CH35" s="2349" t="str">
        <f t="shared" si="1"/>
        <v/>
      </c>
      <c r="CI35" s="2271" t="str">
        <f t="shared" si="2"/>
        <v/>
      </c>
      <c r="CJ35" s="3364" t="str">
        <f t="shared" si="116"/>
        <v/>
      </c>
      <c r="CK35" s="2366" t="str">
        <f t="shared" si="117"/>
        <v/>
      </c>
      <c r="CL35" s="2366" t="str">
        <f t="shared" si="118"/>
        <v/>
      </c>
      <c r="CM35" s="2366" t="str">
        <f t="shared" si="119"/>
        <v/>
      </c>
      <c r="CN35" s="2366" t="str">
        <f t="shared" si="120"/>
        <v/>
      </c>
      <c r="CO35" s="2362" t="str">
        <f t="shared" si="121"/>
        <v/>
      </c>
      <c r="CP35" s="2366" t="str">
        <f t="shared" si="122"/>
        <v/>
      </c>
      <c r="CQ35" s="2366" t="str">
        <f t="shared" si="123"/>
        <v/>
      </c>
      <c r="CR35" s="2362" t="str">
        <f t="shared" si="124"/>
        <v/>
      </c>
      <c r="CS35" s="2362"/>
      <c r="CT35" s="2362" t="str">
        <f t="shared" si="125"/>
        <v/>
      </c>
      <c r="CU35" s="2362" t="str">
        <f t="shared" si="126"/>
        <v/>
      </c>
      <c r="CV35" s="2362"/>
      <c r="CW35" s="2390"/>
      <c r="CX35" s="2349" t="str">
        <f t="shared" si="13"/>
        <v/>
      </c>
      <c r="CY35" s="2271" t="str">
        <f t="shared" si="14"/>
        <v/>
      </c>
      <c r="CZ35" s="3364" t="str">
        <f t="shared" si="15"/>
        <v/>
      </c>
      <c r="DA35" s="2366" t="str">
        <f t="shared" si="16"/>
        <v/>
      </c>
      <c r="DB35" s="2366" t="str">
        <f t="shared" si="17"/>
        <v/>
      </c>
      <c r="DC35" s="2366" t="str">
        <f t="shared" si="18"/>
        <v/>
      </c>
      <c r="DD35" s="2366" t="str">
        <f t="shared" si="19"/>
        <v/>
      </c>
      <c r="DE35" s="2362" t="str">
        <f t="shared" si="20"/>
        <v/>
      </c>
      <c r="DF35" s="2366" t="str">
        <f t="shared" si="21"/>
        <v/>
      </c>
      <c r="DG35" s="2366" t="str">
        <f t="shared" si="22"/>
        <v/>
      </c>
      <c r="DH35" s="2362" t="str">
        <f t="shared" si="23"/>
        <v/>
      </c>
      <c r="DI35" s="2362"/>
      <c r="DJ35" s="2362" t="str">
        <f t="shared" si="127"/>
        <v/>
      </c>
      <c r="DK35" s="2362" t="str">
        <f t="shared" si="128"/>
        <v/>
      </c>
      <c r="DL35" s="2362" t="str">
        <f t="shared" si="129"/>
        <v/>
      </c>
      <c r="DM35" s="2349"/>
      <c r="DN35" s="3365" t="str">
        <f t="shared" si="25"/>
        <v/>
      </c>
      <c r="DO35" s="3365" t="str">
        <f t="shared" si="26"/>
        <v/>
      </c>
      <c r="DP35" s="3365" t="str">
        <f t="shared" si="27"/>
        <v/>
      </c>
      <c r="DQ35" s="3365" t="str">
        <f t="shared" si="28"/>
        <v/>
      </c>
      <c r="DT35" s="2349" t="str">
        <f t="shared" si="29"/>
        <v/>
      </c>
      <c r="DU35" s="2271" t="str">
        <f t="shared" si="30"/>
        <v/>
      </c>
      <c r="DV35" s="2622" t="str">
        <f t="shared" si="31"/>
        <v/>
      </c>
      <c r="DW35" s="2622" t="str">
        <f t="shared" si="130"/>
        <v/>
      </c>
      <c r="DX35" s="2622"/>
      <c r="DY35" s="2622" t="str">
        <f t="shared" si="131"/>
        <v/>
      </c>
      <c r="DZ35" s="2622" t="str">
        <f t="shared" si="132"/>
        <v/>
      </c>
      <c r="EA35" s="2622" t="str">
        <f t="shared" si="133"/>
        <v/>
      </c>
      <c r="EB35" s="2622" t="str">
        <f t="shared" si="88"/>
        <v/>
      </c>
      <c r="EC35" s="2622" t="str">
        <f t="shared" si="82"/>
        <v/>
      </c>
      <c r="ED35" s="2622" t="str">
        <f t="shared" si="83"/>
        <v/>
      </c>
      <c r="EE35" s="2622"/>
      <c r="EF35" s="2622" t="str">
        <f t="shared" si="134"/>
        <v/>
      </c>
      <c r="EG35" s="2622" t="str">
        <f t="shared" si="135"/>
        <v/>
      </c>
      <c r="EJ35" s="2349" t="str">
        <f t="shared" si="33"/>
        <v/>
      </c>
      <c r="EK35" s="2271" t="str">
        <f t="shared" si="34"/>
        <v/>
      </c>
      <c r="EL35" s="2622" t="str">
        <f t="shared" si="35"/>
        <v/>
      </c>
      <c r="EM35" s="2622"/>
      <c r="EN35" s="2622"/>
      <c r="EO35" s="2622" t="str">
        <f t="shared" si="136"/>
        <v/>
      </c>
      <c r="EP35" s="2622" t="str">
        <f t="shared" si="137"/>
        <v/>
      </c>
      <c r="EQ35" s="2622" t="str">
        <f t="shared" si="138"/>
        <v/>
      </c>
      <c r="ER35" s="2622" t="str">
        <f t="shared" si="89"/>
        <v/>
      </c>
      <c r="ES35" s="2622" t="str">
        <f t="shared" si="85"/>
        <v/>
      </c>
      <c r="ET35" s="2622" t="str">
        <f t="shared" si="86"/>
        <v/>
      </c>
      <c r="EU35" s="2622"/>
      <c r="EV35" s="2622" t="str">
        <f t="shared" si="139"/>
        <v/>
      </c>
      <c r="EW35" s="2622" t="str">
        <f t="shared" si="140"/>
        <v/>
      </c>
      <c r="EY35" s="2349" t="str">
        <f t="shared" si="90"/>
        <v/>
      </c>
      <c r="EZ35" s="2271" t="str">
        <f t="shared" si="91"/>
        <v/>
      </c>
      <c r="FA35" s="2622" t="str">
        <f t="shared" si="92"/>
        <v/>
      </c>
      <c r="FB35" s="2622" t="str">
        <f t="shared" si="93"/>
        <v/>
      </c>
      <c r="FC35" s="2622"/>
      <c r="FD35" s="2622" t="str">
        <f t="shared" si="94"/>
        <v/>
      </c>
      <c r="FE35" s="2622" t="str">
        <f t="shared" si="95"/>
        <v/>
      </c>
      <c r="FF35" s="2622" t="str">
        <f t="shared" si="96"/>
        <v/>
      </c>
      <c r="FG35" s="2622" t="str">
        <f t="shared" si="97"/>
        <v/>
      </c>
      <c r="FH35" s="2622" t="str">
        <f t="shared" si="98"/>
        <v/>
      </c>
      <c r="FI35" s="2622" t="str">
        <f t="shared" si="99"/>
        <v/>
      </c>
      <c r="FJ35" s="2622"/>
      <c r="FK35" s="2622" t="str">
        <f t="shared" si="141"/>
        <v/>
      </c>
      <c r="FL35" s="2622" t="str">
        <f t="shared" si="142"/>
        <v/>
      </c>
      <c r="FO35" s="2349" t="str">
        <f t="shared" si="103"/>
        <v/>
      </c>
      <c r="FP35" s="2271" t="str">
        <f t="shared" si="104"/>
        <v/>
      </c>
      <c r="FQ35" s="2622" t="str">
        <f t="shared" si="105"/>
        <v/>
      </c>
      <c r="FR35" s="2622"/>
      <c r="FS35" s="2622"/>
      <c r="FT35" s="2622" t="str">
        <f t="shared" si="106"/>
        <v/>
      </c>
      <c r="FU35" s="2622" t="str">
        <f t="shared" si="107"/>
        <v/>
      </c>
      <c r="FV35" s="2622" t="str">
        <f t="shared" si="108"/>
        <v/>
      </c>
      <c r="FW35" s="2622" t="str">
        <f t="shared" si="109"/>
        <v/>
      </c>
      <c r="FX35" s="2622" t="str">
        <f t="shared" si="110"/>
        <v/>
      </c>
      <c r="FY35" s="2622" t="str">
        <f t="shared" si="111"/>
        <v/>
      </c>
      <c r="FZ35" s="2622"/>
      <c r="GA35" s="2622" t="str">
        <f t="shared" si="113"/>
        <v/>
      </c>
      <c r="GB35" s="2622" t="str">
        <f t="shared" si="114"/>
        <v/>
      </c>
    </row>
    <row r="36" spans="1:184" s="2332" customFormat="1">
      <c r="A36" s="2390"/>
      <c r="B36" s="2390"/>
      <c r="C36" s="2390"/>
      <c r="D36" s="2349"/>
      <c r="E36" s="1872"/>
      <c r="F36" s="2349"/>
      <c r="G36" s="2271"/>
      <c r="H36" s="2366"/>
      <c r="I36" s="2366"/>
      <c r="J36" s="2366"/>
      <c r="K36" s="2366"/>
      <c r="L36" s="2366"/>
      <c r="M36" s="2362"/>
      <c r="N36" s="2366"/>
      <c r="O36" s="2366"/>
      <c r="P36" s="2362"/>
      <c r="Q36" s="2362"/>
      <c r="R36" s="2362"/>
      <c r="S36" s="2362"/>
      <c r="T36" s="2362"/>
      <c r="U36" s="2390"/>
      <c r="V36" s="2349"/>
      <c r="W36" s="2271"/>
      <c r="X36" s="2366"/>
      <c r="Y36" s="2366"/>
      <c r="Z36" s="2366"/>
      <c r="AA36" s="2366"/>
      <c r="AB36" s="2366"/>
      <c r="AC36" s="2362"/>
      <c r="AD36" s="2366"/>
      <c r="AE36" s="2366"/>
      <c r="AF36" s="2362"/>
      <c r="AG36" s="251"/>
      <c r="AH36" s="2366"/>
      <c r="AI36" s="2362"/>
      <c r="AJ36" s="2362" t="str">
        <f t="shared" si="115"/>
        <v/>
      </c>
      <c r="AK36" s="2349"/>
      <c r="AL36" s="3362"/>
      <c r="AM36" s="3362"/>
      <c r="AN36" s="2366"/>
      <c r="AO36" s="2366"/>
      <c r="AP36" s="2362"/>
      <c r="AQ36" s="2362"/>
      <c r="AR36" s="2362"/>
      <c r="AS36" s="2349"/>
      <c r="AT36" s="2349"/>
      <c r="AU36" s="2271"/>
      <c r="AV36" s="2366"/>
      <c r="AW36" s="2366"/>
      <c r="AX36" s="2366"/>
      <c r="AY36" s="2366"/>
      <c r="AZ36" s="2366"/>
      <c r="BA36" s="2362"/>
      <c r="BB36" s="2366"/>
      <c r="BC36" s="2366"/>
      <c r="BD36" s="3363"/>
      <c r="BE36" s="251"/>
      <c r="BF36" s="2362"/>
      <c r="BG36" s="2362"/>
      <c r="BH36" s="2362"/>
      <c r="BI36" s="2390"/>
      <c r="BJ36" s="2349"/>
      <c r="BK36" s="2271"/>
      <c r="BL36" s="2366"/>
      <c r="BM36" s="2366"/>
      <c r="BN36" s="2366"/>
      <c r="BO36" s="2366"/>
      <c r="BP36" s="2366"/>
      <c r="BQ36" s="3363"/>
      <c r="BR36" s="2366"/>
      <c r="BS36" s="2366"/>
      <c r="BT36" s="2362"/>
      <c r="BU36" s="810"/>
      <c r="BV36" s="2362"/>
      <c r="BW36" s="2362"/>
      <c r="BX36" s="2362"/>
      <c r="BY36" s="2349"/>
      <c r="BZ36" s="2366"/>
      <c r="CA36" s="2366"/>
      <c r="CB36" s="2366"/>
      <c r="CC36" s="2366"/>
      <c r="CD36" s="2362"/>
      <c r="CE36" s="2362"/>
      <c r="CF36" s="2362"/>
      <c r="CG36" s="2349"/>
      <c r="CH36" s="2349" t="str">
        <f t="shared" si="1"/>
        <v/>
      </c>
      <c r="CI36" s="2271" t="str">
        <f t="shared" si="2"/>
        <v/>
      </c>
      <c r="CJ36" s="3364" t="str">
        <f t="shared" si="116"/>
        <v/>
      </c>
      <c r="CK36" s="2366" t="str">
        <f t="shared" si="117"/>
        <v/>
      </c>
      <c r="CL36" s="2366" t="str">
        <f t="shared" si="118"/>
        <v/>
      </c>
      <c r="CM36" s="2366" t="str">
        <f t="shared" si="119"/>
        <v/>
      </c>
      <c r="CN36" s="2366" t="str">
        <f t="shared" si="120"/>
        <v/>
      </c>
      <c r="CO36" s="2362" t="str">
        <f t="shared" si="121"/>
        <v/>
      </c>
      <c r="CP36" s="2366" t="str">
        <f t="shared" si="122"/>
        <v/>
      </c>
      <c r="CQ36" s="2366" t="str">
        <f t="shared" si="123"/>
        <v/>
      </c>
      <c r="CR36" s="2362" t="str">
        <f t="shared" si="124"/>
        <v/>
      </c>
      <c r="CS36" s="2362"/>
      <c r="CT36" s="2362" t="str">
        <f t="shared" si="125"/>
        <v/>
      </c>
      <c r="CU36" s="2362" t="str">
        <f t="shared" si="126"/>
        <v/>
      </c>
      <c r="CV36" s="2362"/>
      <c r="CW36" s="2390"/>
      <c r="CX36" s="2349" t="str">
        <f t="shared" si="13"/>
        <v/>
      </c>
      <c r="CY36" s="2271" t="str">
        <f t="shared" si="14"/>
        <v/>
      </c>
      <c r="CZ36" s="3364" t="str">
        <f t="shared" si="15"/>
        <v/>
      </c>
      <c r="DA36" s="2366" t="str">
        <f t="shared" si="16"/>
        <v/>
      </c>
      <c r="DB36" s="2366" t="str">
        <f t="shared" si="17"/>
        <v/>
      </c>
      <c r="DC36" s="2366" t="str">
        <f t="shared" si="18"/>
        <v/>
      </c>
      <c r="DD36" s="2366" t="str">
        <f t="shared" si="19"/>
        <v/>
      </c>
      <c r="DE36" s="2362" t="str">
        <f t="shared" si="20"/>
        <v/>
      </c>
      <c r="DF36" s="2366" t="str">
        <f t="shared" si="21"/>
        <v/>
      </c>
      <c r="DG36" s="2366" t="str">
        <f t="shared" si="22"/>
        <v/>
      </c>
      <c r="DH36" s="2362" t="str">
        <f t="shared" si="23"/>
        <v/>
      </c>
      <c r="DI36" s="2362"/>
      <c r="DJ36" s="2362" t="str">
        <f t="shared" si="127"/>
        <v/>
      </c>
      <c r="DK36" s="2362" t="str">
        <f t="shared" si="128"/>
        <v/>
      </c>
      <c r="DL36" s="2362" t="str">
        <f t="shared" si="129"/>
        <v/>
      </c>
      <c r="DM36" s="2349"/>
      <c r="DN36" s="3365" t="str">
        <f t="shared" si="25"/>
        <v/>
      </c>
      <c r="DO36" s="3365" t="str">
        <f t="shared" si="26"/>
        <v/>
      </c>
      <c r="DP36" s="3365" t="str">
        <f t="shared" si="27"/>
        <v/>
      </c>
      <c r="DQ36" s="3365" t="str">
        <f t="shared" si="28"/>
        <v/>
      </c>
      <c r="DT36" s="2349" t="str">
        <f t="shared" si="29"/>
        <v/>
      </c>
      <c r="DU36" s="2271" t="str">
        <f t="shared" si="30"/>
        <v/>
      </c>
      <c r="DV36" s="2622" t="str">
        <f t="shared" si="31"/>
        <v/>
      </c>
      <c r="DW36" s="2622" t="str">
        <f t="shared" si="130"/>
        <v/>
      </c>
      <c r="DX36" s="2622"/>
      <c r="DY36" s="2622" t="str">
        <f t="shared" si="131"/>
        <v/>
      </c>
      <c r="DZ36" s="2622" t="str">
        <f t="shared" si="132"/>
        <v/>
      </c>
      <c r="EA36" s="2622" t="str">
        <f t="shared" si="133"/>
        <v/>
      </c>
      <c r="EB36" s="2622" t="str">
        <f t="shared" si="88"/>
        <v/>
      </c>
      <c r="EC36" s="2622" t="str">
        <f t="shared" si="82"/>
        <v/>
      </c>
      <c r="ED36" s="2622" t="str">
        <f t="shared" si="83"/>
        <v/>
      </c>
      <c r="EE36" s="2622"/>
      <c r="EF36" s="2622" t="str">
        <f t="shared" si="134"/>
        <v/>
      </c>
      <c r="EG36" s="2622" t="str">
        <f t="shared" si="135"/>
        <v/>
      </c>
      <c r="EJ36" s="2349" t="str">
        <f t="shared" si="33"/>
        <v/>
      </c>
      <c r="EK36" s="2271" t="str">
        <f t="shared" si="34"/>
        <v/>
      </c>
      <c r="EL36" s="2622" t="str">
        <f t="shared" si="35"/>
        <v/>
      </c>
      <c r="EM36" s="2622"/>
      <c r="EN36" s="2622"/>
      <c r="EO36" s="2622" t="str">
        <f t="shared" si="136"/>
        <v/>
      </c>
      <c r="EP36" s="2622" t="str">
        <f t="shared" si="137"/>
        <v/>
      </c>
      <c r="EQ36" s="2622" t="str">
        <f t="shared" si="138"/>
        <v/>
      </c>
      <c r="ER36" s="2622" t="str">
        <f t="shared" si="89"/>
        <v/>
      </c>
      <c r="ES36" s="2622" t="str">
        <f t="shared" si="85"/>
        <v/>
      </c>
      <c r="ET36" s="2622" t="str">
        <f t="shared" si="86"/>
        <v/>
      </c>
      <c r="EU36" s="2622"/>
      <c r="EV36" s="2622" t="str">
        <f t="shared" si="139"/>
        <v/>
      </c>
      <c r="EW36" s="2622" t="str">
        <f t="shared" si="140"/>
        <v/>
      </c>
      <c r="EY36" s="2349" t="str">
        <f t="shared" si="90"/>
        <v/>
      </c>
      <c r="EZ36" s="2271" t="str">
        <f t="shared" si="91"/>
        <v/>
      </c>
      <c r="FA36" s="2622" t="str">
        <f t="shared" si="92"/>
        <v/>
      </c>
      <c r="FB36" s="2622" t="str">
        <f t="shared" si="93"/>
        <v/>
      </c>
      <c r="FC36" s="2622"/>
      <c r="FD36" s="2622" t="str">
        <f t="shared" si="94"/>
        <v/>
      </c>
      <c r="FE36" s="2622" t="str">
        <f t="shared" si="95"/>
        <v/>
      </c>
      <c r="FF36" s="2622" t="str">
        <f t="shared" si="96"/>
        <v/>
      </c>
      <c r="FG36" s="2622" t="str">
        <f t="shared" si="97"/>
        <v/>
      </c>
      <c r="FH36" s="2622" t="str">
        <f t="shared" si="98"/>
        <v/>
      </c>
      <c r="FI36" s="2622" t="str">
        <f t="shared" si="99"/>
        <v/>
      </c>
      <c r="FJ36" s="2622"/>
      <c r="FK36" s="2622" t="str">
        <f t="shared" si="141"/>
        <v/>
      </c>
      <c r="FL36" s="2622" t="str">
        <f t="shared" si="142"/>
        <v/>
      </c>
      <c r="FO36" s="2349" t="str">
        <f t="shared" si="103"/>
        <v/>
      </c>
      <c r="FP36" s="2271" t="str">
        <f t="shared" si="104"/>
        <v/>
      </c>
      <c r="FQ36" s="2622" t="str">
        <f t="shared" si="105"/>
        <v/>
      </c>
      <c r="FR36" s="2622"/>
      <c r="FS36" s="2622"/>
      <c r="FT36" s="2622" t="str">
        <f t="shared" si="106"/>
        <v/>
      </c>
      <c r="FU36" s="2622" t="str">
        <f t="shared" si="107"/>
        <v/>
      </c>
      <c r="FV36" s="2622" t="str">
        <f t="shared" si="108"/>
        <v/>
      </c>
      <c r="FW36" s="2622" t="str">
        <f t="shared" si="109"/>
        <v/>
      </c>
      <c r="FX36" s="2622" t="str">
        <f t="shared" si="110"/>
        <v/>
      </c>
      <c r="FY36" s="2622" t="str">
        <f t="shared" si="111"/>
        <v/>
      </c>
      <c r="FZ36" s="2622"/>
      <c r="GA36" s="2622" t="str">
        <f t="shared" si="113"/>
        <v/>
      </c>
      <c r="GB36" s="2622" t="str">
        <f t="shared" si="114"/>
        <v/>
      </c>
    </row>
    <row r="37" spans="1:184" s="2332" customFormat="1">
      <c r="A37" s="1872"/>
      <c r="B37" s="2390"/>
      <c r="C37" s="2390"/>
      <c r="D37" s="2349"/>
      <c r="E37" s="1872"/>
      <c r="F37" s="2349"/>
      <c r="G37" s="2271"/>
      <c r="H37" s="2366"/>
      <c r="I37" s="2366"/>
      <c r="J37" s="2366"/>
      <c r="K37" s="2366"/>
      <c r="L37" s="2366"/>
      <c r="M37" s="2362"/>
      <c r="N37" s="2366"/>
      <c r="O37" s="2366"/>
      <c r="P37" s="2362"/>
      <c r="Q37" s="2362"/>
      <c r="R37" s="2362"/>
      <c r="S37" s="2362"/>
      <c r="T37" s="2362"/>
      <c r="U37" s="2390"/>
      <c r="V37" s="2349"/>
      <c r="W37" s="2271"/>
      <c r="X37" s="2366"/>
      <c r="Y37" s="2366"/>
      <c r="Z37" s="2366"/>
      <c r="AA37" s="2366"/>
      <c r="AB37" s="2366"/>
      <c r="AC37" s="2362"/>
      <c r="AD37" s="2366"/>
      <c r="AE37" s="2366"/>
      <c r="AF37" s="2362"/>
      <c r="AG37" s="251"/>
      <c r="AH37" s="2366"/>
      <c r="AI37" s="2362"/>
      <c r="AJ37" s="2362" t="str">
        <f t="shared" si="115"/>
        <v/>
      </c>
      <c r="AK37" s="2349"/>
      <c r="AL37" s="3362"/>
      <c r="AM37" s="3362"/>
      <c r="AN37" s="2366"/>
      <c r="AO37" s="2366"/>
      <c r="AP37" s="2362"/>
      <c r="AQ37" s="2362"/>
      <c r="AR37" s="2362"/>
      <c r="AS37" s="2349"/>
      <c r="AT37" s="2349"/>
      <c r="AU37" s="2271"/>
      <c r="AV37" s="2366"/>
      <c r="AW37" s="2366"/>
      <c r="AX37" s="2366"/>
      <c r="AY37" s="2366"/>
      <c r="AZ37" s="2366"/>
      <c r="BA37" s="2362"/>
      <c r="BB37" s="2366"/>
      <c r="BC37" s="2366"/>
      <c r="BD37" s="3363"/>
      <c r="BE37" s="251"/>
      <c r="BF37" s="2362"/>
      <c r="BG37" s="2362"/>
      <c r="BH37" s="2362"/>
      <c r="BI37" s="2390"/>
      <c r="BJ37" s="2349"/>
      <c r="BK37" s="2271"/>
      <c r="BL37" s="2366"/>
      <c r="BM37" s="2366"/>
      <c r="BN37" s="2366"/>
      <c r="BO37" s="2366"/>
      <c r="BP37" s="2366"/>
      <c r="BQ37" s="3363"/>
      <c r="BR37" s="2366"/>
      <c r="BS37" s="2366"/>
      <c r="BT37" s="2362"/>
      <c r="BU37" s="810"/>
      <c r="BV37" s="2362"/>
      <c r="BW37" s="2362"/>
      <c r="BX37" s="2362"/>
      <c r="BY37" s="2349"/>
      <c r="BZ37" s="2366"/>
      <c r="CA37" s="2366"/>
      <c r="CB37" s="2366"/>
      <c r="CC37" s="2366"/>
      <c r="CD37" s="2362"/>
      <c r="CE37" s="2362"/>
      <c r="CF37" s="2362"/>
      <c r="CG37" s="2349"/>
      <c r="CH37" s="2349" t="str">
        <f t="shared" si="1"/>
        <v/>
      </c>
      <c r="CI37" s="2271" t="str">
        <f t="shared" si="2"/>
        <v/>
      </c>
      <c r="CJ37" s="3364" t="str">
        <f t="shared" si="116"/>
        <v/>
      </c>
      <c r="CK37" s="2366" t="str">
        <f t="shared" si="117"/>
        <v/>
      </c>
      <c r="CL37" s="2366" t="str">
        <f t="shared" si="118"/>
        <v/>
      </c>
      <c r="CM37" s="2366" t="str">
        <f t="shared" si="119"/>
        <v/>
      </c>
      <c r="CN37" s="2366" t="str">
        <f t="shared" si="120"/>
        <v/>
      </c>
      <c r="CO37" s="2362" t="str">
        <f t="shared" si="121"/>
        <v/>
      </c>
      <c r="CP37" s="2366" t="str">
        <f t="shared" si="122"/>
        <v/>
      </c>
      <c r="CQ37" s="2366" t="str">
        <f t="shared" si="123"/>
        <v/>
      </c>
      <c r="CR37" s="2362" t="str">
        <f t="shared" si="124"/>
        <v/>
      </c>
      <c r="CS37" s="2362"/>
      <c r="CT37" s="2362" t="str">
        <f t="shared" si="125"/>
        <v/>
      </c>
      <c r="CU37" s="2362" t="str">
        <f t="shared" si="126"/>
        <v/>
      </c>
      <c r="CV37" s="2362"/>
      <c r="CW37" s="2390"/>
      <c r="CX37" s="2349" t="str">
        <f t="shared" si="13"/>
        <v/>
      </c>
      <c r="CY37" s="2271" t="str">
        <f t="shared" si="14"/>
        <v/>
      </c>
      <c r="CZ37" s="3364" t="str">
        <f t="shared" si="15"/>
        <v/>
      </c>
      <c r="DA37" s="2366" t="str">
        <f t="shared" si="16"/>
        <v/>
      </c>
      <c r="DB37" s="2366" t="str">
        <f t="shared" si="17"/>
        <v/>
      </c>
      <c r="DC37" s="2366" t="str">
        <f t="shared" si="18"/>
        <v/>
      </c>
      <c r="DD37" s="2366" t="str">
        <f t="shared" si="19"/>
        <v/>
      </c>
      <c r="DE37" s="2362" t="str">
        <f t="shared" si="20"/>
        <v/>
      </c>
      <c r="DF37" s="2366" t="str">
        <f t="shared" si="21"/>
        <v/>
      </c>
      <c r="DG37" s="2366" t="str">
        <f t="shared" si="22"/>
        <v/>
      </c>
      <c r="DH37" s="2362" t="str">
        <f t="shared" si="23"/>
        <v/>
      </c>
      <c r="DI37" s="2362"/>
      <c r="DJ37" s="2362" t="str">
        <f t="shared" si="127"/>
        <v/>
      </c>
      <c r="DK37" s="2362" t="str">
        <f t="shared" si="128"/>
        <v/>
      </c>
      <c r="DL37" s="2362" t="str">
        <f t="shared" si="129"/>
        <v/>
      </c>
      <c r="DM37" s="2349"/>
      <c r="DN37" s="3365" t="str">
        <f t="shared" si="25"/>
        <v/>
      </c>
      <c r="DO37" s="3365" t="str">
        <f t="shared" si="26"/>
        <v/>
      </c>
      <c r="DP37" s="3365" t="str">
        <f t="shared" si="27"/>
        <v/>
      </c>
      <c r="DQ37" s="3365" t="str">
        <f t="shared" si="28"/>
        <v/>
      </c>
      <c r="DT37" s="2349" t="str">
        <f t="shared" si="29"/>
        <v/>
      </c>
      <c r="DU37" s="2271" t="str">
        <f t="shared" si="30"/>
        <v/>
      </c>
      <c r="DV37" s="2622" t="str">
        <f t="shared" si="31"/>
        <v/>
      </c>
      <c r="DW37" s="2622" t="str">
        <f t="shared" si="130"/>
        <v/>
      </c>
      <c r="DX37" s="2622"/>
      <c r="DY37" s="2622" t="str">
        <f t="shared" si="131"/>
        <v/>
      </c>
      <c r="DZ37" s="2622" t="str">
        <f t="shared" si="132"/>
        <v/>
      </c>
      <c r="EA37" s="2622" t="str">
        <f t="shared" si="133"/>
        <v/>
      </c>
      <c r="EB37" s="2622" t="str">
        <f t="shared" si="88"/>
        <v/>
      </c>
      <c r="EC37" s="2622" t="str">
        <f t="shared" si="82"/>
        <v/>
      </c>
      <c r="ED37" s="2622" t="str">
        <f t="shared" si="83"/>
        <v/>
      </c>
      <c r="EE37" s="2622"/>
      <c r="EF37" s="2622" t="str">
        <f t="shared" si="134"/>
        <v/>
      </c>
      <c r="EG37" s="2622" t="str">
        <f t="shared" si="135"/>
        <v/>
      </c>
      <c r="EJ37" s="2349" t="str">
        <f t="shared" si="33"/>
        <v/>
      </c>
      <c r="EK37" s="2271" t="str">
        <f t="shared" si="34"/>
        <v/>
      </c>
      <c r="EL37" s="2622" t="str">
        <f t="shared" si="35"/>
        <v/>
      </c>
      <c r="EM37" s="2622"/>
      <c r="EN37" s="2622"/>
      <c r="EO37" s="2622" t="str">
        <f t="shared" si="136"/>
        <v/>
      </c>
      <c r="EP37" s="2622" t="str">
        <f t="shared" si="137"/>
        <v/>
      </c>
      <c r="EQ37" s="2622" t="str">
        <f t="shared" si="138"/>
        <v/>
      </c>
      <c r="ER37" s="2622" t="str">
        <f t="shared" si="89"/>
        <v/>
      </c>
      <c r="ES37" s="2622" t="str">
        <f t="shared" si="85"/>
        <v/>
      </c>
      <c r="ET37" s="2622" t="str">
        <f t="shared" si="86"/>
        <v/>
      </c>
      <c r="EU37" s="2622"/>
      <c r="EV37" s="2622" t="str">
        <f t="shared" si="139"/>
        <v/>
      </c>
      <c r="EW37" s="2622" t="str">
        <f t="shared" si="140"/>
        <v/>
      </c>
      <c r="EY37" s="2349" t="str">
        <f t="shared" si="90"/>
        <v/>
      </c>
      <c r="EZ37" s="2271" t="str">
        <f t="shared" si="91"/>
        <v/>
      </c>
      <c r="FA37" s="2622" t="str">
        <f t="shared" si="92"/>
        <v/>
      </c>
      <c r="FB37" s="2622" t="str">
        <f t="shared" si="93"/>
        <v/>
      </c>
      <c r="FC37" s="2622"/>
      <c r="FD37" s="2622" t="str">
        <f t="shared" si="94"/>
        <v/>
      </c>
      <c r="FE37" s="2622" t="str">
        <f t="shared" si="95"/>
        <v/>
      </c>
      <c r="FF37" s="2622" t="str">
        <f t="shared" si="96"/>
        <v/>
      </c>
      <c r="FG37" s="2622" t="str">
        <f t="shared" si="97"/>
        <v/>
      </c>
      <c r="FH37" s="2622" t="str">
        <f t="shared" si="98"/>
        <v/>
      </c>
      <c r="FI37" s="2622" t="str">
        <f t="shared" si="99"/>
        <v/>
      </c>
      <c r="FJ37" s="2622"/>
      <c r="FK37" s="2622" t="str">
        <f t="shared" si="141"/>
        <v/>
      </c>
      <c r="FL37" s="2622" t="str">
        <f t="shared" si="142"/>
        <v/>
      </c>
      <c r="FO37" s="2349" t="str">
        <f t="shared" si="103"/>
        <v/>
      </c>
      <c r="FP37" s="2271" t="str">
        <f t="shared" si="104"/>
        <v/>
      </c>
      <c r="FQ37" s="2622" t="str">
        <f t="shared" si="105"/>
        <v/>
      </c>
      <c r="FR37" s="2622"/>
      <c r="FS37" s="2622"/>
      <c r="FT37" s="2622" t="str">
        <f t="shared" si="106"/>
        <v/>
      </c>
      <c r="FU37" s="2622" t="str">
        <f t="shared" si="107"/>
        <v/>
      </c>
      <c r="FV37" s="2622" t="str">
        <f t="shared" si="108"/>
        <v/>
      </c>
      <c r="FW37" s="2622" t="str">
        <f t="shared" si="109"/>
        <v/>
      </c>
      <c r="FX37" s="2622" t="str">
        <f t="shared" si="110"/>
        <v/>
      </c>
      <c r="FY37" s="2622" t="str">
        <f t="shared" si="111"/>
        <v/>
      </c>
      <c r="FZ37" s="2622"/>
      <c r="GA37" s="2622" t="str">
        <f t="shared" si="113"/>
        <v/>
      </c>
      <c r="GB37" s="2622" t="str">
        <f t="shared" si="114"/>
        <v/>
      </c>
    </row>
    <row r="38" spans="1:184" s="2332" customFormat="1">
      <c r="A38" s="1872"/>
      <c r="B38" s="2390"/>
      <c r="C38" s="2390"/>
      <c r="D38" s="2349"/>
      <c r="E38" s="1872"/>
      <c r="F38" s="2349"/>
      <c r="G38" s="2271"/>
      <c r="H38" s="2366"/>
      <c r="I38" s="2366"/>
      <c r="J38" s="2366"/>
      <c r="K38" s="2366"/>
      <c r="L38" s="2366"/>
      <c r="M38" s="2362"/>
      <c r="N38" s="2366"/>
      <c r="O38" s="2366"/>
      <c r="P38" s="2362"/>
      <c r="Q38" s="2362"/>
      <c r="R38" s="2362"/>
      <c r="S38" s="2362"/>
      <c r="T38" s="2362"/>
      <c r="U38" s="2390"/>
      <c r="V38" s="2349"/>
      <c r="W38" s="2271"/>
      <c r="X38" s="2366"/>
      <c r="Y38" s="2366"/>
      <c r="Z38" s="2366"/>
      <c r="AA38" s="2366"/>
      <c r="AB38" s="2366"/>
      <c r="AC38" s="2362"/>
      <c r="AD38" s="2366"/>
      <c r="AE38" s="2366"/>
      <c r="AF38" s="2362"/>
      <c r="AG38" s="251"/>
      <c r="AH38" s="2366"/>
      <c r="AI38" s="2362"/>
      <c r="AJ38" s="2362" t="str">
        <f t="shared" si="115"/>
        <v/>
      </c>
      <c r="AK38" s="2349"/>
      <c r="AL38" s="3362"/>
      <c r="AM38" s="3362"/>
      <c r="AN38" s="2366"/>
      <c r="AO38" s="2366"/>
      <c r="AP38" s="2362"/>
      <c r="AQ38" s="2362"/>
      <c r="AR38" s="2362"/>
      <c r="AS38" s="2349"/>
      <c r="AT38" s="2349"/>
      <c r="AU38" s="2271"/>
      <c r="AV38" s="2366"/>
      <c r="AW38" s="2366"/>
      <c r="AX38" s="2366"/>
      <c r="AY38" s="2366"/>
      <c r="AZ38" s="2366"/>
      <c r="BA38" s="2362"/>
      <c r="BB38" s="2366"/>
      <c r="BC38" s="2366"/>
      <c r="BD38" s="3363"/>
      <c r="BE38" s="251"/>
      <c r="BF38" s="2362"/>
      <c r="BG38" s="2362"/>
      <c r="BH38" s="2362"/>
      <c r="BI38" s="2390"/>
      <c r="BJ38" s="2349"/>
      <c r="BK38" s="2271"/>
      <c r="BL38" s="2366"/>
      <c r="BM38" s="2366"/>
      <c r="BN38" s="2366"/>
      <c r="BO38" s="2366"/>
      <c r="BP38" s="2366"/>
      <c r="BQ38" s="3363"/>
      <c r="BR38" s="2366"/>
      <c r="BS38" s="2366"/>
      <c r="BT38" s="2362"/>
      <c r="BU38" s="810"/>
      <c r="BV38" s="2362"/>
      <c r="BW38" s="2362"/>
      <c r="BX38" s="2362"/>
      <c r="BY38" s="2349"/>
      <c r="BZ38" s="2366"/>
      <c r="CA38" s="2366"/>
      <c r="CB38" s="2366"/>
      <c r="CC38" s="2366"/>
      <c r="CD38" s="2362"/>
      <c r="CE38" s="2362"/>
      <c r="CF38" s="2362"/>
      <c r="CG38" s="2349"/>
      <c r="CH38" s="2349" t="str">
        <f t="shared" si="1"/>
        <v/>
      </c>
      <c r="CI38" s="2271" t="str">
        <f t="shared" si="2"/>
        <v/>
      </c>
      <c r="CJ38" s="3364" t="str">
        <f t="shared" si="116"/>
        <v/>
      </c>
      <c r="CK38" s="2366" t="str">
        <f t="shared" si="117"/>
        <v/>
      </c>
      <c r="CL38" s="2366" t="str">
        <f t="shared" si="118"/>
        <v/>
      </c>
      <c r="CM38" s="2366" t="str">
        <f t="shared" si="119"/>
        <v/>
      </c>
      <c r="CN38" s="2366" t="str">
        <f t="shared" si="120"/>
        <v/>
      </c>
      <c r="CO38" s="2362" t="str">
        <f t="shared" si="121"/>
        <v/>
      </c>
      <c r="CP38" s="2366" t="str">
        <f t="shared" si="122"/>
        <v/>
      </c>
      <c r="CQ38" s="2366" t="str">
        <f t="shared" si="123"/>
        <v/>
      </c>
      <c r="CR38" s="2362" t="str">
        <f t="shared" si="124"/>
        <v/>
      </c>
      <c r="CS38" s="2362"/>
      <c r="CT38" s="2362" t="str">
        <f t="shared" si="125"/>
        <v/>
      </c>
      <c r="CU38" s="2362" t="str">
        <f t="shared" si="126"/>
        <v/>
      </c>
      <c r="CV38" s="2362"/>
      <c r="CW38" s="2390"/>
      <c r="CX38" s="2349" t="str">
        <f t="shared" si="13"/>
        <v/>
      </c>
      <c r="CY38" s="2271" t="str">
        <f t="shared" si="14"/>
        <v/>
      </c>
      <c r="CZ38" s="3364" t="str">
        <f t="shared" si="15"/>
        <v/>
      </c>
      <c r="DA38" s="2366" t="str">
        <f t="shared" si="16"/>
        <v/>
      </c>
      <c r="DB38" s="2366" t="str">
        <f t="shared" si="17"/>
        <v/>
      </c>
      <c r="DC38" s="2366" t="str">
        <f t="shared" si="18"/>
        <v/>
      </c>
      <c r="DD38" s="2366" t="str">
        <f t="shared" si="19"/>
        <v/>
      </c>
      <c r="DE38" s="2362" t="str">
        <f t="shared" si="20"/>
        <v/>
      </c>
      <c r="DF38" s="2366" t="str">
        <f t="shared" si="21"/>
        <v/>
      </c>
      <c r="DG38" s="2366" t="str">
        <f t="shared" si="22"/>
        <v/>
      </c>
      <c r="DH38" s="2362" t="str">
        <f t="shared" si="23"/>
        <v/>
      </c>
      <c r="DI38" s="2362"/>
      <c r="DJ38" s="2362" t="str">
        <f t="shared" si="127"/>
        <v/>
      </c>
      <c r="DK38" s="2362" t="str">
        <f t="shared" si="128"/>
        <v/>
      </c>
      <c r="DL38" s="2362" t="str">
        <f t="shared" si="129"/>
        <v/>
      </c>
      <c r="DM38" s="2349"/>
      <c r="DN38" s="3365" t="str">
        <f t="shared" si="25"/>
        <v/>
      </c>
      <c r="DO38" s="3365" t="str">
        <f t="shared" si="26"/>
        <v/>
      </c>
      <c r="DP38" s="3365" t="str">
        <f t="shared" si="27"/>
        <v/>
      </c>
      <c r="DQ38" s="3365" t="str">
        <f t="shared" si="28"/>
        <v/>
      </c>
      <c r="DT38" s="2349" t="str">
        <f t="shared" si="29"/>
        <v/>
      </c>
      <c r="DU38" s="2271" t="str">
        <f t="shared" si="30"/>
        <v/>
      </c>
      <c r="DV38" s="2622" t="str">
        <f t="shared" si="31"/>
        <v/>
      </c>
      <c r="DW38" s="2622" t="str">
        <f t="shared" si="130"/>
        <v/>
      </c>
      <c r="DX38" s="2622"/>
      <c r="DY38" s="2622" t="str">
        <f t="shared" si="131"/>
        <v/>
      </c>
      <c r="DZ38" s="2622" t="str">
        <f t="shared" si="132"/>
        <v/>
      </c>
      <c r="EA38" s="2622" t="str">
        <f t="shared" si="133"/>
        <v/>
      </c>
      <c r="EB38" s="2622" t="str">
        <f t="shared" si="88"/>
        <v/>
      </c>
      <c r="EC38" s="2622" t="str">
        <f t="shared" si="82"/>
        <v/>
      </c>
      <c r="ED38" s="2622" t="str">
        <f t="shared" si="83"/>
        <v/>
      </c>
      <c r="EE38" s="2622"/>
      <c r="EF38" s="2622" t="str">
        <f t="shared" si="134"/>
        <v/>
      </c>
      <c r="EG38" s="2622" t="str">
        <f t="shared" si="135"/>
        <v/>
      </c>
      <c r="EJ38" s="2349" t="str">
        <f t="shared" si="33"/>
        <v/>
      </c>
      <c r="EK38" s="2271" t="str">
        <f t="shared" si="34"/>
        <v/>
      </c>
      <c r="EL38" s="2622" t="str">
        <f t="shared" si="35"/>
        <v/>
      </c>
      <c r="EM38" s="2622"/>
      <c r="EN38" s="2622"/>
      <c r="EO38" s="2622" t="str">
        <f t="shared" si="136"/>
        <v/>
      </c>
      <c r="EP38" s="2622" t="str">
        <f t="shared" si="137"/>
        <v/>
      </c>
      <c r="EQ38" s="2622" t="str">
        <f t="shared" si="138"/>
        <v/>
      </c>
      <c r="ER38" s="2622" t="str">
        <f t="shared" si="89"/>
        <v/>
      </c>
      <c r="ES38" s="2622" t="str">
        <f t="shared" si="85"/>
        <v/>
      </c>
      <c r="ET38" s="2622" t="str">
        <f t="shared" si="86"/>
        <v/>
      </c>
      <c r="EU38" s="2622"/>
      <c r="EV38" s="2622" t="str">
        <f t="shared" si="139"/>
        <v/>
      </c>
      <c r="EW38" s="2622" t="str">
        <f t="shared" si="140"/>
        <v/>
      </c>
      <c r="EY38" s="2349" t="str">
        <f t="shared" si="90"/>
        <v/>
      </c>
      <c r="EZ38" s="2271" t="str">
        <f t="shared" si="91"/>
        <v/>
      </c>
      <c r="FA38" s="2622" t="str">
        <f t="shared" si="92"/>
        <v/>
      </c>
      <c r="FB38" s="2622" t="str">
        <f t="shared" si="93"/>
        <v/>
      </c>
      <c r="FC38" s="2622"/>
      <c r="FD38" s="2622" t="str">
        <f t="shared" si="94"/>
        <v/>
      </c>
      <c r="FE38" s="2622" t="str">
        <f t="shared" si="95"/>
        <v/>
      </c>
      <c r="FF38" s="2622" t="str">
        <f t="shared" si="96"/>
        <v/>
      </c>
      <c r="FG38" s="2622" t="str">
        <f t="shared" si="97"/>
        <v/>
      </c>
      <c r="FH38" s="2622" t="str">
        <f t="shared" si="98"/>
        <v/>
      </c>
      <c r="FI38" s="2622" t="str">
        <f t="shared" si="99"/>
        <v/>
      </c>
      <c r="FJ38" s="2622"/>
      <c r="FK38" s="2622" t="str">
        <f t="shared" si="141"/>
        <v/>
      </c>
      <c r="FL38" s="2622" t="str">
        <f t="shared" si="142"/>
        <v/>
      </c>
      <c r="FO38" s="2349" t="str">
        <f t="shared" si="103"/>
        <v/>
      </c>
      <c r="FP38" s="2271" t="str">
        <f t="shared" si="104"/>
        <v/>
      </c>
      <c r="FQ38" s="2622" t="str">
        <f t="shared" si="105"/>
        <v/>
      </c>
      <c r="FR38" s="2622"/>
      <c r="FS38" s="2622"/>
      <c r="FT38" s="2622" t="str">
        <f t="shared" si="106"/>
        <v/>
      </c>
      <c r="FU38" s="2622" t="str">
        <f t="shared" si="107"/>
        <v/>
      </c>
      <c r="FV38" s="2622" t="str">
        <f t="shared" si="108"/>
        <v/>
      </c>
      <c r="FW38" s="2622" t="str">
        <f t="shared" si="109"/>
        <v/>
      </c>
      <c r="FX38" s="2622" t="str">
        <f t="shared" si="110"/>
        <v/>
      </c>
      <c r="FY38" s="2622" t="str">
        <f t="shared" si="111"/>
        <v/>
      </c>
      <c r="FZ38" s="2622"/>
      <c r="GA38" s="2622" t="str">
        <f t="shared" si="113"/>
        <v/>
      </c>
      <c r="GB38" s="2622" t="str">
        <f t="shared" si="114"/>
        <v/>
      </c>
    </row>
    <row r="39" spans="1:184" s="2332" customFormat="1">
      <c r="A39" s="1872"/>
      <c r="B39" s="2390"/>
      <c r="C39" s="2390"/>
      <c r="D39" s="2349"/>
      <c r="E39" s="1872"/>
      <c r="F39" s="2349"/>
      <c r="G39" s="2271"/>
      <c r="H39" s="2366"/>
      <c r="I39" s="2366"/>
      <c r="J39" s="2366"/>
      <c r="K39" s="2366"/>
      <c r="L39" s="2366"/>
      <c r="M39" s="2362"/>
      <c r="N39" s="2366"/>
      <c r="O39" s="2366"/>
      <c r="P39" s="2362"/>
      <c r="Q39" s="2362"/>
      <c r="R39" s="2362"/>
      <c r="S39" s="2362"/>
      <c r="T39" s="2362"/>
      <c r="U39" s="2390"/>
      <c r="V39" s="2349"/>
      <c r="W39" s="2271"/>
      <c r="X39" s="2366"/>
      <c r="Y39" s="2366"/>
      <c r="Z39" s="2366"/>
      <c r="AA39" s="2366"/>
      <c r="AB39" s="2366"/>
      <c r="AC39" s="2362"/>
      <c r="AD39" s="2366"/>
      <c r="AE39" s="2366"/>
      <c r="AF39" s="2362"/>
      <c r="AG39" s="251"/>
      <c r="AH39" s="2366"/>
      <c r="AI39" s="2362"/>
      <c r="AJ39" s="2362" t="str">
        <f t="shared" si="115"/>
        <v/>
      </c>
      <c r="AK39" s="2349"/>
      <c r="AL39" s="3362"/>
      <c r="AM39" s="3362"/>
      <c r="AN39" s="2366"/>
      <c r="AO39" s="2366"/>
      <c r="AP39" s="2362"/>
      <c r="AQ39" s="2362"/>
      <c r="AR39" s="2362"/>
      <c r="AS39" s="2349"/>
      <c r="AT39" s="2349"/>
      <c r="AU39" s="2271"/>
      <c r="AV39" s="2366"/>
      <c r="AW39" s="2366"/>
      <c r="AX39" s="2366"/>
      <c r="AY39" s="2366"/>
      <c r="AZ39" s="2366"/>
      <c r="BA39" s="2362"/>
      <c r="BB39" s="2366"/>
      <c r="BC39" s="2366"/>
      <c r="BD39" s="3363"/>
      <c r="BE39" s="251"/>
      <c r="BF39" s="2362"/>
      <c r="BG39" s="2362"/>
      <c r="BH39" s="2362"/>
      <c r="BI39" s="2390"/>
      <c r="BJ39" s="2349"/>
      <c r="BK39" s="2271"/>
      <c r="BL39" s="2366"/>
      <c r="BM39" s="2366"/>
      <c r="BN39" s="2366"/>
      <c r="BO39" s="2366"/>
      <c r="BP39" s="2366"/>
      <c r="BQ39" s="3363"/>
      <c r="BR39" s="2366"/>
      <c r="BS39" s="2366"/>
      <c r="BT39" s="2362"/>
      <c r="BU39" s="810"/>
      <c r="BV39" s="2362"/>
      <c r="BW39" s="2362"/>
      <c r="BX39" s="2362"/>
      <c r="BY39" s="2349"/>
      <c r="BZ39" s="2366"/>
      <c r="CA39" s="2366"/>
      <c r="CB39" s="2366"/>
      <c r="CC39" s="2366"/>
      <c r="CD39" s="2362"/>
      <c r="CE39" s="2362"/>
      <c r="CF39" s="2362"/>
      <c r="CG39" s="2349"/>
      <c r="CH39" s="2349" t="str">
        <f t="shared" si="1"/>
        <v/>
      </c>
      <c r="CI39" s="2271" t="str">
        <f t="shared" si="2"/>
        <v/>
      </c>
      <c r="CJ39" s="3364" t="str">
        <f t="shared" si="116"/>
        <v/>
      </c>
      <c r="CK39" s="2366" t="str">
        <f t="shared" si="117"/>
        <v/>
      </c>
      <c r="CL39" s="2366" t="str">
        <f t="shared" si="118"/>
        <v/>
      </c>
      <c r="CM39" s="2366" t="str">
        <f t="shared" si="119"/>
        <v/>
      </c>
      <c r="CN39" s="2366" t="str">
        <f t="shared" si="120"/>
        <v/>
      </c>
      <c r="CO39" s="2362" t="str">
        <f t="shared" si="121"/>
        <v/>
      </c>
      <c r="CP39" s="2366" t="str">
        <f t="shared" si="122"/>
        <v/>
      </c>
      <c r="CQ39" s="2366" t="str">
        <f t="shared" si="123"/>
        <v/>
      </c>
      <c r="CR39" s="2362" t="str">
        <f t="shared" si="124"/>
        <v/>
      </c>
      <c r="CS39" s="2362"/>
      <c r="CT39" s="2362" t="str">
        <f t="shared" si="125"/>
        <v/>
      </c>
      <c r="CU39" s="2362" t="str">
        <f t="shared" si="126"/>
        <v/>
      </c>
      <c r="CV39" s="2362"/>
      <c r="CW39" s="2390"/>
      <c r="CX39" s="2349" t="str">
        <f t="shared" si="13"/>
        <v/>
      </c>
      <c r="CY39" s="2271" t="str">
        <f t="shared" si="14"/>
        <v/>
      </c>
      <c r="CZ39" s="3364" t="str">
        <f t="shared" si="15"/>
        <v/>
      </c>
      <c r="DA39" s="2366" t="str">
        <f t="shared" si="16"/>
        <v/>
      </c>
      <c r="DB39" s="2366" t="str">
        <f t="shared" si="17"/>
        <v/>
      </c>
      <c r="DC39" s="2366" t="str">
        <f t="shared" si="18"/>
        <v/>
      </c>
      <c r="DD39" s="2366" t="str">
        <f t="shared" si="19"/>
        <v/>
      </c>
      <c r="DE39" s="2362" t="str">
        <f t="shared" si="20"/>
        <v/>
      </c>
      <c r="DF39" s="2366" t="str">
        <f t="shared" si="21"/>
        <v/>
      </c>
      <c r="DG39" s="2366" t="str">
        <f t="shared" si="22"/>
        <v/>
      </c>
      <c r="DH39" s="2362" t="str">
        <f t="shared" si="23"/>
        <v/>
      </c>
      <c r="DI39" s="2362"/>
      <c r="DJ39" s="2362" t="str">
        <f t="shared" si="127"/>
        <v/>
      </c>
      <c r="DK39" s="2362" t="str">
        <f t="shared" si="128"/>
        <v/>
      </c>
      <c r="DL39" s="2362" t="str">
        <f t="shared" si="129"/>
        <v/>
      </c>
      <c r="DM39" s="2349"/>
      <c r="DN39" s="3365" t="str">
        <f t="shared" si="25"/>
        <v/>
      </c>
      <c r="DO39" s="3365" t="str">
        <f t="shared" si="26"/>
        <v/>
      </c>
      <c r="DP39" s="3365" t="str">
        <f t="shared" si="27"/>
        <v/>
      </c>
      <c r="DQ39" s="3365" t="str">
        <f t="shared" si="28"/>
        <v/>
      </c>
      <c r="DT39" s="2349" t="str">
        <f t="shared" si="29"/>
        <v/>
      </c>
      <c r="DU39" s="2271" t="str">
        <f t="shared" si="30"/>
        <v/>
      </c>
      <c r="DV39" s="2622" t="str">
        <f t="shared" si="31"/>
        <v/>
      </c>
      <c r="DW39" s="2622" t="str">
        <f t="shared" si="130"/>
        <v/>
      </c>
      <c r="DX39" s="2622"/>
      <c r="DY39" s="2622" t="str">
        <f t="shared" si="131"/>
        <v/>
      </c>
      <c r="DZ39" s="2622" t="str">
        <f t="shared" si="132"/>
        <v/>
      </c>
      <c r="EA39" s="2622" t="str">
        <f t="shared" si="133"/>
        <v/>
      </c>
      <c r="EB39" s="2622" t="str">
        <f t="shared" si="88"/>
        <v/>
      </c>
      <c r="EC39" s="2622" t="str">
        <f t="shared" si="82"/>
        <v/>
      </c>
      <c r="ED39" s="2622" t="str">
        <f t="shared" si="83"/>
        <v/>
      </c>
      <c r="EE39" s="2622"/>
      <c r="EF39" s="2622" t="str">
        <f t="shared" si="134"/>
        <v/>
      </c>
      <c r="EG39" s="2622" t="str">
        <f t="shared" si="135"/>
        <v/>
      </c>
      <c r="EJ39" s="2349" t="str">
        <f t="shared" si="33"/>
        <v/>
      </c>
      <c r="EK39" s="2271" t="str">
        <f t="shared" si="34"/>
        <v/>
      </c>
      <c r="EL39" s="2622" t="str">
        <f t="shared" si="35"/>
        <v/>
      </c>
      <c r="EM39" s="2622"/>
      <c r="EN39" s="2622"/>
      <c r="EO39" s="2622" t="str">
        <f t="shared" si="136"/>
        <v/>
      </c>
      <c r="EP39" s="2622" t="str">
        <f t="shared" si="137"/>
        <v/>
      </c>
      <c r="EQ39" s="2622" t="str">
        <f t="shared" si="138"/>
        <v/>
      </c>
      <c r="ER39" s="2622" t="str">
        <f t="shared" si="89"/>
        <v/>
      </c>
      <c r="ES39" s="2622" t="str">
        <f t="shared" si="85"/>
        <v/>
      </c>
      <c r="ET39" s="2622" t="str">
        <f t="shared" si="86"/>
        <v/>
      </c>
      <c r="EU39" s="2622"/>
      <c r="EV39" s="2622" t="str">
        <f t="shared" si="139"/>
        <v/>
      </c>
      <c r="EW39" s="2622" t="str">
        <f t="shared" si="140"/>
        <v/>
      </c>
      <c r="EY39" s="2349" t="str">
        <f t="shared" si="90"/>
        <v/>
      </c>
      <c r="EZ39" s="2271" t="str">
        <f t="shared" si="91"/>
        <v/>
      </c>
      <c r="FA39" s="2622" t="str">
        <f t="shared" si="92"/>
        <v/>
      </c>
      <c r="FB39" s="2622" t="str">
        <f t="shared" si="93"/>
        <v/>
      </c>
      <c r="FC39" s="2622"/>
      <c r="FD39" s="2622" t="str">
        <f t="shared" si="94"/>
        <v/>
      </c>
      <c r="FE39" s="2622" t="str">
        <f t="shared" si="95"/>
        <v/>
      </c>
      <c r="FF39" s="2622" t="str">
        <f t="shared" si="96"/>
        <v/>
      </c>
      <c r="FG39" s="2622" t="str">
        <f t="shared" si="97"/>
        <v/>
      </c>
      <c r="FH39" s="2622" t="str">
        <f t="shared" si="98"/>
        <v/>
      </c>
      <c r="FI39" s="2622" t="str">
        <f t="shared" si="99"/>
        <v/>
      </c>
      <c r="FJ39" s="2622"/>
      <c r="FK39" s="2622" t="str">
        <f t="shared" si="141"/>
        <v/>
      </c>
      <c r="FL39" s="2622" t="str">
        <f t="shared" si="142"/>
        <v/>
      </c>
      <c r="FO39" s="2349" t="str">
        <f t="shared" si="103"/>
        <v/>
      </c>
      <c r="FP39" s="2271" t="str">
        <f t="shared" si="104"/>
        <v/>
      </c>
      <c r="FQ39" s="2622" t="str">
        <f t="shared" si="105"/>
        <v/>
      </c>
      <c r="FR39" s="2622"/>
      <c r="FS39" s="2622"/>
      <c r="FT39" s="2622" t="str">
        <f t="shared" si="106"/>
        <v/>
      </c>
      <c r="FU39" s="2622" t="str">
        <f t="shared" si="107"/>
        <v/>
      </c>
      <c r="FV39" s="2622" t="str">
        <f t="shared" si="108"/>
        <v/>
      </c>
      <c r="FW39" s="2622" t="str">
        <f t="shared" si="109"/>
        <v/>
      </c>
      <c r="FX39" s="2622" t="str">
        <f t="shared" si="110"/>
        <v/>
      </c>
      <c r="FY39" s="2622" t="str">
        <f t="shared" si="111"/>
        <v/>
      </c>
      <c r="FZ39" s="2622"/>
      <c r="GA39" s="2622" t="str">
        <f t="shared" si="113"/>
        <v/>
      </c>
      <c r="GB39" s="2622" t="str">
        <f t="shared" si="114"/>
        <v/>
      </c>
    </row>
    <row r="40" spans="1:184">
      <c r="A40" s="1802"/>
      <c r="B40" s="1802"/>
      <c r="C40" s="1802"/>
      <c r="D40" s="1289"/>
      <c r="E40" s="1802"/>
      <c r="F40" s="1291"/>
      <c r="G40" s="1291"/>
      <c r="H40" s="1291"/>
      <c r="I40" s="1291"/>
      <c r="J40" s="1291"/>
      <c r="K40" s="1291"/>
      <c r="L40" s="1291"/>
      <c r="M40" s="1291"/>
      <c r="N40" s="1291"/>
      <c r="O40" s="1291"/>
      <c r="P40" s="1291"/>
      <c r="Q40" s="1291"/>
      <c r="R40" s="1291"/>
      <c r="S40" s="1291"/>
      <c r="T40" s="2341"/>
      <c r="U40" s="1289"/>
      <c r="V40" s="1291" t="s">
        <v>1550</v>
      </c>
      <c r="W40" s="1291"/>
      <c r="X40" s="1291"/>
      <c r="Y40" s="1291"/>
      <c r="Z40" s="1291"/>
      <c r="AA40" s="1291"/>
      <c r="AB40" s="1291"/>
      <c r="AC40" s="1291"/>
      <c r="AD40" s="1291"/>
      <c r="AE40" s="1291"/>
      <c r="AF40" s="1291"/>
      <c r="AG40" s="1291"/>
      <c r="AH40" s="1291"/>
      <c r="AI40" s="1804"/>
      <c r="AJ40" s="1804"/>
      <c r="AK40" s="2346"/>
      <c r="AL40" s="1291"/>
      <c r="AM40" s="1291"/>
      <c r="AN40" s="1291"/>
      <c r="AO40" s="1291"/>
      <c r="AP40" s="1291"/>
      <c r="AQ40" s="1291"/>
      <c r="AR40" s="1291"/>
      <c r="AS40" s="1291"/>
      <c r="AT40" s="1291"/>
      <c r="AU40" s="1291"/>
      <c r="AV40" s="1291"/>
      <c r="AW40" s="1291"/>
      <c r="AX40" s="1291"/>
      <c r="AY40" s="1291"/>
      <c r="AZ40" s="1291"/>
      <c r="BA40" s="1291"/>
      <c r="BB40" s="1291"/>
      <c r="BC40" s="1291"/>
      <c r="BD40" s="2799"/>
      <c r="BE40" s="1291"/>
      <c r="BF40" s="1291"/>
      <c r="BG40" s="2341"/>
      <c r="BH40" s="1291"/>
      <c r="BI40" s="1289"/>
      <c r="BJ40" s="1291"/>
      <c r="BK40" s="1291"/>
      <c r="BL40" s="1291"/>
      <c r="BM40" s="1291"/>
      <c r="BN40" s="1291"/>
      <c r="BO40" s="1291"/>
      <c r="BP40" s="1291"/>
      <c r="BQ40" s="2799"/>
      <c r="BR40" s="1291"/>
      <c r="BS40" s="1291"/>
      <c r="BT40" s="1291"/>
      <c r="BU40" s="1291"/>
      <c r="BV40" s="1291"/>
      <c r="BW40" s="1291"/>
      <c r="BX40" s="2341"/>
      <c r="BY40" s="1291"/>
      <c r="BZ40" s="1291"/>
      <c r="CA40" s="1291"/>
      <c r="CB40" s="1291"/>
      <c r="CC40" s="1291"/>
      <c r="CD40" s="2341"/>
      <c r="CE40" s="2341"/>
      <c r="CF40" s="2341"/>
      <c r="CG40" s="2346"/>
      <c r="CH40" s="2341"/>
      <c r="CI40" s="2341"/>
      <c r="CJ40" s="2341"/>
      <c r="CK40" s="2341"/>
      <c r="CL40" s="2341"/>
      <c r="CM40" s="2341"/>
      <c r="CN40" s="2341"/>
      <c r="CO40" s="2341"/>
      <c r="CP40" s="2341"/>
      <c r="CQ40" s="2341"/>
      <c r="CR40" s="2341"/>
      <c r="CS40" s="2341"/>
      <c r="CT40" s="2341"/>
      <c r="CU40" s="2341"/>
      <c r="CV40" s="2341"/>
      <c r="CW40" s="2340"/>
      <c r="CX40" s="2341"/>
      <c r="CY40" s="2341"/>
      <c r="CZ40" s="2341"/>
      <c r="DA40" s="2341"/>
      <c r="DB40" s="2341"/>
      <c r="DC40" s="2341"/>
      <c r="DD40" s="2341"/>
      <c r="DE40" s="2341"/>
      <c r="DF40" s="2341"/>
      <c r="DG40" s="2341"/>
      <c r="DH40" s="2341"/>
      <c r="DI40" s="2341"/>
      <c r="DJ40" s="2341"/>
      <c r="DK40" s="2341"/>
      <c r="DL40" s="2341"/>
      <c r="DT40" s="2341"/>
      <c r="DU40" s="2341"/>
      <c r="DV40" s="2341"/>
      <c r="DW40" s="2341"/>
      <c r="DX40" s="2341"/>
      <c r="DY40" s="2341"/>
      <c r="DZ40" s="2341"/>
      <c r="EA40" s="2341"/>
      <c r="EB40" s="2341"/>
      <c r="EC40" s="2341"/>
      <c r="ED40" s="2341"/>
      <c r="EE40" s="2341"/>
      <c r="EF40" s="2341"/>
      <c r="EG40" s="2341"/>
      <c r="EJ40" s="2341"/>
      <c r="EK40" s="2341"/>
      <c r="EL40" s="2341"/>
      <c r="EM40" s="2341"/>
      <c r="EN40" s="2341"/>
      <c r="EO40" s="2341"/>
      <c r="EP40" s="2341"/>
      <c r="EQ40" s="2341"/>
      <c r="ER40" s="2341"/>
      <c r="ES40" s="2341"/>
      <c r="ET40" s="2341"/>
      <c r="EU40" s="2341"/>
      <c r="EV40" s="2341"/>
      <c r="EW40" s="2341"/>
      <c r="EY40" s="2341"/>
      <c r="EZ40" s="2341"/>
      <c r="FA40" s="2341"/>
      <c r="FB40" s="2341"/>
      <c r="FC40" s="2341"/>
      <c r="FD40" s="2341"/>
      <c r="FE40" s="2341"/>
      <c r="FF40" s="2341"/>
      <c r="FG40" s="2341"/>
      <c r="FH40" s="2341"/>
      <c r="FI40" s="2341"/>
      <c r="FJ40" s="2341"/>
      <c r="FK40" s="2341"/>
      <c r="FL40" s="2341"/>
      <c r="FO40" s="2341"/>
      <c r="FP40" s="2341"/>
      <c r="FQ40" s="2341"/>
      <c r="FR40" s="2341"/>
      <c r="FS40" s="2341"/>
      <c r="FT40" s="2341"/>
      <c r="FU40" s="2341"/>
      <c r="FV40" s="2341"/>
      <c r="FW40" s="2341"/>
      <c r="FX40" s="2341"/>
      <c r="FY40" s="2341"/>
      <c r="FZ40" s="2341"/>
      <c r="GA40" s="2341"/>
      <c r="GB40" s="2341"/>
    </row>
    <row r="41" spans="1:184">
      <c r="A41" s="1802"/>
      <c r="B41" s="1802"/>
      <c r="C41" s="1802"/>
      <c r="D41" s="1289"/>
      <c r="E41" s="1802"/>
      <c r="F41" s="1291"/>
      <c r="G41" s="1291"/>
      <c r="H41" s="1291"/>
      <c r="I41" s="1291"/>
      <c r="J41" s="1291"/>
      <c r="K41" s="1291"/>
      <c r="L41" s="1291"/>
      <c r="M41" s="1291"/>
      <c r="N41" s="1291"/>
      <c r="O41" s="1291"/>
      <c r="P41" s="1291"/>
      <c r="Q41" s="1291"/>
      <c r="R41" s="1291"/>
      <c r="S41" s="1291"/>
      <c r="T41" s="2341"/>
      <c r="U41" s="1289"/>
      <c r="V41" s="1291"/>
      <c r="W41" s="1291"/>
      <c r="X41" s="1291"/>
      <c r="Y41" s="1291"/>
      <c r="Z41" s="1291"/>
      <c r="AA41" s="1291"/>
      <c r="AB41" s="1291"/>
      <c r="AC41" s="1291"/>
      <c r="AD41" s="1291"/>
      <c r="AE41" s="1291"/>
      <c r="AF41" s="1291"/>
      <c r="AG41" s="1291"/>
      <c r="AH41" s="1291"/>
      <c r="AI41" s="1804"/>
      <c r="AJ41" s="1804"/>
      <c r="AK41" s="2346"/>
      <c r="AL41" s="1291"/>
      <c r="AM41" s="1291"/>
      <c r="AN41" s="1291"/>
      <c r="AO41" s="1291"/>
      <c r="AP41" s="1291"/>
      <c r="AQ41" s="1291"/>
      <c r="AR41" s="1291"/>
      <c r="AS41" s="1291"/>
      <c r="AT41" s="1291"/>
      <c r="AU41" s="1291"/>
      <c r="AV41" s="1291"/>
      <c r="AW41" s="1291"/>
      <c r="AX41" s="1291"/>
      <c r="AY41" s="1291"/>
      <c r="AZ41" s="1291"/>
      <c r="BA41" s="1291"/>
      <c r="BB41" s="1291"/>
      <c r="BC41" s="1291"/>
      <c r="BD41" s="2799"/>
      <c r="BE41" s="1291"/>
      <c r="BF41" s="1291"/>
      <c r="BG41" s="2341"/>
      <c r="BH41" s="1291"/>
      <c r="BI41" s="1289"/>
      <c r="BJ41" s="1291"/>
      <c r="BK41" s="1291"/>
      <c r="BL41" s="1291"/>
      <c r="BM41" s="1291"/>
      <c r="BN41" s="1291"/>
      <c r="BO41" s="1291"/>
      <c r="BP41" s="1291"/>
      <c r="BQ41" s="2799"/>
      <c r="BR41" s="1291"/>
      <c r="BS41" s="1291"/>
      <c r="BT41" s="1291"/>
      <c r="BU41" s="1291"/>
      <c r="BV41" s="1291"/>
      <c r="BW41" s="1291"/>
      <c r="BX41" s="2341"/>
      <c r="BY41" s="1291"/>
      <c r="BZ41" s="1291"/>
      <c r="CA41" s="1291"/>
      <c r="CB41" s="1291"/>
      <c r="CC41" s="1291"/>
      <c r="CD41" s="2341"/>
      <c r="CE41" s="2341"/>
      <c r="CF41" s="2341"/>
      <c r="CG41" s="2346"/>
      <c r="CH41" s="2341"/>
      <c r="CI41" s="2341"/>
      <c r="CJ41" s="2341"/>
      <c r="CK41" s="2341"/>
      <c r="CL41" s="2341"/>
      <c r="CM41" s="2341"/>
      <c r="CN41" s="2341"/>
      <c r="CO41" s="2341"/>
      <c r="CP41" s="2341"/>
      <c r="CQ41" s="2341"/>
      <c r="CR41" s="2341"/>
      <c r="CS41" s="2341"/>
      <c r="CT41" s="2341"/>
      <c r="CU41" s="2341"/>
      <c r="CV41" s="2341"/>
      <c r="CW41" s="2340"/>
      <c r="CX41" s="2341"/>
      <c r="CY41" s="2341"/>
      <c r="CZ41" s="2341"/>
      <c r="DA41" s="2341"/>
      <c r="DB41" s="2341"/>
      <c r="DC41" s="2341"/>
      <c r="DD41" s="2341"/>
      <c r="DE41" s="2341"/>
      <c r="DF41" s="2341"/>
      <c r="DG41" s="2341"/>
      <c r="DH41" s="2341"/>
      <c r="DI41" s="2341"/>
      <c r="DJ41" s="2341"/>
      <c r="DK41" s="2341"/>
      <c r="DL41" s="2341"/>
      <c r="DT41" s="2341"/>
      <c r="DU41" s="2341"/>
      <c r="DV41" s="2341"/>
      <c r="DW41" s="2341"/>
      <c r="DX41" s="2341"/>
      <c r="DY41" s="2341"/>
      <c r="DZ41" s="2341"/>
      <c r="EA41" s="2341"/>
      <c r="EB41" s="2341"/>
      <c r="EC41" s="2341"/>
      <c r="ED41" s="2341"/>
      <c r="EE41" s="2341"/>
      <c r="EF41" s="2341"/>
      <c r="EG41" s="2341"/>
      <c r="EJ41" s="2341"/>
      <c r="EK41" s="2341"/>
      <c r="EL41" s="2341"/>
      <c r="EM41" s="2341"/>
      <c r="EN41" s="2341"/>
      <c r="EO41" s="2341"/>
      <c r="EP41" s="2341"/>
      <c r="EQ41" s="2341"/>
      <c r="ER41" s="2341"/>
      <c r="ES41" s="2341"/>
      <c r="ET41" s="2341"/>
      <c r="EU41" s="2341"/>
      <c r="EV41" s="2341"/>
      <c r="EW41" s="2341"/>
      <c r="EY41" s="2341"/>
      <c r="EZ41" s="2341"/>
      <c r="FA41" s="2341"/>
      <c r="FB41" s="2341"/>
      <c r="FC41" s="2341"/>
      <c r="FD41" s="2341"/>
      <c r="FE41" s="2341"/>
      <c r="FF41" s="2341"/>
      <c r="FG41" s="2341"/>
      <c r="FH41" s="2341"/>
      <c r="FI41" s="2341"/>
      <c r="FJ41" s="2341"/>
      <c r="FK41" s="2341"/>
      <c r="FL41" s="2341"/>
      <c r="FO41" s="2341"/>
      <c r="FP41" s="2341"/>
      <c r="FQ41" s="2341"/>
      <c r="FR41" s="2341"/>
      <c r="FS41" s="2341"/>
      <c r="FT41" s="2341"/>
      <c r="FU41" s="2341"/>
      <c r="FV41" s="2341"/>
      <c r="FW41" s="2341"/>
      <c r="FX41" s="2341"/>
      <c r="FY41" s="2341"/>
      <c r="FZ41" s="2341"/>
      <c r="GA41" s="2341"/>
      <c r="GB41" s="2341"/>
    </row>
    <row r="42" spans="1:184">
      <c r="A42" s="1802"/>
      <c r="B42" s="1802"/>
      <c r="C42" s="1802"/>
      <c r="D42" s="1289"/>
      <c r="E42" s="1802"/>
      <c r="F42" s="1291"/>
      <c r="G42" s="1291"/>
      <c r="H42" s="1291"/>
      <c r="I42" s="1291"/>
      <c r="J42" s="1291"/>
      <c r="K42" s="1291"/>
      <c r="L42" s="1291"/>
      <c r="M42" s="1291"/>
      <c r="N42" s="1291"/>
      <c r="O42" s="1291"/>
      <c r="P42" s="1291"/>
      <c r="Q42" s="1291"/>
      <c r="R42" s="1291"/>
      <c r="S42" s="1291"/>
      <c r="T42" s="2341"/>
      <c r="U42" s="1289"/>
      <c r="V42" s="1291"/>
      <c r="W42" s="1291"/>
      <c r="X42" s="1291"/>
      <c r="Y42" s="1291"/>
      <c r="Z42" s="1291"/>
      <c r="AA42" s="1291"/>
      <c r="AB42" s="1291"/>
      <c r="AC42" s="1291"/>
      <c r="AD42" s="1291"/>
      <c r="AE42" s="1291"/>
      <c r="AF42" s="1291"/>
      <c r="AG42" s="1291"/>
      <c r="AH42" s="1291"/>
      <c r="AI42" s="1804"/>
      <c r="AJ42" s="1804"/>
      <c r="AK42" s="2346"/>
      <c r="AL42" s="1291"/>
      <c r="AM42" s="1291"/>
      <c r="AN42" s="1291"/>
      <c r="AO42" s="1291"/>
      <c r="AP42" s="1291"/>
      <c r="AQ42" s="1291"/>
      <c r="AR42" s="1291"/>
      <c r="AS42" s="1291"/>
      <c r="AT42" s="1291"/>
      <c r="AU42" s="1291"/>
      <c r="AV42" s="1291"/>
      <c r="AW42" s="1291"/>
      <c r="AX42" s="1291"/>
      <c r="AY42" s="1291"/>
      <c r="AZ42" s="1291"/>
      <c r="BA42" s="1291"/>
      <c r="BB42" s="1291"/>
      <c r="BC42" s="1291"/>
      <c r="BD42" s="2799"/>
      <c r="BE42" s="1291"/>
      <c r="BF42" s="1291"/>
      <c r="BG42" s="2341"/>
      <c r="BH42" s="1291"/>
      <c r="BI42" s="1289"/>
      <c r="BJ42" s="1291"/>
      <c r="BK42" s="1291"/>
      <c r="BL42" s="1291"/>
      <c r="BM42" s="1291"/>
      <c r="BN42" s="1291"/>
      <c r="BO42" s="1291"/>
      <c r="BP42" s="1291"/>
      <c r="BQ42" s="2799"/>
      <c r="BR42" s="1291"/>
      <c r="BS42" s="1291"/>
      <c r="BT42" s="1291"/>
      <c r="BU42" s="1291"/>
      <c r="BV42" s="1291"/>
      <c r="BW42" s="1291"/>
      <c r="BX42" s="2341"/>
      <c r="BY42" s="1291"/>
      <c r="BZ42" s="1291"/>
      <c r="CA42" s="1291"/>
      <c r="CB42" s="1291"/>
      <c r="CC42" s="1291"/>
      <c r="CD42" s="2341"/>
      <c r="CE42" s="2341"/>
      <c r="CF42" s="2341"/>
      <c r="CG42" s="2346"/>
      <c r="CH42" s="2341"/>
      <c r="CI42" s="2341"/>
      <c r="CJ42" s="2341"/>
      <c r="CK42" s="2341"/>
      <c r="CL42" s="2341"/>
      <c r="CM42" s="2341"/>
      <c r="CN42" s="2341"/>
      <c r="CO42" s="2341"/>
      <c r="CP42" s="2341"/>
      <c r="CQ42" s="2341"/>
      <c r="CR42" s="2341"/>
      <c r="CS42" s="2341"/>
      <c r="CT42" s="2341"/>
      <c r="CU42" s="2341"/>
      <c r="CV42" s="2341"/>
      <c r="CW42" s="2340"/>
      <c r="CX42" s="2341"/>
      <c r="CY42" s="2341"/>
      <c r="CZ42" s="2341"/>
      <c r="DA42" s="2341"/>
      <c r="DB42" s="2341"/>
      <c r="DC42" s="2341"/>
      <c r="DD42" s="2341"/>
      <c r="DE42" s="2341"/>
      <c r="DF42" s="2341"/>
      <c r="DG42" s="2341"/>
      <c r="DH42" s="2341"/>
      <c r="DI42" s="2341"/>
      <c r="DJ42" s="2341"/>
      <c r="DK42" s="2341"/>
      <c r="DL42" s="2341"/>
      <c r="DT42" s="2341"/>
      <c r="DU42" s="2341"/>
      <c r="DV42" s="2341"/>
      <c r="DW42" s="2341"/>
      <c r="DX42" s="2341"/>
      <c r="DY42" s="2341"/>
      <c r="DZ42" s="2341"/>
      <c r="EA42" s="2341"/>
      <c r="EB42" s="2341"/>
      <c r="EC42" s="2341"/>
      <c r="ED42" s="2341"/>
      <c r="EE42" s="2341"/>
      <c r="EF42" s="2341"/>
      <c r="EG42" s="2341"/>
      <c r="EJ42" s="2341"/>
      <c r="EK42" s="2341"/>
      <c r="EL42" s="2341"/>
      <c r="EM42" s="2341"/>
      <c r="EN42" s="2341"/>
      <c r="EO42" s="2341"/>
      <c r="EP42" s="2341"/>
      <c r="EQ42" s="2341"/>
      <c r="ER42" s="2341"/>
      <c r="ES42" s="2341"/>
      <c r="ET42" s="2341"/>
      <c r="EU42" s="2341"/>
      <c r="EV42" s="2341"/>
      <c r="EW42" s="2341"/>
      <c r="EY42" s="2341"/>
      <c r="EZ42" s="2341"/>
      <c r="FA42" s="2341"/>
      <c r="FB42" s="2341"/>
      <c r="FC42" s="2341"/>
      <c r="FD42" s="2341"/>
      <c r="FE42" s="2341"/>
      <c r="FF42" s="2341"/>
      <c r="FG42" s="2341"/>
      <c r="FH42" s="2341"/>
      <c r="FI42" s="2341"/>
      <c r="FJ42" s="2341"/>
      <c r="FK42" s="2341"/>
      <c r="FL42" s="2341"/>
      <c r="FO42" s="2341"/>
      <c r="FP42" s="2341"/>
      <c r="FQ42" s="2341"/>
      <c r="FR42" s="2341"/>
      <c r="FS42" s="2341"/>
      <c r="FT42" s="2341"/>
      <c r="FU42" s="2341"/>
      <c r="FV42" s="2341"/>
      <c r="FW42" s="2341"/>
      <c r="FX42" s="2341"/>
      <c r="FY42" s="2341"/>
      <c r="FZ42" s="2341"/>
      <c r="GA42" s="2341"/>
      <c r="GB42" s="2341"/>
    </row>
    <row r="43" spans="1:184" s="1855" customFormat="1" ht="19.149999999999999" customHeight="1" thickBot="1">
      <c r="D43" s="2430"/>
      <c r="F43" s="4310" t="s">
        <v>1599</v>
      </c>
      <c r="G43" s="2430"/>
      <c r="H43" s="2430"/>
      <c r="I43" s="2430"/>
      <c r="J43" s="2430"/>
      <c r="K43" s="2430"/>
      <c r="L43" s="2430"/>
      <c r="M43" s="2430"/>
      <c r="N43" s="2430"/>
      <c r="O43" s="2430"/>
      <c r="P43" s="2430"/>
      <c r="Q43" s="2430"/>
      <c r="R43" s="2430"/>
      <c r="S43" s="2430"/>
      <c r="T43" s="2430"/>
      <c r="U43" s="2430"/>
      <c r="V43" s="4310" t="s">
        <v>1603</v>
      </c>
      <c r="W43" s="2430"/>
      <c r="X43" s="2430"/>
      <c r="Y43" s="2430"/>
      <c r="Z43" s="2430"/>
      <c r="AA43" s="2430"/>
      <c r="AB43" s="2430"/>
      <c r="AC43" s="2430"/>
      <c r="AD43" s="2430"/>
      <c r="AE43" s="2430"/>
      <c r="AF43" s="2430"/>
      <c r="AG43" s="2430"/>
      <c r="AH43" s="2430"/>
      <c r="AL43" s="2430"/>
      <c r="AM43" s="2430"/>
      <c r="AN43" s="2430"/>
      <c r="AO43" s="2430"/>
      <c r="AP43" s="2430"/>
      <c r="AQ43" s="2430"/>
      <c r="AR43" s="2430"/>
      <c r="AS43" s="2430"/>
      <c r="AT43" s="4310" t="s">
        <v>1610</v>
      </c>
      <c r="AU43" s="2430"/>
      <c r="AV43" s="2430"/>
      <c r="AW43" s="2430"/>
      <c r="AX43" s="2430"/>
      <c r="AY43" s="2430"/>
      <c r="AZ43" s="2430"/>
      <c r="BA43" s="2430"/>
      <c r="BB43" s="2430"/>
      <c r="BC43" s="2430"/>
      <c r="BD43" s="2800"/>
      <c r="BE43" s="2430"/>
      <c r="BF43" s="2430"/>
      <c r="BG43" s="2430"/>
      <c r="BH43" s="2430"/>
      <c r="BI43" s="2430"/>
      <c r="BJ43" s="4310" t="s">
        <v>1603</v>
      </c>
      <c r="BK43" s="2430"/>
      <c r="BL43" s="2430"/>
      <c r="BM43" s="2430"/>
      <c r="BN43" s="2430"/>
      <c r="BO43" s="2430"/>
      <c r="BP43" s="2430"/>
      <c r="BQ43" s="2800"/>
      <c r="BR43" s="2430"/>
      <c r="BS43" s="2430"/>
      <c r="BT43" s="2430"/>
      <c r="BU43" s="2430"/>
      <c r="BV43" s="2430"/>
      <c r="BW43" s="2430"/>
      <c r="BX43" s="2430"/>
      <c r="BY43" s="2430"/>
      <c r="BZ43" s="2430"/>
      <c r="CA43" s="2430"/>
      <c r="CB43" s="2430"/>
      <c r="CC43" s="2430"/>
      <c r="CD43" s="2430"/>
      <c r="CE43" s="2430"/>
      <c r="CF43" s="2430"/>
      <c r="CH43" s="2427" t="s">
        <v>1614</v>
      </c>
      <c r="CX43" s="2427" t="s">
        <v>1617</v>
      </c>
      <c r="DF43" s="2430"/>
      <c r="DG43" s="2430"/>
      <c r="DH43" s="2430"/>
      <c r="DI43" s="2430"/>
      <c r="DJ43" s="2430"/>
      <c r="DK43" s="2430"/>
      <c r="DL43" s="2430"/>
      <c r="DT43" s="2427" t="s">
        <v>1587</v>
      </c>
      <c r="DU43" s="2430"/>
      <c r="DV43" s="2430"/>
      <c r="DW43" s="2430"/>
      <c r="DX43" s="2430"/>
      <c r="DY43" s="2430"/>
      <c r="DZ43" s="2430"/>
      <c r="EA43" s="2430"/>
      <c r="EB43" s="2430"/>
      <c r="EC43" s="2430"/>
      <c r="ED43" s="2430"/>
      <c r="EE43" s="2430"/>
      <c r="EF43" s="2430"/>
      <c r="EG43" s="2430"/>
      <c r="EJ43" s="2427" t="s">
        <v>1590</v>
      </c>
      <c r="EK43" s="2430"/>
      <c r="EL43" s="2430"/>
      <c r="EM43" s="2430"/>
      <c r="EN43" s="2430"/>
      <c r="EO43" s="2430"/>
      <c r="EP43" s="2430"/>
      <c r="EQ43" s="2430"/>
      <c r="ER43" s="2430"/>
      <c r="ES43" s="2430"/>
      <c r="ET43" s="2430"/>
      <c r="EU43" s="2430"/>
      <c r="EV43" s="2430"/>
      <c r="EW43" s="2430"/>
      <c r="EY43" s="2427" t="s">
        <v>1587</v>
      </c>
      <c r="EZ43" s="2430"/>
      <c r="FA43" s="2430"/>
      <c r="FB43" s="2430"/>
      <c r="FC43" s="2430"/>
      <c r="FD43" s="2430"/>
      <c r="FE43" s="2430"/>
      <c r="FF43" s="2430"/>
      <c r="FG43" s="2430"/>
      <c r="FH43" s="2430"/>
      <c r="FI43" s="2430"/>
      <c r="FJ43" s="2430"/>
      <c r="FK43" s="2430"/>
      <c r="FL43" s="2430"/>
      <c r="FN43" s="2430"/>
      <c r="FO43" s="2427" t="s">
        <v>1590</v>
      </c>
      <c r="FP43" s="2430"/>
      <c r="FQ43" s="2430"/>
      <c r="FR43" s="2430"/>
      <c r="FS43" s="2430"/>
      <c r="FT43" s="2430"/>
      <c r="FU43" s="2430"/>
      <c r="FV43" s="2430"/>
      <c r="FW43" s="2430"/>
      <c r="FX43" s="2430"/>
      <c r="FY43" s="2430"/>
      <c r="FZ43" s="2430"/>
      <c r="GA43" s="2430"/>
      <c r="GB43" s="2430"/>
    </row>
    <row r="44" spans="1:184" ht="13.5" thickBot="1">
      <c r="A44" s="1802"/>
      <c r="B44" s="1802"/>
      <c r="C44" s="1802"/>
      <c r="D44" s="1289"/>
      <c r="E44" s="1802"/>
      <c r="F44" s="2347"/>
      <c r="G44" s="2392"/>
      <c r="H44" s="4479" t="str">
        <f>("$/kW-Year (Nominal "&amp;StartYr&amp;"$)")</f>
        <v>$/kW-Year (Nominal 2013$)</v>
      </c>
      <c r="I44" s="4480"/>
      <c r="J44" s="4480"/>
      <c r="K44" s="4480"/>
      <c r="L44" s="4480"/>
      <c r="M44" s="4480"/>
      <c r="N44" s="4480"/>
      <c r="O44" s="4480"/>
      <c r="P44" s="4480"/>
      <c r="Q44" s="4481"/>
      <c r="R44" s="4023"/>
      <c r="S44" s="4023"/>
      <c r="T44" s="1820"/>
      <c r="U44" s="1289"/>
      <c r="V44" s="1289"/>
      <c r="W44" s="2284"/>
      <c r="X44" s="4529" t="str">
        <f>("$/MWh (Nominal "&amp;StartYr&amp;"$)")</f>
        <v>$/MWh (Nominal 2013$)</v>
      </c>
      <c r="Y44" s="4530"/>
      <c r="Z44" s="4530"/>
      <c r="AA44" s="4530"/>
      <c r="AB44" s="4530"/>
      <c r="AC44" s="4530"/>
      <c r="AD44" s="4530"/>
      <c r="AE44" s="4530"/>
      <c r="AF44" s="4530"/>
      <c r="AG44" s="4531"/>
      <c r="AH44" s="3995"/>
      <c r="AI44" s="3995"/>
      <c r="AJ44" s="4026" t="s">
        <v>1376</v>
      </c>
      <c r="AK44" s="2346"/>
      <c r="AL44" s="4488" t="str">
        <f>("(Nominal "&amp;StartYr&amp;"$)")</f>
        <v>(Nominal 2013$)</v>
      </c>
      <c r="AM44" s="4518"/>
      <c r="AN44" s="4518"/>
      <c r="AO44" s="4489"/>
      <c r="AP44" s="2269"/>
      <c r="AQ44" s="2269"/>
      <c r="AR44" s="1820"/>
      <c r="AS44" s="2349"/>
      <c r="AT44" s="2347"/>
      <c r="AU44" s="2392"/>
      <c r="AV44" s="4479" t="str">
        <f>("$/kW-Year (Nominal "&amp;StartYr&amp;"$)")</f>
        <v>$/kW-Year (Nominal 2013$)</v>
      </c>
      <c r="AW44" s="4480"/>
      <c r="AX44" s="4480"/>
      <c r="AY44" s="4480"/>
      <c r="AZ44" s="4480"/>
      <c r="BA44" s="4480"/>
      <c r="BB44" s="4480"/>
      <c r="BC44" s="4480"/>
      <c r="BD44" s="4480"/>
      <c r="BE44" s="4481"/>
      <c r="BF44" s="4023"/>
      <c r="BG44" s="4023"/>
      <c r="BH44" s="4013"/>
      <c r="BI44" s="1289"/>
      <c r="BJ44" s="1289"/>
      <c r="BK44" s="2283"/>
      <c r="BL44" s="4479" t="str">
        <f>("$/MWh (Nominal "&amp;StartYr&amp;"$)")</f>
        <v>$/MWh (Nominal 2013$)</v>
      </c>
      <c r="BM44" s="4480"/>
      <c r="BN44" s="4480"/>
      <c r="BO44" s="4480"/>
      <c r="BP44" s="4480"/>
      <c r="BQ44" s="4480"/>
      <c r="BR44" s="4480"/>
      <c r="BS44" s="4480"/>
      <c r="BT44" s="4480"/>
      <c r="BU44" s="4481"/>
      <c r="BV44" s="4517"/>
      <c r="BW44" s="4517"/>
      <c r="BX44" s="4026" t="s">
        <v>1376</v>
      </c>
      <c r="BY44" s="1291"/>
      <c r="BZ44" s="4488" t="str">
        <f>("(Nominal "&amp;StartYr&amp;"$)")</f>
        <v>(Nominal 2013$)</v>
      </c>
      <c r="CA44" s="4518"/>
      <c r="CB44" s="4518"/>
      <c r="CC44" s="4489"/>
      <c r="CD44" s="2338"/>
      <c r="CE44" s="2338"/>
      <c r="CF44" s="2338"/>
      <c r="CG44" s="2346"/>
      <c r="CH44" s="2347"/>
      <c r="CI44" s="2392"/>
      <c r="CJ44" s="4479" t="str">
        <f>("$/kW-Year (Nominal "&amp;StartYr&amp;"$)")</f>
        <v>$/kW-Year (Nominal 2013$)</v>
      </c>
      <c r="CK44" s="4480"/>
      <c r="CL44" s="4480"/>
      <c r="CM44" s="4480"/>
      <c r="CN44" s="4480"/>
      <c r="CO44" s="4480"/>
      <c r="CP44" s="4480"/>
      <c r="CQ44" s="4480"/>
      <c r="CR44" s="4480"/>
      <c r="CS44" s="4481"/>
      <c r="CT44" s="3892"/>
      <c r="CU44" s="3892"/>
      <c r="CV44" s="4013"/>
      <c r="CW44" s="2340"/>
      <c r="CX44" s="2347"/>
      <c r="CY44" s="2392"/>
      <c r="CZ44" s="4479" t="str">
        <f>("$/MWh (Nominal "&amp;StartYr&amp;"$)")</f>
        <v>$/MWh (Nominal 2013$)</v>
      </c>
      <c r="DA44" s="4480"/>
      <c r="DB44" s="4480"/>
      <c r="DC44" s="4480"/>
      <c r="DD44" s="4480"/>
      <c r="DE44" s="4480"/>
      <c r="DF44" s="4480"/>
      <c r="DG44" s="4480"/>
      <c r="DH44" s="4480"/>
      <c r="DI44" s="4481"/>
      <c r="DJ44" s="3892"/>
      <c r="DK44" s="3892"/>
      <c r="DL44" s="4026" t="s">
        <v>1376</v>
      </c>
      <c r="DM44" s="2341"/>
      <c r="DN44" s="4485" t="str">
        <f>("(Nominal "&amp;StartYr&amp;"$)")</f>
        <v>(Nominal 2013$)</v>
      </c>
      <c r="DO44" s="4486"/>
      <c r="DP44" s="4486"/>
      <c r="DQ44" s="4487"/>
      <c r="DS44" s="2329"/>
      <c r="DT44" s="2347"/>
      <c r="DU44" s="2392"/>
      <c r="DV44" s="4479"/>
      <c r="DW44" s="4480"/>
      <c r="DX44" s="4480"/>
      <c r="DY44" s="4480"/>
      <c r="DZ44" s="4480"/>
      <c r="EA44" s="4480"/>
      <c r="EB44" s="4480"/>
      <c r="EC44" s="4480"/>
      <c r="ED44" s="4480"/>
      <c r="EE44" s="4481"/>
      <c r="EF44" s="4023"/>
      <c r="EG44" s="4023"/>
      <c r="EH44" s="2347"/>
      <c r="EJ44" s="2347"/>
      <c r="EK44" s="2392"/>
      <c r="EL44" s="4479" t="str">
        <f>("$/MWh (Nominal "&amp;StartYr&amp;"$)")</f>
        <v>$/MWh (Nominal 2013$)</v>
      </c>
      <c r="EM44" s="4480"/>
      <c r="EN44" s="4480"/>
      <c r="EO44" s="4480"/>
      <c r="EP44" s="4480"/>
      <c r="EQ44" s="4480"/>
      <c r="ER44" s="4480"/>
      <c r="ES44" s="4480"/>
      <c r="ET44" s="4480"/>
      <c r="EU44" s="4481"/>
      <c r="EV44" s="4023"/>
      <c r="EW44" s="4023"/>
      <c r="EY44" s="2347"/>
      <c r="EZ44" s="2392"/>
      <c r="FA44" s="4479" t="str">
        <f>("$/kW-Year (Nominal "&amp;StartYr&amp;"$)")</f>
        <v>$/kW-Year (Nominal 2013$)</v>
      </c>
      <c r="FB44" s="4480"/>
      <c r="FC44" s="4480"/>
      <c r="FD44" s="4480"/>
      <c r="FE44" s="4480"/>
      <c r="FF44" s="4480"/>
      <c r="FG44" s="4480"/>
      <c r="FH44" s="4480"/>
      <c r="FI44" s="4480"/>
      <c r="FJ44" s="4481"/>
      <c r="FK44" s="4023"/>
      <c r="FL44" s="4023"/>
      <c r="FO44" s="2347"/>
      <c r="FP44" s="2392"/>
      <c r="FQ44" s="4479" t="str">
        <f>("$/MWh (Nominal "&amp;StartYr&amp;"$)")</f>
        <v>$/MWh (Nominal 2013$)</v>
      </c>
      <c r="FR44" s="4480"/>
      <c r="FS44" s="4480"/>
      <c r="FT44" s="4480"/>
      <c r="FU44" s="4480"/>
      <c r="FV44" s="4480"/>
      <c r="FW44" s="4480"/>
      <c r="FX44" s="4480"/>
      <c r="FY44" s="4480"/>
      <c r="FZ44" s="4481"/>
      <c r="GA44" s="4023"/>
      <c r="GB44" s="4023"/>
    </row>
    <row r="45" spans="1:184" s="99" customFormat="1" ht="79.150000000000006" customHeight="1">
      <c r="A45" s="1811"/>
      <c r="B45" s="1811"/>
      <c r="C45" s="1811"/>
      <c r="D45" s="1868"/>
      <c r="E45" s="1811"/>
      <c r="F45" s="1905" t="str">
        <f>("In-Service Year = "&amp;StartYr&amp;"")</f>
        <v>In-Service Year = 2013</v>
      </c>
      <c r="G45" s="1905" t="s">
        <v>1377</v>
      </c>
      <c r="H45" s="2352" t="s">
        <v>1378</v>
      </c>
      <c r="I45" s="2353" t="s">
        <v>196</v>
      </c>
      <c r="J45" s="2354" t="s">
        <v>303</v>
      </c>
      <c r="K45" s="2353" t="s">
        <v>301</v>
      </c>
      <c r="L45" s="2353" t="s">
        <v>1379</v>
      </c>
      <c r="M45" s="2355" t="s">
        <v>958</v>
      </c>
      <c r="N45" s="2352" t="s">
        <v>157</v>
      </c>
      <c r="O45" s="2353" t="s">
        <v>164</v>
      </c>
      <c r="P45" s="2355" t="s">
        <v>1697</v>
      </c>
      <c r="Q45" s="2356" t="str">
        <f>"Total Levelized Costs "&amp;Perspective&amp;""</f>
        <v>Total Levelized Costs At Interconnection Point</v>
      </c>
      <c r="R45" s="3534" t="s">
        <v>1958</v>
      </c>
      <c r="S45" s="4024" t="s">
        <v>1696</v>
      </c>
      <c r="T45" s="2274"/>
      <c r="U45" s="1288"/>
      <c r="V45" s="1905" t="str">
        <f>("In-Service Year = "&amp;StartYr&amp;"")</f>
        <v>In-Service Year = 2013</v>
      </c>
      <c r="W45" s="1905" t="s">
        <v>1377</v>
      </c>
      <c r="X45" s="2352" t="s">
        <v>1378</v>
      </c>
      <c r="Y45" s="2353" t="s">
        <v>196</v>
      </c>
      <c r="Z45" s="2354" t="s">
        <v>303</v>
      </c>
      <c r="AA45" s="2353" t="s">
        <v>301</v>
      </c>
      <c r="AB45" s="2353" t="s">
        <v>1379</v>
      </c>
      <c r="AC45" s="2355" t="s">
        <v>958</v>
      </c>
      <c r="AD45" s="2352" t="s">
        <v>157</v>
      </c>
      <c r="AE45" s="2353" t="s">
        <v>164</v>
      </c>
      <c r="AF45" s="2793" t="s">
        <v>1697</v>
      </c>
      <c r="AG45" s="1905" t="str">
        <f>"Total Levelized Costs "&amp;Perspective&amp;""</f>
        <v>Total Levelized Costs At Interconnection Point</v>
      </c>
      <c r="AH45" s="3534" t="s">
        <v>1958</v>
      </c>
      <c r="AI45" s="4024" t="s">
        <v>1696</v>
      </c>
      <c r="AJ45" s="4024" t="str">
        <f>AG45</f>
        <v>Total Levelized Costs At Interconnection Point</v>
      </c>
      <c r="AK45" s="1816"/>
      <c r="AL45" s="2277" t="s">
        <v>1548</v>
      </c>
      <c r="AM45" s="1906" t="s">
        <v>1493</v>
      </c>
      <c r="AN45" s="2277" t="s">
        <v>1549</v>
      </c>
      <c r="AO45" s="1906" t="s">
        <v>970</v>
      </c>
      <c r="AP45" s="1733"/>
      <c r="AQ45" s="1733"/>
      <c r="AR45" s="2274"/>
      <c r="AS45" s="1290"/>
      <c r="AT45" s="1905" t="str">
        <f>("In-Service Year = "&amp;StartYr&amp;"")</f>
        <v>In-Service Year = 2013</v>
      </c>
      <c r="AU45" s="1905" t="s">
        <v>1377</v>
      </c>
      <c r="AV45" s="2352" t="s">
        <v>1378</v>
      </c>
      <c r="AW45" s="2353" t="s">
        <v>196</v>
      </c>
      <c r="AX45" s="2354" t="s">
        <v>303</v>
      </c>
      <c r="AY45" s="2353" t="s">
        <v>301</v>
      </c>
      <c r="AZ45" s="2353" t="s">
        <v>1379</v>
      </c>
      <c r="BA45" s="2355" t="s">
        <v>958</v>
      </c>
      <c r="BB45" s="2352" t="s">
        <v>157</v>
      </c>
      <c r="BC45" s="2353" t="s">
        <v>164</v>
      </c>
      <c r="BD45" s="2355" t="s">
        <v>1697</v>
      </c>
      <c r="BE45" s="2356" t="str">
        <f>"Total Levelized Costs "&amp;Perspective&amp;""</f>
        <v>Total Levelized Costs At Interconnection Point</v>
      </c>
      <c r="BF45" s="3534" t="s">
        <v>1958</v>
      </c>
      <c r="BG45" s="4024" t="s">
        <v>1696</v>
      </c>
      <c r="BH45" s="2274"/>
      <c r="BI45" s="1288"/>
      <c r="BJ45" s="1905" t="str">
        <f>("In-Service Year = "&amp;StartYr&amp;"")</f>
        <v>In-Service Year = 2013</v>
      </c>
      <c r="BK45" s="1905" t="s">
        <v>1377</v>
      </c>
      <c r="BL45" s="2352" t="s">
        <v>1378</v>
      </c>
      <c r="BM45" s="2353" t="s">
        <v>196</v>
      </c>
      <c r="BN45" s="2354" t="s">
        <v>303</v>
      </c>
      <c r="BO45" s="2353" t="s">
        <v>301</v>
      </c>
      <c r="BP45" s="2353" t="s">
        <v>1379</v>
      </c>
      <c r="BQ45" s="2797" t="s">
        <v>958</v>
      </c>
      <c r="BR45" s="2352" t="s">
        <v>157</v>
      </c>
      <c r="BS45" s="2353" t="s">
        <v>164</v>
      </c>
      <c r="BT45" s="2355" t="s">
        <v>1697</v>
      </c>
      <c r="BU45" s="2356" t="str">
        <f>"Total Levelized Costs "&amp;Perspective&amp;""</f>
        <v>Total Levelized Costs At Interconnection Point</v>
      </c>
      <c r="BV45" s="3534" t="s">
        <v>1958</v>
      </c>
      <c r="BW45" s="4024" t="s">
        <v>1696</v>
      </c>
      <c r="BX45" s="4024" t="str">
        <f>BU45</f>
        <v>Total Levelized Costs At Interconnection Point</v>
      </c>
      <c r="BY45" s="1290"/>
      <c r="BZ45" s="2277" t="s">
        <v>1548</v>
      </c>
      <c r="CA45" s="1906" t="s">
        <v>1493</v>
      </c>
      <c r="CB45" s="2277" t="s">
        <v>1549</v>
      </c>
      <c r="CC45" s="1906" t="s">
        <v>970</v>
      </c>
      <c r="CD45" s="2338"/>
      <c r="CE45" s="2338"/>
      <c r="CF45" s="2338"/>
      <c r="CG45" s="2346"/>
      <c r="CH45" s="2327" t="str">
        <f>("In-Service Year = "&amp;StartYr&amp;"")</f>
        <v>In-Service Year = 2013</v>
      </c>
      <c r="CI45" s="1905" t="s">
        <v>1377</v>
      </c>
      <c r="CJ45" s="2352" t="s">
        <v>1378</v>
      </c>
      <c r="CK45" s="2353" t="s">
        <v>196</v>
      </c>
      <c r="CL45" s="2354" t="s">
        <v>303</v>
      </c>
      <c r="CM45" s="2353" t="s">
        <v>301</v>
      </c>
      <c r="CN45" s="2353" t="s">
        <v>1379</v>
      </c>
      <c r="CO45" s="2355" t="s">
        <v>958</v>
      </c>
      <c r="CP45" s="2352" t="s">
        <v>157</v>
      </c>
      <c r="CQ45" s="2353" t="s">
        <v>164</v>
      </c>
      <c r="CR45" s="2355" t="s">
        <v>1697</v>
      </c>
      <c r="CS45" s="2356" t="str">
        <f>"Total Levelized Costs "&amp;Perspective&amp;""</f>
        <v>Total Levelized Costs At Interconnection Point</v>
      </c>
      <c r="CT45" s="3534" t="s">
        <v>1958</v>
      </c>
      <c r="CU45" s="4024" t="s">
        <v>1696</v>
      </c>
      <c r="CV45" s="4013"/>
      <c r="CW45" s="2340"/>
      <c r="CX45" s="2327" t="str">
        <f>("In-Service Year = "&amp;StartYr&amp;"")</f>
        <v>In-Service Year = 2013</v>
      </c>
      <c r="CY45" s="2327" t="s">
        <v>1377</v>
      </c>
      <c r="CZ45" s="2352" t="s">
        <v>1378</v>
      </c>
      <c r="DA45" s="2353" t="s">
        <v>196</v>
      </c>
      <c r="DB45" s="2354" t="s">
        <v>303</v>
      </c>
      <c r="DC45" s="2353" t="s">
        <v>301</v>
      </c>
      <c r="DD45" s="2353" t="s">
        <v>1379</v>
      </c>
      <c r="DE45" s="2355" t="s">
        <v>958</v>
      </c>
      <c r="DF45" s="2352" t="s">
        <v>157</v>
      </c>
      <c r="DG45" s="2353" t="s">
        <v>164</v>
      </c>
      <c r="DH45" s="2355" t="s">
        <v>1697</v>
      </c>
      <c r="DI45" s="2356" t="str">
        <f>"Total Levelized Costs "&amp;Perspective&amp;""</f>
        <v>Total Levelized Costs At Interconnection Point</v>
      </c>
      <c r="DJ45" s="3534" t="s">
        <v>1958</v>
      </c>
      <c r="DK45" s="4024" t="s">
        <v>1696</v>
      </c>
      <c r="DL45" s="4024" t="s">
        <v>1696</v>
      </c>
      <c r="DM45" s="2341"/>
      <c r="DN45" s="2806" t="s">
        <v>1548</v>
      </c>
      <c r="DO45" s="2353" t="s">
        <v>1493</v>
      </c>
      <c r="DP45" s="2806" t="s">
        <v>1549</v>
      </c>
      <c r="DQ45" s="2807" t="s">
        <v>970</v>
      </c>
      <c r="DT45" s="2327" t="str">
        <f>("In-Service Year = "&amp;StartYr&amp;"")</f>
        <v>In-Service Year = 2013</v>
      </c>
      <c r="DU45" s="2327" t="s">
        <v>1377</v>
      </c>
      <c r="DV45" s="2352" t="s">
        <v>1378</v>
      </c>
      <c r="DW45" s="2353" t="s">
        <v>196</v>
      </c>
      <c r="DX45" s="2354" t="s">
        <v>303</v>
      </c>
      <c r="DY45" s="2353" t="s">
        <v>301</v>
      </c>
      <c r="DZ45" s="2353" t="s">
        <v>1379</v>
      </c>
      <c r="EA45" s="2355" t="s">
        <v>958</v>
      </c>
      <c r="EB45" s="3474" t="s">
        <v>157</v>
      </c>
      <c r="EC45" s="2792" t="s">
        <v>164</v>
      </c>
      <c r="ED45" s="2355" t="s">
        <v>1697</v>
      </c>
      <c r="EE45" s="2356" t="str">
        <f>"Total Levelized Costs "&amp;Perspective&amp;""</f>
        <v>Total Levelized Costs At Interconnection Point</v>
      </c>
      <c r="EF45" s="3534" t="s">
        <v>1958</v>
      </c>
      <c r="EG45" s="4024" t="s">
        <v>1696</v>
      </c>
      <c r="EH45" s="1814"/>
      <c r="EJ45" s="2327" t="str">
        <f>("In-Service Year = "&amp;StartYr&amp;"")</f>
        <v>In-Service Year = 2013</v>
      </c>
      <c r="EK45" s="2327" t="s">
        <v>1377</v>
      </c>
      <c r="EL45" s="2352" t="s">
        <v>1378</v>
      </c>
      <c r="EM45" s="2353" t="s">
        <v>196</v>
      </c>
      <c r="EN45" s="2354" t="s">
        <v>303</v>
      </c>
      <c r="EO45" s="2353" t="s">
        <v>301</v>
      </c>
      <c r="EP45" s="2353" t="s">
        <v>1379</v>
      </c>
      <c r="EQ45" s="2355" t="s">
        <v>958</v>
      </c>
      <c r="ER45" s="2352" t="s">
        <v>157</v>
      </c>
      <c r="ES45" s="2353" t="s">
        <v>164</v>
      </c>
      <c r="ET45" s="2355" t="s">
        <v>1697</v>
      </c>
      <c r="EU45" s="1905" t="str">
        <f>"Total Levelized Costs "&amp;Perspective&amp;""</f>
        <v>Total Levelized Costs At Interconnection Point</v>
      </c>
      <c r="EV45" s="3534" t="s">
        <v>1958</v>
      </c>
      <c r="EW45" s="4024" t="s">
        <v>1696</v>
      </c>
      <c r="EY45" s="2327" t="str">
        <f>("In-Service Year = "&amp;StartYr&amp;"")</f>
        <v>In-Service Year = 2013</v>
      </c>
      <c r="EZ45" s="2327" t="s">
        <v>1377</v>
      </c>
      <c r="FA45" s="2352" t="s">
        <v>1378</v>
      </c>
      <c r="FB45" s="2353" t="s">
        <v>196</v>
      </c>
      <c r="FC45" s="2354" t="s">
        <v>303</v>
      </c>
      <c r="FD45" s="2353" t="s">
        <v>301</v>
      </c>
      <c r="FE45" s="2353" t="s">
        <v>1379</v>
      </c>
      <c r="FF45" s="2355" t="s">
        <v>958</v>
      </c>
      <c r="FG45" s="3474" t="s">
        <v>157</v>
      </c>
      <c r="FH45" s="2792" t="s">
        <v>164</v>
      </c>
      <c r="FI45" s="2355" t="s">
        <v>1697</v>
      </c>
      <c r="FJ45" s="2356" t="str">
        <f>"Total Levelized Costs "&amp;Perspective&amp;""</f>
        <v>Total Levelized Costs At Interconnection Point</v>
      </c>
      <c r="FK45" s="3534" t="s">
        <v>1958</v>
      </c>
      <c r="FL45" s="4024" t="s">
        <v>1696</v>
      </c>
      <c r="FN45" s="3952"/>
      <c r="FO45" s="2327" t="str">
        <f>("In-Service Year = "&amp;StartYr&amp;"")</f>
        <v>In-Service Year = 2013</v>
      </c>
      <c r="FP45" s="2327" t="s">
        <v>1377</v>
      </c>
      <c r="FQ45" s="2352" t="s">
        <v>1378</v>
      </c>
      <c r="FR45" s="2353" t="s">
        <v>196</v>
      </c>
      <c r="FS45" s="2354" t="s">
        <v>303</v>
      </c>
      <c r="FT45" s="2353" t="s">
        <v>301</v>
      </c>
      <c r="FU45" s="2353" t="s">
        <v>1379</v>
      </c>
      <c r="FV45" s="2355" t="s">
        <v>958</v>
      </c>
      <c r="FW45" s="2352" t="s">
        <v>157</v>
      </c>
      <c r="FX45" s="2353" t="s">
        <v>164</v>
      </c>
      <c r="FY45" s="2355" t="s">
        <v>1697</v>
      </c>
      <c r="FZ45" s="1905" t="str">
        <f>"Total Levelized Costs "&amp;Perspective&amp;""</f>
        <v>Total Levelized Costs At Interconnection Point</v>
      </c>
      <c r="GA45" s="3534" t="s">
        <v>1958</v>
      </c>
      <c r="GB45" s="4024" t="s">
        <v>1696</v>
      </c>
    </row>
    <row r="46" spans="1:184">
      <c r="A46" s="1802"/>
      <c r="B46" s="1802"/>
      <c r="C46" s="1802"/>
      <c r="D46" s="1291"/>
      <c r="E46" s="1802"/>
      <c r="F46" s="2288" t="s">
        <v>1785</v>
      </c>
      <c r="G46" s="2289">
        <v>49.9</v>
      </c>
      <c r="H46" s="2278">
        <v>114.27295857097842</v>
      </c>
      <c r="I46" s="2279">
        <v>5.3369408020710356</v>
      </c>
      <c r="J46" s="2279">
        <v>9.7666016677899936</v>
      </c>
      <c r="K46" s="2279">
        <v>35.167339369141352</v>
      </c>
      <c r="L46" s="2279">
        <v>12.212262114747285</v>
      </c>
      <c r="M46" s="2280">
        <v>176.75610252472811</v>
      </c>
      <c r="N46" s="2278">
        <v>8.3714078160909526</v>
      </c>
      <c r="O46" s="2281">
        <v>0</v>
      </c>
      <c r="P46" s="2280">
        <v>8.3714078160909526</v>
      </c>
      <c r="Q46" s="4025">
        <v>185.12751034081907</v>
      </c>
      <c r="R46" s="3545">
        <v>0</v>
      </c>
      <c r="S46" s="3638">
        <v>185.12751034081907</v>
      </c>
      <c r="T46" s="2362"/>
      <c r="U46" s="1289"/>
      <c r="V46" s="2288" t="s">
        <v>1785</v>
      </c>
      <c r="W46" s="2289">
        <v>49.9</v>
      </c>
      <c r="X46" s="2278">
        <v>1367.5751787119211</v>
      </c>
      <c r="Y46" s="2279">
        <v>63.870471740992109</v>
      </c>
      <c r="Z46" s="2279">
        <v>116.88296328601555</v>
      </c>
      <c r="AA46" s="2279">
        <v>420.86930297427824</v>
      </c>
      <c r="AB46" s="2279">
        <v>146.15169461704909</v>
      </c>
      <c r="AC46" s="2280">
        <v>2115.3496113302563</v>
      </c>
      <c r="AD46" s="2278">
        <v>100.1858154661317</v>
      </c>
      <c r="AE46" s="2281">
        <v>0</v>
      </c>
      <c r="AF46" s="3960">
        <v>100.1858154661317</v>
      </c>
      <c r="AG46" s="3475">
        <v>2215.535426796388</v>
      </c>
      <c r="AH46" s="4028">
        <v>0</v>
      </c>
      <c r="AI46" s="3638">
        <v>2215.535426796388</v>
      </c>
      <c r="AJ46" s="4029">
        <f>AI46/10</f>
        <v>221.55354267963881</v>
      </c>
      <c r="AK46" s="2346"/>
      <c r="AL46" s="2784">
        <v>1223.2404863606646</v>
      </c>
      <c r="AM46" s="2785">
        <v>1320.2935272842324</v>
      </c>
      <c r="AN46" s="2290">
        <v>28.387672253011708</v>
      </c>
      <c r="AO46" s="2291">
        <v>0</v>
      </c>
      <c r="AP46" s="2282"/>
      <c r="AQ46" s="2282"/>
      <c r="AR46" s="2282"/>
      <c r="AS46" s="1291"/>
      <c r="AT46" s="2394" t="s">
        <v>1785</v>
      </c>
      <c r="AU46" s="3648">
        <v>49.9</v>
      </c>
      <c r="AV46" s="2396">
        <v>114.27295857097842</v>
      </c>
      <c r="AW46" s="2397">
        <v>5.3369408020710356</v>
      </c>
      <c r="AX46" s="2397">
        <v>9.7666016677899936</v>
      </c>
      <c r="AY46" s="2397">
        <v>35.167339369141352</v>
      </c>
      <c r="AZ46" s="2397">
        <v>12.212262114747285</v>
      </c>
      <c r="BA46" s="2398">
        <v>176.75610252472811</v>
      </c>
      <c r="BB46" s="2396">
        <v>8.3714078160909526</v>
      </c>
      <c r="BC46" s="2399">
        <v>0</v>
      </c>
      <c r="BD46" s="3651">
        <v>8.3714078160909526</v>
      </c>
      <c r="BE46" s="3770">
        <v>185.12751034081907</v>
      </c>
      <c r="BF46" s="3545">
        <v>0</v>
      </c>
      <c r="BG46" s="3638">
        <v>185.12751034081907</v>
      </c>
      <c r="BH46" s="2362"/>
      <c r="BI46" s="1289"/>
      <c r="BJ46" s="2394" t="s">
        <v>1785</v>
      </c>
      <c r="BK46" s="2395">
        <v>49.9</v>
      </c>
      <c r="BL46" s="2396">
        <v>1367.5751787119211</v>
      </c>
      <c r="BM46" s="2397">
        <v>63.870471740992109</v>
      </c>
      <c r="BN46" s="2397">
        <v>116.88296328601555</v>
      </c>
      <c r="BO46" s="2397">
        <v>420.86930297427824</v>
      </c>
      <c r="BP46" s="2397">
        <v>146.15169461704909</v>
      </c>
      <c r="BQ46" s="2798">
        <v>2115.3496113302563</v>
      </c>
      <c r="BR46" s="2396">
        <v>100.1858154661317</v>
      </c>
      <c r="BS46" s="2399">
        <v>0</v>
      </c>
      <c r="BT46" s="2398">
        <v>100.1858154661317</v>
      </c>
      <c r="BU46" s="4034">
        <v>2215.535426796388</v>
      </c>
      <c r="BV46" s="3642">
        <v>0</v>
      </c>
      <c r="BW46" s="3638">
        <v>2215.535426796388</v>
      </c>
      <c r="BX46" s="3638">
        <f>IF(BK46=0,"",BW46/10)</f>
        <v>221.55354267963881</v>
      </c>
      <c r="BY46" s="1291"/>
      <c r="BZ46" s="2786">
        <v>1223.2404863606646</v>
      </c>
      <c r="CA46" s="2787">
        <v>1320.2935272842324</v>
      </c>
      <c r="CB46" s="2400">
        <v>28.387672253011708</v>
      </c>
      <c r="CC46" s="2401">
        <v>0</v>
      </c>
      <c r="CD46" s="2362"/>
      <c r="CE46" s="2362"/>
      <c r="CF46" s="2362"/>
      <c r="CG46" s="2346"/>
      <c r="CH46" s="2410" t="str">
        <f t="shared" ref="CH46:CH76" si="143">IF(AT46=0, "",AT46)</f>
        <v>Generation Turbine 49.9 MW</v>
      </c>
      <c r="CI46" s="2411">
        <f t="shared" ref="CI46:CI76" si="144">IF(AU46=0, "",AU46)</f>
        <v>49.9</v>
      </c>
      <c r="CJ46" s="2412">
        <f t="shared" ref="CJ46:CJ76" si="145">IF($G46=0,"",AV46-H46)</f>
        <v>0</v>
      </c>
      <c r="CK46" s="2413">
        <f t="shared" ref="CK46:CK76" si="146">IF($G46=0,"",AW46-I46)</f>
        <v>0</v>
      </c>
      <c r="CL46" s="2413">
        <f t="shared" ref="CL46:CL76" si="147">IF($G46=0,"",AX46-J46)</f>
        <v>0</v>
      </c>
      <c r="CM46" s="2413">
        <f t="shared" ref="CM46:CM76" si="148">IF($G46=0,"",AY46-K46)</f>
        <v>0</v>
      </c>
      <c r="CN46" s="2413">
        <f t="shared" ref="CN46:CN76" si="149">IF($G46=0,"",AZ46-L46)</f>
        <v>0</v>
      </c>
      <c r="CO46" s="2414">
        <f t="shared" ref="CO46:CO76" si="150">IF($G46=0,"",BA46-M46)</f>
        <v>0</v>
      </c>
      <c r="CP46" s="2412">
        <f t="shared" ref="CP46:CP76" si="151">IF($G46=0,"",BB46-N46)</f>
        <v>0</v>
      </c>
      <c r="CQ46" s="2415">
        <f t="shared" ref="CQ46:CQ76" si="152">IF($G46=0,"",BC46-O46)</f>
        <v>0</v>
      </c>
      <c r="CR46" s="2414">
        <f t="shared" ref="CR46:CR76" si="153">IF($G46=0,"",BD46-P46)</f>
        <v>0</v>
      </c>
      <c r="CS46" s="3367">
        <f t="shared" ref="CS46:CU61" si="154">IF($G46=0,"",BE46-Q46)</f>
        <v>0</v>
      </c>
      <c r="CT46" s="3646">
        <f t="shared" si="154"/>
        <v>0</v>
      </c>
      <c r="CU46" s="3638">
        <f t="shared" si="154"/>
        <v>0</v>
      </c>
      <c r="CV46" s="2362"/>
      <c r="CW46" s="2340"/>
      <c r="CX46" s="2410" t="str">
        <f t="shared" ref="CX46:CX76" si="155">IF(BJ46=0, "",BJ46)</f>
        <v>Generation Turbine 49.9 MW</v>
      </c>
      <c r="CY46" s="2411">
        <f t="shared" ref="CY46:CY76" si="156">IF(BK46=0, "",BK46)</f>
        <v>49.9</v>
      </c>
      <c r="CZ46" s="2412">
        <f t="shared" ref="CZ46:CZ76" si="157">IF($G46=0,"",BL46-X46)</f>
        <v>0</v>
      </c>
      <c r="DA46" s="2413">
        <f t="shared" ref="DA46:DA76" si="158">IF($G46=0,"",BM46-Y46)</f>
        <v>0</v>
      </c>
      <c r="DB46" s="2413">
        <f t="shared" ref="DB46:DB76" si="159">IF($G46=0,"",BN46-Z46)</f>
        <v>0</v>
      </c>
      <c r="DC46" s="2413">
        <f t="shared" ref="DC46:DC76" si="160">IF($G46=0,"",BO46-AA46)</f>
        <v>0</v>
      </c>
      <c r="DD46" s="2413">
        <f t="shared" ref="DD46:DD76" si="161">IF($G46=0,"",BP46-AB46)</f>
        <v>0</v>
      </c>
      <c r="DE46" s="2414">
        <f t="shared" ref="DE46:DE76" si="162">IF($G46=0,"",BQ46-AC46)</f>
        <v>0</v>
      </c>
      <c r="DF46" s="2412">
        <f t="shared" ref="DF46:DF76" si="163">IF($G46=0,"",BR46-AD46)</f>
        <v>0</v>
      </c>
      <c r="DG46" s="2415">
        <f t="shared" ref="DG46:DG76" si="164">IF($G46=0,"",BS46-AE46)</f>
        <v>0</v>
      </c>
      <c r="DH46" s="2414">
        <f t="shared" ref="DH46:DH76" si="165">IF($G46=0,"",BT46-AF46)</f>
        <v>0</v>
      </c>
      <c r="DI46" s="3367">
        <f t="shared" ref="DI46:DL61" si="166">IF($G46=0,"",BU46-AG46)</f>
        <v>0</v>
      </c>
      <c r="DJ46" s="3646">
        <f t="shared" si="166"/>
        <v>0</v>
      </c>
      <c r="DK46" s="3638">
        <f t="shared" si="166"/>
        <v>0</v>
      </c>
      <c r="DL46" s="3638">
        <f t="shared" si="166"/>
        <v>0</v>
      </c>
      <c r="DM46" s="2341"/>
      <c r="DN46" s="2419">
        <f t="shared" ref="DN46:DN76" si="167">IF($AT46=0,"",BZ46-AL46)</f>
        <v>0</v>
      </c>
      <c r="DO46" s="3368">
        <f t="shared" ref="DO46:DO76" si="168">IF($AT46=0,"",CA46-AM46)</f>
        <v>0</v>
      </c>
      <c r="DP46" s="2419">
        <f t="shared" ref="DP46:DP76" si="169">IF($AT46=0,"",CB46-AN46)</f>
        <v>0</v>
      </c>
      <c r="DQ46" s="2420">
        <f t="shared" ref="DQ46:DQ76" si="170">IF($AT46=0,"",CC46-AO46)</f>
        <v>0</v>
      </c>
      <c r="DS46" s="2329"/>
      <c r="DT46" s="2288" t="str">
        <f t="shared" ref="DT46:DT76" si="171">IF(CH46=0, "",CH46)</f>
        <v>Generation Turbine 49.9 MW</v>
      </c>
      <c r="DU46" s="2289">
        <f t="shared" ref="DU46:DU76" si="172">IF(CI46=0, "",CI46)</f>
        <v>49.9</v>
      </c>
      <c r="DV46" s="2373">
        <f t="shared" ref="DV46:DV76" si="173">IF($H46=0,"",CJ46/H46)</f>
        <v>0</v>
      </c>
      <c r="DW46" s="2373">
        <f t="shared" ref="DW46:DW76" si="174">IF($H46=0,"",CK46/I46)</f>
        <v>0</v>
      </c>
      <c r="DX46" s="2788">
        <f>IF(J46=0,"0.00%",CL46/J46)</f>
        <v>0</v>
      </c>
      <c r="DY46" s="3693">
        <f t="shared" ref="DY46:DY76" si="175">IF($H46=0,"",CM46/K46)</f>
        <v>0</v>
      </c>
      <c r="DZ46" s="3693">
        <f t="shared" ref="DZ46:DZ76" si="176">IF($H46=0,"",CN46/L46)</f>
        <v>0</v>
      </c>
      <c r="EA46" s="3369">
        <f t="shared" ref="EA46:EA76" si="177">IF($H46=0,"",CO46/M46)</f>
        <v>0</v>
      </c>
      <c r="EB46" s="2374">
        <f>IF(N46=0,"0.00%",CP46/N46)</f>
        <v>0</v>
      </c>
      <c r="EC46" s="3950" t="str">
        <f>IF(O46=0,"0.00%",CQ46/O46)</f>
        <v>0.00%</v>
      </c>
      <c r="ED46" s="3369">
        <f>IF(P46=0,"0.00%",CR46/P46)</f>
        <v>0</v>
      </c>
      <c r="EE46" s="2374">
        <f t="shared" ref="EE46:EG61" si="178">IF($H46=0,"",CS46/Q46)</f>
        <v>0</v>
      </c>
      <c r="EF46" s="3641" t="e">
        <f t="shared" si="178"/>
        <v>#DIV/0!</v>
      </c>
      <c r="EG46" s="3641">
        <f t="shared" si="178"/>
        <v>0</v>
      </c>
      <c r="EH46" s="2329"/>
      <c r="EJ46" s="2288" t="str">
        <f t="shared" ref="EJ46:EJ76" si="179">IF(CX46=0, "",CX46)</f>
        <v>Generation Turbine 49.9 MW</v>
      </c>
      <c r="EK46" s="2289">
        <f t="shared" ref="EK46:EK76" si="180">IF(CY46=0, "",CY46)</f>
        <v>49.9</v>
      </c>
      <c r="EL46" s="2788">
        <f t="shared" ref="EL46:EL76" si="181">IF($H46=0,"",CZ46/X46)</f>
        <v>0</v>
      </c>
      <c r="EM46" s="3693">
        <f t="shared" ref="EM46:EM76" si="182">IF($H46=0,"",DA46/Y46)</f>
        <v>0</v>
      </c>
      <c r="EN46" s="3370">
        <f t="shared" ref="EN46:EN54" si="183">IF(DX46="0.00%","0.00%",DB46/Z46)</f>
        <v>0</v>
      </c>
      <c r="EO46" s="3693">
        <f t="shared" ref="EO46:EO63" si="184">IF(DY46="0.00%","0.00%",DC46/AA46)</f>
        <v>0</v>
      </c>
      <c r="EP46" s="3693">
        <f t="shared" ref="EP46:EP63" si="185">IF(DZ46="0.00%","0.00%",DD46/AB46)</f>
        <v>0</v>
      </c>
      <c r="EQ46" s="3369">
        <f t="shared" ref="EQ46:EQ63" si="186">IF(EA46="0.00%","0.00%",DE46/AC46)</f>
        <v>0</v>
      </c>
      <c r="ER46" s="2788">
        <f t="shared" ref="ER46:ER64" si="187">IF(EB46="0.00%","0.00%",DF46/AD46)</f>
        <v>0</v>
      </c>
      <c r="ES46" s="3693" t="str">
        <f t="shared" ref="ES46:ES63" si="188">IF(EC46="0.00%","0.00%",DG46/AE46)</f>
        <v>0.00%</v>
      </c>
      <c r="ET46" s="3369">
        <f t="shared" ref="ET46:ET63" si="189">IF(ED46="0.00%","0.00%",DH46/AF46)</f>
        <v>0</v>
      </c>
      <c r="EU46" s="2374">
        <f t="shared" ref="EU46:EW61" si="190">IF($H46=0,"",DI46/AG46)</f>
        <v>0</v>
      </c>
      <c r="EV46" s="3641" t="e">
        <f t="shared" si="190"/>
        <v>#DIV/0!</v>
      </c>
      <c r="EW46" s="3641">
        <f t="shared" si="190"/>
        <v>0</v>
      </c>
      <c r="EY46" s="2288" t="str">
        <f>DT46</f>
        <v>Generation Turbine 49.9 MW</v>
      </c>
      <c r="EZ46" s="2288">
        <f>DU46</f>
        <v>49.9</v>
      </c>
      <c r="FA46" s="2373">
        <f>CJ46/AV46</f>
        <v>0</v>
      </c>
      <c r="FB46" s="2373">
        <f t="shared" ref="FB46:FB64" si="191">CK46/AW46</f>
        <v>0</v>
      </c>
      <c r="FC46" s="2788">
        <f t="shared" ref="FC46:FC64" si="192">CL46/AX46</f>
        <v>0</v>
      </c>
      <c r="FD46" s="3693">
        <f t="shared" ref="FD46:FD64" si="193">CM46/AY46</f>
        <v>0</v>
      </c>
      <c r="FE46" s="3693">
        <f t="shared" ref="FE46:FE64" si="194">CN46/AZ46</f>
        <v>0</v>
      </c>
      <c r="FF46" s="3369">
        <f t="shared" ref="FF46:FF64" si="195">CO46/BA46</f>
        <v>0</v>
      </c>
      <c r="FG46" s="2374">
        <f t="shared" ref="FG46:FG64" si="196">CP46/BB46</f>
        <v>0</v>
      </c>
      <c r="FH46" s="3950" t="e">
        <f t="shared" ref="FH46:FH64" si="197">CQ46/BC46</f>
        <v>#DIV/0!</v>
      </c>
      <c r="FI46" s="3369">
        <f t="shared" ref="FI46:FI64" si="198">CR46/BD46</f>
        <v>0</v>
      </c>
      <c r="FJ46" s="2374">
        <f t="shared" ref="FJ46:FJ64" si="199">CS46/BE46</f>
        <v>0</v>
      </c>
      <c r="FK46" s="3641" t="e">
        <f>IF($H46=0,"",CT46/BF46)</f>
        <v>#DIV/0!</v>
      </c>
      <c r="FL46" s="3641">
        <f t="shared" ref="FL46:FL64" si="200">CU46/BG46</f>
        <v>0</v>
      </c>
      <c r="FO46" s="2288" t="str">
        <f>EY46</f>
        <v>Generation Turbine 49.9 MW</v>
      </c>
      <c r="FP46" s="2288">
        <f>EZ46</f>
        <v>49.9</v>
      </c>
      <c r="FQ46" s="2788">
        <f>CZ46/BL46</f>
        <v>0</v>
      </c>
      <c r="FR46" s="3693">
        <f t="shared" ref="FR46:FR64" si="201">DA46/BM46</f>
        <v>0</v>
      </c>
      <c r="FS46" s="3370">
        <f t="shared" ref="FS46:FS64" si="202">DB46/BN46</f>
        <v>0</v>
      </c>
      <c r="FT46" s="3693">
        <f t="shared" ref="FT46:FT64" si="203">DC46/BO46</f>
        <v>0</v>
      </c>
      <c r="FU46" s="3693">
        <f t="shared" ref="FU46:FU64" si="204">DD46/BP46</f>
        <v>0</v>
      </c>
      <c r="FV46" s="3369">
        <f t="shared" ref="FV46:FV64" si="205">DE46/BQ46</f>
        <v>0</v>
      </c>
      <c r="FW46" s="2788">
        <f t="shared" ref="FW46:FW64" si="206">DF46/BR46</f>
        <v>0</v>
      </c>
      <c r="FX46" s="3693" t="e">
        <f t="shared" ref="FX46:FX64" si="207">DG46/BS46</f>
        <v>#DIV/0!</v>
      </c>
      <c r="FY46" s="3369">
        <f t="shared" ref="FY46:FY64" si="208">DH46/BT46</f>
        <v>0</v>
      </c>
      <c r="FZ46" s="2374">
        <f t="shared" ref="FZ46:FZ64" si="209">DI46/BU46</f>
        <v>0</v>
      </c>
      <c r="GA46" s="3641" t="e">
        <f>IF($H46=0,"",DJ46/BV46)</f>
        <v>#DIV/0!</v>
      </c>
      <c r="GB46" s="3641">
        <f>IF($H46=0,"",DK46/BW46)</f>
        <v>0</v>
      </c>
    </row>
    <row r="47" spans="1:184">
      <c r="A47" s="1802"/>
      <c r="B47" s="1802"/>
      <c r="C47" s="1802"/>
      <c r="D47" s="1291"/>
      <c r="E47" s="1802"/>
      <c r="F47" s="2288" t="s">
        <v>1786</v>
      </c>
      <c r="G47" s="2289">
        <v>100</v>
      </c>
      <c r="H47" s="2278">
        <v>113.88023934301545</v>
      </c>
      <c r="I47" s="2279">
        <v>5.3185994613226741</v>
      </c>
      <c r="J47" s="2279">
        <v>9.7330370142204945</v>
      </c>
      <c r="K47" s="2279">
        <v>33.988545870734377</v>
      </c>
      <c r="L47" s="2279">
        <v>12.182456343162073</v>
      </c>
      <c r="M47" s="2280">
        <v>175.10287803245507</v>
      </c>
      <c r="N47" s="2278">
        <v>8.3714078160909526</v>
      </c>
      <c r="O47" s="2281">
        <v>0</v>
      </c>
      <c r="P47" s="2280">
        <v>8.3714078160909526</v>
      </c>
      <c r="Q47" s="4025">
        <v>183.47428584854603</v>
      </c>
      <c r="R47" s="3545">
        <v>0</v>
      </c>
      <c r="S47" s="3638">
        <v>183.47428584854603</v>
      </c>
      <c r="T47" s="2362"/>
      <c r="U47" s="1289"/>
      <c r="V47" s="2288" t="s">
        <v>1786</v>
      </c>
      <c r="W47" s="2289">
        <v>100</v>
      </c>
      <c r="X47" s="2278">
        <v>1367.221799411479</v>
      </c>
      <c r="Y47" s="2279">
        <v>63.853967710373446</v>
      </c>
      <c r="Z47" s="2279">
        <v>116.85276090998342</v>
      </c>
      <c r="AA47" s="2279">
        <v>408.05921301934069</v>
      </c>
      <c r="AB47" s="2279">
        <v>146.25996554661609</v>
      </c>
      <c r="AC47" s="2280">
        <v>2102.2477065977923</v>
      </c>
      <c r="AD47" s="2278">
        <v>100.50533195182624</v>
      </c>
      <c r="AE47" s="2281">
        <v>0</v>
      </c>
      <c r="AF47" s="3960">
        <v>100.50533195182624</v>
      </c>
      <c r="AG47" s="3629">
        <v>2202.7530385496184</v>
      </c>
      <c r="AH47" s="4028">
        <v>0</v>
      </c>
      <c r="AI47" s="3638">
        <v>2202.7530385496184</v>
      </c>
      <c r="AJ47" s="4029">
        <f t="shared" ref="AJ47:AJ65" si="210">AI47/10</f>
        <v>220.27530385496183</v>
      </c>
      <c r="AK47" s="2346"/>
      <c r="AL47" s="3634">
        <v>1219.0366041349473</v>
      </c>
      <c r="AM47" s="3635">
        <v>1315.7561051223868</v>
      </c>
      <c r="AN47" s="3497">
        <v>27.436130166318577</v>
      </c>
      <c r="AO47" s="3608">
        <v>0</v>
      </c>
      <c r="AP47" s="2282"/>
      <c r="AQ47" s="2282"/>
      <c r="AR47" s="2282"/>
      <c r="AS47" s="1291"/>
      <c r="AT47" s="2394" t="s">
        <v>1786</v>
      </c>
      <c r="AU47" s="3648">
        <v>100</v>
      </c>
      <c r="AV47" s="2396">
        <v>113.88023934301545</v>
      </c>
      <c r="AW47" s="2397">
        <v>5.3185994613226741</v>
      </c>
      <c r="AX47" s="2397">
        <v>9.7330370142204945</v>
      </c>
      <c r="AY47" s="2397">
        <v>33.988545870734377</v>
      </c>
      <c r="AZ47" s="2397">
        <v>12.182456343162073</v>
      </c>
      <c r="BA47" s="2398">
        <v>175.10287803245507</v>
      </c>
      <c r="BB47" s="2396">
        <v>8.3714078160909526</v>
      </c>
      <c r="BC47" s="2399">
        <v>0</v>
      </c>
      <c r="BD47" s="3651">
        <v>8.3714078160909526</v>
      </c>
      <c r="BE47" s="3695">
        <v>183.47428584854603</v>
      </c>
      <c r="BF47" s="3545">
        <v>0</v>
      </c>
      <c r="BG47" s="3638">
        <v>183.47428584854603</v>
      </c>
      <c r="BH47" s="2362"/>
      <c r="BI47" s="1289"/>
      <c r="BJ47" s="2394" t="s">
        <v>1786</v>
      </c>
      <c r="BK47" s="2395">
        <v>100</v>
      </c>
      <c r="BL47" s="2396">
        <v>1367.221799411479</v>
      </c>
      <c r="BM47" s="2397">
        <v>63.853967710373446</v>
      </c>
      <c r="BN47" s="2397">
        <v>116.85276090998342</v>
      </c>
      <c r="BO47" s="2397">
        <v>408.05921301934069</v>
      </c>
      <c r="BP47" s="2397">
        <v>146.25996554661609</v>
      </c>
      <c r="BQ47" s="2798">
        <v>2102.2477065977923</v>
      </c>
      <c r="BR47" s="2396">
        <v>100.50533195182624</v>
      </c>
      <c r="BS47" s="2399">
        <v>0</v>
      </c>
      <c r="BT47" s="2398">
        <v>100.50533195182624</v>
      </c>
      <c r="BU47" s="4034">
        <v>2202.7530385496184</v>
      </c>
      <c r="BV47" s="3642">
        <v>0</v>
      </c>
      <c r="BW47" s="3638">
        <v>2202.7530385496184</v>
      </c>
      <c r="BX47" s="3638">
        <f t="shared" ref="BX47:BX67" si="211">IF(BK47=0,"",BW47/10)</f>
        <v>220.27530385496183</v>
      </c>
      <c r="BY47" s="1291"/>
      <c r="BZ47" s="3670">
        <v>1219.0366041349473</v>
      </c>
      <c r="CA47" s="3671">
        <v>1315.7561051223868</v>
      </c>
      <c r="CB47" s="3523">
        <v>27.436130166318577</v>
      </c>
      <c r="CC47" s="3526">
        <v>0</v>
      </c>
      <c r="CD47" s="2362"/>
      <c r="CE47" s="2362"/>
      <c r="CF47" s="2362"/>
      <c r="CG47" s="2346"/>
      <c r="CH47" s="2410" t="str">
        <f t="shared" si="143"/>
        <v>Generation Turbine 100 MW</v>
      </c>
      <c r="CI47" s="2411">
        <f t="shared" si="144"/>
        <v>100</v>
      </c>
      <c r="CJ47" s="2412">
        <f t="shared" si="145"/>
        <v>0</v>
      </c>
      <c r="CK47" s="2413">
        <f t="shared" si="146"/>
        <v>0</v>
      </c>
      <c r="CL47" s="2413">
        <f t="shared" si="147"/>
        <v>0</v>
      </c>
      <c r="CM47" s="2413">
        <f t="shared" si="148"/>
        <v>0</v>
      </c>
      <c r="CN47" s="2413">
        <f t="shared" si="149"/>
        <v>0</v>
      </c>
      <c r="CO47" s="2414">
        <f t="shared" si="150"/>
        <v>0</v>
      </c>
      <c r="CP47" s="2412">
        <f t="shared" si="151"/>
        <v>0</v>
      </c>
      <c r="CQ47" s="2415">
        <f t="shared" si="152"/>
        <v>0</v>
      </c>
      <c r="CR47" s="2414">
        <f t="shared" si="153"/>
        <v>0</v>
      </c>
      <c r="CS47" s="3367">
        <f t="shared" si="154"/>
        <v>0</v>
      </c>
      <c r="CT47" s="3646">
        <f t="shared" si="154"/>
        <v>0</v>
      </c>
      <c r="CU47" s="3638">
        <f t="shared" si="154"/>
        <v>0</v>
      </c>
      <c r="CV47" s="2362"/>
      <c r="CW47" s="2340"/>
      <c r="CX47" s="2410" t="str">
        <f t="shared" si="155"/>
        <v>Generation Turbine 100 MW</v>
      </c>
      <c r="CY47" s="2411">
        <f t="shared" si="156"/>
        <v>100</v>
      </c>
      <c r="CZ47" s="2412">
        <f t="shared" si="157"/>
        <v>0</v>
      </c>
      <c r="DA47" s="2413">
        <f t="shared" si="158"/>
        <v>0</v>
      </c>
      <c r="DB47" s="2413">
        <f t="shared" si="159"/>
        <v>0</v>
      </c>
      <c r="DC47" s="2413">
        <f t="shared" si="160"/>
        <v>0</v>
      </c>
      <c r="DD47" s="2413">
        <f t="shared" si="161"/>
        <v>0</v>
      </c>
      <c r="DE47" s="2414">
        <f t="shared" si="162"/>
        <v>0</v>
      </c>
      <c r="DF47" s="2412">
        <f t="shared" si="163"/>
        <v>0</v>
      </c>
      <c r="DG47" s="2415">
        <f t="shared" si="164"/>
        <v>0</v>
      </c>
      <c r="DH47" s="2414">
        <f t="shared" si="165"/>
        <v>0</v>
      </c>
      <c r="DI47" s="3367">
        <f t="shared" si="166"/>
        <v>0</v>
      </c>
      <c r="DJ47" s="3646">
        <f t="shared" si="166"/>
        <v>0</v>
      </c>
      <c r="DK47" s="3638">
        <f t="shared" si="166"/>
        <v>0</v>
      </c>
      <c r="DL47" s="3638">
        <f t="shared" si="166"/>
        <v>0</v>
      </c>
      <c r="DM47" s="2341"/>
      <c r="DN47" s="3687">
        <f t="shared" si="167"/>
        <v>0</v>
      </c>
      <c r="DO47" s="3688">
        <f t="shared" si="168"/>
        <v>0</v>
      </c>
      <c r="DP47" s="3687">
        <f t="shared" si="169"/>
        <v>0</v>
      </c>
      <c r="DQ47" s="3689">
        <f t="shared" si="170"/>
        <v>0</v>
      </c>
      <c r="DS47" s="2329"/>
      <c r="DT47" s="2288" t="str">
        <f t="shared" si="171"/>
        <v>Generation Turbine 100 MW</v>
      </c>
      <c r="DU47" s="2289">
        <f t="shared" si="172"/>
        <v>100</v>
      </c>
      <c r="DV47" s="2373">
        <f t="shared" si="173"/>
        <v>0</v>
      </c>
      <c r="DW47" s="2373">
        <f t="shared" si="174"/>
        <v>0</v>
      </c>
      <c r="DX47" s="2788">
        <f t="shared" ref="DX47:DX62" si="212">IF(J47=0,"0.00%",CL47/J47)</f>
        <v>0</v>
      </c>
      <c r="DY47" s="3693">
        <f t="shared" si="175"/>
        <v>0</v>
      </c>
      <c r="DZ47" s="3693">
        <f t="shared" si="176"/>
        <v>0</v>
      </c>
      <c r="EA47" s="3369">
        <f t="shared" si="177"/>
        <v>0</v>
      </c>
      <c r="EB47" s="2374">
        <f t="shared" ref="EB47:EB62" si="213">IF(N47=0,"0.00%",CP47/N47)</f>
        <v>0</v>
      </c>
      <c r="EC47" s="3950" t="str">
        <f t="shared" ref="EC47:EC62" si="214">IF(O47=0,"0.00%",CQ47/O47)</f>
        <v>0.00%</v>
      </c>
      <c r="ED47" s="3369">
        <f t="shared" ref="ED47:ED62" si="215">IF(P47=0,"0.00%",CR47/P47)</f>
        <v>0</v>
      </c>
      <c r="EE47" s="2374">
        <f t="shared" si="178"/>
        <v>0</v>
      </c>
      <c r="EF47" s="3641" t="e">
        <f t="shared" si="178"/>
        <v>#DIV/0!</v>
      </c>
      <c r="EG47" s="3641">
        <f t="shared" si="178"/>
        <v>0</v>
      </c>
      <c r="EH47" s="2329"/>
      <c r="EJ47" s="2288" t="str">
        <f t="shared" si="179"/>
        <v>Generation Turbine 100 MW</v>
      </c>
      <c r="EK47" s="2289">
        <f t="shared" si="180"/>
        <v>100</v>
      </c>
      <c r="EL47" s="2788">
        <f t="shared" si="181"/>
        <v>0</v>
      </c>
      <c r="EM47" s="3693">
        <f t="shared" si="182"/>
        <v>0</v>
      </c>
      <c r="EN47" s="3370">
        <f t="shared" si="183"/>
        <v>0</v>
      </c>
      <c r="EO47" s="3693">
        <f t="shared" si="184"/>
        <v>0</v>
      </c>
      <c r="EP47" s="3693">
        <f t="shared" si="185"/>
        <v>0</v>
      </c>
      <c r="EQ47" s="3369">
        <f t="shared" si="186"/>
        <v>0</v>
      </c>
      <c r="ER47" s="2788">
        <f t="shared" si="187"/>
        <v>0</v>
      </c>
      <c r="ES47" s="3693" t="str">
        <f t="shared" si="188"/>
        <v>0.00%</v>
      </c>
      <c r="ET47" s="3369">
        <f t="shared" si="189"/>
        <v>0</v>
      </c>
      <c r="EU47" s="2374">
        <f t="shared" si="190"/>
        <v>0</v>
      </c>
      <c r="EV47" s="3641" t="e">
        <f t="shared" si="190"/>
        <v>#DIV/0!</v>
      </c>
      <c r="EW47" s="3641">
        <f t="shared" si="190"/>
        <v>0</v>
      </c>
      <c r="EY47" s="2288" t="str">
        <f t="shared" ref="EY47:EY64" si="216">DT47</f>
        <v>Generation Turbine 100 MW</v>
      </c>
      <c r="EZ47" s="2288">
        <f t="shared" ref="EZ47:EZ64" si="217">DU47</f>
        <v>100</v>
      </c>
      <c r="FA47" s="2373">
        <f t="shared" ref="FA47:FA64" si="218">CJ47/AV47</f>
        <v>0</v>
      </c>
      <c r="FB47" s="2373">
        <f t="shared" si="191"/>
        <v>0</v>
      </c>
      <c r="FC47" s="2788">
        <f t="shared" si="192"/>
        <v>0</v>
      </c>
      <c r="FD47" s="3693">
        <f t="shared" si="193"/>
        <v>0</v>
      </c>
      <c r="FE47" s="3693">
        <f t="shared" si="194"/>
        <v>0</v>
      </c>
      <c r="FF47" s="3369">
        <f t="shared" si="195"/>
        <v>0</v>
      </c>
      <c r="FG47" s="2374">
        <f t="shared" si="196"/>
        <v>0</v>
      </c>
      <c r="FH47" s="3950" t="e">
        <f t="shared" si="197"/>
        <v>#DIV/0!</v>
      </c>
      <c r="FI47" s="3369">
        <f t="shared" si="198"/>
        <v>0</v>
      </c>
      <c r="FJ47" s="2374">
        <f t="shared" si="199"/>
        <v>0</v>
      </c>
      <c r="FK47" s="3641" t="e">
        <f t="shared" ref="FK47:FK64" si="219">IF($H47=0,"",CT47/BF47)</f>
        <v>#DIV/0!</v>
      </c>
      <c r="FL47" s="3641">
        <f t="shared" si="200"/>
        <v>0</v>
      </c>
      <c r="FO47" s="2288" t="str">
        <f t="shared" ref="FO47:FP64" si="220">EY47</f>
        <v>Generation Turbine 100 MW</v>
      </c>
      <c r="FP47" s="2288">
        <f t="shared" si="220"/>
        <v>100</v>
      </c>
      <c r="FQ47" s="2788">
        <f t="shared" ref="FQ47:FQ64" si="221">CZ47/BL47</f>
        <v>0</v>
      </c>
      <c r="FR47" s="3693">
        <f t="shared" si="201"/>
        <v>0</v>
      </c>
      <c r="FS47" s="3370">
        <f t="shared" si="202"/>
        <v>0</v>
      </c>
      <c r="FT47" s="3693">
        <f t="shared" si="203"/>
        <v>0</v>
      </c>
      <c r="FU47" s="3693">
        <f t="shared" si="204"/>
        <v>0</v>
      </c>
      <c r="FV47" s="3369">
        <f t="shared" si="205"/>
        <v>0</v>
      </c>
      <c r="FW47" s="2788">
        <f t="shared" si="206"/>
        <v>0</v>
      </c>
      <c r="FX47" s="3693" t="e">
        <f t="shared" si="207"/>
        <v>#DIV/0!</v>
      </c>
      <c r="FY47" s="3369">
        <f t="shared" si="208"/>
        <v>0</v>
      </c>
      <c r="FZ47" s="2374">
        <f t="shared" si="209"/>
        <v>0</v>
      </c>
      <c r="GA47" s="3641" t="e">
        <f t="shared" ref="GA47:GA64" si="222">IF($H47=0,"",DJ47/BV47)</f>
        <v>#DIV/0!</v>
      </c>
      <c r="GB47" s="3641">
        <f t="shared" ref="GB47:GB64" si="223">IF($H47=0,"",DK47/BW47)</f>
        <v>0</v>
      </c>
    </row>
    <row r="48" spans="1:184">
      <c r="A48" s="1802"/>
      <c r="B48" s="1802"/>
      <c r="C48" s="1802"/>
      <c r="D48" s="1291"/>
      <c r="E48" s="1802"/>
      <c r="F48" s="2288" t="s">
        <v>1787</v>
      </c>
      <c r="G48" s="2289">
        <v>200</v>
      </c>
      <c r="H48" s="2278">
        <v>93.947198868272977</v>
      </c>
      <c r="I48" s="2279">
        <v>4.3876578076775576</v>
      </c>
      <c r="J48" s="2279">
        <v>8.029413788049931</v>
      </c>
      <c r="K48" s="2279">
        <v>31.264223118860485</v>
      </c>
      <c r="L48" s="2279">
        <v>10.060938267599212</v>
      </c>
      <c r="M48" s="2280">
        <v>147.68943185046015</v>
      </c>
      <c r="N48" s="2278">
        <v>11.720761305688466</v>
      </c>
      <c r="O48" s="2281">
        <v>0</v>
      </c>
      <c r="P48" s="2280">
        <v>11.720761305688466</v>
      </c>
      <c r="Q48" s="4025">
        <v>159.41019315614861</v>
      </c>
      <c r="R48" s="3545">
        <v>0</v>
      </c>
      <c r="S48" s="3638">
        <v>159.41019315614861</v>
      </c>
      <c r="T48" s="2362"/>
      <c r="U48" s="1289"/>
      <c r="V48" s="2288" t="s">
        <v>1787</v>
      </c>
      <c r="W48" s="2289">
        <v>200</v>
      </c>
      <c r="X48" s="2278">
        <v>746.6439254438161</v>
      </c>
      <c r="Y48" s="2279">
        <v>34.870843287430127</v>
      </c>
      <c r="Z48" s="2279">
        <v>63.813643215997139</v>
      </c>
      <c r="AA48" s="2279">
        <v>248.47193483807612</v>
      </c>
      <c r="AB48" s="2279">
        <v>79.959152931222192</v>
      </c>
      <c r="AC48" s="2280">
        <v>1173.7594997165418</v>
      </c>
      <c r="AD48" s="2278">
        <v>93.150571128146893</v>
      </c>
      <c r="AE48" s="2281">
        <v>0</v>
      </c>
      <c r="AF48" s="3960">
        <v>93.150571128146893</v>
      </c>
      <c r="AG48" s="3629">
        <v>1266.9100708446886</v>
      </c>
      <c r="AH48" s="4028">
        <v>0</v>
      </c>
      <c r="AI48" s="3638">
        <v>1266.9100708446886</v>
      </c>
      <c r="AJ48" s="4029">
        <f t="shared" si="210"/>
        <v>126.69100708446885</v>
      </c>
      <c r="AK48" s="2346"/>
      <c r="AL48" s="3634">
        <v>986.77100885495611</v>
      </c>
      <c r="AM48" s="3635">
        <v>1085.452587588529</v>
      </c>
      <c r="AN48" s="3497">
        <v>25.237010677072234</v>
      </c>
      <c r="AO48" s="3608">
        <v>0</v>
      </c>
      <c r="AP48" s="2282"/>
      <c r="AQ48" s="2282"/>
      <c r="AR48" s="2282"/>
      <c r="AS48" s="1291"/>
      <c r="AT48" s="2394" t="s">
        <v>1787</v>
      </c>
      <c r="AU48" s="3648">
        <v>200</v>
      </c>
      <c r="AV48" s="2396">
        <v>93.947198868272977</v>
      </c>
      <c r="AW48" s="2397">
        <v>4.3876578076775576</v>
      </c>
      <c r="AX48" s="2397">
        <v>8.029413788049931</v>
      </c>
      <c r="AY48" s="2397">
        <v>31.264223118860485</v>
      </c>
      <c r="AZ48" s="2397">
        <v>10.060938267599212</v>
      </c>
      <c r="BA48" s="2398">
        <v>147.68943185046015</v>
      </c>
      <c r="BB48" s="2396">
        <v>11.720761305688466</v>
      </c>
      <c r="BC48" s="2399">
        <v>0</v>
      </c>
      <c r="BD48" s="3651">
        <v>11.720761305688466</v>
      </c>
      <c r="BE48" s="3695">
        <v>159.41019315614861</v>
      </c>
      <c r="BF48" s="3545">
        <v>0</v>
      </c>
      <c r="BG48" s="3638">
        <v>159.41019315614861</v>
      </c>
      <c r="BH48" s="2362"/>
      <c r="BI48" s="1289"/>
      <c r="BJ48" s="2394" t="s">
        <v>1787</v>
      </c>
      <c r="BK48" s="2395">
        <v>200</v>
      </c>
      <c r="BL48" s="2396">
        <v>746.6439254438161</v>
      </c>
      <c r="BM48" s="2397">
        <v>34.870843287430127</v>
      </c>
      <c r="BN48" s="2397">
        <v>63.813643215997139</v>
      </c>
      <c r="BO48" s="2397">
        <v>248.47193483807612</v>
      </c>
      <c r="BP48" s="2397">
        <v>79.959152931222192</v>
      </c>
      <c r="BQ48" s="2798">
        <v>1173.7594997165418</v>
      </c>
      <c r="BR48" s="2396">
        <v>93.150571128146893</v>
      </c>
      <c r="BS48" s="2399">
        <v>0</v>
      </c>
      <c r="BT48" s="2398">
        <v>93.150571128146893</v>
      </c>
      <c r="BU48" s="4034">
        <v>1266.9100708446886</v>
      </c>
      <c r="BV48" s="3642">
        <v>0</v>
      </c>
      <c r="BW48" s="3638">
        <v>1266.9100708446886</v>
      </c>
      <c r="BX48" s="3638">
        <f t="shared" si="211"/>
        <v>126.69100708446885</v>
      </c>
      <c r="BY48" s="1291"/>
      <c r="BZ48" s="3670">
        <v>986.77100885495611</v>
      </c>
      <c r="CA48" s="3671">
        <v>1085.452587588529</v>
      </c>
      <c r="CB48" s="3523">
        <v>25.237010677072234</v>
      </c>
      <c r="CC48" s="3526">
        <v>0</v>
      </c>
      <c r="CD48" s="2362"/>
      <c r="CE48" s="2362"/>
      <c r="CF48" s="2362"/>
      <c r="CG48" s="2346"/>
      <c r="CH48" s="2410" t="str">
        <f t="shared" si="143"/>
        <v>Generation Turbine - Advanced 200 MW</v>
      </c>
      <c r="CI48" s="2411">
        <f t="shared" si="144"/>
        <v>200</v>
      </c>
      <c r="CJ48" s="2412">
        <f t="shared" si="145"/>
        <v>0</v>
      </c>
      <c r="CK48" s="2413">
        <f t="shared" si="146"/>
        <v>0</v>
      </c>
      <c r="CL48" s="2413">
        <f t="shared" si="147"/>
        <v>0</v>
      </c>
      <c r="CM48" s="2413">
        <f t="shared" si="148"/>
        <v>0</v>
      </c>
      <c r="CN48" s="2413">
        <f t="shared" si="149"/>
        <v>0</v>
      </c>
      <c r="CO48" s="2414">
        <f t="shared" si="150"/>
        <v>0</v>
      </c>
      <c r="CP48" s="2412">
        <f t="shared" si="151"/>
        <v>0</v>
      </c>
      <c r="CQ48" s="2415">
        <f t="shared" si="152"/>
        <v>0</v>
      </c>
      <c r="CR48" s="2414">
        <f t="shared" si="153"/>
        <v>0</v>
      </c>
      <c r="CS48" s="3367">
        <f t="shared" si="154"/>
        <v>0</v>
      </c>
      <c r="CT48" s="3646">
        <f t="shared" si="154"/>
        <v>0</v>
      </c>
      <c r="CU48" s="3638">
        <f t="shared" si="154"/>
        <v>0</v>
      </c>
      <c r="CV48" s="2362"/>
      <c r="CW48" s="2340"/>
      <c r="CX48" s="2410" t="str">
        <f t="shared" si="155"/>
        <v>Generation Turbine - Advanced 200 MW</v>
      </c>
      <c r="CY48" s="2411">
        <f t="shared" si="156"/>
        <v>200</v>
      </c>
      <c r="CZ48" s="2412">
        <f t="shared" si="157"/>
        <v>0</v>
      </c>
      <c r="DA48" s="2413">
        <f t="shared" si="158"/>
        <v>0</v>
      </c>
      <c r="DB48" s="2413">
        <f t="shared" si="159"/>
        <v>0</v>
      </c>
      <c r="DC48" s="2413">
        <f t="shared" si="160"/>
        <v>0</v>
      </c>
      <c r="DD48" s="2413">
        <f t="shared" si="161"/>
        <v>0</v>
      </c>
      <c r="DE48" s="2414">
        <f t="shared" si="162"/>
        <v>0</v>
      </c>
      <c r="DF48" s="2412">
        <f t="shared" si="163"/>
        <v>0</v>
      </c>
      <c r="DG48" s="2415">
        <f t="shared" si="164"/>
        <v>0</v>
      </c>
      <c r="DH48" s="2414">
        <f t="shared" si="165"/>
        <v>0</v>
      </c>
      <c r="DI48" s="3367">
        <f t="shared" si="166"/>
        <v>0</v>
      </c>
      <c r="DJ48" s="3646">
        <f t="shared" si="166"/>
        <v>0</v>
      </c>
      <c r="DK48" s="3638">
        <f t="shared" si="166"/>
        <v>0</v>
      </c>
      <c r="DL48" s="3638">
        <f t="shared" si="166"/>
        <v>0</v>
      </c>
      <c r="DM48" s="2341"/>
      <c r="DN48" s="3687">
        <f t="shared" si="167"/>
        <v>0</v>
      </c>
      <c r="DO48" s="3688">
        <f t="shared" si="168"/>
        <v>0</v>
      </c>
      <c r="DP48" s="3687">
        <f t="shared" si="169"/>
        <v>0</v>
      </c>
      <c r="DQ48" s="3689">
        <f t="shared" si="170"/>
        <v>0</v>
      </c>
      <c r="DS48" s="2329"/>
      <c r="DT48" s="2288" t="str">
        <f t="shared" si="171"/>
        <v>Generation Turbine - Advanced 200 MW</v>
      </c>
      <c r="DU48" s="2289">
        <f t="shared" si="172"/>
        <v>200</v>
      </c>
      <c r="DV48" s="2373">
        <f t="shared" si="173"/>
        <v>0</v>
      </c>
      <c r="DW48" s="2373">
        <f t="shared" si="174"/>
        <v>0</v>
      </c>
      <c r="DX48" s="2788">
        <f t="shared" si="212"/>
        <v>0</v>
      </c>
      <c r="DY48" s="3693">
        <f t="shared" si="175"/>
        <v>0</v>
      </c>
      <c r="DZ48" s="3693">
        <f t="shared" si="176"/>
        <v>0</v>
      </c>
      <c r="EA48" s="3369">
        <f t="shared" si="177"/>
        <v>0</v>
      </c>
      <c r="EB48" s="2374">
        <f t="shared" si="213"/>
        <v>0</v>
      </c>
      <c r="EC48" s="3950" t="str">
        <f t="shared" si="214"/>
        <v>0.00%</v>
      </c>
      <c r="ED48" s="3369">
        <f t="shared" si="215"/>
        <v>0</v>
      </c>
      <c r="EE48" s="2374">
        <f t="shared" si="178"/>
        <v>0</v>
      </c>
      <c r="EF48" s="3641" t="e">
        <f t="shared" si="178"/>
        <v>#DIV/0!</v>
      </c>
      <c r="EG48" s="3641">
        <f t="shared" si="178"/>
        <v>0</v>
      </c>
      <c r="EH48" s="2329"/>
      <c r="EJ48" s="2288" t="str">
        <f t="shared" si="179"/>
        <v>Generation Turbine - Advanced 200 MW</v>
      </c>
      <c r="EK48" s="2289">
        <f t="shared" si="180"/>
        <v>200</v>
      </c>
      <c r="EL48" s="2788">
        <f t="shared" si="181"/>
        <v>0</v>
      </c>
      <c r="EM48" s="3693">
        <f t="shared" si="182"/>
        <v>0</v>
      </c>
      <c r="EN48" s="3370">
        <f t="shared" si="183"/>
        <v>0</v>
      </c>
      <c r="EO48" s="3693">
        <f t="shared" si="184"/>
        <v>0</v>
      </c>
      <c r="EP48" s="3693">
        <f t="shared" si="185"/>
        <v>0</v>
      </c>
      <c r="EQ48" s="3369">
        <f t="shared" si="186"/>
        <v>0</v>
      </c>
      <c r="ER48" s="2788">
        <f t="shared" si="187"/>
        <v>0</v>
      </c>
      <c r="ES48" s="3693" t="str">
        <f t="shared" si="188"/>
        <v>0.00%</v>
      </c>
      <c r="ET48" s="3369">
        <f t="shared" si="189"/>
        <v>0</v>
      </c>
      <c r="EU48" s="2374">
        <f t="shared" si="190"/>
        <v>0</v>
      </c>
      <c r="EV48" s="3641" t="e">
        <f t="shared" si="190"/>
        <v>#DIV/0!</v>
      </c>
      <c r="EW48" s="3641">
        <f t="shared" si="190"/>
        <v>0</v>
      </c>
      <c r="EY48" s="2288" t="str">
        <f t="shared" si="216"/>
        <v>Generation Turbine - Advanced 200 MW</v>
      </c>
      <c r="EZ48" s="2288">
        <f t="shared" si="217"/>
        <v>200</v>
      </c>
      <c r="FA48" s="2373">
        <f t="shared" si="218"/>
        <v>0</v>
      </c>
      <c r="FB48" s="2373">
        <f t="shared" si="191"/>
        <v>0</v>
      </c>
      <c r="FC48" s="2788">
        <f t="shared" si="192"/>
        <v>0</v>
      </c>
      <c r="FD48" s="3693">
        <f t="shared" si="193"/>
        <v>0</v>
      </c>
      <c r="FE48" s="3693">
        <f t="shared" si="194"/>
        <v>0</v>
      </c>
      <c r="FF48" s="3369">
        <f t="shared" si="195"/>
        <v>0</v>
      </c>
      <c r="FG48" s="2374">
        <f t="shared" si="196"/>
        <v>0</v>
      </c>
      <c r="FH48" s="3950" t="e">
        <f t="shared" si="197"/>
        <v>#DIV/0!</v>
      </c>
      <c r="FI48" s="3369">
        <f t="shared" si="198"/>
        <v>0</v>
      </c>
      <c r="FJ48" s="2374">
        <f t="shared" si="199"/>
        <v>0</v>
      </c>
      <c r="FK48" s="3641" t="e">
        <f t="shared" si="219"/>
        <v>#DIV/0!</v>
      </c>
      <c r="FL48" s="3641">
        <f t="shared" si="200"/>
        <v>0</v>
      </c>
      <c r="FO48" s="2288" t="str">
        <f t="shared" si="220"/>
        <v>Generation Turbine - Advanced 200 MW</v>
      </c>
      <c r="FP48" s="2288">
        <f t="shared" si="220"/>
        <v>200</v>
      </c>
      <c r="FQ48" s="2788">
        <f t="shared" si="221"/>
        <v>0</v>
      </c>
      <c r="FR48" s="3693">
        <f t="shared" si="201"/>
        <v>0</v>
      </c>
      <c r="FS48" s="3370">
        <f t="shared" si="202"/>
        <v>0</v>
      </c>
      <c r="FT48" s="3693">
        <f t="shared" si="203"/>
        <v>0</v>
      </c>
      <c r="FU48" s="3693">
        <f t="shared" si="204"/>
        <v>0</v>
      </c>
      <c r="FV48" s="3369">
        <f t="shared" si="205"/>
        <v>0</v>
      </c>
      <c r="FW48" s="2788">
        <f t="shared" si="206"/>
        <v>0</v>
      </c>
      <c r="FX48" s="3693" t="e">
        <f t="shared" si="207"/>
        <v>#DIV/0!</v>
      </c>
      <c r="FY48" s="3369">
        <f t="shared" si="208"/>
        <v>0</v>
      </c>
      <c r="FZ48" s="2374">
        <f t="shared" si="209"/>
        <v>0</v>
      </c>
      <c r="GA48" s="3641" t="e">
        <f t="shared" si="222"/>
        <v>#DIV/0!</v>
      </c>
      <c r="GB48" s="3641">
        <f t="shared" si="223"/>
        <v>0</v>
      </c>
    </row>
    <row r="49" spans="1:184">
      <c r="A49" s="1802"/>
      <c r="B49" s="1802"/>
      <c r="C49" s="1802"/>
      <c r="D49" s="1291"/>
      <c r="E49" s="1802"/>
      <c r="F49" s="2288" t="s">
        <v>1788</v>
      </c>
      <c r="G49" s="2289">
        <v>500</v>
      </c>
      <c r="H49" s="2278">
        <v>95.780602163935598</v>
      </c>
      <c r="I49" s="2279">
        <v>4.4732840571213019</v>
      </c>
      <c r="J49" s="2279">
        <v>8.1861098245319823</v>
      </c>
      <c r="K49" s="2279">
        <v>42.816399403248816</v>
      </c>
      <c r="L49" s="2279">
        <v>13.403333042286423</v>
      </c>
      <c r="M49" s="2280">
        <v>164.65972849112413</v>
      </c>
      <c r="N49" s="2278">
        <v>326.82560098855856</v>
      </c>
      <c r="O49" s="2281">
        <v>3.7191355107978903</v>
      </c>
      <c r="P49" s="2280">
        <v>330.54473649935647</v>
      </c>
      <c r="Q49" s="4025">
        <v>495.20446499048057</v>
      </c>
      <c r="R49" s="3545">
        <v>0</v>
      </c>
      <c r="S49" s="3638">
        <v>495.20446499048057</v>
      </c>
      <c r="T49" s="2362"/>
      <c r="U49" s="1289"/>
      <c r="V49" s="2288" t="s">
        <v>1788</v>
      </c>
      <c r="W49" s="2289">
        <v>500</v>
      </c>
      <c r="X49" s="2278">
        <v>20.220451117830336</v>
      </c>
      <c r="Y49" s="2279">
        <v>0.944364720722637</v>
      </c>
      <c r="Z49" s="2279">
        <v>1.7281874389224259</v>
      </c>
      <c r="AA49" s="2279">
        <v>9.0390631465551703</v>
      </c>
      <c r="AB49" s="2279">
        <v>2.8296067729213008</v>
      </c>
      <c r="AC49" s="2280">
        <v>34.761673196951868</v>
      </c>
      <c r="AD49" s="2278">
        <v>68.99686303426688</v>
      </c>
      <c r="AE49" s="2281">
        <v>0.78515478184153487</v>
      </c>
      <c r="AF49" s="3960">
        <v>69.782017816108421</v>
      </c>
      <c r="AG49" s="3629">
        <v>104.54369101306028</v>
      </c>
      <c r="AH49" s="4028">
        <v>0</v>
      </c>
      <c r="AI49" s="3638">
        <v>104.54369101306028</v>
      </c>
      <c r="AJ49" s="4029">
        <f t="shared" si="210"/>
        <v>10.454369101306028</v>
      </c>
      <c r="AK49" s="2346"/>
      <c r="AL49" s="3634">
        <v>999.38768922292047</v>
      </c>
      <c r="AM49" s="3635">
        <v>1106.6354687743822</v>
      </c>
      <c r="AN49" s="3497">
        <v>34.5621231266649</v>
      </c>
      <c r="AO49" s="3608">
        <v>0.61321601142446136</v>
      </c>
      <c r="AP49" s="2282"/>
      <c r="AQ49" s="2282"/>
      <c r="AR49" s="2282"/>
      <c r="AS49" s="1291"/>
      <c r="AT49" s="2394" t="s">
        <v>1788</v>
      </c>
      <c r="AU49" s="3648">
        <v>500</v>
      </c>
      <c r="AV49" s="2396">
        <v>95.780602163935598</v>
      </c>
      <c r="AW49" s="2397">
        <v>4.4732840571213019</v>
      </c>
      <c r="AX49" s="2397">
        <v>8.1861098245319823</v>
      </c>
      <c r="AY49" s="2397">
        <v>42.816399403248816</v>
      </c>
      <c r="AZ49" s="2397">
        <v>13.403333042286423</v>
      </c>
      <c r="BA49" s="2398">
        <v>164.65972849112413</v>
      </c>
      <c r="BB49" s="2396">
        <v>326.82560098855856</v>
      </c>
      <c r="BC49" s="2399">
        <v>3.7191355107978903</v>
      </c>
      <c r="BD49" s="3651">
        <v>330.54473649935647</v>
      </c>
      <c r="BE49" s="3695">
        <v>495.20446499048057</v>
      </c>
      <c r="BF49" s="3545">
        <v>0</v>
      </c>
      <c r="BG49" s="3638">
        <v>495.20446499048057</v>
      </c>
      <c r="BH49" s="2362"/>
      <c r="BI49" s="1289"/>
      <c r="BJ49" s="2394" t="s">
        <v>1788</v>
      </c>
      <c r="BK49" s="2395">
        <v>500</v>
      </c>
      <c r="BL49" s="2396">
        <v>20.220451117830336</v>
      </c>
      <c r="BM49" s="2397">
        <v>0.944364720722637</v>
      </c>
      <c r="BN49" s="2397">
        <v>1.7281874389224259</v>
      </c>
      <c r="BO49" s="2397">
        <v>9.0390631465551703</v>
      </c>
      <c r="BP49" s="2397">
        <v>2.8296067729213008</v>
      </c>
      <c r="BQ49" s="2798">
        <v>34.761673196951868</v>
      </c>
      <c r="BR49" s="2396">
        <v>68.99686303426688</v>
      </c>
      <c r="BS49" s="2399">
        <v>0.78515478184153487</v>
      </c>
      <c r="BT49" s="2398">
        <v>69.782017816108421</v>
      </c>
      <c r="BU49" s="4034">
        <v>104.54369101306028</v>
      </c>
      <c r="BV49" s="3642">
        <v>0</v>
      </c>
      <c r="BW49" s="3638">
        <v>104.54369101306028</v>
      </c>
      <c r="BX49" s="3638">
        <f t="shared" si="211"/>
        <v>10.454369101306028</v>
      </c>
      <c r="BY49" s="1291"/>
      <c r="BZ49" s="3670">
        <v>999.38768922292047</v>
      </c>
      <c r="CA49" s="3671">
        <v>1106.6354687743822</v>
      </c>
      <c r="CB49" s="3523">
        <v>34.5621231266649</v>
      </c>
      <c r="CC49" s="3526">
        <v>0.61321601142446136</v>
      </c>
      <c r="CD49" s="2362"/>
      <c r="CE49" s="2362"/>
      <c r="CF49" s="2362"/>
      <c r="CG49" s="2346"/>
      <c r="CH49" s="2410" t="str">
        <f t="shared" si="143"/>
        <v>Combined Cycle - 2 CTs No Duct Firing 500 MW</v>
      </c>
      <c r="CI49" s="2411">
        <f t="shared" si="144"/>
        <v>500</v>
      </c>
      <c r="CJ49" s="2412">
        <f t="shared" si="145"/>
        <v>0</v>
      </c>
      <c r="CK49" s="2413">
        <f t="shared" si="146"/>
        <v>0</v>
      </c>
      <c r="CL49" s="2413">
        <f t="shared" si="147"/>
        <v>0</v>
      </c>
      <c r="CM49" s="2413">
        <f t="shared" si="148"/>
        <v>0</v>
      </c>
      <c r="CN49" s="2413">
        <f t="shared" si="149"/>
        <v>0</v>
      </c>
      <c r="CO49" s="2414">
        <f t="shared" si="150"/>
        <v>0</v>
      </c>
      <c r="CP49" s="2412">
        <f t="shared" si="151"/>
        <v>0</v>
      </c>
      <c r="CQ49" s="2415">
        <f t="shared" si="152"/>
        <v>0</v>
      </c>
      <c r="CR49" s="2414">
        <f t="shared" si="153"/>
        <v>0</v>
      </c>
      <c r="CS49" s="3367">
        <f t="shared" si="154"/>
        <v>0</v>
      </c>
      <c r="CT49" s="3646">
        <f t="shared" si="154"/>
        <v>0</v>
      </c>
      <c r="CU49" s="3638">
        <f t="shared" si="154"/>
        <v>0</v>
      </c>
      <c r="CV49" s="2362"/>
      <c r="CW49" s="2340"/>
      <c r="CX49" s="2410" t="str">
        <f t="shared" si="155"/>
        <v>Combined Cycle - 2 CTs No Duct Firing 500 MW</v>
      </c>
      <c r="CY49" s="2411">
        <f t="shared" si="156"/>
        <v>500</v>
      </c>
      <c r="CZ49" s="2412">
        <f t="shared" si="157"/>
        <v>0</v>
      </c>
      <c r="DA49" s="2413">
        <f t="shared" si="158"/>
        <v>0</v>
      </c>
      <c r="DB49" s="2413">
        <f t="shared" si="159"/>
        <v>0</v>
      </c>
      <c r="DC49" s="2413">
        <f t="shared" si="160"/>
        <v>0</v>
      </c>
      <c r="DD49" s="2413">
        <f t="shared" si="161"/>
        <v>0</v>
      </c>
      <c r="DE49" s="2414">
        <f t="shared" si="162"/>
        <v>0</v>
      </c>
      <c r="DF49" s="2412">
        <f t="shared" si="163"/>
        <v>0</v>
      </c>
      <c r="DG49" s="2415">
        <f t="shared" si="164"/>
        <v>0</v>
      </c>
      <c r="DH49" s="2414">
        <f t="shared" si="165"/>
        <v>0</v>
      </c>
      <c r="DI49" s="3367">
        <f t="shared" si="166"/>
        <v>0</v>
      </c>
      <c r="DJ49" s="3646">
        <f t="shared" si="166"/>
        <v>0</v>
      </c>
      <c r="DK49" s="3638">
        <f t="shared" si="166"/>
        <v>0</v>
      </c>
      <c r="DL49" s="3638">
        <f t="shared" si="166"/>
        <v>0</v>
      </c>
      <c r="DM49" s="2342"/>
      <c r="DN49" s="3687">
        <f t="shared" si="167"/>
        <v>0</v>
      </c>
      <c r="DO49" s="3688">
        <f t="shared" si="168"/>
        <v>0</v>
      </c>
      <c r="DP49" s="3687">
        <f t="shared" si="169"/>
        <v>0</v>
      </c>
      <c r="DQ49" s="3689">
        <f t="shared" si="170"/>
        <v>0</v>
      </c>
      <c r="DS49" s="2329"/>
      <c r="DT49" s="2288" t="str">
        <f t="shared" si="171"/>
        <v>Combined Cycle - 2 CTs No Duct Firing 500 MW</v>
      </c>
      <c r="DU49" s="2289">
        <f t="shared" si="172"/>
        <v>500</v>
      </c>
      <c r="DV49" s="2373">
        <f t="shared" si="173"/>
        <v>0</v>
      </c>
      <c r="DW49" s="2373">
        <f t="shared" si="174"/>
        <v>0</v>
      </c>
      <c r="DX49" s="2788">
        <f t="shared" si="212"/>
        <v>0</v>
      </c>
      <c r="DY49" s="3693">
        <f t="shared" si="175"/>
        <v>0</v>
      </c>
      <c r="DZ49" s="3693">
        <f t="shared" si="176"/>
        <v>0</v>
      </c>
      <c r="EA49" s="3369">
        <f t="shared" si="177"/>
        <v>0</v>
      </c>
      <c r="EB49" s="2374">
        <f t="shared" si="213"/>
        <v>0</v>
      </c>
      <c r="EC49" s="3950">
        <f t="shared" si="214"/>
        <v>0</v>
      </c>
      <c r="ED49" s="3369">
        <f t="shared" si="215"/>
        <v>0</v>
      </c>
      <c r="EE49" s="2374">
        <f t="shared" si="178"/>
        <v>0</v>
      </c>
      <c r="EF49" s="3641" t="e">
        <f t="shared" si="178"/>
        <v>#DIV/0!</v>
      </c>
      <c r="EG49" s="3641">
        <f t="shared" si="178"/>
        <v>0</v>
      </c>
      <c r="EH49" s="2329"/>
      <c r="EJ49" s="2288" t="str">
        <f t="shared" si="179"/>
        <v>Combined Cycle - 2 CTs No Duct Firing 500 MW</v>
      </c>
      <c r="EK49" s="2289">
        <f t="shared" si="180"/>
        <v>500</v>
      </c>
      <c r="EL49" s="2788">
        <f t="shared" si="181"/>
        <v>0</v>
      </c>
      <c r="EM49" s="3693">
        <f t="shared" si="182"/>
        <v>0</v>
      </c>
      <c r="EN49" s="3370">
        <f t="shared" si="183"/>
        <v>0</v>
      </c>
      <c r="EO49" s="3693">
        <f t="shared" si="184"/>
        <v>0</v>
      </c>
      <c r="EP49" s="3693">
        <f t="shared" si="185"/>
        <v>0</v>
      </c>
      <c r="EQ49" s="3369">
        <f t="shared" si="186"/>
        <v>0</v>
      </c>
      <c r="ER49" s="2788">
        <f t="shared" si="187"/>
        <v>0</v>
      </c>
      <c r="ES49" s="3693">
        <f t="shared" si="188"/>
        <v>0</v>
      </c>
      <c r="ET49" s="3369">
        <f t="shared" si="189"/>
        <v>0</v>
      </c>
      <c r="EU49" s="2374">
        <f t="shared" si="190"/>
        <v>0</v>
      </c>
      <c r="EV49" s="3641" t="e">
        <f t="shared" si="190"/>
        <v>#DIV/0!</v>
      </c>
      <c r="EW49" s="3641">
        <f t="shared" si="190"/>
        <v>0</v>
      </c>
      <c r="EY49" s="2288" t="str">
        <f t="shared" si="216"/>
        <v>Combined Cycle - 2 CTs No Duct Firing 500 MW</v>
      </c>
      <c r="EZ49" s="2288">
        <f t="shared" si="217"/>
        <v>500</v>
      </c>
      <c r="FA49" s="2373">
        <f t="shared" si="218"/>
        <v>0</v>
      </c>
      <c r="FB49" s="2373">
        <f t="shared" si="191"/>
        <v>0</v>
      </c>
      <c r="FC49" s="2788">
        <f t="shared" si="192"/>
        <v>0</v>
      </c>
      <c r="FD49" s="3693">
        <f t="shared" si="193"/>
        <v>0</v>
      </c>
      <c r="FE49" s="3693">
        <f t="shared" si="194"/>
        <v>0</v>
      </c>
      <c r="FF49" s="3369">
        <f t="shared" si="195"/>
        <v>0</v>
      </c>
      <c r="FG49" s="2374">
        <f t="shared" si="196"/>
        <v>0</v>
      </c>
      <c r="FH49" s="3950">
        <f t="shared" si="197"/>
        <v>0</v>
      </c>
      <c r="FI49" s="3369">
        <f t="shared" si="198"/>
        <v>0</v>
      </c>
      <c r="FJ49" s="2374">
        <f t="shared" si="199"/>
        <v>0</v>
      </c>
      <c r="FK49" s="3641" t="e">
        <f t="shared" si="219"/>
        <v>#DIV/0!</v>
      </c>
      <c r="FL49" s="3641">
        <f t="shared" si="200"/>
        <v>0</v>
      </c>
      <c r="FO49" s="2288" t="str">
        <f t="shared" si="220"/>
        <v>Combined Cycle - 2 CTs No Duct Firing 500 MW</v>
      </c>
      <c r="FP49" s="2288">
        <f t="shared" si="220"/>
        <v>500</v>
      </c>
      <c r="FQ49" s="2788">
        <f t="shared" si="221"/>
        <v>0</v>
      </c>
      <c r="FR49" s="3693">
        <f t="shared" si="201"/>
        <v>0</v>
      </c>
      <c r="FS49" s="3370">
        <f t="shared" si="202"/>
        <v>0</v>
      </c>
      <c r="FT49" s="3693">
        <f t="shared" si="203"/>
        <v>0</v>
      </c>
      <c r="FU49" s="3693">
        <f t="shared" si="204"/>
        <v>0</v>
      </c>
      <c r="FV49" s="3369">
        <f t="shared" si="205"/>
        <v>0</v>
      </c>
      <c r="FW49" s="2788">
        <f t="shared" si="206"/>
        <v>0</v>
      </c>
      <c r="FX49" s="3693">
        <f t="shared" si="207"/>
        <v>0</v>
      </c>
      <c r="FY49" s="3369">
        <f t="shared" si="208"/>
        <v>0</v>
      </c>
      <c r="FZ49" s="2374">
        <f t="shared" si="209"/>
        <v>0</v>
      </c>
      <c r="GA49" s="3641" t="e">
        <f t="shared" si="222"/>
        <v>#DIV/0!</v>
      </c>
      <c r="GB49" s="3641">
        <f t="shared" si="223"/>
        <v>0</v>
      </c>
    </row>
    <row r="50" spans="1:184">
      <c r="A50" s="1802"/>
      <c r="B50" s="1802"/>
      <c r="C50" s="1802"/>
      <c r="D50" s="1291"/>
      <c r="E50" s="1802"/>
      <c r="F50" s="3501" t="s">
        <v>1789</v>
      </c>
      <c r="G50" s="2289">
        <v>550</v>
      </c>
      <c r="H50" s="3497">
        <v>93.942271694958492</v>
      </c>
      <c r="I50" s="3498">
        <v>4.387427691711105</v>
      </c>
      <c r="J50" s="3498">
        <v>8.0289926758313186</v>
      </c>
      <c r="K50" s="3498">
        <v>42.816399403248816</v>
      </c>
      <c r="L50" s="3498">
        <v>13.144850349329063</v>
      </c>
      <c r="M50" s="3615">
        <v>162.31994181507881</v>
      </c>
      <c r="N50" s="3497">
        <v>326.82560098855856</v>
      </c>
      <c r="O50" s="3498">
        <v>3.7191355107978907</v>
      </c>
      <c r="P50" s="3615">
        <v>330.54473649935647</v>
      </c>
      <c r="Q50" s="3616">
        <v>492.86467831443531</v>
      </c>
      <c r="R50" s="3545">
        <v>0</v>
      </c>
      <c r="S50" s="3638">
        <v>492.86467831443531</v>
      </c>
      <c r="T50" s="2362"/>
      <c r="U50" s="1289"/>
      <c r="V50" s="3501" t="s">
        <v>1789</v>
      </c>
      <c r="W50" s="2289">
        <v>550</v>
      </c>
      <c r="X50" s="3497">
        <v>19.832357176608838</v>
      </c>
      <c r="Y50" s="3498">
        <v>0.92623939679786049</v>
      </c>
      <c r="Z50" s="3498">
        <v>1.6950180961400838</v>
      </c>
      <c r="AA50" s="3498">
        <v>9.0390631465551685</v>
      </c>
      <c r="AB50" s="3498">
        <v>2.7750379297561292</v>
      </c>
      <c r="AC50" s="3615">
        <v>34.267715745858084</v>
      </c>
      <c r="AD50" s="3497">
        <v>68.996863034266866</v>
      </c>
      <c r="AE50" s="3498">
        <v>0.78515478184153475</v>
      </c>
      <c r="AF50" s="3630">
        <v>69.782017816108407</v>
      </c>
      <c r="AG50" s="3614">
        <v>104.04973356196649</v>
      </c>
      <c r="AH50" s="4028">
        <v>0</v>
      </c>
      <c r="AI50" s="3638">
        <v>104.04973356196649</v>
      </c>
      <c r="AJ50" s="4029">
        <f t="shared" si="210"/>
        <v>10.404973356196649</v>
      </c>
      <c r="AK50" s="2346"/>
      <c r="AL50" s="3634">
        <v>980.20630178212514</v>
      </c>
      <c r="AM50" s="3635">
        <v>1085.3956597281124</v>
      </c>
      <c r="AN50" s="3497">
        <v>34.5621231266649</v>
      </c>
      <c r="AO50" s="3608">
        <v>0.61321601142446136</v>
      </c>
      <c r="AP50" s="2282"/>
      <c r="AQ50" s="2282"/>
      <c r="AR50" s="2282"/>
      <c r="AS50" s="1291"/>
      <c r="AT50" s="3521" t="s">
        <v>1789</v>
      </c>
      <c r="AU50" s="3648">
        <v>550</v>
      </c>
      <c r="AV50" s="3523">
        <v>93.942271694958492</v>
      </c>
      <c r="AW50" s="3524">
        <v>4.387427691711105</v>
      </c>
      <c r="AX50" s="3524">
        <v>8.0289926758313186</v>
      </c>
      <c r="AY50" s="3524">
        <v>42.816399403248816</v>
      </c>
      <c r="AZ50" s="3524">
        <v>13.144850349329063</v>
      </c>
      <c r="BA50" s="3652">
        <v>162.31994181507881</v>
      </c>
      <c r="BB50" s="3523">
        <v>326.82560098855856</v>
      </c>
      <c r="BC50" s="3524">
        <v>3.7191355107978907</v>
      </c>
      <c r="BD50" s="3653">
        <v>330.54473649935647</v>
      </c>
      <c r="BE50" s="3695">
        <v>492.86467831443531</v>
      </c>
      <c r="BF50" s="3545">
        <v>0</v>
      </c>
      <c r="BG50" s="3638">
        <v>492.86467831443531</v>
      </c>
      <c r="BH50" s="2362"/>
      <c r="BI50" s="1289"/>
      <c r="BJ50" s="3521" t="s">
        <v>1789</v>
      </c>
      <c r="BK50" s="2395">
        <v>550</v>
      </c>
      <c r="BL50" s="3523">
        <v>19.832357176608838</v>
      </c>
      <c r="BM50" s="3524">
        <v>0.92623939679786049</v>
      </c>
      <c r="BN50" s="3524">
        <v>1.6950180961400838</v>
      </c>
      <c r="BO50" s="3524">
        <v>9.0390631465551685</v>
      </c>
      <c r="BP50" s="3524">
        <v>2.7750379297561292</v>
      </c>
      <c r="BQ50" s="3665">
        <v>34.267715745858084</v>
      </c>
      <c r="BR50" s="3523">
        <v>68.996863034266866</v>
      </c>
      <c r="BS50" s="3524">
        <v>0.78515478184153475</v>
      </c>
      <c r="BT50" s="3652">
        <v>69.782017816108407</v>
      </c>
      <c r="BU50" s="3654">
        <v>104.04973356196649</v>
      </c>
      <c r="BV50" s="3642">
        <v>0</v>
      </c>
      <c r="BW50" s="3638">
        <v>104.04973356196649</v>
      </c>
      <c r="BX50" s="3638">
        <f t="shared" si="211"/>
        <v>10.404973356196649</v>
      </c>
      <c r="BY50" s="1291"/>
      <c r="BZ50" s="3670">
        <v>980.20630178212514</v>
      </c>
      <c r="CA50" s="3671">
        <v>1085.3956597281124</v>
      </c>
      <c r="CB50" s="3523">
        <v>34.5621231266649</v>
      </c>
      <c r="CC50" s="3526">
        <v>0.61321601142446136</v>
      </c>
      <c r="CD50" s="2362"/>
      <c r="CE50" s="2362"/>
      <c r="CF50" s="2362"/>
      <c r="CG50" s="2346"/>
      <c r="CH50" s="2410" t="str">
        <f t="shared" si="143"/>
        <v>Combined Cycle - 2 CTs With Duct Firing 550 MW</v>
      </c>
      <c r="CI50" s="2411">
        <f t="shared" si="144"/>
        <v>550</v>
      </c>
      <c r="CJ50" s="2412">
        <f t="shared" si="145"/>
        <v>0</v>
      </c>
      <c r="CK50" s="3674">
        <f t="shared" si="146"/>
        <v>0</v>
      </c>
      <c r="CL50" s="3674">
        <f t="shared" si="147"/>
        <v>0</v>
      </c>
      <c r="CM50" s="3674">
        <f t="shared" si="148"/>
        <v>0</v>
      </c>
      <c r="CN50" s="3674">
        <f t="shared" si="149"/>
        <v>0</v>
      </c>
      <c r="CO50" s="3675">
        <f t="shared" si="150"/>
        <v>0</v>
      </c>
      <c r="CP50" s="3676">
        <f t="shared" si="151"/>
        <v>0</v>
      </c>
      <c r="CQ50" s="3674">
        <f t="shared" si="152"/>
        <v>0</v>
      </c>
      <c r="CR50" s="3675">
        <f t="shared" si="153"/>
        <v>0</v>
      </c>
      <c r="CS50" s="3677">
        <f t="shared" si="154"/>
        <v>0</v>
      </c>
      <c r="CT50" s="3545">
        <f t="shared" si="154"/>
        <v>0</v>
      </c>
      <c r="CU50" s="3638">
        <f t="shared" si="154"/>
        <v>0</v>
      </c>
      <c r="CV50" s="2362"/>
      <c r="CW50" s="2340"/>
      <c r="CX50" s="2410" t="str">
        <f t="shared" si="155"/>
        <v>Combined Cycle - 2 CTs With Duct Firing 550 MW</v>
      </c>
      <c r="CY50" s="2411">
        <f t="shared" si="156"/>
        <v>550</v>
      </c>
      <c r="CZ50" s="2412">
        <f t="shared" si="157"/>
        <v>0</v>
      </c>
      <c r="DA50" s="3674">
        <f t="shared" si="158"/>
        <v>0</v>
      </c>
      <c r="DB50" s="3674">
        <f t="shared" si="159"/>
        <v>0</v>
      </c>
      <c r="DC50" s="3674">
        <f t="shared" si="160"/>
        <v>0</v>
      </c>
      <c r="DD50" s="3674">
        <f t="shared" si="161"/>
        <v>0</v>
      </c>
      <c r="DE50" s="3675">
        <f t="shared" si="162"/>
        <v>0</v>
      </c>
      <c r="DF50" s="3676">
        <f t="shared" si="163"/>
        <v>0</v>
      </c>
      <c r="DG50" s="3674">
        <f t="shared" si="164"/>
        <v>0</v>
      </c>
      <c r="DH50" s="3675">
        <f t="shared" si="165"/>
        <v>0</v>
      </c>
      <c r="DI50" s="3677">
        <f t="shared" si="166"/>
        <v>0</v>
      </c>
      <c r="DJ50" s="3545">
        <f t="shared" si="166"/>
        <v>0</v>
      </c>
      <c r="DK50" s="3638">
        <f t="shared" si="166"/>
        <v>0</v>
      </c>
      <c r="DL50" s="3638">
        <f t="shared" si="166"/>
        <v>0</v>
      </c>
      <c r="DM50" s="2341"/>
      <c r="DN50" s="3687">
        <f t="shared" si="167"/>
        <v>0</v>
      </c>
      <c r="DO50" s="3688">
        <f t="shared" si="168"/>
        <v>0</v>
      </c>
      <c r="DP50" s="3687">
        <f t="shared" si="169"/>
        <v>0</v>
      </c>
      <c r="DQ50" s="3689">
        <f t="shared" si="170"/>
        <v>0</v>
      </c>
      <c r="DS50" s="2329"/>
      <c r="DT50" s="2288" t="str">
        <f t="shared" si="171"/>
        <v>Combined Cycle - 2 CTs With Duct Firing 550 MW</v>
      </c>
      <c r="DU50" s="2289">
        <f t="shared" si="172"/>
        <v>550</v>
      </c>
      <c r="DV50" s="2373">
        <f t="shared" si="173"/>
        <v>0</v>
      </c>
      <c r="DW50" s="2373">
        <f t="shared" si="174"/>
        <v>0</v>
      </c>
      <c r="DX50" s="2788">
        <f t="shared" si="212"/>
        <v>0</v>
      </c>
      <c r="DY50" s="3693">
        <f t="shared" si="175"/>
        <v>0</v>
      </c>
      <c r="DZ50" s="3693">
        <f t="shared" si="176"/>
        <v>0</v>
      </c>
      <c r="EA50" s="3369">
        <f t="shared" si="177"/>
        <v>0</v>
      </c>
      <c r="EB50" s="2374">
        <f t="shared" si="213"/>
        <v>0</v>
      </c>
      <c r="EC50" s="3950">
        <f t="shared" si="214"/>
        <v>0</v>
      </c>
      <c r="ED50" s="3369">
        <f t="shared" si="215"/>
        <v>0</v>
      </c>
      <c r="EE50" s="2374">
        <f t="shared" si="178"/>
        <v>0</v>
      </c>
      <c r="EF50" s="3641" t="e">
        <f t="shared" si="178"/>
        <v>#DIV/0!</v>
      </c>
      <c r="EG50" s="3641">
        <f t="shared" si="178"/>
        <v>0</v>
      </c>
      <c r="EH50" s="2329"/>
      <c r="EJ50" s="2288" t="str">
        <f t="shared" si="179"/>
        <v>Combined Cycle - 2 CTs With Duct Firing 550 MW</v>
      </c>
      <c r="EK50" s="2289">
        <f t="shared" si="180"/>
        <v>550</v>
      </c>
      <c r="EL50" s="2788">
        <f t="shared" si="181"/>
        <v>0</v>
      </c>
      <c r="EM50" s="3693">
        <f t="shared" si="182"/>
        <v>0</v>
      </c>
      <c r="EN50" s="3370">
        <f t="shared" si="183"/>
        <v>0</v>
      </c>
      <c r="EO50" s="3693">
        <f t="shared" si="184"/>
        <v>0</v>
      </c>
      <c r="EP50" s="3693">
        <f t="shared" si="185"/>
        <v>0</v>
      </c>
      <c r="EQ50" s="3369">
        <f t="shared" si="186"/>
        <v>0</v>
      </c>
      <c r="ER50" s="2788">
        <f t="shared" si="187"/>
        <v>0</v>
      </c>
      <c r="ES50" s="3693">
        <f t="shared" si="188"/>
        <v>0</v>
      </c>
      <c r="ET50" s="3369">
        <f t="shared" si="189"/>
        <v>0</v>
      </c>
      <c r="EU50" s="2374">
        <f t="shared" si="190"/>
        <v>0</v>
      </c>
      <c r="EV50" s="3641" t="e">
        <f t="shared" si="190"/>
        <v>#DIV/0!</v>
      </c>
      <c r="EW50" s="3641">
        <f t="shared" si="190"/>
        <v>0</v>
      </c>
      <c r="EY50" s="2288" t="str">
        <f t="shared" si="216"/>
        <v>Combined Cycle - 2 CTs With Duct Firing 550 MW</v>
      </c>
      <c r="EZ50" s="2288">
        <f t="shared" si="217"/>
        <v>550</v>
      </c>
      <c r="FA50" s="2373">
        <f t="shared" si="218"/>
        <v>0</v>
      </c>
      <c r="FB50" s="2373">
        <f t="shared" si="191"/>
        <v>0</v>
      </c>
      <c r="FC50" s="2788">
        <f t="shared" si="192"/>
        <v>0</v>
      </c>
      <c r="FD50" s="3693">
        <f t="shared" si="193"/>
        <v>0</v>
      </c>
      <c r="FE50" s="3693">
        <f t="shared" si="194"/>
        <v>0</v>
      </c>
      <c r="FF50" s="3369">
        <f t="shared" si="195"/>
        <v>0</v>
      </c>
      <c r="FG50" s="2374">
        <f t="shared" si="196"/>
        <v>0</v>
      </c>
      <c r="FH50" s="3950">
        <f t="shared" si="197"/>
        <v>0</v>
      </c>
      <c r="FI50" s="3369">
        <f t="shared" si="198"/>
        <v>0</v>
      </c>
      <c r="FJ50" s="2374">
        <f t="shared" si="199"/>
        <v>0</v>
      </c>
      <c r="FK50" s="3641" t="e">
        <f t="shared" si="219"/>
        <v>#DIV/0!</v>
      </c>
      <c r="FL50" s="3641">
        <f t="shared" si="200"/>
        <v>0</v>
      </c>
      <c r="FO50" s="2288" t="str">
        <f t="shared" si="220"/>
        <v>Combined Cycle - 2 CTs With Duct Firing 550 MW</v>
      </c>
      <c r="FP50" s="2288">
        <f t="shared" si="220"/>
        <v>550</v>
      </c>
      <c r="FQ50" s="2788">
        <f t="shared" si="221"/>
        <v>0</v>
      </c>
      <c r="FR50" s="3693">
        <f t="shared" si="201"/>
        <v>0</v>
      </c>
      <c r="FS50" s="3370">
        <f t="shared" si="202"/>
        <v>0</v>
      </c>
      <c r="FT50" s="3693">
        <f t="shared" si="203"/>
        <v>0</v>
      </c>
      <c r="FU50" s="3693">
        <f t="shared" si="204"/>
        <v>0</v>
      </c>
      <c r="FV50" s="3369">
        <f t="shared" si="205"/>
        <v>0</v>
      </c>
      <c r="FW50" s="2788">
        <f t="shared" si="206"/>
        <v>0</v>
      </c>
      <c r="FX50" s="3693">
        <f t="shared" si="207"/>
        <v>0</v>
      </c>
      <c r="FY50" s="3369">
        <f t="shared" si="208"/>
        <v>0</v>
      </c>
      <c r="FZ50" s="2374">
        <f t="shared" si="209"/>
        <v>0</v>
      </c>
      <c r="GA50" s="3641" t="e">
        <f t="shared" si="222"/>
        <v>#DIV/0!</v>
      </c>
      <c r="GB50" s="3641">
        <f t="shared" si="223"/>
        <v>0</v>
      </c>
    </row>
    <row r="51" spans="1:184">
      <c r="A51" s="1802"/>
      <c r="B51" s="1802"/>
      <c r="C51" s="1802"/>
      <c r="D51" s="1291"/>
      <c r="E51" s="1802"/>
      <c r="F51" s="3501" t="s">
        <v>1790</v>
      </c>
      <c r="G51" s="2289">
        <v>50</v>
      </c>
      <c r="H51" s="3497">
        <v>441.64708368939063</v>
      </c>
      <c r="I51" s="3498">
        <v>20.626440152886708</v>
      </c>
      <c r="J51" s="3498">
        <v>37.746385479782681</v>
      </c>
      <c r="K51" s="3498">
        <v>131.63194065544531</v>
      </c>
      <c r="L51" s="3498">
        <v>-29.904372267933375</v>
      </c>
      <c r="M51" s="3615">
        <v>601.74747770957197</v>
      </c>
      <c r="N51" s="3497">
        <v>294.44236489571472</v>
      </c>
      <c r="O51" s="3498">
        <v>45.785096807849605</v>
      </c>
      <c r="P51" s="3615">
        <v>340.2274617035643</v>
      </c>
      <c r="Q51" s="3616">
        <v>941.97493941313633</v>
      </c>
      <c r="R51" s="3545">
        <v>0</v>
      </c>
      <c r="S51" s="3638">
        <v>941.97493941313633</v>
      </c>
      <c r="T51" s="2362"/>
      <c r="U51" s="1289"/>
      <c r="V51" s="3501" t="s">
        <v>1790</v>
      </c>
      <c r="W51" s="2289">
        <v>50</v>
      </c>
      <c r="X51" s="3497">
        <v>66.358090488371317</v>
      </c>
      <c r="Y51" s="3498">
        <v>3.0991514099544175</v>
      </c>
      <c r="Z51" s="3498">
        <v>5.6714470802165842</v>
      </c>
      <c r="AA51" s="3498">
        <v>19.777882729815914</v>
      </c>
      <c r="AB51" s="3498">
        <v>-4.4931736543495138</v>
      </c>
      <c r="AC51" s="3615">
        <v>90.413398054008709</v>
      </c>
      <c r="AD51" s="3497">
        <v>44.240376116920899</v>
      </c>
      <c r="AE51" s="3498">
        <v>6.8792746724687799</v>
      </c>
      <c r="AF51" s="3630">
        <v>51.119650789389681</v>
      </c>
      <c r="AG51" s="3614">
        <v>141.53304884339838</v>
      </c>
      <c r="AH51" s="4028">
        <v>0</v>
      </c>
      <c r="AI51" s="3638">
        <v>141.53304884339838</v>
      </c>
      <c r="AJ51" s="4029"/>
      <c r="AK51" s="2346"/>
      <c r="AL51" s="3634">
        <v>4498.8125693843376</v>
      </c>
      <c r="AM51" s="3635">
        <v>5102.7276551772857</v>
      </c>
      <c r="AN51" s="3497">
        <v>106.25553301406616</v>
      </c>
      <c r="AO51" s="3608">
        <v>5.2863449260729434</v>
      </c>
      <c r="AP51" s="2282"/>
      <c r="AQ51" s="2282"/>
      <c r="AR51" s="2282"/>
      <c r="AS51" s="1291"/>
      <c r="AT51" s="3521" t="s">
        <v>1790</v>
      </c>
      <c r="AU51" s="3648">
        <v>50</v>
      </c>
      <c r="AV51" s="3523">
        <v>441.64708368939063</v>
      </c>
      <c r="AW51" s="3524">
        <v>20.626440152886708</v>
      </c>
      <c r="AX51" s="3524">
        <v>37.746385479782681</v>
      </c>
      <c r="AY51" s="3524">
        <v>131.63194065544531</v>
      </c>
      <c r="AZ51" s="3524">
        <v>-29.904372267933375</v>
      </c>
      <c r="BA51" s="3652">
        <v>601.74747770957197</v>
      </c>
      <c r="BB51" s="3523">
        <v>294.44236489571472</v>
      </c>
      <c r="BC51" s="3524">
        <v>45.785096807849605</v>
      </c>
      <c r="BD51" s="3653">
        <v>340.2274617035643</v>
      </c>
      <c r="BE51" s="3695">
        <v>941.97493941313633</v>
      </c>
      <c r="BF51" s="3545">
        <v>0</v>
      </c>
      <c r="BG51" s="3638">
        <v>941.97493941313633</v>
      </c>
      <c r="BH51" s="2362"/>
      <c r="BI51" s="1289"/>
      <c r="BJ51" s="3521" t="s">
        <v>1790</v>
      </c>
      <c r="BK51" s="2395">
        <v>50</v>
      </c>
      <c r="BL51" s="3523">
        <v>66.358090488371317</v>
      </c>
      <c r="BM51" s="3524">
        <v>3.0991514099544175</v>
      </c>
      <c r="BN51" s="3524">
        <v>5.6714470802165842</v>
      </c>
      <c r="BO51" s="3524">
        <v>19.777882729815914</v>
      </c>
      <c r="BP51" s="3524">
        <v>-4.4931736543495138</v>
      </c>
      <c r="BQ51" s="3665">
        <v>90.413398054008709</v>
      </c>
      <c r="BR51" s="3523">
        <v>44.240376116920899</v>
      </c>
      <c r="BS51" s="3524">
        <v>6.8792746724687799</v>
      </c>
      <c r="BT51" s="3652">
        <v>51.119650789389681</v>
      </c>
      <c r="BU51" s="3654">
        <v>141.53304884339838</v>
      </c>
      <c r="BV51" s="3642">
        <v>0</v>
      </c>
      <c r="BW51" s="3638">
        <v>141.53304884339838</v>
      </c>
      <c r="BX51" s="3638">
        <f t="shared" si="211"/>
        <v>14.153304884339837</v>
      </c>
      <c r="BY51" s="1291"/>
      <c r="BZ51" s="3670">
        <v>4498.8125693843376</v>
      </c>
      <c r="CA51" s="3671">
        <v>5102.7276551772857</v>
      </c>
      <c r="CB51" s="3523">
        <v>106.25553301406616</v>
      </c>
      <c r="CC51" s="3526">
        <v>5.2863449260729434</v>
      </c>
      <c r="CD51" s="2362"/>
      <c r="CE51" s="2362"/>
      <c r="CF51" s="2362"/>
      <c r="CG51" s="2346"/>
      <c r="CH51" s="2410" t="str">
        <f t="shared" si="143"/>
        <v>Biomass Fludized Bed Boiler 50 MW</v>
      </c>
      <c r="CI51" s="2411">
        <f t="shared" si="144"/>
        <v>50</v>
      </c>
      <c r="CJ51" s="2412">
        <f t="shared" si="145"/>
        <v>0</v>
      </c>
      <c r="CK51" s="3674">
        <f t="shared" si="146"/>
        <v>0</v>
      </c>
      <c r="CL51" s="3674">
        <f t="shared" si="147"/>
        <v>0</v>
      </c>
      <c r="CM51" s="3674">
        <f t="shared" si="148"/>
        <v>0</v>
      </c>
      <c r="CN51" s="3674">
        <f t="shared" si="149"/>
        <v>0</v>
      </c>
      <c r="CO51" s="3675">
        <f t="shared" si="150"/>
        <v>0</v>
      </c>
      <c r="CP51" s="3676">
        <f t="shared" si="151"/>
        <v>0</v>
      </c>
      <c r="CQ51" s="3674">
        <f t="shared" si="152"/>
        <v>0</v>
      </c>
      <c r="CR51" s="3675">
        <f t="shared" si="153"/>
        <v>0</v>
      </c>
      <c r="CS51" s="3677">
        <f t="shared" si="154"/>
        <v>0</v>
      </c>
      <c r="CT51" s="3545">
        <f t="shared" si="154"/>
        <v>0</v>
      </c>
      <c r="CU51" s="3638">
        <f t="shared" si="154"/>
        <v>0</v>
      </c>
      <c r="CV51" s="2362"/>
      <c r="CW51" s="2340"/>
      <c r="CX51" s="2410" t="str">
        <f t="shared" si="155"/>
        <v>Biomass Fludized Bed Boiler 50 MW</v>
      </c>
      <c r="CY51" s="2411">
        <f t="shared" si="156"/>
        <v>50</v>
      </c>
      <c r="CZ51" s="2412">
        <f t="shared" si="157"/>
        <v>0</v>
      </c>
      <c r="DA51" s="3674">
        <f t="shared" si="158"/>
        <v>0</v>
      </c>
      <c r="DB51" s="3674">
        <f t="shared" si="159"/>
        <v>0</v>
      </c>
      <c r="DC51" s="3674">
        <f t="shared" si="160"/>
        <v>0</v>
      </c>
      <c r="DD51" s="3674">
        <f t="shared" si="161"/>
        <v>0</v>
      </c>
      <c r="DE51" s="3675">
        <f t="shared" si="162"/>
        <v>0</v>
      </c>
      <c r="DF51" s="3676">
        <f t="shared" si="163"/>
        <v>0</v>
      </c>
      <c r="DG51" s="3674">
        <f t="shared" si="164"/>
        <v>0</v>
      </c>
      <c r="DH51" s="3675">
        <f t="shared" si="165"/>
        <v>0</v>
      </c>
      <c r="DI51" s="3677">
        <f t="shared" si="166"/>
        <v>0</v>
      </c>
      <c r="DJ51" s="3545">
        <f t="shared" si="166"/>
        <v>0</v>
      </c>
      <c r="DK51" s="3638">
        <f t="shared" si="166"/>
        <v>0</v>
      </c>
      <c r="DL51" s="3638">
        <f t="shared" si="166"/>
        <v>14.153304884339837</v>
      </c>
      <c r="DM51" s="2341"/>
      <c r="DN51" s="3687">
        <f t="shared" si="167"/>
        <v>0</v>
      </c>
      <c r="DO51" s="3688">
        <f t="shared" si="168"/>
        <v>0</v>
      </c>
      <c r="DP51" s="3687">
        <f t="shared" si="169"/>
        <v>0</v>
      </c>
      <c r="DQ51" s="3689">
        <f t="shared" si="170"/>
        <v>0</v>
      </c>
      <c r="DS51" s="2329"/>
      <c r="DT51" s="2288" t="str">
        <f t="shared" si="171"/>
        <v>Biomass Fludized Bed Boiler 50 MW</v>
      </c>
      <c r="DU51" s="2289">
        <f t="shared" si="172"/>
        <v>50</v>
      </c>
      <c r="DV51" s="2373">
        <f t="shared" si="173"/>
        <v>0</v>
      </c>
      <c r="DW51" s="2373">
        <f t="shared" si="174"/>
        <v>0</v>
      </c>
      <c r="DX51" s="2788">
        <f t="shared" si="212"/>
        <v>0</v>
      </c>
      <c r="DY51" s="3693">
        <f t="shared" si="175"/>
        <v>0</v>
      </c>
      <c r="DZ51" s="3693">
        <f t="shared" si="176"/>
        <v>0</v>
      </c>
      <c r="EA51" s="3369">
        <f t="shared" si="177"/>
        <v>0</v>
      </c>
      <c r="EB51" s="2374">
        <f t="shared" si="213"/>
        <v>0</v>
      </c>
      <c r="EC51" s="3950">
        <f t="shared" si="214"/>
        <v>0</v>
      </c>
      <c r="ED51" s="3369">
        <f t="shared" si="215"/>
        <v>0</v>
      </c>
      <c r="EE51" s="2374">
        <f t="shared" si="178"/>
        <v>0</v>
      </c>
      <c r="EF51" s="3641" t="e">
        <f t="shared" si="178"/>
        <v>#DIV/0!</v>
      </c>
      <c r="EG51" s="3641">
        <f t="shared" si="178"/>
        <v>0</v>
      </c>
      <c r="EH51" s="2329"/>
      <c r="EJ51" s="2288" t="str">
        <f t="shared" si="179"/>
        <v>Biomass Fludized Bed Boiler 50 MW</v>
      </c>
      <c r="EK51" s="2289">
        <f t="shared" si="180"/>
        <v>50</v>
      </c>
      <c r="EL51" s="2788">
        <f t="shared" si="181"/>
        <v>0</v>
      </c>
      <c r="EM51" s="3693">
        <f t="shared" si="182"/>
        <v>0</v>
      </c>
      <c r="EN51" s="3370">
        <f t="shared" si="183"/>
        <v>0</v>
      </c>
      <c r="EO51" s="3693">
        <f t="shared" si="184"/>
        <v>0</v>
      </c>
      <c r="EP51" s="3693">
        <f t="shared" si="185"/>
        <v>0</v>
      </c>
      <c r="EQ51" s="3369">
        <f t="shared" si="186"/>
        <v>0</v>
      </c>
      <c r="ER51" s="2788">
        <f t="shared" si="187"/>
        <v>0</v>
      </c>
      <c r="ES51" s="3693">
        <f t="shared" si="188"/>
        <v>0</v>
      </c>
      <c r="ET51" s="3369">
        <f t="shared" si="189"/>
        <v>0</v>
      </c>
      <c r="EU51" s="2374">
        <f t="shared" si="190"/>
        <v>0</v>
      </c>
      <c r="EV51" s="3641" t="e">
        <f t="shared" si="190"/>
        <v>#DIV/0!</v>
      </c>
      <c r="EW51" s="3641">
        <f t="shared" si="190"/>
        <v>0</v>
      </c>
      <c r="EY51" s="2288" t="str">
        <f t="shared" si="216"/>
        <v>Biomass Fludized Bed Boiler 50 MW</v>
      </c>
      <c r="EZ51" s="2288">
        <f t="shared" si="217"/>
        <v>50</v>
      </c>
      <c r="FA51" s="2373">
        <f t="shared" si="218"/>
        <v>0</v>
      </c>
      <c r="FB51" s="2373">
        <f t="shared" si="191"/>
        <v>0</v>
      </c>
      <c r="FC51" s="2788">
        <f t="shared" si="192"/>
        <v>0</v>
      </c>
      <c r="FD51" s="3693">
        <f t="shared" si="193"/>
        <v>0</v>
      </c>
      <c r="FE51" s="3693">
        <f t="shared" si="194"/>
        <v>0</v>
      </c>
      <c r="FF51" s="3369">
        <f t="shared" si="195"/>
        <v>0</v>
      </c>
      <c r="FG51" s="2374">
        <f t="shared" si="196"/>
        <v>0</v>
      </c>
      <c r="FH51" s="3950">
        <f t="shared" si="197"/>
        <v>0</v>
      </c>
      <c r="FI51" s="3369">
        <f t="shared" si="198"/>
        <v>0</v>
      </c>
      <c r="FJ51" s="2374">
        <f t="shared" si="199"/>
        <v>0</v>
      </c>
      <c r="FK51" s="3641" t="e">
        <f t="shared" si="219"/>
        <v>#DIV/0!</v>
      </c>
      <c r="FL51" s="3641">
        <f t="shared" si="200"/>
        <v>0</v>
      </c>
      <c r="FO51" s="2288" t="str">
        <f t="shared" si="220"/>
        <v>Biomass Fludized Bed Boiler 50 MW</v>
      </c>
      <c r="FP51" s="2288">
        <f t="shared" si="220"/>
        <v>50</v>
      </c>
      <c r="FQ51" s="2788">
        <f t="shared" si="221"/>
        <v>0</v>
      </c>
      <c r="FR51" s="3693">
        <f t="shared" si="201"/>
        <v>0</v>
      </c>
      <c r="FS51" s="3370">
        <f t="shared" si="202"/>
        <v>0</v>
      </c>
      <c r="FT51" s="3693">
        <f t="shared" si="203"/>
        <v>0</v>
      </c>
      <c r="FU51" s="3693">
        <f t="shared" si="204"/>
        <v>0</v>
      </c>
      <c r="FV51" s="3369">
        <f t="shared" si="205"/>
        <v>0</v>
      </c>
      <c r="FW51" s="2788">
        <f t="shared" si="206"/>
        <v>0</v>
      </c>
      <c r="FX51" s="3693">
        <f t="shared" si="207"/>
        <v>0</v>
      </c>
      <c r="FY51" s="3369">
        <f t="shared" si="208"/>
        <v>0</v>
      </c>
      <c r="FZ51" s="2374">
        <f t="shared" si="209"/>
        <v>0</v>
      </c>
      <c r="GA51" s="3641" t="e">
        <f t="shared" si="222"/>
        <v>#DIV/0!</v>
      </c>
      <c r="GB51" s="3641">
        <f t="shared" si="223"/>
        <v>0</v>
      </c>
    </row>
    <row r="52" spans="1:184">
      <c r="A52" s="1802"/>
      <c r="B52" s="1802"/>
      <c r="C52" s="1802"/>
      <c r="D52" s="1291"/>
      <c r="E52" s="1802"/>
      <c r="F52" s="3501" t="s">
        <v>1791</v>
      </c>
      <c r="G52" s="3502">
        <v>30</v>
      </c>
      <c r="H52" s="3497">
        <v>594.18403371441138</v>
      </c>
      <c r="I52" s="3498">
        <v>27.750441164082645</v>
      </c>
      <c r="J52" s="3498">
        <v>50.783307330271263</v>
      </c>
      <c r="K52" s="3498">
        <v>111.23881313300468</v>
      </c>
      <c r="L52" s="3498">
        <v>-39.986171233317236</v>
      </c>
      <c r="M52" s="3615">
        <v>743.97042410845268</v>
      </c>
      <c r="N52" s="3497">
        <v>0</v>
      </c>
      <c r="O52" s="3498">
        <v>0</v>
      </c>
      <c r="P52" s="3615">
        <v>0</v>
      </c>
      <c r="Q52" s="3616">
        <v>743.97042410845268</v>
      </c>
      <c r="R52" s="3545">
        <v>0</v>
      </c>
      <c r="S52" s="3638">
        <v>743.97042410845268</v>
      </c>
      <c r="T52" s="2362"/>
      <c r="U52" s="1289"/>
      <c r="V52" s="3501" t="s">
        <v>1791</v>
      </c>
      <c r="W52" s="3502">
        <v>30</v>
      </c>
      <c r="X52" s="3497">
        <v>96.010173877351832</v>
      </c>
      <c r="Y52" s="3498">
        <v>4.4840058469450179</v>
      </c>
      <c r="Z52" s="3498">
        <v>8.2057306999093882</v>
      </c>
      <c r="AA52" s="3498">
        <v>17.974326445707376</v>
      </c>
      <c r="AB52" s="3498">
        <v>-6.4610946019555398</v>
      </c>
      <c r="AC52" s="3615">
        <v>120.21314226795809</v>
      </c>
      <c r="AD52" s="3497">
        <v>0</v>
      </c>
      <c r="AE52" s="3498">
        <v>0</v>
      </c>
      <c r="AF52" s="3630">
        <v>0</v>
      </c>
      <c r="AG52" s="3614">
        <v>120.21314226795809</v>
      </c>
      <c r="AH52" s="4028">
        <v>0</v>
      </c>
      <c r="AI52" s="3638">
        <v>120.21314226795809</v>
      </c>
      <c r="AJ52" s="4029">
        <f t="shared" si="210"/>
        <v>12.021314226795809</v>
      </c>
      <c r="AK52" s="2346"/>
      <c r="AL52" s="3634">
        <v>5341.6931576446586</v>
      </c>
      <c r="AM52" s="3635">
        <v>6865.1179031257652</v>
      </c>
      <c r="AN52" s="3497">
        <v>89.79385491427503</v>
      </c>
      <c r="AO52" s="3608">
        <v>0</v>
      </c>
      <c r="AP52" s="2270"/>
      <c r="AQ52" s="2270"/>
      <c r="AR52" s="2282"/>
      <c r="AS52" s="1291"/>
      <c r="AT52" s="3521" t="s">
        <v>1791</v>
      </c>
      <c r="AU52" s="3649">
        <v>30</v>
      </c>
      <c r="AV52" s="3523">
        <v>594.18403371441138</v>
      </c>
      <c r="AW52" s="3524">
        <v>27.750441164082645</v>
      </c>
      <c r="AX52" s="3524">
        <v>50.783307330271263</v>
      </c>
      <c r="AY52" s="3524">
        <v>111.23881313300468</v>
      </c>
      <c r="AZ52" s="3524">
        <v>-39.986171233317236</v>
      </c>
      <c r="BA52" s="3652">
        <v>743.97042410845268</v>
      </c>
      <c r="BB52" s="3523">
        <v>0</v>
      </c>
      <c r="BC52" s="3524">
        <v>0</v>
      </c>
      <c r="BD52" s="3653">
        <v>0</v>
      </c>
      <c r="BE52" s="3695">
        <v>743.97042410845268</v>
      </c>
      <c r="BF52" s="3545">
        <v>0</v>
      </c>
      <c r="BG52" s="3638">
        <v>743.97042410845268</v>
      </c>
      <c r="BH52" s="2362"/>
      <c r="BI52" s="1289"/>
      <c r="BJ52" s="3521" t="s">
        <v>1791</v>
      </c>
      <c r="BK52" s="3522">
        <v>30</v>
      </c>
      <c r="BL52" s="3523">
        <v>96.010173877351832</v>
      </c>
      <c r="BM52" s="3524">
        <v>4.4840058469450179</v>
      </c>
      <c r="BN52" s="3524">
        <v>8.2057306999093882</v>
      </c>
      <c r="BO52" s="3524">
        <v>17.974326445707376</v>
      </c>
      <c r="BP52" s="3524">
        <v>-6.4610946019555398</v>
      </c>
      <c r="BQ52" s="3665">
        <v>120.21314226795809</v>
      </c>
      <c r="BR52" s="3523">
        <v>0</v>
      </c>
      <c r="BS52" s="3524">
        <v>0</v>
      </c>
      <c r="BT52" s="3652">
        <v>0</v>
      </c>
      <c r="BU52" s="3654">
        <v>120.21314226795809</v>
      </c>
      <c r="BV52" s="3642">
        <v>0</v>
      </c>
      <c r="BW52" s="3638">
        <v>120.21314226795809</v>
      </c>
      <c r="BX52" s="3638">
        <f t="shared" si="211"/>
        <v>12.021314226795809</v>
      </c>
      <c r="BY52" s="1291"/>
      <c r="BZ52" s="3670">
        <v>5341.6931576446586</v>
      </c>
      <c r="CA52" s="3671">
        <v>6865.1179031257652</v>
      </c>
      <c r="CB52" s="3523">
        <v>89.79385491427503</v>
      </c>
      <c r="CC52" s="3526">
        <v>0</v>
      </c>
      <c r="CD52" s="2349"/>
      <c r="CE52" s="2349"/>
      <c r="CF52" s="2349"/>
      <c r="CG52" s="2346"/>
      <c r="CH52" s="2410" t="str">
        <f t="shared" si="143"/>
        <v>Geothermal  Binary 30 MW</v>
      </c>
      <c r="CI52" s="2411">
        <f t="shared" si="144"/>
        <v>30</v>
      </c>
      <c r="CJ52" s="2412">
        <f t="shared" si="145"/>
        <v>0</v>
      </c>
      <c r="CK52" s="3674">
        <f t="shared" si="146"/>
        <v>0</v>
      </c>
      <c r="CL52" s="3674">
        <f t="shared" si="147"/>
        <v>0</v>
      </c>
      <c r="CM52" s="3674">
        <f t="shared" si="148"/>
        <v>0</v>
      </c>
      <c r="CN52" s="3674">
        <f t="shared" si="149"/>
        <v>0</v>
      </c>
      <c r="CO52" s="3675">
        <f t="shared" si="150"/>
        <v>0</v>
      </c>
      <c r="CP52" s="3676">
        <f t="shared" si="151"/>
        <v>0</v>
      </c>
      <c r="CQ52" s="3674">
        <f t="shared" si="152"/>
        <v>0</v>
      </c>
      <c r="CR52" s="3675">
        <f t="shared" si="153"/>
        <v>0</v>
      </c>
      <c r="CS52" s="3677">
        <f t="shared" si="154"/>
        <v>0</v>
      </c>
      <c r="CT52" s="3545">
        <f t="shared" si="154"/>
        <v>0</v>
      </c>
      <c r="CU52" s="3638">
        <f t="shared" si="154"/>
        <v>0</v>
      </c>
      <c r="CV52" s="2362"/>
      <c r="CW52" s="2340"/>
      <c r="CX52" s="2410" t="str">
        <f t="shared" si="155"/>
        <v>Geothermal  Binary 30 MW</v>
      </c>
      <c r="CY52" s="2411">
        <f t="shared" si="156"/>
        <v>30</v>
      </c>
      <c r="CZ52" s="2412">
        <f t="shared" si="157"/>
        <v>0</v>
      </c>
      <c r="DA52" s="3674">
        <f t="shared" si="158"/>
        <v>0</v>
      </c>
      <c r="DB52" s="3674">
        <f t="shared" si="159"/>
        <v>0</v>
      </c>
      <c r="DC52" s="3674">
        <f t="shared" si="160"/>
        <v>0</v>
      </c>
      <c r="DD52" s="3674">
        <f t="shared" si="161"/>
        <v>0</v>
      </c>
      <c r="DE52" s="3675">
        <f t="shared" si="162"/>
        <v>0</v>
      </c>
      <c r="DF52" s="3676">
        <f t="shared" si="163"/>
        <v>0</v>
      </c>
      <c r="DG52" s="3674">
        <f t="shared" si="164"/>
        <v>0</v>
      </c>
      <c r="DH52" s="3675">
        <f t="shared" si="165"/>
        <v>0</v>
      </c>
      <c r="DI52" s="3677">
        <f t="shared" si="166"/>
        <v>0</v>
      </c>
      <c r="DJ52" s="3545">
        <f t="shared" si="166"/>
        <v>0</v>
      </c>
      <c r="DK52" s="3638">
        <f t="shared" si="166"/>
        <v>0</v>
      </c>
      <c r="DL52" s="3638">
        <f t="shared" si="166"/>
        <v>0</v>
      </c>
      <c r="DM52" s="2341"/>
      <c r="DN52" s="3687">
        <f t="shared" si="167"/>
        <v>0</v>
      </c>
      <c r="DO52" s="3688">
        <f t="shared" si="168"/>
        <v>0</v>
      </c>
      <c r="DP52" s="3687">
        <f t="shared" si="169"/>
        <v>0</v>
      </c>
      <c r="DQ52" s="3689">
        <f t="shared" si="170"/>
        <v>0</v>
      </c>
      <c r="DS52" s="2329"/>
      <c r="DT52" s="2288" t="str">
        <f t="shared" si="171"/>
        <v>Geothermal  Binary 30 MW</v>
      </c>
      <c r="DU52" s="2289">
        <f t="shared" si="172"/>
        <v>30</v>
      </c>
      <c r="DV52" s="2373">
        <f t="shared" si="173"/>
        <v>0</v>
      </c>
      <c r="DW52" s="2373">
        <f t="shared" si="174"/>
        <v>0</v>
      </c>
      <c r="DX52" s="2788">
        <f t="shared" si="212"/>
        <v>0</v>
      </c>
      <c r="DY52" s="3693">
        <f t="shared" si="175"/>
        <v>0</v>
      </c>
      <c r="DZ52" s="3693">
        <f t="shared" si="176"/>
        <v>0</v>
      </c>
      <c r="EA52" s="3369">
        <f t="shared" si="177"/>
        <v>0</v>
      </c>
      <c r="EB52" s="2374" t="str">
        <f t="shared" si="213"/>
        <v>0.00%</v>
      </c>
      <c r="EC52" s="3950" t="str">
        <f t="shared" si="214"/>
        <v>0.00%</v>
      </c>
      <c r="ED52" s="3369" t="str">
        <f t="shared" si="215"/>
        <v>0.00%</v>
      </c>
      <c r="EE52" s="2374">
        <f t="shared" si="178"/>
        <v>0</v>
      </c>
      <c r="EF52" s="3641" t="e">
        <f t="shared" si="178"/>
        <v>#DIV/0!</v>
      </c>
      <c r="EG52" s="3641">
        <f t="shared" si="178"/>
        <v>0</v>
      </c>
      <c r="EH52" s="2329"/>
      <c r="EJ52" s="2288" t="str">
        <f t="shared" si="179"/>
        <v>Geothermal  Binary 30 MW</v>
      </c>
      <c r="EK52" s="2289">
        <f t="shared" si="180"/>
        <v>30</v>
      </c>
      <c r="EL52" s="2788">
        <f t="shared" si="181"/>
        <v>0</v>
      </c>
      <c r="EM52" s="3693">
        <f t="shared" si="182"/>
        <v>0</v>
      </c>
      <c r="EN52" s="3370">
        <f t="shared" si="183"/>
        <v>0</v>
      </c>
      <c r="EO52" s="3693">
        <f t="shared" si="184"/>
        <v>0</v>
      </c>
      <c r="EP52" s="3693">
        <f t="shared" si="185"/>
        <v>0</v>
      </c>
      <c r="EQ52" s="3369">
        <f t="shared" si="186"/>
        <v>0</v>
      </c>
      <c r="ER52" s="2788" t="str">
        <f t="shared" si="187"/>
        <v>0.00%</v>
      </c>
      <c r="ES52" s="3693" t="str">
        <f t="shared" si="188"/>
        <v>0.00%</v>
      </c>
      <c r="ET52" s="3369" t="str">
        <f t="shared" si="189"/>
        <v>0.00%</v>
      </c>
      <c r="EU52" s="2374">
        <f t="shared" si="190"/>
        <v>0</v>
      </c>
      <c r="EV52" s="3641" t="e">
        <f t="shared" si="190"/>
        <v>#DIV/0!</v>
      </c>
      <c r="EW52" s="3641">
        <f t="shared" si="190"/>
        <v>0</v>
      </c>
      <c r="EY52" s="2288" t="str">
        <f t="shared" si="216"/>
        <v>Geothermal  Binary 30 MW</v>
      </c>
      <c r="EZ52" s="2288">
        <f t="shared" si="217"/>
        <v>30</v>
      </c>
      <c r="FA52" s="2373">
        <f t="shared" si="218"/>
        <v>0</v>
      </c>
      <c r="FB52" s="2373">
        <f t="shared" si="191"/>
        <v>0</v>
      </c>
      <c r="FC52" s="2788">
        <f t="shared" si="192"/>
        <v>0</v>
      </c>
      <c r="FD52" s="3693">
        <f t="shared" si="193"/>
        <v>0</v>
      </c>
      <c r="FE52" s="3693">
        <f t="shared" si="194"/>
        <v>0</v>
      </c>
      <c r="FF52" s="3369">
        <f t="shared" si="195"/>
        <v>0</v>
      </c>
      <c r="FG52" s="2374" t="e">
        <f t="shared" si="196"/>
        <v>#DIV/0!</v>
      </c>
      <c r="FH52" s="3950" t="e">
        <f t="shared" si="197"/>
        <v>#DIV/0!</v>
      </c>
      <c r="FI52" s="3369" t="e">
        <f t="shared" si="198"/>
        <v>#DIV/0!</v>
      </c>
      <c r="FJ52" s="2374">
        <f t="shared" si="199"/>
        <v>0</v>
      </c>
      <c r="FK52" s="3641" t="e">
        <f t="shared" si="219"/>
        <v>#DIV/0!</v>
      </c>
      <c r="FL52" s="3641">
        <f t="shared" si="200"/>
        <v>0</v>
      </c>
      <c r="FO52" s="2288" t="str">
        <f t="shared" si="220"/>
        <v>Geothermal  Binary 30 MW</v>
      </c>
      <c r="FP52" s="2288">
        <f t="shared" si="220"/>
        <v>30</v>
      </c>
      <c r="FQ52" s="2788">
        <f t="shared" si="221"/>
        <v>0</v>
      </c>
      <c r="FR52" s="3693">
        <f t="shared" si="201"/>
        <v>0</v>
      </c>
      <c r="FS52" s="3370">
        <f t="shared" si="202"/>
        <v>0</v>
      </c>
      <c r="FT52" s="3693">
        <f t="shared" si="203"/>
        <v>0</v>
      </c>
      <c r="FU52" s="3693">
        <f t="shared" si="204"/>
        <v>0</v>
      </c>
      <c r="FV52" s="3369">
        <f t="shared" si="205"/>
        <v>0</v>
      </c>
      <c r="FW52" s="2788" t="e">
        <f t="shared" si="206"/>
        <v>#DIV/0!</v>
      </c>
      <c r="FX52" s="3693" t="e">
        <f t="shared" si="207"/>
        <v>#DIV/0!</v>
      </c>
      <c r="FY52" s="3369" t="e">
        <f t="shared" si="208"/>
        <v>#DIV/0!</v>
      </c>
      <c r="FZ52" s="2374">
        <f t="shared" si="209"/>
        <v>0</v>
      </c>
      <c r="GA52" s="3641" t="e">
        <f t="shared" si="222"/>
        <v>#DIV/0!</v>
      </c>
      <c r="GB52" s="3641">
        <f t="shared" si="223"/>
        <v>0</v>
      </c>
    </row>
    <row r="53" spans="1:184">
      <c r="A53" s="1802"/>
      <c r="B53" s="1802"/>
      <c r="C53" s="1802"/>
      <c r="D53" s="1291"/>
      <c r="E53" s="1802"/>
      <c r="F53" s="3501" t="s">
        <v>1792</v>
      </c>
      <c r="G53" s="3502">
        <v>30</v>
      </c>
      <c r="H53" s="3497">
        <v>648.51540902005399</v>
      </c>
      <c r="I53" s="3498">
        <v>30.287903546499351</v>
      </c>
      <c r="J53" s="3498">
        <v>55.426863490093815</v>
      </c>
      <c r="K53" s="3498">
        <v>111.23881313300468</v>
      </c>
      <c r="L53" s="3498">
        <v>-43.622769533738023</v>
      </c>
      <c r="M53" s="3615">
        <v>801.84621965591384</v>
      </c>
      <c r="N53" s="3497">
        <v>49.765741438549689</v>
      </c>
      <c r="O53" s="3498">
        <v>0</v>
      </c>
      <c r="P53" s="3615">
        <v>49.765741438549689</v>
      </c>
      <c r="Q53" s="3616">
        <v>851.61196109446348</v>
      </c>
      <c r="R53" s="3545">
        <v>0</v>
      </c>
      <c r="S53" s="3638">
        <v>851.61196109446348</v>
      </c>
      <c r="T53" s="2362"/>
      <c r="U53" s="1289"/>
      <c r="V53" s="3501" t="s">
        <v>1792</v>
      </c>
      <c r="W53" s="3502">
        <v>30</v>
      </c>
      <c r="X53" s="3497">
        <v>111.73307635423726</v>
      </c>
      <c r="Y53" s="3498">
        <v>5.2183195534003683</v>
      </c>
      <c r="Z53" s="3498">
        <v>9.5495247827226741</v>
      </c>
      <c r="AA53" s="3498">
        <v>19.165396270422928</v>
      </c>
      <c r="AB53" s="3498">
        <v>-7.5157909454480256</v>
      </c>
      <c r="AC53" s="3615">
        <v>138.15052601533517</v>
      </c>
      <c r="AD53" s="3497">
        <v>8.5741669521483264</v>
      </c>
      <c r="AE53" s="3498">
        <v>0</v>
      </c>
      <c r="AF53" s="3630">
        <v>8.5741669521483264</v>
      </c>
      <c r="AG53" s="3614">
        <v>146.72469296748349</v>
      </c>
      <c r="AH53" s="4028">
        <v>0</v>
      </c>
      <c r="AI53" s="3638">
        <v>146.72469296748349</v>
      </c>
      <c r="AJ53" s="4029">
        <f t="shared" si="210"/>
        <v>14.67246929674835</v>
      </c>
      <c r="AK53" s="2346"/>
      <c r="AL53" s="3634">
        <v>6039.3910409908658</v>
      </c>
      <c r="AM53" s="3635">
        <v>7492.8548939374177</v>
      </c>
      <c r="AN53" s="3497">
        <v>89.79385491427503</v>
      </c>
      <c r="AO53" s="3608">
        <v>0</v>
      </c>
      <c r="AP53" s="2270"/>
      <c r="AQ53" s="2270"/>
      <c r="AR53" s="2282"/>
      <c r="AS53" s="1291"/>
      <c r="AT53" s="3521" t="s">
        <v>1792</v>
      </c>
      <c r="AU53" s="3649">
        <v>30</v>
      </c>
      <c r="AV53" s="3523">
        <v>648.51540902005399</v>
      </c>
      <c r="AW53" s="3524">
        <v>30.287903546499351</v>
      </c>
      <c r="AX53" s="3524">
        <v>55.426863490093815</v>
      </c>
      <c r="AY53" s="3524">
        <v>111.23881313300468</v>
      </c>
      <c r="AZ53" s="3524">
        <v>-43.622769533738023</v>
      </c>
      <c r="BA53" s="3652">
        <v>801.84621965591384</v>
      </c>
      <c r="BB53" s="3523">
        <v>49.765741438549689</v>
      </c>
      <c r="BC53" s="3524">
        <v>0</v>
      </c>
      <c r="BD53" s="3653">
        <v>49.765741438549689</v>
      </c>
      <c r="BE53" s="3695">
        <v>851.61196109446348</v>
      </c>
      <c r="BF53" s="3545">
        <v>0</v>
      </c>
      <c r="BG53" s="3638">
        <v>851.61196109446348</v>
      </c>
      <c r="BH53" s="2362"/>
      <c r="BI53" s="1289"/>
      <c r="BJ53" s="3521" t="s">
        <v>1792</v>
      </c>
      <c r="BK53" s="3522">
        <v>30</v>
      </c>
      <c r="BL53" s="3523">
        <v>111.73307635423726</v>
      </c>
      <c r="BM53" s="3524">
        <v>5.2183195534003683</v>
      </c>
      <c r="BN53" s="3524">
        <v>9.5495247827226741</v>
      </c>
      <c r="BO53" s="3524">
        <v>19.165396270422928</v>
      </c>
      <c r="BP53" s="3524">
        <v>-7.5157909454480256</v>
      </c>
      <c r="BQ53" s="3665">
        <v>138.15052601533517</v>
      </c>
      <c r="BR53" s="3523">
        <v>8.5741669521483264</v>
      </c>
      <c r="BS53" s="3524">
        <v>0</v>
      </c>
      <c r="BT53" s="3652">
        <v>8.5741669521483264</v>
      </c>
      <c r="BU53" s="3654">
        <v>146.72469296748349</v>
      </c>
      <c r="BV53" s="3642">
        <v>0</v>
      </c>
      <c r="BW53" s="3638">
        <v>146.72469296748349</v>
      </c>
      <c r="BX53" s="3638">
        <f t="shared" si="211"/>
        <v>14.67246929674835</v>
      </c>
      <c r="BY53" s="1291"/>
      <c r="BZ53" s="3670">
        <v>6039.3910409908658</v>
      </c>
      <c r="CA53" s="3671">
        <v>7492.8548939374177</v>
      </c>
      <c r="CB53" s="3523">
        <v>89.79385491427503</v>
      </c>
      <c r="CC53" s="3526">
        <v>0</v>
      </c>
      <c r="CD53" s="2349"/>
      <c r="CE53" s="2349"/>
      <c r="CF53" s="2349"/>
      <c r="CG53" s="2346"/>
      <c r="CH53" s="2410" t="str">
        <f t="shared" si="143"/>
        <v>Geothermal  Flash 30 MW</v>
      </c>
      <c r="CI53" s="2411">
        <f t="shared" si="144"/>
        <v>30</v>
      </c>
      <c r="CJ53" s="2412">
        <f t="shared" si="145"/>
        <v>0</v>
      </c>
      <c r="CK53" s="3674">
        <f t="shared" si="146"/>
        <v>0</v>
      </c>
      <c r="CL53" s="3674">
        <f t="shared" si="147"/>
        <v>0</v>
      </c>
      <c r="CM53" s="3674">
        <f t="shared" si="148"/>
        <v>0</v>
      </c>
      <c r="CN53" s="3674">
        <f t="shared" si="149"/>
        <v>0</v>
      </c>
      <c r="CO53" s="3675">
        <f t="shared" si="150"/>
        <v>0</v>
      </c>
      <c r="CP53" s="3676">
        <f t="shared" si="151"/>
        <v>0</v>
      </c>
      <c r="CQ53" s="3674">
        <f t="shared" si="152"/>
        <v>0</v>
      </c>
      <c r="CR53" s="3675">
        <f t="shared" si="153"/>
        <v>0</v>
      </c>
      <c r="CS53" s="3677">
        <f t="shared" si="154"/>
        <v>0</v>
      </c>
      <c r="CT53" s="3545">
        <f t="shared" si="154"/>
        <v>0</v>
      </c>
      <c r="CU53" s="3638">
        <f t="shared" si="154"/>
        <v>0</v>
      </c>
      <c r="CV53" s="2362"/>
      <c r="CW53" s="2340"/>
      <c r="CX53" s="2410" t="str">
        <f t="shared" si="155"/>
        <v>Geothermal  Flash 30 MW</v>
      </c>
      <c r="CY53" s="2411">
        <f t="shared" si="156"/>
        <v>30</v>
      </c>
      <c r="CZ53" s="2412">
        <f t="shared" si="157"/>
        <v>0</v>
      </c>
      <c r="DA53" s="3674">
        <f t="shared" si="158"/>
        <v>0</v>
      </c>
      <c r="DB53" s="3674">
        <f t="shared" si="159"/>
        <v>0</v>
      </c>
      <c r="DC53" s="3674">
        <f t="shared" si="160"/>
        <v>0</v>
      </c>
      <c r="DD53" s="3674">
        <f t="shared" si="161"/>
        <v>0</v>
      </c>
      <c r="DE53" s="3675">
        <f t="shared" si="162"/>
        <v>0</v>
      </c>
      <c r="DF53" s="3676">
        <f t="shared" si="163"/>
        <v>0</v>
      </c>
      <c r="DG53" s="3674">
        <f t="shared" si="164"/>
        <v>0</v>
      </c>
      <c r="DH53" s="3675">
        <f t="shared" si="165"/>
        <v>0</v>
      </c>
      <c r="DI53" s="3677">
        <f t="shared" si="166"/>
        <v>0</v>
      </c>
      <c r="DJ53" s="3545">
        <f t="shared" si="166"/>
        <v>0</v>
      </c>
      <c r="DK53" s="3638">
        <f t="shared" si="166"/>
        <v>0</v>
      </c>
      <c r="DL53" s="3638">
        <f t="shared" si="166"/>
        <v>0</v>
      </c>
      <c r="DM53" s="2341"/>
      <c r="DN53" s="3687">
        <f t="shared" si="167"/>
        <v>0</v>
      </c>
      <c r="DO53" s="3688">
        <f t="shared" si="168"/>
        <v>0</v>
      </c>
      <c r="DP53" s="3687">
        <f t="shared" si="169"/>
        <v>0</v>
      </c>
      <c r="DQ53" s="3689">
        <f t="shared" si="170"/>
        <v>0</v>
      </c>
      <c r="DS53" s="2329"/>
      <c r="DT53" s="2288" t="str">
        <f t="shared" si="171"/>
        <v>Geothermal  Flash 30 MW</v>
      </c>
      <c r="DU53" s="2289">
        <f t="shared" si="172"/>
        <v>30</v>
      </c>
      <c r="DV53" s="2373">
        <f t="shared" si="173"/>
        <v>0</v>
      </c>
      <c r="DW53" s="2373">
        <f t="shared" si="174"/>
        <v>0</v>
      </c>
      <c r="DX53" s="2788">
        <f t="shared" si="212"/>
        <v>0</v>
      </c>
      <c r="DY53" s="3693">
        <f t="shared" si="175"/>
        <v>0</v>
      </c>
      <c r="DZ53" s="3693">
        <f t="shared" si="176"/>
        <v>0</v>
      </c>
      <c r="EA53" s="3369">
        <f t="shared" si="177"/>
        <v>0</v>
      </c>
      <c r="EB53" s="2374">
        <f t="shared" si="213"/>
        <v>0</v>
      </c>
      <c r="EC53" s="3950" t="str">
        <f t="shared" si="214"/>
        <v>0.00%</v>
      </c>
      <c r="ED53" s="3369">
        <f t="shared" si="215"/>
        <v>0</v>
      </c>
      <c r="EE53" s="2374">
        <f t="shared" si="178"/>
        <v>0</v>
      </c>
      <c r="EF53" s="3641" t="e">
        <f t="shared" si="178"/>
        <v>#DIV/0!</v>
      </c>
      <c r="EG53" s="3641">
        <f t="shared" si="178"/>
        <v>0</v>
      </c>
      <c r="EH53" s="2329"/>
      <c r="EJ53" s="2288" t="str">
        <f t="shared" si="179"/>
        <v>Geothermal  Flash 30 MW</v>
      </c>
      <c r="EK53" s="2289">
        <f t="shared" si="180"/>
        <v>30</v>
      </c>
      <c r="EL53" s="2788">
        <f t="shared" si="181"/>
        <v>0</v>
      </c>
      <c r="EM53" s="3693">
        <f t="shared" si="182"/>
        <v>0</v>
      </c>
      <c r="EN53" s="3370">
        <f t="shared" si="183"/>
        <v>0</v>
      </c>
      <c r="EO53" s="3693">
        <f t="shared" si="184"/>
        <v>0</v>
      </c>
      <c r="EP53" s="3693">
        <f t="shared" si="185"/>
        <v>0</v>
      </c>
      <c r="EQ53" s="3369">
        <f t="shared" si="186"/>
        <v>0</v>
      </c>
      <c r="ER53" s="2788">
        <f t="shared" si="187"/>
        <v>0</v>
      </c>
      <c r="ES53" s="3693" t="str">
        <f t="shared" si="188"/>
        <v>0.00%</v>
      </c>
      <c r="ET53" s="3369">
        <f t="shared" si="189"/>
        <v>0</v>
      </c>
      <c r="EU53" s="2374">
        <f t="shared" si="190"/>
        <v>0</v>
      </c>
      <c r="EV53" s="3641" t="e">
        <f t="shared" si="190"/>
        <v>#DIV/0!</v>
      </c>
      <c r="EW53" s="3641">
        <f t="shared" si="190"/>
        <v>0</v>
      </c>
      <c r="EY53" s="2288" t="str">
        <f t="shared" si="216"/>
        <v>Geothermal  Flash 30 MW</v>
      </c>
      <c r="EZ53" s="2288">
        <f t="shared" si="217"/>
        <v>30</v>
      </c>
      <c r="FA53" s="2373">
        <f t="shared" si="218"/>
        <v>0</v>
      </c>
      <c r="FB53" s="2373">
        <f t="shared" si="191"/>
        <v>0</v>
      </c>
      <c r="FC53" s="2788">
        <f t="shared" si="192"/>
        <v>0</v>
      </c>
      <c r="FD53" s="3693">
        <f t="shared" si="193"/>
        <v>0</v>
      </c>
      <c r="FE53" s="3693">
        <f t="shared" si="194"/>
        <v>0</v>
      </c>
      <c r="FF53" s="3369">
        <f t="shared" si="195"/>
        <v>0</v>
      </c>
      <c r="FG53" s="2374">
        <f t="shared" si="196"/>
        <v>0</v>
      </c>
      <c r="FH53" s="3950" t="e">
        <f t="shared" si="197"/>
        <v>#DIV/0!</v>
      </c>
      <c r="FI53" s="3369">
        <f t="shared" si="198"/>
        <v>0</v>
      </c>
      <c r="FJ53" s="2374">
        <f t="shared" si="199"/>
        <v>0</v>
      </c>
      <c r="FK53" s="3641" t="e">
        <f t="shared" si="219"/>
        <v>#DIV/0!</v>
      </c>
      <c r="FL53" s="3641">
        <f t="shared" si="200"/>
        <v>0</v>
      </c>
      <c r="FO53" s="2288" t="str">
        <f t="shared" si="220"/>
        <v>Geothermal  Flash 30 MW</v>
      </c>
      <c r="FP53" s="2288">
        <f t="shared" si="220"/>
        <v>30</v>
      </c>
      <c r="FQ53" s="2788">
        <f t="shared" si="221"/>
        <v>0</v>
      </c>
      <c r="FR53" s="3693">
        <f t="shared" si="201"/>
        <v>0</v>
      </c>
      <c r="FS53" s="3370">
        <f t="shared" si="202"/>
        <v>0</v>
      </c>
      <c r="FT53" s="3693">
        <f t="shared" si="203"/>
        <v>0</v>
      </c>
      <c r="FU53" s="3693">
        <f t="shared" si="204"/>
        <v>0</v>
      </c>
      <c r="FV53" s="3369">
        <f t="shared" si="205"/>
        <v>0</v>
      </c>
      <c r="FW53" s="2788">
        <f t="shared" si="206"/>
        <v>0</v>
      </c>
      <c r="FX53" s="3693" t="e">
        <f t="shared" si="207"/>
        <v>#DIV/0!</v>
      </c>
      <c r="FY53" s="3369">
        <f t="shared" si="208"/>
        <v>0</v>
      </c>
      <c r="FZ53" s="2374">
        <f t="shared" si="209"/>
        <v>0</v>
      </c>
      <c r="GA53" s="3641" t="e">
        <f t="shared" si="222"/>
        <v>#DIV/0!</v>
      </c>
      <c r="GB53" s="3641">
        <f t="shared" si="223"/>
        <v>0</v>
      </c>
    </row>
    <row r="54" spans="1:184">
      <c r="A54" s="1821"/>
      <c r="B54" s="1821"/>
      <c r="C54" s="1821"/>
      <c r="D54" s="1291"/>
      <c r="E54" s="1821"/>
      <c r="F54" s="3501" t="s">
        <v>1806</v>
      </c>
      <c r="G54" s="3502">
        <v>250</v>
      </c>
      <c r="H54" s="3497">
        <v>372.2374965839893</v>
      </c>
      <c r="I54" s="3498">
        <v>8.6923866697033407</v>
      </c>
      <c r="J54" s="3498">
        <v>4.7721202816671333</v>
      </c>
      <c r="K54" s="3498">
        <v>87.898701864546581</v>
      </c>
      <c r="L54" s="3498">
        <v>-25.085310645050356</v>
      </c>
      <c r="M54" s="3615">
        <v>448.515394754856</v>
      </c>
      <c r="N54" s="3497">
        <v>0</v>
      </c>
      <c r="O54" s="3498">
        <v>0</v>
      </c>
      <c r="P54" s="3615">
        <v>0</v>
      </c>
      <c r="Q54" s="3616">
        <v>448.515394754856</v>
      </c>
      <c r="R54" s="3545">
        <v>0</v>
      </c>
      <c r="S54" s="3638">
        <v>448.515394754856</v>
      </c>
      <c r="T54" s="2362"/>
      <c r="U54" s="1289"/>
      <c r="V54" s="3501" t="s">
        <v>1806</v>
      </c>
      <c r="W54" s="3502">
        <v>250</v>
      </c>
      <c r="X54" s="3497">
        <v>189.82982564216758</v>
      </c>
      <c r="Y54" s="3498">
        <v>4.432853382764395</v>
      </c>
      <c r="Z54" s="3498">
        <v>2.4336365071376522</v>
      </c>
      <c r="AA54" s="3498">
        <v>44.82567017628454</v>
      </c>
      <c r="AB54" s="3498">
        <v>-12.792747075804238</v>
      </c>
      <c r="AC54" s="3615">
        <v>228.72923863254994</v>
      </c>
      <c r="AD54" s="3497">
        <v>0</v>
      </c>
      <c r="AE54" s="3498">
        <v>0</v>
      </c>
      <c r="AF54" s="3630">
        <v>0</v>
      </c>
      <c r="AG54" s="3614">
        <v>228.72923863254994</v>
      </c>
      <c r="AH54" s="4028">
        <v>0</v>
      </c>
      <c r="AI54" s="3638">
        <v>228.72923863254994</v>
      </c>
      <c r="AJ54" s="4029">
        <f t="shared" si="210"/>
        <v>22.872923863254993</v>
      </c>
      <c r="AK54" s="2341"/>
      <c r="AL54" s="3634">
        <v>3818.9349557772589</v>
      </c>
      <c r="AM54" s="3635">
        <v>4300.7791475624144</v>
      </c>
      <c r="AN54" s="3497">
        <v>70.953321597751042</v>
      </c>
      <c r="AO54" s="3608">
        <v>0</v>
      </c>
      <c r="AP54" s="2282"/>
      <c r="AQ54" s="2282"/>
      <c r="AR54" s="2282"/>
      <c r="AS54" s="1291"/>
      <c r="AT54" s="3521" t="s">
        <v>1806</v>
      </c>
      <c r="AU54" s="3649">
        <v>250</v>
      </c>
      <c r="AV54" s="3523">
        <v>372.2374965839893</v>
      </c>
      <c r="AW54" s="3524">
        <v>8.6923866697033407</v>
      </c>
      <c r="AX54" s="3524">
        <v>4.7721202816671333</v>
      </c>
      <c r="AY54" s="3524">
        <v>87.898701864546581</v>
      </c>
      <c r="AZ54" s="3524">
        <v>-25.085310645050356</v>
      </c>
      <c r="BA54" s="3652">
        <v>448.515394754856</v>
      </c>
      <c r="BB54" s="3523">
        <v>0</v>
      </c>
      <c r="BC54" s="3524">
        <v>0</v>
      </c>
      <c r="BD54" s="3653">
        <v>0</v>
      </c>
      <c r="BE54" s="3695">
        <v>448.515394754856</v>
      </c>
      <c r="BF54" s="3545">
        <v>0</v>
      </c>
      <c r="BG54" s="3638">
        <v>448.515394754856</v>
      </c>
      <c r="BH54" s="2362"/>
      <c r="BI54" s="1289"/>
      <c r="BJ54" s="3521" t="s">
        <v>1806</v>
      </c>
      <c r="BK54" s="3522">
        <v>250</v>
      </c>
      <c r="BL54" s="3523">
        <v>189.82982564216758</v>
      </c>
      <c r="BM54" s="3524">
        <v>4.432853382764395</v>
      </c>
      <c r="BN54" s="3524">
        <v>2.4336365071376522</v>
      </c>
      <c r="BO54" s="3524">
        <v>44.82567017628454</v>
      </c>
      <c r="BP54" s="3524">
        <v>-12.792747075804238</v>
      </c>
      <c r="BQ54" s="3665">
        <v>228.72923863254994</v>
      </c>
      <c r="BR54" s="3523">
        <v>0</v>
      </c>
      <c r="BS54" s="3524">
        <v>0</v>
      </c>
      <c r="BT54" s="3652">
        <v>0</v>
      </c>
      <c r="BU54" s="3654">
        <v>228.72923863254994</v>
      </c>
      <c r="BV54" s="3642">
        <v>0</v>
      </c>
      <c r="BW54" s="3638">
        <v>228.72923863254994</v>
      </c>
      <c r="BX54" s="3638">
        <f t="shared" si="211"/>
        <v>22.872923863254993</v>
      </c>
      <c r="BY54" s="1291"/>
      <c r="BZ54" s="3670">
        <v>3818.9349557772589</v>
      </c>
      <c r="CA54" s="3671">
        <v>4300.7791475624144</v>
      </c>
      <c r="CB54" s="3523">
        <v>70.953321597751042</v>
      </c>
      <c r="CC54" s="3526">
        <v>0</v>
      </c>
      <c r="CD54" s="2362"/>
      <c r="CE54" s="2362"/>
      <c r="CF54" s="2362"/>
      <c r="CG54" s="2341"/>
      <c r="CH54" s="2410" t="str">
        <f t="shared" si="143"/>
        <v>Solar Parabolic Trough W/O Storage 250 MW</v>
      </c>
      <c r="CI54" s="2411">
        <f t="shared" si="144"/>
        <v>250</v>
      </c>
      <c r="CJ54" s="2412">
        <f t="shared" si="145"/>
        <v>0</v>
      </c>
      <c r="CK54" s="3674">
        <f t="shared" si="146"/>
        <v>0</v>
      </c>
      <c r="CL54" s="3674">
        <f t="shared" si="147"/>
        <v>0</v>
      </c>
      <c r="CM54" s="3674">
        <f t="shared" si="148"/>
        <v>0</v>
      </c>
      <c r="CN54" s="3674">
        <f t="shared" si="149"/>
        <v>0</v>
      </c>
      <c r="CO54" s="3675">
        <f t="shared" si="150"/>
        <v>0</v>
      </c>
      <c r="CP54" s="3676">
        <f t="shared" si="151"/>
        <v>0</v>
      </c>
      <c r="CQ54" s="3674">
        <f t="shared" si="152"/>
        <v>0</v>
      </c>
      <c r="CR54" s="3675">
        <f t="shared" si="153"/>
        <v>0</v>
      </c>
      <c r="CS54" s="3677">
        <f t="shared" si="154"/>
        <v>0</v>
      </c>
      <c r="CT54" s="3545">
        <f t="shared" si="154"/>
        <v>0</v>
      </c>
      <c r="CU54" s="3638">
        <f t="shared" si="154"/>
        <v>0</v>
      </c>
      <c r="CV54" s="2362"/>
      <c r="CW54" s="2340"/>
      <c r="CX54" s="2410" t="str">
        <f t="shared" si="155"/>
        <v>Solar Parabolic Trough W/O Storage 250 MW</v>
      </c>
      <c r="CY54" s="2411">
        <f t="shared" si="156"/>
        <v>250</v>
      </c>
      <c r="CZ54" s="2412">
        <f t="shared" si="157"/>
        <v>0</v>
      </c>
      <c r="DA54" s="3674">
        <f t="shared" si="158"/>
        <v>0</v>
      </c>
      <c r="DB54" s="3674">
        <f t="shared" si="159"/>
        <v>0</v>
      </c>
      <c r="DC54" s="3674">
        <f t="shared" si="160"/>
        <v>0</v>
      </c>
      <c r="DD54" s="3674">
        <f t="shared" si="161"/>
        <v>0</v>
      </c>
      <c r="DE54" s="3675">
        <f t="shared" si="162"/>
        <v>0</v>
      </c>
      <c r="DF54" s="3676">
        <f t="shared" si="163"/>
        <v>0</v>
      </c>
      <c r="DG54" s="3674">
        <f t="shared" si="164"/>
        <v>0</v>
      </c>
      <c r="DH54" s="3675">
        <f t="shared" si="165"/>
        <v>0</v>
      </c>
      <c r="DI54" s="3677">
        <f t="shared" si="166"/>
        <v>0</v>
      </c>
      <c r="DJ54" s="3545">
        <f t="shared" si="166"/>
        <v>0</v>
      </c>
      <c r="DK54" s="3638">
        <f t="shared" si="166"/>
        <v>0</v>
      </c>
      <c r="DL54" s="3638">
        <f t="shared" si="166"/>
        <v>0</v>
      </c>
      <c r="DM54" s="2341"/>
      <c r="DN54" s="3687">
        <f t="shared" si="167"/>
        <v>0</v>
      </c>
      <c r="DO54" s="3688">
        <f t="shared" si="168"/>
        <v>0</v>
      </c>
      <c r="DP54" s="3687">
        <f t="shared" si="169"/>
        <v>0</v>
      </c>
      <c r="DQ54" s="3689">
        <f t="shared" si="170"/>
        <v>0</v>
      </c>
      <c r="DS54" s="2329"/>
      <c r="DT54" s="2288" t="str">
        <f t="shared" si="171"/>
        <v>Solar Parabolic Trough W/O Storage 250 MW</v>
      </c>
      <c r="DU54" s="2289">
        <f t="shared" si="172"/>
        <v>250</v>
      </c>
      <c r="DV54" s="2373">
        <f t="shared" si="173"/>
        <v>0</v>
      </c>
      <c r="DW54" s="2373">
        <f t="shared" si="174"/>
        <v>0</v>
      </c>
      <c r="DX54" s="2788">
        <f t="shared" si="212"/>
        <v>0</v>
      </c>
      <c r="DY54" s="3693">
        <f t="shared" si="175"/>
        <v>0</v>
      </c>
      <c r="DZ54" s="3693">
        <f t="shared" si="176"/>
        <v>0</v>
      </c>
      <c r="EA54" s="3369">
        <f t="shared" si="177"/>
        <v>0</v>
      </c>
      <c r="EB54" s="2374" t="str">
        <f t="shared" si="213"/>
        <v>0.00%</v>
      </c>
      <c r="EC54" s="3950" t="str">
        <f t="shared" si="214"/>
        <v>0.00%</v>
      </c>
      <c r="ED54" s="3369" t="str">
        <f t="shared" si="215"/>
        <v>0.00%</v>
      </c>
      <c r="EE54" s="2374">
        <f t="shared" si="178"/>
        <v>0</v>
      </c>
      <c r="EF54" s="3641" t="e">
        <f t="shared" si="178"/>
        <v>#DIV/0!</v>
      </c>
      <c r="EG54" s="3641">
        <f t="shared" si="178"/>
        <v>0</v>
      </c>
      <c r="EH54" s="2329"/>
      <c r="EJ54" s="2288" t="str">
        <f t="shared" si="179"/>
        <v>Solar Parabolic Trough W/O Storage 250 MW</v>
      </c>
      <c r="EK54" s="2289">
        <f t="shared" si="180"/>
        <v>250</v>
      </c>
      <c r="EL54" s="2788">
        <f t="shared" si="181"/>
        <v>0</v>
      </c>
      <c r="EM54" s="3693">
        <f t="shared" si="182"/>
        <v>0</v>
      </c>
      <c r="EN54" s="3370">
        <f t="shared" si="183"/>
        <v>0</v>
      </c>
      <c r="EO54" s="3693">
        <f t="shared" si="184"/>
        <v>0</v>
      </c>
      <c r="EP54" s="3693">
        <f t="shared" si="185"/>
        <v>0</v>
      </c>
      <c r="EQ54" s="3369">
        <f t="shared" si="186"/>
        <v>0</v>
      </c>
      <c r="ER54" s="2788" t="str">
        <f t="shared" si="187"/>
        <v>0.00%</v>
      </c>
      <c r="ES54" s="3693" t="str">
        <f t="shared" si="188"/>
        <v>0.00%</v>
      </c>
      <c r="ET54" s="3369" t="str">
        <f t="shared" si="189"/>
        <v>0.00%</v>
      </c>
      <c r="EU54" s="2374">
        <f t="shared" si="190"/>
        <v>0</v>
      </c>
      <c r="EV54" s="3641" t="e">
        <f t="shared" si="190"/>
        <v>#DIV/0!</v>
      </c>
      <c r="EW54" s="3641">
        <f t="shared" si="190"/>
        <v>0</v>
      </c>
      <c r="EY54" s="2288" t="str">
        <f t="shared" si="216"/>
        <v>Solar Parabolic Trough W/O Storage 250 MW</v>
      </c>
      <c r="EZ54" s="2288">
        <f t="shared" si="217"/>
        <v>250</v>
      </c>
      <c r="FA54" s="2373">
        <f t="shared" si="218"/>
        <v>0</v>
      </c>
      <c r="FB54" s="2373">
        <f t="shared" si="191"/>
        <v>0</v>
      </c>
      <c r="FC54" s="2788">
        <f t="shared" si="192"/>
        <v>0</v>
      </c>
      <c r="FD54" s="3693">
        <f t="shared" si="193"/>
        <v>0</v>
      </c>
      <c r="FE54" s="3693">
        <f t="shared" si="194"/>
        <v>0</v>
      </c>
      <c r="FF54" s="3369">
        <f t="shared" si="195"/>
        <v>0</v>
      </c>
      <c r="FG54" s="2374" t="e">
        <f t="shared" si="196"/>
        <v>#DIV/0!</v>
      </c>
      <c r="FH54" s="3950" t="e">
        <f t="shared" si="197"/>
        <v>#DIV/0!</v>
      </c>
      <c r="FI54" s="3369" t="e">
        <f t="shared" si="198"/>
        <v>#DIV/0!</v>
      </c>
      <c r="FJ54" s="2374">
        <f t="shared" si="199"/>
        <v>0</v>
      </c>
      <c r="FK54" s="3641" t="e">
        <f t="shared" si="219"/>
        <v>#DIV/0!</v>
      </c>
      <c r="FL54" s="3641">
        <f t="shared" si="200"/>
        <v>0</v>
      </c>
      <c r="FO54" s="2288" t="str">
        <f t="shared" si="220"/>
        <v>Solar Parabolic Trough W/O Storage 250 MW</v>
      </c>
      <c r="FP54" s="2288">
        <f t="shared" si="220"/>
        <v>250</v>
      </c>
      <c r="FQ54" s="2788">
        <f t="shared" si="221"/>
        <v>0</v>
      </c>
      <c r="FR54" s="3693">
        <f t="shared" si="201"/>
        <v>0</v>
      </c>
      <c r="FS54" s="3370">
        <f t="shared" si="202"/>
        <v>0</v>
      </c>
      <c r="FT54" s="3693">
        <f t="shared" si="203"/>
        <v>0</v>
      </c>
      <c r="FU54" s="3693">
        <f t="shared" si="204"/>
        <v>0</v>
      </c>
      <c r="FV54" s="3369">
        <f t="shared" si="205"/>
        <v>0</v>
      </c>
      <c r="FW54" s="2788" t="e">
        <f t="shared" si="206"/>
        <v>#DIV/0!</v>
      </c>
      <c r="FX54" s="3693" t="e">
        <f t="shared" si="207"/>
        <v>#DIV/0!</v>
      </c>
      <c r="FY54" s="3369" t="e">
        <f t="shared" si="208"/>
        <v>#DIV/0!</v>
      </c>
      <c r="FZ54" s="2374">
        <f t="shared" si="209"/>
        <v>0</v>
      </c>
      <c r="GA54" s="3641" t="e">
        <f t="shared" si="222"/>
        <v>#DIV/0!</v>
      </c>
      <c r="GB54" s="3641">
        <f t="shared" si="223"/>
        <v>0</v>
      </c>
    </row>
    <row r="55" spans="1:184">
      <c r="A55" s="1802"/>
      <c r="B55" s="1802"/>
      <c r="C55" s="1802"/>
      <c r="D55" s="1291"/>
      <c r="E55" s="1802"/>
      <c r="F55" s="3617" t="s">
        <v>1807</v>
      </c>
      <c r="G55" s="3502">
        <v>250</v>
      </c>
      <c r="H55" s="3497">
        <v>532.69428811535886</v>
      </c>
      <c r="I55" s="3498">
        <v>12.439329115239419</v>
      </c>
      <c r="J55" s="3498">
        <v>4.5527944561776277</v>
      </c>
      <c r="K55" s="3498">
        <v>87.898701864546581</v>
      </c>
      <c r="L55" s="3498">
        <v>-35.825272445968537</v>
      </c>
      <c r="M55" s="3615">
        <v>601.75984110535387</v>
      </c>
      <c r="N55" s="3497">
        <v>0</v>
      </c>
      <c r="O55" s="3498">
        <v>0</v>
      </c>
      <c r="P55" s="3615">
        <v>0</v>
      </c>
      <c r="Q55" s="3616">
        <v>601.75984110535387</v>
      </c>
      <c r="R55" s="3545">
        <v>0</v>
      </c>
      <c r="S55" s="3638">
        <v>601.75984110535387</v>
      </c>
      <c r="T55" s="2362"/>
      <c r="U55" s="1289"/>
      <c r="V55" s="3617" t="s">
        <v>1807</v>
      </c>
      <c r="W55" s="3502">
        <v>250</v>
      </c>
      <c r="X55" s="3497">
        <v>167.41708984432412</v>
      </c>
      <c r="Y55" s="3498">
        <v>3.9094773992360921</v>
      </c>
      <c r="Z55" s="3498">
        <v>1.4308687281204098</v>
      </c>
      <c r="AA55" s="3498">
        <v>27.625122317942807</v>
      </c>
      <c r="AB55" s="3498">
        <v>-11.259296353643732</v>
      </c>
      <c r="AC55" s="3615">
        <v>189.12326193597971</v>
      </c>
      <c r="AD55" s="3497">
        <v>0</v>
      </c>
      <c r="AE55" s="3498">
        <v>0</v>
      </c>
      <c r="AF55" s="3630">
        <v>0</v>
      </c>
      <c r="AG55" s="3614">
        <v>189.12326193597971</v>
      </c>
      <c r="AH55" s="4028">
        <v>0</v>
      </c>
      <c r="AI55" s="3638">
        <v>189.12326193597971</v>
      </c>
      <c r="AJ55" s="4029">
        <f t="shared" si="210"/>
        <v>18.91232619359797</v>
      </c>
      <c r="AK55" s="2346"/>
      <c r="AL55" s="3634">
        <v>5465.1260453220157</v>
      </c>
      <c r="AM55" s="3635">
        <v>6154.6741190142611</v>
      </c>
      <c r="AN55" s="3497">
        <v>70.953321597751042</v>
      </c>
      <c r="AO55" s="3608">
        <v>0</v>
      </c>
      <c r="AP55" s="2282"/>
      <c r="AQ55" s="2282"/>
      <c r="AR55" s="2282"/>
      <c r="AS55" s="1291"/>
      <c r="AT55" s="3647" t="s">
        <v>1807</v>
      </c>
      <c r="AU55" s="3649">
        <v>250</v>
      </c>
      <c r="AV55" s="3523">
        <v>532.69428811535886</v>
      </c>
      <c r="AW55" s="3524">
        <v>12.439329115239419</v>
      </c>
      <c r="AX55" s="3524">
        <v>4.5527944561776277</v>
      </c>
      <c r="AY55" s="3524">
        <v>87.898701864546581</v>
      </c>
      <c r="AZ55" s="3524">
        <v>-35.825272445968537</v>
      </c>
      <c r="BA55" s="3652">
        <v>601.75984110535387</v>
      </c>
      <c r="BB55" s="3523">
        <v>0</v>
      </c>
      <c r="BC55" s="3524">
        <v>0</v>
      </c>
      <c r="BD55" s="3653">
        <v>0</v>
      </c>
      <c r="BE55" s="3695">
        <v>601.75984110535387</v>
      </c>
      <c r="BF55" s="3545">
        <v>0</v>
      </c>
      <c r="BG55" s="3638">
        <v>601.75984110535387</v>
      </c>
      <c r="BH55" s="2362"/>
      <c r="BI55" s="1289"/>
      <c r="BJ55" s="3647" t="s">
        <v>1807</v>
      </c>
      <c r="BK55" s="3522">
        <v>250</v>
      </c>
      <c r="BL55" s="3523">
        <v>167.41708984432412</v>
      </c>
      <c r="BM55" s="3524">
        <v>3.9094773992360921</v>
      </c>
      <c r="BN55" s="3524">
        <v>1.4308687281204098</v>
      </c>
      <c r="BO55" s="3524">
        <v>27.625122317942807</v>
      </c>
      <c r="BP55" s="3524">
        <v>-11.259296353643732</v>
      </c>
      <c r="BQ55" s="3665">
        <v>189.12326193597971</v>
      </c>
      <c r="BR55" s="3523">
        <v>0</v>
      </c>
      <c r="BS55" s="3524">
        <v>0</v>
      </c>
      <c r="BT55" s="3652">
        <v>0</v>
      </c>
      <c r="BU55" s="3654">
        <v>189.12326193597971</v>
      </c>
      <c r="BV55" s="3642">
        <v>0</v>
      </c>
      <c r="BW55" s="3638">
        <v>189.12326193597971</v>
      </c>
      <c r="BX55" s="3638">
        <f t="shared" si="211"/>
        <v>18.91232619359797</v>
      </c>
      <c r="BY55" s="1291"/>
      <c r="BZ55" s="3670">
        <v>5465.1260453220157</v>
      </c>
      <c r="CA55" s="3671">
        <v>6154.6741190142611</v>
      </c>
      <c r="CB55" s="3523">
        <v>70.953321597751042</v>
      </c>
      <c r="CC55" s="3526">
        <v>0</v>
      </c>
      <c r="CD55" s="2362"/>
      <c r="CE55" s="2362"/>
      <c r="CF55" s="2362"/>
      <c r="CG55" s="2346"/>
      <c r="CH55" s="2410" t="str">
        <f t="shared" si="143"/>
        <v>Solar Parabolic Trough With Storage 250 MW</v>
      </c>
      <c r="CI55" s="2411">
        <f t="shared" si="144"/>
        <v>250</v>
      </c>
      <c r="CJ55" s="2412">
        <f t="shared" si="145"/>
        <v>0</v>
      </c>
      <c r="CK55" s="3674">
        <f t="shared" si="146"/>
        <v>0</v>
      </c>
      <c r="CL55" s="3674">
        <f t="shared" si="147"/>
        <v>0</v>
      </c>
      <c r="CM55" s="3674">
        <f t="shared" si="148"/>
        <v>0</v>
      </c>
      <c r="CN55" s="3674">
        <f t="shared" si="149"/>
        <v>0</v>
      </c>
      <c r="CO55" s="3675">
        <f t="shared" si="150"/>
        <v>0</v>
      </c>
      <c r="CP55" s="3676">
        <f t="shared" si="151"/>
        <v>0</v>
      </c>
      <c r="CQ55" s="3674">
        <f t="shared" si="152"/>
        <v>0</v>
      </c>
      <c r="CR55" s="3675">
        <f t="shared" si="153"/>
        <v>0</v>
      </c>
      <c r="CS55" s="3677">
        <f t="shared" si="154"/>
        <v>0</v>
      </c>
      <c r="CT55" s="3545">
        <f t="shared" si="154"/>
        <v>0</v>
      </c>
      <c r="CU55" s="3638">
        <f t="shared" si="154"/>
        <v>0</v>
      </c>
      <c r="CV55" s="2362"/>
      <c r="CW55" s="2340"/>
      <c r="CX55" s="2410" t="str">
        <f t="shared" si="155"/>
        <v>Solar Parabolic Trough With Storage 250 MW</v>
      </c>
      <c r="CY55" s="2411">
        <f t="shared" si="156"/>
        <v>250</v>
      </c>
      <c r="CZ55" s="2412">
        <f t="shared" si="157"/>
        <v>0</v>
      </c>
      <c r="DA55" s="3674">
        <f t="shared" si="158"/>
        <v>0</v>
      </c>
      <c r="DB55" s="3674">
        <f t="shared" si="159"/>
        <v>0</v>
      </c>
      <c r="DC55" s="3674">
        <f t="shared" si="160"/>
        <v>0</v>
      </c>
      <c r="DD55" s="3674">
        <f t="shared" si="161"/>
        <v>0</v>
      </c>
      <c r="DE55" s="3675">
        <f t="shared" si="162"/>
        <v>0</v>
      </c>
      <c r="DF55" s="3676">
        <f t="shared" si="163"/>
        <v>0</v>
      </c>
      <c r="DG55" s="3674">
        <f t="shared" si="164"/>
        <v>0</v>
      </c>
      <c r="DH55" s="3675">
        <f t="shared" si="165"/>
        <v>0</v>
      </c>
      <c r="DI55" s="3677">
        <f t="shared" si="166"/>
        <v>0</v>
      </c>
      <c r="DJ55" s="3545">
        <f t="shared" si="166"/>
        <v>0</v>
      </c>
      <c r="DK55" s="3638">
        <f t="shared" si="166"/>
        <v>0</v>
      </c>
      <c r="DL55" s="3638">
        <f t="shared" si="166"/>
        <v>0</v>
      </c>
      <c r="DM55" s="2341"/>
      <c r="DN55" s="3687">
        <f t="shared" si="167"/>
        <v>0</v>
      </c>
      <c r="DO55" s="3688">
        <f t="shared" si="168"/>
        <v>0</v>
      </c>
      <c r="DP55" s="3687">
        <f t="shared" si="169"/>
        <v>0</v>
      </c>
      <c r="DQ55" s="3689">
        <f t="shared" si="170"/>
        <v>0</v>
      </c>
      <c r="DS55" s="2329"/>
      <c r="DT55" s="2288" t="str">
        <f t="shared" si="171"/>
        <v>Solar Parabolic Trough With Storage 250 MW</v>
      </c>
      <c r="DU55" s="2289">
        <f t="shared" si="172"/>
        <v>250</v>
      </c>
      <c r="DV55" s="2373">
        <f t="shared" si="173"/>
        <v>0</v>
      </c>
      <c r="DW55" s="2373">
        <f t="shared" si="174"/>
        <v>0</v>
      </c>
      <c r="DX55" s="2788">
        <f t="shared" si="212"/>
        <v>0</v>
      </c>
      <c r="DY55" s="3693">
        <f t="shared" si="175"/>
        <v>0</v>
      </c>
      <c r="DZ55" s="3693">
        <f t="shared" si="176"/>
        <v>0</v>
      </c>
      <c r="EA55" s="3369">
        <f t="shared" si="177"/>
        <v>0</v>
      </c>
      <c r="EB55" s="2374" t="str">
        <f t="shared" si="213"/>
        <v>0.00%</v>
      </c>
      <c r="EC55" s="3950" t="str">
        <f t="shared" si="214"/>
        <v>0.00%</v>
      </c>
      <c r="ED55" s="3369" t="str">
        <f t="shared" si="215"/>
        <v>0.00%</v>
      </c>
      <c r="EE55" s="2374">
        <f t="shared" si="178"/>
        <v>0</v>
      </c>
      <c r="EF55" s="3641" t="e">
        <f t="shared" si="178"/>
        <v>#DIV/0!</v>
      </c>
      <c r="EG55" s="3641">
        <f t="shared" si="178"/>
        <v>0</v>
      </c>
      <c r="EH55" s="2329"/>
      <c r="EJ55" s="2288" t="str">
        <f t="shared" si="179"/>
        <v>Solar Parabolic Trough With Storage 250 MW</v>
      </c>
      <c r="EK55" s="2289">
        <f t="shared" si="180"/>
        <v>250</v>
      </c>
      <c r="EL55" s="2788">
        <f t="shared" si="181"/>
        <v>0</v>
      </c>
      <c r="EM55" s="3693">
        <f t="shared" si="182"/>
        <v>0</v>
      </c>
      <c r="EN55" s="3370">
        <f>IF(DX55="0.00%","0.00%",DB55/Z55)</f>
        <v>0</v>
      </c>
      <c r="EO55" s="3693">
        <f t="shared" si="184"/>
        <v>0</v>
      </c>
      <c r="EP55" s="3693">
        <f t="shared" si="185"/>
        <v>0</v>
      </c>
      <c r="EQ55" s="3369">
        <f t="shared" si="186"/>
        <v>0</v>
      </c>
      <c r="ER55" s="2788" t="str">
        <f t="shared" si="187"/>
        <v>0.00%</v>
      </c>
      <c r="ES55" s="3693" t="str">
        <f t="shared" si="188"/>
        <v>0.00%</v>
      </c>
      <c r="ET55" s="3369" t="str">
        <f t="shared" si="189"/>
        <v>0.00%</v>
      </c>
      <c r="EU55" s="2374">
        <f t="shared" si="190"/>
        <v>0</v>
      </c>
      <c r="EV55" s="3641" t="e">
        <f t="shared" si="190"/>
        <v>#DIV/0!</v>
      </c>
      <c r="EW55" s="3641">
        <f t="shared" si="190"/>
        <v>0</v>
      </c>
      <c r="EY55" s="2288" t="str">
        <f t="shared" si="216"/>
        <v>Solar Parabolic Trough With Storage 250 MW</v>
      </c>
      <c r="EZ55" s="2288">
        <f t="shared" si="217"/>
        <v>250</v>
      </c>
      <c r="FA55" s="2373">
        <f t="shared" si="218"/>
        <v>0</v>
      </c>
      <c r="FB55" s="2373">
        <f t="shared" si="191"/>
        <v>0</v>
      </c>
      <c r="FC55" s="2788">
        <f t="shared" si="192"/>
        <v>0</v>
      </c>
      <c r="FD55" s="3693">
        <f t="shared" si="193"/>
        <v>0</v>
      </c>
      <c r="FE55" s="3693">
        <f t="shared" si="194"/>
        <v>0</v>
      </c>
      <c r="FF55" s="3369">
        <f t="shared" si="195"/>
        <v>0</v>
      </c>
      <c r="FG55" s="2374" t="e">
        <f t="shared" si="196"/>
        <v>#DIV/0!</v>
      </c>
      <c r="FH55" s="3950" t="e">
        <f t="shared" si="197"/>
        <v>#DIV/0!</v>
      </c>
      <c r="FI55" s="3369" t="e">
        <f t="shared" si="198"/>
        <v>#DIV/0!</v>
      </c>
      <c r="FJ55" s="2374">
        <f t="shared" si="199"/>
        <v>0</v>
      </c>
      <c r="FK55" s="3641" t="e">
        <f t="shared" si="219"/>
        <v>#DIV/0!</v>
      </c>
      <c r="FL55" s="3641">
        <f t="shared" si="200"/>
        <v>0</v>
      </c>
      <c r="FO55" s="2288" t="str">
        <f t="shared" si="220"/>
        <v>Solar Parabolic Trough With Storage 250 MW</v>
      </c>
      <c r="FP55" s="2288">
        <f t="shared" si="220"/>
        <v>250</v>
      </c>
      <c r="FQ55" s="2788">
        <f t="shared" si="221"/>
        <v>0</v>
      </c>
      <c r="FR55" s="3693">
        <f t="shared" si="201"/>
        <v>0</v>
      </c>
      <c r="FS55" s="3370">
        <f t="shared" si="202"/>
        <v>0</v>
      </c>
      <c r="FT55" s="3693">
        <f t="shared" si="203"/>
        <v>0</v>
      </c>
      <c r="FU55" s="3693">
        <f t="shared" si="204"/>
        <v>0</v>
      </c>
      <c r="FV55" s="3369">
        <f t="shared" si="205"/>
        <v>0</v>
      </c>
      <c r="FW55" s="2788" t="e">
        <f t="shared" si="206"/>
        <v>#DIV/0!</v>
      </c>
      <c r="FX55" s="3693" t="e">
        <f t="shared" si="207"/>
        <v>#DIV/0!</v>
      </c>
      <c r="FY55" s="3369" t="e">
        <f t="shared" si="208"/>
        <v>#DIV/0!</v>
      </c>
      <c r="FZ55" s="2374">
        <f t="shared" si="209"/>
        <v>0</v>
      </c>
      <c r="GA55" s="3641" t="e">
        <f t="shared" si="222"/>
        <v>#DIV/0!</v>
      </c>
      <c r="GB55" s="3641">
        <f t="shared" si="223"/>
        <v>0</v>
      </c>
    </row>
    <row r="56" spans="1:184">
      <c r="A56" s="1802"/>
      <c r="B56" s="1802"/>
      <c r="C56" s="1802"/>
      <c r="D56" s="1291"/>
      <c r="E56" s="1802"/>
      <c r="F56" s="3501" t="s">
        <v>1917</v>
      </c>
      <c r="G56" s="3502">
        <v>100</v>
      </c>
      <c r="H56" s="3497">
        <v>406.09262424997212</v>
      </c>
      <c r="I56" s="3498">
        <v>9.4829622111936676</v>
      </c>
      <c r="J56" s="3498">
        <v>5.2061462539453212</v>
      </c>
      <c r="K56" s="3498">
        <v>77.813468600398039</v>
      </c>
      <c r="L56" s="3498">
        <v>-27.331843036274016</v>
      </c>
      <c r="M56" s="3615">
        <v>471.26335827923521</v>
      </c>
      <c r="N56" s="3497">
        <v>0</v>
      </c>
      <c r="O56" s="3498">
        <v>0</v>
      </c>
      <c r="P56" s="3615">
        <v>0</v>
      </c>
      <c r="Q56" s="3616">
        <v>471.26335827923521</v>
      </c>
      <c r="R56" s="3545">
        <v>0</v>
      </c>
      <c r="S56" s="3638">
        <v>471.26335827923521</v>
      </c>
      <c r="T56" s="2362"/>
      <c r="U56" s="1289"/>
      <c r="V56" s="3501" t="s">
        <v>1917</v>
      </c>
      <c r="W56" s="3502">
        <v>100</v>
      </c>
      <c r="X56" s="3497">
        <v>180.9905145703604</v>
      </c>
      <c r="Y56" s="3498">
        <v>4.2264402448214184</v>
      </c>
      <c r="Z56" s="3498">
        <v>2.3203156944069576</v>
      </c>
      <c r="AA56" s="3498">
        <v>34.68051100042009</v>
      </c>
      <c r="AB56" s="3498">
        <v>-12.181468068837734</v>
      </c>
      <c r="AC56" s="3615">
        <v>210.03631344117113</v>
      </c>
      <c r="AD56" s="3497">
        <v>0</v>
      </c>
      <c r="AE56" s="3498">
        <v>0</v>
      </c>
      <c r="AF56" s="3630">
        <v>0</v>
      </c>
      <c r="AG56" s="3614">
        <v>210.03631344117113</v>
      </c>
      <c r="AH56" s="4028">
        <v>0</v>
      </c>
      <c r="AI56" s="3638">
        <v>210.03631344117113</v>
      </c>
      <c r="AJ56" s="4029">
        <f t="shared" si="210"/>
        <v>21.003631344117114</v>
      </c>
      <c r="AK56" s="2346"/>
      <c r="AL56" s="3634">
        <v>4166.2683965574515</v>
      </c>
      <c r="AM56" s="3635">
        <v>4691.936482436301</v>
      </c>
      <c r="AN56" s="3497">
        <v>62.812350411598707</v>
      </c>
      <c r="AO56" s="3608">
        <v>0</v>
      </c>
      <c r="AP56" s="2282"/>
      <c r="AQ56" s="2282"/>
      <c r="AR56" s="2282"/>
      <c r="AS56" s="1291"/>
      <c r="AT56" s="3521" t="s">
        <v>1917</v>
      </c>
      <c r="AU56" s="3649">
        <v>100</v>
      </c>
      <c r="AV56" s="3523">
        <v>406.09262424997212</v>
      </c>
      <c r="AW56" s="3524">
        <v>9.4829622111936676</v>
      </c>
      <c r="AX56" s="3524">
        <v>5.2061462539453212</v>
      </c>
      <c r="AY56" s="3524">
        <v>77.813468600398039</v>
      </c>
      <c r="AZ56" s="3524">
        <v>-27.331843036274016</v>
      </c>
      <c r="BA56" s="3652">
        <v>471.26335827923521</v>
      </c>
      <c r="BB56" s="3523">
        <v>0</v>
      </c>
      <c r="BC56" s="3524">
        <v>0</v>
      </c>
      <c r="BD56" s="3653">
        <v>0</v>
      </c>
      <c r="BE56" s="3695">
        <v>471.26335827923521</v>
      </c>
      <c r="BF56" s="3545">
        <v>0</v>
      </c>
      <c r="BG56" s="3638">
        <v>471.26335827923521</v>
      </c>
      <c r="BH56" s="2362"/>
      <c r="BI56" s="1289"/>
      <c r="BJ56" s="3521" t="s">
        <v>1917</v>
      </c>
      <c r="BK56" s="3522">
        <v>100</v>
      </c>
      <c r="BL56" s="3523">
        <v>180.9905145703604</v>
      </c>
      <c r="BM56" s="3524">
        <v>4.2264402448214184</v>
      </c>
      <c r="BN56" s="3524">
        <v>2.3203156944069576</v>
      </c>
      <c r="BO56" s="3524">
        <v>34.68051100042009</v>
      </c>
      <c r="BP56" s="3524">
        <v>-12.181468068837734</v>
      </c>
      <c r="BQ56" s="3665">
        <v>210.03631344117113</v>
      </c>
      <c r="BR56" s="3523">
        <v>0</v>
      </c>
      <c r="BS56" s="3524">
        <v>0</v>
      </c>
      <c r="BT56" s="3652">
        <v>0</v>
      </c>
      <c r="BU56" s="3654">
        <v>210.03631344117113</v>
      </c>
      <c r="BV56" s="3642">
        <v>0</v>
      </c>
      <c r="BW56" s="3638">
        <v>210.03631344117113</v>
      </c>
      <c r="BX56" s="3638">
        <f t="shared" si="211"/>
        <v>21.003631344117114</v>
      </c>
      <c r="BY56" s="1291"/>
      <c r="BZ56" s="3670">
        <v>4166.2683965574515</v>
      </c>
      <c r="CA56" s="3671">
        <v>4691.936482436301</v>
      </c>
      <c r="CB56" s="3523">
        <v>62.812350411598707</v>
      </c>
      <c r="CC56" s="3526">
        <v>0</v>
      </c>
      <c r="CD56" s="2362"/>
      <c r="CE56" s="2362"/>
      <c r="CF56" s="2362"/>
      <c r="CG56" s="2346"/>
      <c r="CH56" s="2410" t="str">
        <f t="shared" si="143"/>
        <v>Solar Power Tower W/O Storage 100 MW</v>
      </c>
      <c r="CI56" s="2411">
        <f t="shared" si="144"/>
        <v>100</v>
      </c>
      <c r="CJ56" s="2412">
        <f t="shared" si="145"/>
        <v>0</v>
      </c>
      <c r="CK56" s="3674">
        <f t="shared" si="146"/>
        <v>0</v>
      </c>
      <c r="CL56" s="3674">
        <f t="shared" si="147"/>
        <v>0</v>
      </c>
      <c r="CM56" s="3674">
        <f t="shared" si="148"/>
        <v>0</v>
      </c>
      <c r="CN56" s="3674">
        <f t="shared" si="149"/>
        <v>0</v>
      </c>
      <c r="CO56" s="3675">
        <f t="shared" si="150"/>
        <v>0</v>
      </c>
      <c r="CP56" s="3676">
        <f t="shared" si="151"/>
        <v>0</v>
      </c>
      <c r="CQ56" s="3674">
        <f t="shared" si="152"/>
        <v>0</v>
      </c>
      <c r="CR56" s="3675">
        <f t="shared" si="153"/>
        <v>0</v>
      </c>
      <c r="CS56" s="3677">
        <f t="shared" si="154"/>
        <v>0</v>
      </c>
      <c r="CT56" s="3545">
        <f t="shared" si="154"/>
        <v>0</v>
      </c>
      <c r="CU56" s="3638">
        <f t="shared" si="154"/>
        <v>0</v>
      </c>
      <c r="CV56" s="2362"/>
      <c r="CW56" s="2340"/>
      <c r="CX56" s="2410" t="str">
        <f t="shared" si="155"/>
        <v>Solar Power Tower W/O Storage 100 MW</v>
      </c>
      <c r="CY56" s="2411">
        <f t="shared" si="156"/>
        <v>100</v>
      </c>
      <c r="CZ56" s="2412">
        <f t="shared" si="157"/>
        <v>0</v>
      </c>
      <c r="DA56" s="3674">
        <f t="shared" si="158"/>
        <v>0</v>
      </c>
      <c r="DB56" s="3674">
        <f t="shared" si="159"/>
        <v>0</v>
      </c>
      <c r="DC56" s="3674">
        <f t="shared" si="160"/>
        <v>0</v>
      </c>
      <c r="DD56" s="3674">
        <f t="shared" si="161"/>
        <v>0</v>
      </c>
      <c r="DE56" s="3675">
        <f t="shared" si="162"/>
        <v>0</v>
      </c>
      <c r="DF56" s="3676">
        <f t="shared" si="163"/>
        <v>0</v>
      </c>
      <c r="DG56" s="3674">
        <f t="shared" si="164"/>
        <v>0</v>
      </c>
      <c r="DH56" s="3675">
        <f t="shared" si="165"/>
        <v>0</v>
      </c>
      <c r="DI56" s="3677">
        <f t="shared" si="166"/>
        <v>0</v>
      </c>
      <c r="DJ56" s="3545">
        <f t="shared" si="166"/>
        <v>0</v>
      </c>
      <c r="DK56" s="3638">
        <f t="shared" si="166"/>
        <v>0</v>
      </c>
      <c r="DL56" s="3638">
        <f t="shared" si="166"/>
        <v>0</v>
      </c>
      <c r="DM56" s="2341"/>
      <c r="DN56" s="3687">
        <f t="shared" si="167"/>
        <v>0</v>
      </c>
      <c r="DO56" s="3688">
        <f t="shared" si="168"/>
        <v>0</v>
      </c>
      <c r="DP56" s="3687">
        <f t="shared" si="169"/>
        <v>0</v>
      </c>
      <c r="DQ56" s="3689">
        <f t="shared" si="170"/>
        <v>0</v>
      </c>
      <c r="DS56" s="2329"/>
      <c r="DT56" s="2288" t="str">
        <f t="shared" si="171"/>
        <v>Solar Power Tower W/O Storage 100 MW</v>
      </c>
      <c r="DU56" s="2289">
        <f t="shared" si="172"/>
        <v>100</v>
      </c>
      <c r="DV56" s="2373">
        <f t="shared" si="173"/>
        <v>0</v>
      </c>
      <c r="DW56" s="2373">
        <f t="shared" si="174"/>
        <v>0</v>
      </c>
      <c r="DX56" s="2788">
        <f t="shared" si="212"/>
        <v>0</v>
      </c>
      <c r="DY56" s="3693">
        <f t="shared" si="175"/>
        <v>0</v>
      </c>
      <c r="DZ56" s="3693">
        <f t="shared" si="176"/>
        <v>0</v>
      </c>
      <c r="EA56" s="3369">
        <f t="shared" si="177"/>
        <v>0</v>
      </c>
      <c r="EB56" s="2374" t="str">
        <f t="shared" si="213"/>
        <v>0.00%</v>
      </c>
      <c r="EC56" s="3950" t="str">
        <f t="shared" si="214"/>
        <v>0.00%</v>
      </c>
      <c r="ED56" s="3369" t="str">
        <f t="shared" si="215"/>
        <v>0.00%</v>
      </c>
      <c r="EE56" s="2374">
        <f t="shared" si="178"/>
        <v>0</v>
      </c>
      <c r="EF56" s="3641" t="e">
        <f t="shared" si="178"/>
        <v>#DIV/0!</v>
      </c>
      <c r="EG56" s="3641">
        <f t="shared" si="178"/>
        <v>0</v>
      </c>
      <c r="EH56" s="2329"/>
      <c r="EJ56" s="2288" t="str">
        <f t="shared" si="179"/>
        <v>Solar Power Tower W/O Storage 100 MW</v>
      </c>
      <c r="EK56" s="2289">
        <f t="shared" si="180"/>
        <v>100</v>
      </c>
      <c r="EL56" s="2788">
        <f t="shared" si="181"/>
        <v>0</v>
      </c>
      <c r="EM56" s="3693">
        <f t="shared" si="182"/>
        <v>0</v>
      </c>
      <c r="EN56" s="3370">
        <f t="shared" ref="EN56:EN63" si="224">IF(DX56="0.00%","0.00%",DB56/Z56)</f>
        <v>0</v>
      </c>
      <c r="EO56" s="3693">
        <f t="shared" si="184"/>
        <v>0</v>
      </c>
      <c r="EP56" s="3693">
        <f t="shared" si="185"/>
        <v>0</v>
      </c>
      <c r="EQ56" s="3369">
        <f t="shared" si="186"/>
        <v>0</v>
      </c>
      <c r="ER56" s="2788" t="str">
        <f t="shared" si="187"/>
        <v>0.00%</v>
      </c>
      <c r="ES56" s="3693" t="str">
        <f t="shared" si="188"/>
        <v>0.00%</v>
      </c>
      <c r="ET56" s="3369" t="str">
        <f t="shared" si="189"/>
        <v>0.00%</v>
      </c>
      <c r="EU56" s="2374">
        <f t="shared" si="190"/>
        <v>0</v>
      </c>
      <c r="EV56" s="3641" t="e">
        <f t="shared" si="190"/>
        <v>#DIV/0!</v>
      </c>
      <c r="EW56" s="3641">
        <f t="shared" si="190"/>
        <v>0</v>
      </c>
      <c r="EY56" s="2288" t="str">
        <f t="shared" si="216"/>
        <v>Solar Power Tower W/O Storage 100 MW</v>
      </c>
      <c r="EZ56" s="2288">
        <f t="shared" si="217"/>
        <v>100</v>
      </c>
      <c r="FA56" s="2373">
        <f t="shared" si="218"/>
        <v>0</v>
      </c>
      <c r="FB56" s="2373">
        <f t="shared" si="191"/>
        <v>0</v>
      </c>
      <c r="FC56" s="2788">
        <f t="shared" si="192"/>
        <v>0</v>
      </c>
      <c r="FD56" s="3693">
        <f t="shared" si="193"/>
        <v>0</v>
      </c>
      <c r="FE56" s="3693">
        <f t="shared" si="194"/>
        <v>0</v>
      </c>
      <c r="FF56" s="3369">
        <f t="shared" si="195"/>
        <v>0</v>
      </c>
      <c r="FG56" s="2374" t="e">
        <f t="shared" si="196"/>
        <v>#DIV/0!</v>
      </c>
      <c r="FH56" s="3950" t="e">
        <f t="shared" si="197"/>
        <v>#DIV/0!</v>
      </c>
      <c r="FI56" s="3369" t="e">
        <f t="shared" si="198"/>
        <v>#DIV/0!</v>
      </c>
      <c r="FJ56" s="2374">
        <f t="shared" si="199"/>
        <v>0</v>
      </c>
      <c r="FK56" s="3641" t="e">
        <f t="shared" si="219"/>
        <v>#DIV/0!</v>
      </c>
      <c r="FL56" s="3641">
        <f t="shared" si="200"/>
        <v>0</v>
      </c>
      <c r="FO56" s="2288" t="str">
        <f t="shared" si="220"/>
        <v>Solar Power Tower W/O Storage 100 MW</v>
      </c>
      <c r="FP56" s="2288">
        <f t="shared" si="220"/>
        <v>100</v>
      </c>
      <c r="FQ56" s="2788">
        <f t="shared" si="221"/>
        <v>0</v>
      </c>
      <c r="FR56" s="3693">
        <f t="shared" si="201"/>
        <v>0</v>
      </c>
      <c r="FS56" s="3370">
        <f t="shared" si="202"/>
        <v>0</v>
      </c>
      <c r="FT56" s="3693">
        <f t="shared" si="203"/>
        <v>0</v>
      </c>
      <c r="FU56" s="3693">
        <f t="shared" si="204"/>
        <v>0</v>
      </c>
      <c r="FV56" s="3369">
        <f t="shared" si="205"/>
        <v>0</v>
      </c>
      <c r="FW56" s="2788" t="e">
        <f t="shared" si="206"/>
        <v>#DIV/0!</v>
      </c>
      <c r="FX56" s="3693" t="e">
        <f t="shared" si="207"/>
        <v>#DIV/0!</v>
      </c>
      <c r="FY56" s="3369" t="e">
        <f t="shared" si="208"/>
        <v>#DIV/0!</v>
      </c>
      <c r="FZ56" s="2374">
        <f t="shared" si="209"/>
        <v>0</v>
      </c>
      <c r="GA56" s="3641" t="e">
        <f t="shared" si="222"/>
        <v>#DIV/0!</v>
      </c>
      <c r="GB56" s="3641">
        <f t="shared" si="223"/>
        <v>0</v>
      </c>
    </row>
    <row r="57" spans="1:184">
      <c r="A57" s="1802"/>
      <c r="B57" s="1802"/>
      <c r="C57" s="1802"/>
      <c r="D57" s="1291"/>
      <c r="E57" s="1802"/>
      <c r="F57" s="3501" t="s">
        <v>1881</v>
      </c>
      <c r="G57" s="3502">
        <v>100</v>
      </c>
      <c r="H57" s="3497">
        <v>568.53448454432578</v>
      </c>
      <c r="I57" s="3498">
        <v>13.276259431335102</v>
      </c>
      <c r="J57" s="3498">
        <v>4.8591109518686437</v>
      </c>
      <c r="K57" s="3498">
        <v>82.07022290020096</v>
      </c>
      <c r="L57" s="3498">
        <v>-38.212909844784846</v>
      </c>
      <c r="M57" s="3615">
        <v>630.52716798294568</v>
      </c>
      <c r="N57" s="3497">
        <v>0</v>
      </c>
      <c r="O57" s="3498">
        <v>0</v>
      </c>
      <c r="P57" s="3615">
        <v>0</v>
      </c>
      <c r="Q57" s="3616">
        <v>630.52716798294568</v>
      </c>
      <c r="R57" s="3545">
        <v>0</v>
      </c>
      <c r="S57" s="3638">
        <v>630.52716798294568</v>
      </c>
      <c r="T57" s="2362"/>
      <c r="U57" s="1289"/>
      <c r="V57" s="3501" t="s">
        <v>1881</v>
      </c>
      <c r="W57" s="3502">
        <v>100</v>
      </c>
      <c r="X57" s="3497">
        <v>196.37636992670974</v>
      </c>
      <c r="Y57" s="3498">
        <v>4.5857264672703693</v>
      </c>
      <c r="Z57" s="3498">
        <v>1.678375887020954</v>
      </c>
      <c r="AA57" s="3498">
        <v>28.347713094544673</v>
      </c>
      <c r="AB57" s="3498">
        <v>-13.199045482122237</v>
      </c>
      <c r="AC57" s="3615">
        <v>217.78913989342351</v>
      </c>
      <c r="AD57" s="3497">
        <v>0</v>
      </c>
      <c r="AE57" s="3498">
        <v>0</v>
      </c>
      <c r="AF57" s="3630">
        <v>0</v>
      </c>
      <c r="AG57" s="3614">
        <v>217.78913989342351</v>
      </c>
      <c r="AH57" s="4028">
        <v>0</v>
      </c>
      <c r="AI57" s="3638">
        <v>217.78913989342351</v>
      </c>
      <c r="AJ57" s="4029">
        <f t="shared" si="210"/>
        <v>21.77891398934235</v>
      </c>
      <c r="AK57" s="2346"/>
      <c r="AL57" s="3634">
        <v>5832.8251090127224</v>
      </c>
      <c r="AM57" s="3635">
        <v>6568.7666563346193</v>
      </c>
      <c r="AN57" s="3497">
        <v>66.248474613546122</v>
      </c>
      <c r="AO57" s="3608">
        <v>0</v>
      </c>
      <c r="AP57" s="2282"/>
      <c r="AQ57" s="2282"/>
      <c r="AR57" s="2282"/>
      <c r="AS57" s="1291"/>
      <c r="AT57" s="3521" t="s">
        <v>1881</v>
      </c>
      <c r="AU57" s="3649">
        <v>100</v>
      </c>
      <c r="AV57" s="3523">
        <v>568.53448454432578</v>
      </c>
      <c r="AW57" s="3524">
        <v>13.276259431335102</v>
      </c>
      <c r="AX57" s="3524">
        <v>4.8591109518686437</v>
      </c>
      <c r="AY57" s="3524">
        <v>82.07022290020096</v>
      </c>
      <c r="AZ57" s="3524">
        <v>-38.212909844784846</v>
      </c>
      <c r="BA57" s="3652">
        <v>630.52716798294568</v>
      </c>
      <c r="BB57" s="3523">
        <v>0</v>
      </c>
      <c r="BC57" s="3524">
        <v>0</v>
      </c>
      <c r="BD57" s="3653">
        <v>0</v>
      </c>
      <c r="BE57" s="3695">
        <v>630.52716798294568</v>
      </c>
      <c r="BF57" s="3545">
        <v>0</v>
      </c>
      <c r="BG57" s="3638">
        <v>630.52716798294568</v>
      </c>
      <c r="BH57" s="2362"/>
      <c r="BI57" s="1289"/>
      <c r="BJ57" s="3521" t="s">
        <v>1881</v>
      </c>
      <c r="BK57" s="3522">
        <v>100</v>
      </c>
      <c r="BL57" s="3523">
        <v>196.37636992670974</v>
      </c>
      <c r="BM57" s="3524">
        <v>4.5857264672703693</v>
      </c>
      <c r="BN57" s="3524">
        <v>1.678375887020954</v>
      </c>
      <c r="BO57" s="3524">
        <v>28.347713094544673</v>
      </c>
      <c r="BP57" s="3524">
        <v>-13.199045482122237</v>
      </c>
      <c r="BQ57" s="3665">
        <v>217.78913989342351</v>
      </c>
      <c r="BR57" s="3523">
        <v>0</v>
      </c>
      <c r="BS57" s="3524">
        <v>0</v>
      </c>
      <c r="BT57" s="3652">
        <v>0</v>
      </c>
      <c r="BU57" s="3654">
        <v>217.78913989342351</v>
      </c>
      <c r="BV57" s="3642">
        <v>0</v>
      </c>
      <c r="BW57" s="3638">
        <v>217.78913989342351</v>
      </c>
      <c r="BX57" s="3638">
        <f t="shared" si="211"/>
        <v>21.77891398934235</v>
      </c>
      <c r="BY57" s="1291"/>
      <c r="BZ57" s="3670">
        <v>5832.8251090127224</v>
      </c>
      <c r="CA57" s="3671">
        <v>6568.7666563346193</v>
      </c>
      <c r="CB57" s="3523">
        <v>66.248474613546122</v>
      </c>
      <c r="CC57" s="3526">
        <v>0</v>
      </c>
      <c r="CD57" s="2362"/>
      <c r="CE57" s="2362"/>
      <c r="CF57" s="2362"/>
      <c r="CG57" s="2346"/>
      <c r="CH57" s="2410" t="str">
        <f t="shared" si="143"/>
        <v>Solar Power Tower With Storage 100 MW 6 HRs</v>
      </c>
      <c r="CI57" s="2411">
        <f t="shared" si="144"/>
        <v>100</v>
      </c>
      <c r="CJ57" s="2412">
        <f t="shared" si="145"/>
        <v>0</v>
      </c>
      <c r="CK57" s="3674">
        <f t="shared" si="146"/>
        <v>0</v>
      </c>
      <c r="CL57" s="3674">
        <f t="shared" si="147"/>
        <v>0</v>
      </c>
      <c r="CM57" s="3674">
        <f t="shared" si="148"/>
        <v>0</v>
      </c>
      <c r="CN57" s="3674">
        <f t="shared" si="149"/>
        <v>0</v>
      </c>
      <c r="CO57" s="3675">
        <f t="shared" si="150"/>
        <v>0</v>
      </c>
      <c r="CP57" s="3676">
        <f t="shared" si="151"/>
        <v>0</v>
      </c>
      <c r="CQ57" s="3674">
        <f t="shared" si="152"/>
        <v>0</v>
      </c>
      <c r="CR57" s="3675">
        <f t="shared" si="153"/>
        <v>0</v>
      </c>
      <c r="CS57" s="3677">
        <f t="shared" si="154"/>
        <v>0</v>
      </c>
      <c r="CT57" s="3545">
        <f t="shared" si="154"/>
        <v>0</v>
      </c>
      <c r="CU57" s="3638">
        <f t="shared" si="154"/>
        <v>0</v>
      </c>
      <c r="CV57" s="2362"/>
      <c r="CW57" s="2340"/>
      <c r="CX57" s="2410" t="str">
        <f t="shared" si="155"/>
        <v>Solar Power Tower With Storage 100 MW 6 HRs</v>
      </c>
      <c r="CY57" s="2411">
        <f t="shared" si="156"/>
        <v>100</v>
      </c>
      <c r="CZ57" s="2412">
        <f t="shared" si="157"/>
        <v>0</v>
      </c>
      <c r="DA57" s="3674">
        <f t="shared" si="158"/>
        <v>0</v>
      </c>
      <c r="DB57" s="3674">
        <f t="shared" si="159"/>
        <v>0</v>
      </c>
      <c r="DC57" s="3674">
        <f t="shared" si="160"/>
        <v>0</v>
      </c>
      <c r="DD57" s="3674">
        <f t="shared" si="161"/>
        <v>0</v>
      </c>
      <c r="DE57" s="3675">
        <f t="shared" si="162"/>
        <v>0</v>
      </c>
      <c r="DF57" s="3676">
        <f t="shared" si="163"/>
        <v>0</v>
      </c>
      <c r="DG57" s="3674">
        <f t="shared" si="164"/>
        <v>0</v>
      </c>
      <c r="DH57" s="3675">
        <f t="shared" si="165"/>
        <v>0</v>
      </c>
      <c r="DI57" s="3677">
        <f t="shared" si="166"/>
        <v>0</v>
      </c>
      <c r="DJ57" s="3545">
        <f t="shared" si="166"/>
        <v>0</v>
      </c>
      <c r="DK57" s="3638">
        <f t="shared" si="166"/>
        <v>0</v>
      </c>
      <c r="DL57" s="3638">
        <f t="shared" si="166"/>
        <v>0</v>
      </c>
      <c r="DM57" s="2341"/>
      <c r="DN57" s="3687">
        <f t="shared" si="167"/>
        <v>0</v>
      </c>
      <c r="DO57" s="3688">
        <f t="shared" si="168"/>
        <v>0</v>
      </c>
      <c r="DP57" s="3687">
        <f t="shared" si="169"/>
        <v>0</v>
      </c>
      <c r="DQ57" s="3689">
        <f t="shared" si="170"/>
        <v>0</v>
      </c>
      <c r="DS57" s="2329"/>
      <c r="DT57" s="2288" t="str">
        <f t="shared" si="171"/>
        <v>Solar Power Tower With Storage 100 MW 6 HRs</v>
      </c>
      <c r="DU57" s="2289">
        <f t="shared" si="172"/>
        <v>100</v>
      </c>
      <c r="DV57" s="2373">
        <f t="shared" si="173"/>
        <v>0</v>
      </c>
      <c r="DW57" s="2373">
        <f t="shared" si="174"/>
        <v>0</v>
      </c>
      <c r="DX57" s="2788">
        <f t="shared" si="212"/>
        <v>0</v>
      </c>
      <c r="DY57" s="3693">
        <f t="shared" si="175"/>
        <v>0</v>
      </c>
      <c r="DZ57" s="3693">
        <f t="shared" si="176"/>
        <v>0</v>
      </c>
      <c r="EA57" s="3369">
        <f t="shared" si="177"/>
        <v>0</v>
      </c>
      <c r="EB57" s="2374" t="str">
        <f t="shared" si="213"/>
        <v>0.00%</v>
      </c>
      <c r="EC57" s="3950" t="str">
        <f t="shared" si="214"/>
        <v>0.00%</v>
      </c>
      <c r="ED57" s="3369" t="str">
        <f t="shared" si="215"/>
        <v>0.00%</v>
      </c>
      <c r="EE57" s="2374">
        <f t="shared" si="178"/>
        <v>0</v>
      </c>
      <c r="EF57" s="3641" t="e">
        <f t="shared" si="178"/>
        <v>#DIV/0!</v>
      </c>
      <c r="EG57" s="3641">
        <f t="shared" si="178"/>
        <v>0</v>
      </c>
      <c r="EH57" s="2329"/>
      <c r="EJ57" s="2288" t="str">
        <f t="shared" si="179"/>
        <v>Solar Power Tower With Storage 100 MW 6 HRs</v>
      </c>
      <c r="EK57" s="2289">
        <f t="shared" si="180"/>
        <v>100</v>
      </c>
      <c r="EL57" s="2788">
        <f t="shared" si="181"/>
        <v>0</v>
      </c>
      <c r="EM57" s="3693">
        <f t="shared" si="182"/>
        <v>0</v>
      </c>
      <c r="EN57" s="3370">
        <f t="shared" si="224"/>
        <v>0</v>
      </c>
      <c r="EO57" s="3693">
        <f t="shared" si="184"/>
        <v>0</v>
      </c>
      <c r="EP57" s="3693">
        <f t="shared" si="185"/>
        <v>0</v>
      </c>
      <c r="EQ57" s="3369">
        <f t="shared" si="186"/>
        <v>0</v>
      </c>
      <c r="ER57" s="2788" t="str">
        <f t="shared" si="187"/>
        <v>0.00%</v>
      </c>
      <c r="ES57" s="3693" t="str">
        <f t="shared" si="188"/>
        <v>0.00%</v>
      </c>
      <c r="ET57" s="3369" t="str">
        <f t="shared" si="189"/>
        <v>0.00%</v>
      </c>
      <c r="EU57" s="2374">
        <f t="shared" si="190"/>
        <v>0</v>
      </c>
      <c r="EV57" s="3641" t="e">
        <f t="shared" si="190"/>
        <v>#DIV/0!</v>
      </c>
      <c r="EW57" s="3641">
        <f t="shared" si="190"/>
        <v>0</v>
      </c>
      <c r="EY57" s="2288" t="str">
        <f t="shared" si="216"/>
        <v>Solar Power Tower With Storage 100 MW 6 HRs</v>
      </c>
      <c r="EZ57" s="2288">
        <f t="shared" si="217"/>
        <v>100</v>
      </c>
      <c r="FA57" s="2373">
        <f t="shared" si="218"/>
        <v>0</v>
      </c>
      <c r="FB57" s="2373">
        <f t="shared" si="191"/>
        <v>0</v>
      </c>
      <c r="FC57" s="2788">
        <f t="shared" si="192"/>
        <v>0</v>
      </c>
      <c r="FD57" s="3693">
        <f t="shared" si="193"/>
        <v>0</v>
      </c>
      <c r="FE57" s="3693">
        <f t="shared" si="194"/>
        <v>0</v>
      </c>
      <c r="FF57" s="3369">
        <f t="shared" si="195"/>
        <v>0</v>
      </c>
      <c r="FG57" s="2374" t="e">
        <f t="shared" si="196"/>
        <v>#DIV/0!</v>
      </c>
      <c r="FH57" s="3950" t="e">
        <f t="shared" si="197"/>
        <v>#DIV/0!</v>
      </c>
      <c r="FI57" s="3369" t="e">
        <f t="shared" si="198"/>
        <v>#DIV/0!</v>
      </c>
      <c r="FJ57" s="2374">
        <f t="shared" si="199"/>
        <v>0</v>
      </c>
      <c r="FK57" s="3641" t="e">
        <f t="shared" si="219"/>
        <v>#DIV/0!</v>
      </c>
      <c r="FL57" s="3641">
        <f t="shared" si="200"/>
        <v>0</v>
      </c>
      <c r="FO57" s="2288" t="str">
        <f t="shared" si="220"/>
        <v>Solar Power Tower With Storage 100 MW 6 HRs</v>
      </c>
      <c r="FP57" s="2288">
        <f t="shared" si="220"/>
        <v>100</v>
      </c>
      <c r="FQ57" s="2788">
        <f t="shared" si="221"/>
        <v>0</v>
      </c>
      <c r="FR57" s="3693">
        <f t="shared" si="201"/>
        <v>0</v>
      </c>
      <c r="FS57" s="3370">
        <f t="shared" si="202"/>
        <v>0</v>
      </c>
      <c r="FT57" s="3693">
        <f t="shared" si="203"/>
        <v>0</v>
      </c>
      <c r="FU57" s="3693">
        <f t="shared" si="204"/>
        <v>0</v>
      </c>
      <c r="FV57" s="3369">
        <f t="shared" si="205"/>
        <v>0</v>
      </c>
      <c r="FW57" s="2788" t="e">
        <f t="shared" si="206"/>
        <v>#DIV/0!</v>
      </c>
      <c r="FX57" s="3693" t="e">
        <f t="shared" si="207"/>
        <v>#DIV/0!</v>
      </c>
      <c r="FY57" s="3369" t="e">
        <f t="shared" si="208"/>
        <v>#DIV/0!</v>
      </c>
      <c r="FZ57" s="2374">
        <f t="shared" si="209"/>
        <v>0</v>
      </c>
      <c r="GA57" s="3641" t="e">
        <f t="shared" si="222"/>
        <v>#DIV/0!</v>
      </c>
      <c r="GB57" s="3641">
        <f t="shared" si="223"/>
        <v>0</v>
      </c>
    </row>
    <row r="58" spans="1:184">
      <c r="A58" s="1802"/>
      <c r="B58" s="1802"/>
      <c r="C58" s="1802"/>
      <c r="D58" s="1291"/>
      <c r="E58" s="1802"/>
      <c r="F58" s="3501" t="s">
        <v>1883</v>
      </c>
      <c r="G58" s="3502">
        <v>100</v>
      </c>
      <c r="H58" s="3497">
        <v>632.28089072592081</v>
      </c>
      <c r="I58" s="3498">
        <v>14.764847809506088</v>
      </c>
      <c r="J58" s="3498">
        <v>5.4039342982792293</v>
      </c>
      <c r="K58" s="3498">
        <v>82.07022290020096</v>
      </c>
      <c r="L58" s="3498">
        <v>-42.479690707110052</v>
      </c>
      <c r="M58" s="3615">
        <v>692.04020502679703</v>
      </c>
      <c r="N58" s="3497">
        <v>0</v>
      </c>
      <c r="O58" s="3498">
        <v>0</v>
      </c>
      <c r="P58" s="3615">
        <v>0</v>
      </c>
      <c r="Q58" s="3616">
        <v>692.04020502679703</v>
      </c>
      <c r="R58" s="3545">
        <v>0</v>
      </c>
      <c r="S58" s="3638">
        <v>692.04020502679703</v>
      </c>
      <c r="T58" s="2362"/>
      <c r="U58" s="1289"/>
      <c r="V58" s="3501" t="s">
        <v>1883</v>
      </c>
      <c r="W58" s="3502">
        <v>100</v>
      </c>
      <c r="X58" s="3497">
        <v>156.88775756457906</v>
      </c>
      <c r="Y58" s="3498">
        <v>3.6635993552742265</v>
      </c>
      <c r="Z58" s="3498">
        <v>1.3408773640303671</v>
      </c>
      <c r="AA58" s="3498">
        <v>20.364071447509644</v>
      </c>
      <c r="AB58" s="3498">
        <v>-10.540478946665349</v>
      </c>
      <c r="AC58" s="3615">
        <v>171.71582678472794</v>
      </c>
      <c r="AD58" s="3497">
        <v>0</v>
      </c>
      <c r="AE58" s="3498">
        <v>0</v>
      </c>
      <c r="AF58" s="3630">
        <v>0</v>
      </c>
      <c r="AG58" s="3614">
        <v>171.71582678472794</v>
      </c>
      <c r="AH58" s="4028">
        <v>0</v>
      </c>
      <c r="AI58" s="3638">
        <v>171.71582678472794</v>
      </c>
      <c r="AJ58" s="4029">
        <f t="shared" si="210"/>
        <v>17.171582678472795</v>
      </c>
      <c r="AK58" s="2346"/>
      <c r="AL58" s="3634">
        <v>6486.8252597394476</v>
      </c>
      <c r="AM58" s="3635">
        <v>7305.2835761876604</v>
      </c>
      <c r="AN58" s="3497">
        <v>66.248474613546122</v>
      </c>
      <c r="AO58" s="3608">
        <v>0</v>
      </c>
      <c r="AP58" s="2282"/>
      <c r="AQ58" s="2282"/>
      <c r="AR58" s="2282"/>
      <c r="AS58" s="1291"/>
      <c r="AT58" s="3521" t="s">
        <v>1883</v>
      </c>
      <c r="AU58" s="3649">
        <v>100</v>
      </c>
      <c r="AV58" s="3523">
        <v>632.28089072592081</v>
      </c>
      <c r="AW58" s="3524">
        <v>14.764847809506088</v>
      </c>
      <c r="AX58" s="3524">
        <v>5.4039342982792293</v>
      </c>
      <c r="AY58" s="3524">
        <v>82.07022290020096</v>
      </c>
      <c r="AZ58" s="3524">
        <v>-42.479690707110052</v>
      </c>
      <c r="BA58" s="3652">
        <v>692.04020502679703</v>
      </c>
      <c r="BB58" s="3523">
        <v>0</v>
      </c>
      <c r="BC58" s="3524">
        <v>0</v>
      </c>
      <c r="BD58" s="3653">
        <v>0</v>
      </c>
      <c r="BE58" s="3695">
        <v>692.04020502679703</v>
      </c>
      <c r="BF58" s="3545">
        <v>0</v>
      </c>
      <c r="BG58" s="3638">
        <v>692.04020502679703</v>
      </c>
      <c r="BH58" s="2362"/>
      <c r="BI58" s="1289"/>
      <c r="BJ58" s="3521" t="s">
        <v>1883</v>
      </c>
      <c r="BK58" s="3522">
        <v>100</v>
      </c>
      <c r="BL58" s="3523">
        <v>156.88775756457906</v>
      </c>
      <c r="BM58" s="3524">
        <v>3.6635993552742265</v>
      </c>
      <c r="BN58" s="3524">
        <v>1.3408773640303671</v>
      </c>
      <c r="BO58" s="3524">
        <v>20.364071447509644</v>
      </c>
      <c r="BP58" s="3524">
        <v>-10.540478946665349</v>
      </c>
      <c r="BQ58" s="3665">
        <v>171.71582678472794</v>
      </c>
      <c r="BR58" s="3523">
        <v>0</v>
      </c>
      <c r="BS58" s="3524">
        <v>0</v>
      </c>
      <c r="BT58" s="3652">
        <v>0</v>
      </c>
      <c r="BU58" s="3654">
        <v>171.71582678472794</v>
      </c>
      <c r="BV58" s="3642">
        <v>0</v>
      </c>
      <c r="BW58" s="3638">
        <v>171.71582678472794</v>
      </c>
      <c r="BX58" s="3638">
        <f t="shared" si="211"/>
        <v>17.171582678472795</v>
      </c>
      <c r="BY58" s="1291"/>
      <c r="BZ58" s="3670">
        <v>6486.8252597394476</v>
      </c>
      <c r="CA58" s="3671">
        <v>7305.2835761876604</v>
      </c>
      <c r="CB58" s="3523">
        <v>66.248474613546122</v>
      </c>
      <c r="CC58" s="3526">
        <v>0</v>
      </c>
      <c r="CD58" s="2362"/>
      <c r="CE58" s="2362"/>
      <c r="CF58" s="2362"/>
      <c r="CG58" s="2346"/>
      <c r="CH58" s="2410" t="str">
        <f t="shared" si="143"/>
        <v>Solar Power Tower With Storage 100 MW 11 HRs</v>
      </c>
      <c r="CI58" s="2411">
        <f t="shared" si="144"/>
        <v>100</v>
      </c>
      <c r="CJ58" s="2412">
        <f t="shared" si="145"/>
        <v>0</v>
      </c>
      <c r="CK58" s="3674">
        <f t="shared" si="146"/>
        <v>0</v>
      </c>
      <c r="CL58" s="3674">
        <f t="shared" si="147"/>
        <v>0</v>
      </c>
      <c r="CM58" s="3674">
        <f t="shared" si="148"/>
        <v>0</v>
      </c>
      <c r="CN58" s="3674">
        <f t="shared" si="149"/>
        <v>0</v>
      </c>
      <c r="CO58" s="3675">
        <f t="shared" si="150"/>
        <v>0</v>
      </c>
      <c r="CP58" s="3676">
        <f t="shared" si="151"/>
        <v>0</v>
      </c>
      <c r="CQ58" s="3674">
        <f t="shared" si="152"/>
        <v>0</v>
      </c>
      <c r="CR58" s="3675">
        <f t="shared" si="153"/>
        <v>0</v>
      </c>
      <c r="CS58" s="3677">
        <f t="shared" si="154"/>
        <v>0</v>
      </c>
      <c r="CT58" s="3545">
        <f t="shared" si="154"/>
        <v>0</v>
      </c>
      <c r="CU58" s="3638">
        <f t="shared" si="154"/>
        <v>0</v>
      </c>
      <c r="CV58" s="2362"/>
      <c r="CW58" s="2340"/>
      <c r="CX58" s="2410" t="str">
        <f t="shared" si="155"/>
        <v>Solar Power Tower With Storage 100 MW 11 HRs</v>
      </c>
      <c r="CY58" s="2411">
        <f t="shared" si="156"/>
        <v>100</v>
      </c>
      <c r="CZ58" s="2412">
        <f t="shared" si="157"/>
        <v>0</v>
      </c>
      <c r="DA58" s="3674">
        <f t="shared" si="158"/>
        <v>0</v>
      </c>
      <c r="DB58" s="3674">
        <f t="shared" si="159"/>
        <v>0</v>
      </c>
      <c r="DC58" s="3674">
        <f t="shared" si="160"/>
        <v>0</v>
      </c>
      <c r="DD58" s="3674">
        <f t="shared" si="161"/>
        <v>0</v>
      </c>
      <c r="DE58" s="3675">
        <f t="shared" si="162"/>
        <v>0</v>
      </c>
      <c r="DF58" s="3676">
        <f t="shared" si="163"/>
        <v>0</v>
      </c>
      <c r="DG58" s="3674">
        <f t="shared" si="164"/>
        <v>0</v>
      </c>
      <c r="DH58" s="3675">
        <f t="shared" si="165"/>
        <v>0</v>
      </c>
      <c r="DI58" s="3677">
        <f t="shared" si="166"/>
        <v>0</v>
      </c>
      <c r="DJ58" s="3545">
        <f t="shared" si="166"/>
        <v>0</v>
      </c>
      <c r="DK58" s="3638">
        <f t="shared" si="166"/>
        <v>0</v>
      </c>
      <c r="DL58" s="3638">
        <f t="shared" si="166"/>
        <v>0</v>
      </c>
      <c r="DM58" s="2341"/>
      <c r="DN58" s="3687">
        <f t="shared" si="167"/>
        <v>0</v>
      </c>
      <c r="DO58" s="3688">
        <f t="shared" si="168"/>
        <v>0</v>
      </c>
      <c r="DP58" s="3687">
        <f t="shared" si="169"/>
        <v>0</v>
      </c>
      <c r="DQ58" s="3689">
        <f t="shared" si="170"/>
        <v>0</v>
      </c>
      <c r="DS58" s="2329"/>
      <c r="DT58" s="2288" t="str">
        <f t="shared" si="171"/>
        <v>Solar Power Tower With Storage 100 MW 11 HRs</v>
      </c>
      <c r="DU58" s="2289">
        <f t="shared" si="172"/>
        <v>100</v>
      </c>
      <c r="DV58" s="2373">
        <f t="shared" si="173"/>
        <v>0</v>
      </c>
      <c r="DW58" s="2373">
        <f t="shared" si="174"/>
        <v>0</v>
      </c>
      <c r="DX58" s="2788">
        <f t="shared" si="212"/>
        <v>0</v>
      </c>
      <c r="DY58" s="3693">
        <f t="shared" si="175"/>
        <v>0</v>
      </c>
      <c r="DZ58" s="3693">
        <f t="shared" si="176"/>
        <v>0</v>
      </c>
      <c r="EA58" s="3369">
        <f t="shared" si="177"/>
        <v>0</v>
      </c>
      <c r="EB58" s="2374" t="str">
        <f t="shared" si="213"/>
        <v>0.00%</v>
      </c>
      <c r="EC58" s="3950" t="str">
        <f t="shared" si="214"/>
        <v>0.00%</v>
      </c>
      <c r="ED58" s="3369" t="str">
        <f t="shared" si="215"/>
        <v>0.00%</v>
      </c>
      <c r="EE58" s="2374">
        <f t="shared" si="178"/>
        <v>0</v>
      </c>
      <c r="EF58" s="3641" t="e">
        <f t="shared" si="178"/>
        <v>#DIV/0!</v>
      </c>
      <c r="EG58" s="3641">
        <f t="shared" si="178"/>
        <v>0</v>
      </c>
      <c r="EH58" s="2329"/>
      <c r="EJ58" s="2288" t="str">
        <f t="shared" si="179"/>
        <v>Solar Power Tower With Storage 100 MW 11 HRs</v>
      </c>
      <c r="EK58" s="2289">
        <f t="shared" si="180"/>
        <v>100</v>
      </c>
      <c r="EL58" s="2788">
        <f t="shared" si="181"/>
        <v>0</v>
      </c>
      <c r="EM58" s="3693">
        <f t="shared" si="182"/>
        <v>0</v>
      </c>
      <c r="EN58" s="3370">
        <f t="shared" si="224"/>
        <v>0</v>
      </c>
      <c r="EO58" s="3693">
        <f t="shared" si="184"/>
        <v>0</v>
      </c>
      <c r="EP58" s="3693">
        <f t="shared" si="185"/>
        <v>0</v>
      </c>
      <c r="EQ58" s="3369">
        <f t="shared" si="186"/>
        <v>0</v>
      </c>
      <c r="ER58" s="2788" t="str">
        <f t="shared" si="187"/>
        <v>0.00%</v>
      </c>
      <c r="ES58" s="3693" t="str">
        <f t="shared" si="188"/>
        <v>0.00%</v>
      </c>
      <c r="ET58" s="3369" t="str">
        <f t="shared" si="189"/>
        <v>0.00%</v>
      </c>
      <c r="EU58" s="2374">
        <f t="shared" si="190"/>
        <v>0</v>
      </c>
      <c r="EV58" s="3641" t="e">
        <f t="shared" si="190"/>
        <v>#DIV/0!</v>
      </c>
      <c r="EW58" s="3641">
        <f t="shared" si="190"/>
        <v>0</v>
      </c>
      <c r="EY58" s="2288" t="str">
        <f t="shared" si="216"/>
        <v>Solar Power Tower With Storage 100 MW 11 HRs</v>
      </c>
      <c r="EZ58" s="2288">
        <f t="shared" si="217"/>
        <v>100</v>
      </c>
      <c r="FA58" s="2373">
        <f t="shared" si="218"/>
        <v>0</v>
      </c>
      <c r="FB58" s="2373">
        <f t="shared" si="191"/>
        <v>0</v>
      </c>
      <c r="FC58" s="2788">
        <f t="shared" si="192"/>
        <v>0</v>
      </c>
      <c r="FD58" s="3693">
        <f t="shared" si="193"/>
        <v>0</v>
      </c>
      <c r="FE58" s="3693">
        <f t="shared" si="194"/>
        <v>0</v>
      </c>
      <c r="FF58" s="3369">
        <f t="shared" si="195"/>
        <v>0</v>
      </c>
      <c r="FG58" s="2374" t="e">
        <f t="shared" si="196"/>
        <v>#DIV/0!</v>
      </c>
      <c r="FH58" s="3950" t="e">
        <f t="shared" si="197"/>
        <v>#DIV/0!</v>
      </c>
      <c r="FI58" s="3369" t="e">
        <f t="shared" si="198"/>
        <v>#DIV/0!</v>
      </c>
      <c r="FJ58" s="2374">
        <f t="shared" si="199"/>
        <v>0</v>
      </c>
      <c r="FK58" s="3641" t="e">
        <f t="shared" si="219"/>
        <v>#DIV/0!</v>
      </c>
      <c r="FL58" s="3641">
        <f t="shared" si="200"/>
        <v>0</v>
      </c>
      <c r="FO58" s="2288" t="str">
        <f t="shared" si="220"/>
        <v>Solar Power Tower With Storage 100 MW 11 HRs</v>
      </c>
      <c r="FP58" s="2288">
        <f t="shared" si="220"/>
        <v>100</v>
      </c>
      <c r="FQ58" s="2788">
        <f t="shared" si="221"/>
        <v>0</v>
      </c>
      <c r="FR58" s="3693">
        <f t="shared" si="201"/>
        <v>0</v>
      </c>
      <c r="FS58" s="3370">
        <f t="shared" si="202"/>
        <v>0</v>
      </c>
      <c r="FT58" s="3693">
        <f t="shared" si="203"/>
        <v>0</v>
      </c>
      <c r="FU58" s="3693">
        <f t="shared" si="204"/>
        <v>0</v>
      </c>
      <c r="FV58" s="3369">
        <f t="shared" si="205"/>
        <v>0</v>
      </c>
      <c r="FW58" s="2788" t="e">
        <f t="shared" si="206"/>
        <v>#DIV/0!</v>
      </c>
      <c r="FX58" s="3693" t="e">
        <f t="shared" si="207"/>
        <v>#DIV/0!</v>
      </c>
      <c r="FY58" s="3369" t="e">
        <f t="shared" si="208"/>
        <v>#DIV/0!</v>
      </c>
      <c r="FZ58" s="2374">
        <f t="shared" si="209"/>
        <v>0</v>
      </c>
      <c r="GA58" s="3641" t="e">
        <f t="shared" si="222"/>
        <v>#DIV/0!</v>
      </c>
      <c r="GB58" s="3641">
        <f t="shared" si="223"/>
        <v>0</v>
      </c>
    </row>
    <row r="59" spans="1:184">
      <c r="A59" s="1802"/>
      <c r="B59" s="1802"/>
      <c r="C59" s="1802"/>
      <c r="D59" s="1291"/>
      <c r="E59" s="1802"/>
      <c r="F59" s="3501" t="s">
        <v>2032</v>
      </c>
      <c r="G59" s="3502">
        <v>100</v>
      </c>
      <c r="H59" s="3497">
        <v>292.8018163089302</v>
      </c>
      <c r="I59" s="3498">
        <v>6.8374267189775146</v>
      </c>
      <c r="J59" s="3498">
        <v>2.5024981791457703</v>
      </c>
      <c r="K59" s="3498">
        <v>32.744263844638134</v>
      </c>
      <c r="L59" s="3498">
        <v>-19.661661996264296</v>
      </c>
      <c r="M59" s="3615">
        <v>315.22434305542731</v>
      </c>
      <c r="N59" s="3497">
        <v>0</v>
      </c>
      <c r="O59" s="3498">
        <v>0</v>
      </c>
      <c r="P59" s="3615">
        <v>0</v>
      </c>
      <c r="Q59" s="3616">
        <v>315.22434305542731</v>
      </c>
      <c r="R59" s="3545">
        <v>0</v>
      </c>
      <c r="S59" s="3638">
        <v>315.22434305542731</v>
      </c>
      <c r="T59" s="2362"/>
      <c r="U59" s="1289"/>
      <c r="V59" s="3501" t="s">
        <v>2032</v>
      </c>
      <c r="W59" s="3502">
        <v>100</v>
      </c>
      <c r="X59" s="3497">
        <v>157.90318877659882</v>
      </c>
      <c r="Y59" s="3498">
        <v>3.6873114230061521</v>
      </c>
      <c r="Z59" s="3498">
        <v>1.3495559808202515</v>
      </c>
      <c r="AA59" s="3498">
        <v>17.658441263750323</v>
      </c>
      <c r="AB59" s="3498">
        <v>-10.603209928800949</v>
      </c>
      <c r="AC59" s="3615">
        <v>169.9952875153746</v>
      </c>
      <c r="AD59" s="3497">
        <v>0</v>
      </c>
      <c r="AE59" s="3498">
        <v>0</v>
      </c>
      <c r="AF59" s="3630">
        <v>0</v>
      </c>
      <c r="AG59" s="3614">
        <v>169.9952875153746</v>
      </c>
      <c r="AH59" s="4028">
        <v>0</v>
      </c>
      <c r="AI59" s="3638">
        <v>169.9952875153746</v>
      </c>
      <c r="AJ59" s="4029">
        <f t="shared" si="210"/>
        <v>16.999528751537461</v>
      </c>
      <c r="AK59" s="2346"/>
      <c r="AL59" s="3634">
        <v>3143.9300857037551</v>
      </c>
      <c r="AM59" s="3635">
        <v>3382.9905839851676</v>
      </c>
      <c r="AN59" s="3497">
        <v>26.431724630364716</v>
      </c>
      <c r="AO59" s="3608">
        <v>0</v>
      </c>
      <c r="AP59" s="2282"/>
      <c r="AQ59" s="2282"/>
      <c r="AR59" s="2282"/>
      <c r="AS59" s="1291"/>
      <c r="AT59" s="3521" t="s">
        <v>2032</v>
      </c>
      <c r="AU59" s="3649">
        <v>100</v>
      </c>
      <c r="AV59" s="3523">
        <v>292.8018163089302</v>
      </c>
      <c r="AW59" s="3524">
        <v>6.8374267189775146</v>
      </c>
      <c r="AX59" s="3524">
        <v>2.5024981791457703</v>
      </c>
      <c r="AY59" s="3524">
        <v>32.744263844638134</v>
      </c>
      <c r="AZ59" s="3524">
        <v>-19.661661996264296</v>
      </c>
      <c r="BA59" s="3652">
        <v>315.22434305542731</v>
      </c>
      <c r="BB59" s="3523">
        <v>0</v>
      </c>
      <c r="BC59" s="3524">
        <v>0</v>
      </c>
      <c r="BD59" s="3653">
        <v>0</v>
      </c>
      <c r="BE59" s="3695">
        <v>315.22434305542731</v>
      </c>
      <c r="BF59" s="3545">
        <v>0</v>
      </c>
      <c r="BG59" s="3638">
        <v>315.22434305542731</v>
      </c>
      <c r="BH59" s="2362"/>
      <c r="BI59" s="1289"/>
      <c r="BJ59" s="3521" t="s">
        <v>2032</v>
      </c>
      <c r="BK59" s="3522">
        <v>100</v>
      </c>
      <c r="BL59" s="3523">
        <v>157.90318877659882</v>
      </c>
      <c r="BM59" s="3524">
        <v>3.6873114230061521</v>
      </c>
      <c r="BN59" s="3524">
        <v>1.3495559808202515</v>
      </c>
      <c r="BO59" s="3524">
        <v>17.658441263750323</v>
      </c>
      <c r="BP59" s="3524">
        <v>-10.603209928800949</v>
      </c>
      <c r="BQ59" s="3665">
        <v>169.9952875153746</v>
      </c>
      <c r="BR59" s="3523">
        <v>0</v>
      </c>
      <c r="BS59" s="3524">
        <v>0</v>
      </c>
      <c r="BT59" s="3652">
        <v>0</v>
      </c>
      <c r="BU59" s="3654">
        <v>169.9952875153746</v>
      </c>
      <c r="BV59" s="3642">
        <v>0</v>
      </c>
      <c r="BW59" s="3638">
        <v>169.9952875153746</v>
      </c>
      <c r="BX59" s="3638">
        <f t="shared" si="211"/>
        <v>16.999528751537461</v>
      </c>
      <c r="BY59" s="1291"/>
      <c r="BZ59" s="3670">
        <v>3143.9300857037551</v>
      </c>
      <c r="CA59" s="3671">
        <v>3382.9905839851676</v>
      </c>
      <c r="CB59" s="3523">
        <v>26.431724630364716</v>
      </c>
      <c r="CC59" s="3526">
        <v>0</v>
      </c>
      <c r="CD59" s="2362"/>
      <c r="CE59" s="2362"/>
      <c r="CF59" s="2362"/>
      <c r="CG59" s="2346"/>
      <c r="CH59" s="2410" t="str">
        <f t="shared" si="143"/>
        <v>Solar Photovoltaic (Thin-Film) 100 MW</v>
      </c>
      <c r="CI59" s="2411">
        <f t="shared" si="144"/>
        <v>100</v>
      </c>
      <c r="CJ59" s="2412">
        <f t="shared" si="145"/>
        <v>0</v>
      </c>
      <c r="CK59" s="3674">
        <f t="shared" si="146"/>
        <v>0</v>
      </c>
      <c r="CL59" s="3674">
        <f t="shared" si="147"/>
        <v>0</v>
      </c>
      <c r="CM59" s="3674">
        <f t="shared" si="148"/>
        <v>0</v>
      </c>
      <c r="CN59" s="3674">
        <f t="shared" si="149"/>
        <v>0</v>
      </c>
      <c r="CO59" s="3675">
        <f t="shared" si="150"/>
        <v>0</v>
      </c>
      <c r="CP59" s="3676">
        <f t="shared" si="151"/>
        <v>0</v>
      </c>
      <c r="CQ59" s="3674">
        <f t="shared" si="152"/>
        <v>0</v>
      </c>
      <c r="CR59" s="3675">
        <f t="shared" si="153"/>
        <v>0</v>
      </c>
      <c r="CS59" s="3677">
        <f t="shared" si="154"/>
        <v>0</v>
      </c>
      <c r="CT59" s="3545">
        <f t="shared" si="154"/>
        <v>0</v>
      </c>
      <c r="CU59" s="3638">
        <f t="shared" si="154"/>
        <v>0</v>
      </c>
      <c r="CV59" s="2362"/>
      <c r="CW59" s="2340"/>
      <c r="CX59" s="2410" t="str">
        <f t="shared" si="155"/>
        <v>Solar Photovoltaic (Thin-Film) 100 MW</v>
      </c>
      <c r="CY59" s="2411">
        <f t="shared" si="156"/>
        <v>100</v>
      </c>
      <c r="CZ59" s="2412">
        <f t="shared" si="157"/>
        <v>0</v>
      </c>
      <c r="DA59" s="3674">
        <f t="shared" si="158"/>
        <v>0</v>
      </c>
      <c r="DB59" s="3674">
        <f t="shared" si="159"/>
        <v>0</v>
      </c>
      <c r="DC59" s="3674">
        <f t="shared" si="160"/>
        <v>0</v>
      </c>
      <c r="DD59" s="3674">
        <f t="shared" si="161"/>
        <v>0</v>
      </c>
      <c r="DE59" s="3675">
        <f t="shared" si="162"/>
        <v>0</v>
      </c>
      <c r="DF59" s="3676">
        <f t="shared" si="163"/>
        <v>0</v>
      </c>
      <c r="DG59" s="3674">
        <f t="shared" si="164"/>
        <v>0</v>
      </c>
      <c r="DH59" s="3675">
        <f t="shared" si="165"/>
        <v>0</v>
      </c>
      <c r="DI59" s="3677">
        <f t="shared" si="166"/>
        <v>0</v>
      </c>
      <c r="DJ59" s="3545">
        <f t="shared" si="166"/>
        <v>0</v>
      </c>
      <c r="DK59" s="3638">
        <f t="shared" si="166"/>
        <v>0</v>
      </c>
      <c r="DL59" s="3638">
        <f t="shared" si="166"/>
        <v>0</v>
      </c>
      <c r="DM59" s="2341"/>
      <c r="DN59" s="3687">
        <f t="shared" si="167"/>
        <v>0</v>
      </c>
      <c r="DO59" s="3688">
        <f t="shared" si="168"/>
        <v>0</v>
      </c>
      <c r="DP59" s="3687">
        <f t="shared" si="169"/>
        <v>0</v>
      </c>
      <c r="DQ59" s="3689">
        <f t="shared" si="170"/>
        <v>0</v>
      </c>
      <c r="DS59" s="2329"/>
      <c r="DT59" s="2288" t="str">
        <f t="shared" si="171"/>
        <v>Solar Photovoltaic (Thin-Film) 100 MW</v>
      </c>
      <c r="DU59" s="2289">
        <f t="shared" si="172"/>
        <v>100</v>
      </c>
      <c r="DV59" s="2373">
        <f t="shared" si="173"/>
        <v>0</v>
      </c>
      <c r="DW59" s="2373">
        <f t="shared" si="174"/>
        <v>0</v>
      </c>
      <c r="DX59" s="2788">
        <f t="shared" si="212"/>
        <v>0</v>
      </c>
      <c r="DY59" s="3693">
        <f t="shared" si="175"/>
        <v>0</v>
      </c>
      <c r="DZ59" s="3693">
        <f t="shared" si="176"/>
        <v>0</v>
      </c>
      <c r="EA59" s="3369">
        <f t="shared" si="177"/>
        <v>0</v>
      </c>
      <c r="EB59" s="2374" t="str">
        <f t="shared" si="213"/>
        <v>0.00%</v>
      </c>
      <c r="EC59" s="3950" t="str">
        <f t="shared" si="214"/>
        <v>0.00%</v>
      </c>
      <c r="ED59" s="3369" t="str">
        <f t="shared" si="215"/>
        <v>0.00%</v>
      </c>
      <c r="EE59" s="2374">
        <f t="shared" si="178"/>
        <v>0</v>
      </c>
      <c r="EF59" s="3641" t="e">
        <f t="shared" si="178"/>
        <v>#DIV/0!</v>
      </c>
      <c r="EG59" s="3641">
        <f t="shared" si="178"/>
        <v>0</v>
      </c>
      <c r="EH59" s="2329"/>
      <c r="EJ59" s="2288" t="str">
        <f t="shared" si="179"/>
        <v>Solar Photovoltaic (Thin-Film) 100 MW</v>
      </c>
      <c r="EK59" s="2289">
        <f t="shared" si="180"/>
        <v>100</v>
      </c>
      <c r="EL59" s="2788">
        <f t="shared" si="181"/>
        <v>0</v>
      </c>
      <c r="EM59" s="3693">
        <f t="shared" si="182"/>
        <v>0</v>
      </c>
      <c r="EN59" s="3370">
        <f t="shared" si="224"/>
        <v>0</v>
      </c>
      <c r="EO59" s="3693">
        <f t="shared" si="184"/>
        <v>0</v>
      </c>
      <c r="EP59" s="3693">
        <f t="shared" si="185"/>
        <v>0</v>
      </c>
      <c r="EQ59" s="3369">
        <f t="shared" si="186"/>
        <v>0</v>
      </c>
      <c r="ER59" s="2788" t="str">
        <f t="shared" si="187"/>
        <v>0.00%</v>
      </c>
      <c r="ES59" s="3693" t="str">
        <f t="shared" si="188"/>
        <v>0.00%</v>
      </c>
      <c r="ET59" s="3369" t="str">
        <f t="shared" si="189"/>
        <v>0.00%</v>
      </c>
      <c r="EU59" s="2374">
        <f t="shared" si="190"/>
        <v>0</v>
      </c>
      <c r="EV59" s="3641" t="e">
        <f t="shared" si="190"/>
        <v>#DIV/0!</v>
      </c>
      <c r="EW59" s="3641">
        <f t="shared" si="190"/>
        <v>0</v>
      </c>
      <c r="EY59" s="2288" t="str">
        <f t="shared" si="216"/>
        <v>Solar Photovoltaic (Thin-Film) 100 MW</v>
      </c>
      <c r="EZ59" s="2288">
        <f t="shared" si="217"/>
        <v>100</v>
      </c>
      <c r="FA59" s="2373">
        <f t="shared" si="218"/>
        <v>0</v>
      </c>
      <c r="FB59" s="2373">
        <f t="shared" si="191"/>
        <v>0</v>
      </c>
      <c r="FC59" s="2788">
        <f t="shared" si="192"/>
        <v>0</v>
      </c>
      <c r="FD59" s="3693">
        <f t="shared" si="193"/>
        <v>0</v>
      </c>
      <c r="FE59" s="3693">
        <f t="shared" si="194"/>
        <v>0</v>
      </c>
      <c r="FF59" s="3369">
        <f t="shared" si="195"/>
        <v>0</v>
      </c>
      <c r="FG59" s="2374" t="e">
        <f t="shared" si="196"/>
        <v>#DIV/0!</v>
      </c>
      <c r="FH59" s="3950" t="e">
        <f t="shared" si="197"/>
        <v>#DIV/0!</v>
      </c>
      <c r="FI59" s="3369" t="e">
        <f t="shared" si="198"/>
        <v>#DIV/0!</v>
      </c>
      <c r="FJ59" s="2374">
        <f t="shared" si="199"/>
        <v>0</v>
      </c>
      <c r="FK59" s="3641" t="e">
        <f t="shared" si="219"/>
        <v>#DIV/0!</v>
      </c>
      <c r="FL59" s="3641">
        <f t="shared" si="200"/>
        <v>0</v>
      </c>
      <c r="FO59" s="2288" t="str">
        <f t="shared" si="220"/>
        <v>Solar Photovoltaic (Thin-Film) 100 MW</v>
      </c>
      <c r="FP59" s="2288">
        <f t="shared" si="220"/>
        <v>100</v>
      </c>
      <c r="FQ59" s="2788">
        <f t="shared" si="221"/>
        <v>0</v>
      </c>
      <c r="FR59" s="3693">
        <f t="shared" si="201"/>
        <v>0</v>
      </c>
      <c r="FS59" s="3370">
        <f t="shared" si="202"/>
        <v>0</v>
      </c>
      <c r="FT59" s="3693">
        <f t="shared" si="203"/>
        <v>0</v>
      </c>
      <c r="FU59" s="3693">
        <f t="shared" si="204"/>
        <v>0</v>
      </c>
      <c r="FV59" s="3369">
        <f t="shared" si="205"/>
        <v>0</v>
      </c>
      <c r="FW59" s="2788" t="e">
        <f t="shared" si="206"/>
        <v>#DIV/0!</v>
      </c>
      <c r="FX59" s="3693" t="e">
        <f t="shared" si="207"/>
        <v>#DIV/0!</v>
      </c>
      <c r="FY59" s="3369" t="e">
        <f t="shared" si="208"/>
        <v>#DIV/0!</v>
      </c>
      <c r="FZ59" s="2374">
        <f t="shared" si="209"/>
        <v>0</v>
      </c>
      <c r="GA59" s="3641" t="e">
        <f t="shared" si="222"/>
        <v>#DIV/0!</v>
      </c>
      <c r="GB59" s="3641">
        <f t="shared" si="223"/>
        <v>0</v>
      </c>
    </row>
    <row r="60" spans="1:184">
      <c r="A60" s="1802"/>
      <c r="B60" s="1802"/>
      <c r="C60" s="1802"/>
      <c r="D60" s="1291"/>
      <c r="E60" s="1802"/>
      <c r="F60" s="3501" t="s">
        <v>1794</v>
      </c>
      <c r="G60" s="3502">
        <v>100</v>
      </c>
      <c r="H60" s="3497">
        <v>340.81862726184278</v>
      </c>
      <c r="I60" s="3498">
        <v>7.9587019566390893</v>
      </c>
      <c r="J60" s="3498">
        <v>2.9128849161299071</v>
      </c>
      <c r="K60" s="3498">
        <v>36.673575505994705</v>
      </c>
      <c r="L60" s="3498">
        <v>-22.883206786151391</v>
      </c>
      <c r="M60" s="3615">
        <v>365.48058285445506</v>
      </c>
      <c r="N60" s="3497">
        <v>0</v>
      </c>
      <c r="O60" s="3498">
        <v>0</v>
      </c>
      <c r="P60" s="3615">
        <v>0</v>
      </c>
      <c r="Q60" s="3616">
        <v>365.48058285445506</v>
      </c>
      <c r="R60" s="3545">
        <v>0</v>
      </c>
      <c r="S60" s="3638">
        <v>365.48058285445506</v>
      </c>
      <c r="T60" s="2362"/>
      <c r="U60" s="1289"/>
      <c r="V60" s="3501" t="s">
        <v>1794</v>
      </c>
      <c r="W60" s="3502">
        <v>100</v>
      </c>
      <c r="X60" s="3497">
        <v>154.07183643774007</v>
      </c>
      <c r="Y60" s="3498">
        <v>3.597842746951593</v>
      </c>
      <c r="Z60" s="3498">
        <v>1.3168104453842833</v>
      </c>
      <c r="AA60" s="3498">
        <v>16.578803724262659</v>
      </c>
      <c r="AB60" s="3498">
        <v>-10.344674296273784</v>
      </c>
      <c r="AC60" s="3615">
        <v>165.22061905806481</v>
      </c>
      <c r="AD60" s="3497">
        <v>0</v>
      </c>
      <c r="AE60" s="3498">
        <v>0</v>
      </c>
      <c r="AF60" s="3630">
        <v>0</v>
      </c>
      <c r="AG60" s="3614">
        <v>165.22061905806481</v>
      </c>
      <c r="AH60" s="4028">
        <v>0</v>
      </c>
      <c r="AI60" s="3638">
        <v>165.22061905806481</v>
      </c>
      <c r="AJ60" s="4029">
        <f t="shared" si="210"/>
        <v>16.522061905806481</v>
      </c>
      <c r="AK60" s="2346"/>
      <c r="AL60" s="3634">
        <v>3659.5057692068049</v>
      </c>
      <c r="AM60" s="3635">
        <v>3937.7699954465734</v>
      </c>
      <c r="AN60" s="3497">
        <v>29.603531586008483</v>
      </c>
      <c r="AO60" s="3608">
        <v>0</v>
      </c>
      <c r="AP60" s="2282"/>
      <c r="AQ60" s="2282"/>
      <c r="AR60" s="2282"/>
      <c r="AS60" s="1291"/>
      <c r="AT60" s="3521" t="s">
        <v>1794</v>
      </c>
      <c r="AU60" s="3649">
        <v>100</v>
      </c>
      <c r="AV60" s="3523">
        <v>340.81862726184278</v>
      </c>
      <c r="AW60" s="3524">
        <v>7.9587019566390893</v>
      </c>
      <c r="AX60" s="3524">
        <v>2.9128849161299071</v>
      </c>
      <c r="AY60" s="3524">
        <v>36.673575505994705</v>
      </c>
      <c r="AZ60" s="3524">
        <v>-22.883206786151391</v>
      </c>
      <c r="BA60" s="3652">
        <v>365.48058285445506</v>
      </c>
      <c r="BB60" s="3523">
        <v>0</v>
      </c>
      <c r="BC60" s="3524">
        <v>0</v>
      </c>
      <c r="BD60" s="3653">
        <v>0</v>
      </c>
      <c r="BE60" s="3695">
        <v>365.48058285445506</v>
      </c>
      <c r="BF60" s="3545">
        <v>0</v>
      </c>
      <c r="BG60" s="3638">
        <v>365.48058285445506</v>
      </c>
      <c r="BH60" s="2362"/>
      <c r="BI60" s="1289"/>
      <c r="BJ60" s="3521" t="s">
        <v>1794</v>
      </c>
      <c r="BK60" s="3522">
        <v>100</v>
      </c>
      <c r="BL60" s="3523">
        <v>154.07183643774007</v>
      </c>
      <c r="BM60" s="3524">
        <v>3.597842746951593</v>
      </c>
      <c r="BN60" s="3524">
        <v>1.3168104453842833</v>
      </c>
      <c r="BO60" s="3524">
        <v>16.578803724262659</v>
      </c>
      <c r="BP60" s="3524">
        <v>-10.344674296273784</v>
      </c>
      <c r="BQ60" s="3665">
        <v>165.22061905806481</v>
      </c>
      <c r="BR60" s="3523">
        <v>0</v>
      </c>
      <c r="BS60" s="3524">
        <v>0</v>
      </c>
      <c r="BT60" s="3652">
        <v>0</v>
      </c>
      <c r="BU60" s="3654">
        <v>165.22061905806481</v>
      </c>
      <c r="BV60" s="3642">
        <v>0</v>
      </c>
      <c r="BW60" s="3638">
        <v>165.22061905806481</v>
      </c>
      <c r="BX60" s="3638">
        <f t="shared" si="211"/>
        <v>16.522061905806481</v>
      </c>
      <c r="BY60" s="1291"/>
      <c r="BZ60" s="3670">
        <v>3659.5057692068049</v>
      </c>
      <c r="CA60" s="3671">
        <v>3937.7699954465734</v>
      </c>
      <c r="CB60" s="3523">
        <v>29.603531586008483</v>
      </c>
      <c r="CC60" s="3526">
        <v>0</v>
      </c>
      <c r="CD60" s="2362"/>
      <c r="CE60" s="2362"/>
      <c r="CF60" s="2362"/>
      <c r="CG60" s="2346"/>
      <c r="CH60" s="2410" t="str">
        <f t="shared" si="143"/>
        <v>Solar Photovoltaic (Single Axis) 100 MW</v>
      </c>
      <c r="CI60" s="2411">
        <f t="shared" si="144"/>
        <v>100</v>
      </c>
      <c r="CJ60" s="2412">
        <f t="shared" si="145"/>
        <v>0</v>
      </c>
      <c r="CK60" s="3674">
        <f t="shared" si="146"/>
        <v>0</v>
      </c>
      <c r="CL60" s="3674">
        <f t="shared" si="147"/>
        <v>0</v>
      </c>
      <c r="CM60" s="3674">
        <f t="shared" si="148"/>
        <v>0</v>
      </c>
      <c r="CN60" s="3674">
        <f t="shared" si="149"/>
        <v>0</v>
      </c>
      <c r="CO60" s="3675">
        <f t="shared" si="150"/>
        <v>0</v>
      </c>
      <c r="CP60" s="3676">
        <f t="shared" si="151"/>
        <v>0</v>
      </c>
      <c r="CQ60" s="3674">
        <f t="shared" si="152"/>
        <v>0</v>
      </c>
      <c r="CR60" s="3675">
        <f t="shared" si="153"/>
        <v>0</v>
      </c>
      <c r="CS60" s="3677">
        <f t="shared" si="154"/>
        <v>0</v>
      </c>
      <c r="CT60" s="3545">
        <f t="shared" si="154"/>
        <v>0</v>
      </c>
      <c r="CU60" s="3638">
        <f t="shared" si="154"/>
        <v>0</v>
      </c>
      <c r="CV60" s="2362"/>
      <c r="CW60" s="2340"/>
      <c r="CX60" s="2410" t="str">
        <f t="shared" si="155"/>
        <v>Solar Photovoltaic (Single Axis) 100 MW</v>
      </c>
      <c r="CY60" s="2411">
        <f t="shared" si="156"/>
        <v>100</v>
      </c>
      <c r="CZ60" s="2412">
        <f t="shared" si="157"/>
        <v>0</v>
      </c>
      <c r="DA60" s="3674">
        <f t="shared" si="158"/>
        <v>0</v>
      </c>
      <c r="DB60" s="3674">
        <f t="shared" si="159"/>
        <v>0</v>
      </c>
      <c r="DC60" s="3674">
        <f t="shared" si="160"/>
        <v>0</v>
      </c>
      <c r="DD60" s="3674">
        <f t="shared" si="161"/>
        <v>0</v>
      </c>
      <c r="DE60" s="3675">
        <f t="shared" si="162"/>
        <v>0</v>
      </c>
      <c r="DF60" s="3676">
        <f t="shared" si="163"/>
        <v>0</v>
      </c>
      <c r="DG60" s="3674">
        <f t="shared" si="164"/>
        <v>0</v>
      </c>
      <c r="DH60" s="3675">
        <f t="shared" si="165"/>
        <v>0</v>
      </c>
      <c r="DI60" s="3677">
        <f t="shared" si="166"/>
        <v>0</v>
      </c>
      <c r="DJ60" s="3545">
        <f t="shared" si="166"/>
        <v>0</v>
      </c>
      <c r="DK60" s="3638">
        <f t="shared" si="166"/>
        <v>0</v>
      </c>
      <c r="DL60" s="3638">
        <f t="shared" si="166"/>
        <v>0</v>
      </c>
      <c r="DM60" s="2341"/>
      <c r="DN60" s="3687">
        <f t="shared" si="167"/>
        <v>0</v>
      </c>
      <c r="DO60" s="3688">
        <f t="shared" si="168"/>
        <v>0</v>
      </c>
      <c r="DP60" s="3687">
        <f t="shared" si="169"/>
        <v>0</v>
      </c>
      <c r="DQ60" s="3689">
        <f t="shared" si="170"/>
        <v>0</v>
      </c>
      <c r="DS60" s="2329"/>
      <c r="DT60" s="2288" t="str">
        <f t="shared" si="171"/>
        <v>Solar Photovoltaic (Single Axis) 100 MW</v>
      </c>
      <c r="DU60" s="2289">
        <f t="shared" si="172"/>
        <v>100</v>
      </c>
      <c r="DV60" s="2373">
        <f t="shared" si="173"/>
        <v>0</v>
      </c>
      <c r="DW60" s="2373">
        <f t="shared" si="174"/>
        <v>0</v>
      </c>
      <c r="DX60" s="2788">
        <f t="shared" si="212"/>
        <v>0</v>
      </c>
      <c r="DY60" s="3693">
        <f t="shared" si="175"/>
        <v>0</v>
      </c>
      <c r="DZ60" s="3693">
        <f t="shared" si="176"/>
        <v>0</v>
      </c>
      <c r="EA60" s="3369">
        <f t="shared" si="177"/>
        <v>0</v>
      </c>
      <c r="EB60" s="2374" t="str">
        <f t="shared" si="213"/>
        <v>0.00%</v>
      </c>
      <c r="EC60" s="3950" t="str">
        <f t="shared" si="214"/>
        <v>0.00%</v>
      </c>
      <c r="ED60" s="3369" t="str">
        <f t="shared" si="215"/>
        <v>0.00%</v>
      </c>
      <c r="EE60" s="2374">
        <f t="shared" si="178"/>
        <v>0</v>
      </c>
      <c r="EF60" s="3641" t="e">
        <f t="shared" si="178"/>
        <v>#DIV/0!</v>
      </c>
      <c r="EG60" s="3641">
        <f t="shared" si="178"/>
        <v>0</v>
      </c>
      <c r="EH60" s="2329"/>
      <c r="EJ60" s="2288" t="str">
        <f t="shared" si="179"/>
        <v>Solar Photovoltaic (Single Axis) 100 MW</v>
      </c>
      <c r="EK60" s="2289">
        <f t="shared" si="180"/>
        <v>100</v>
      </c>
      <c r="EL60" s="2788">
        <f t="shared" si="181"/>
        <v>0</v>
      </c>
      <c r="EM60" s="3693">
        <f t="shared" si="182"/>
        <v>0</v>
      </c>
      <c r="EN60" s="3370">
        <f t="shared" si="224"/>
        <v>0</v>
      </c>
      <c r="EO60" s="3693">
        <f t="shared" si="184"/>
        <v>0</v>
      </c>
      <c r="EP60" s="3693">
        <f t="shared" si="185"/>
        <v>0</v>
      </c>
      <c r="EQ60" s="3369">
        <f t="shared" si="186"/>
        <v>0</v>
      </c>
      <c r="ER60" s="2788" t="str">
        <f t="shared" si="187"/>
        <v>0.00%</v>
      </c>
      <c r="ES60" s="3693" t="str">
        <f t="shared" si="188"/>
        <v>0.00%</v>
      </c>
      <c r="ET60" s="3369" t="str">
        <f t="shared" si="189"/>
        <v>0.00%</v>
      </c>
      <c r="EU60" s="2374">
        <f t="shared" si="190"/>
        <v>0</v>
      </c>
      <c r="EV60" s="3641" t="e">
        <f t="shared" si="190"/>
        <v>#DIV/0!</v>
      </c>
      <c r="EW60" s="3641">
        <f t="shared" si="190"/>
        <v>0</v>
      </c>
      <c r="EY60" s="2288" t="str">
        <f t="shared" si="216"/>
        <v>Solar Photovoltaic (Single Axis) 100 MW</v>
      </c>
      <c r="EZ60" s="2288">
        <f t="shared" si="217"/>
        <v>100</v>
      </c>
      <c r="FA60" s="2373">
        <f t="shared" si="218"/>
        <v>0</v>
      </c>
      <c r="FB60" s="2373">
        <f t="shared" si="191"/>
        <v>0</v>
      </c>
      <c r="FC60" s="2788">
        <f t="shared" si="192"/>
        <v>0</v>
      </c>
      <c r="FD60" s="3693">
        <f t="shared" si="193"/>
        <v>0</v>
      </c>
      <c r="FE60" s="3693">
        <f t="shared" si="194"/>
        <v>0</v>
      </c>
      <c r="FF60" s="3369">
        <f t="shared" si="195"/>
        <v>0</v>
      </c>
      <c r="FG60" s="2374" t="e">
        <f t="shared" si="196"/>
        <v>#DIV/0!</v>
      </c>
      <c r="FH60" s="3950" t="e">
        <f t="shared" si="197"/>
        <v>#DIV/0!</v>
      </c>
      <c r="FI60" s="3369" t="e">
        <f t="shared" si="198"/>
        <v>#DIV/0!</v>
      </c>
      <c r="FJ60" s="2374">
        <f t="shared" si="199"/>
        <v>0</v>
      </c>
      <c r="FK60" s="3641" t="e">
        <f t="shared" si="219"/>
        <v>#DIV/0!</v>
      </c>
      <c r="FL60" s="3641">
        <f t="shared" si="200"/>
        <v>0</v>
      </c>
      <c r="FO60" s="2288" t="str">
        <f t="shared" si="220"/>
        <v>Solar Photovoltaic (Single Axis) 100 MW</v>
      </c>
      <c r="FP60" s="2288">
        <f t="shared" si="220"/>
        <v>100</v>
      </c>
      <c r="FQ60" s="2788">
        <f t="shared" si="221"/>
        <v>0</v>
      </c>
      <c r="FR60" s="3693">
        <f t="shared" si="201"/>
        <v>0</v>
      </c>
      <c r="FS60" s="3370">
        <f t="shared" si="202"/>
        <v>0</v>
      </c>
      <c r="FT60" s="3693">
        <f t="shared" si="203"/>
        <v>0</v>
      </c>
      <c r="FU60" s="3693">
        <f t="shared" si="204"/>
        <v>0</v>
      </c>
      <c r="FV60" s="3369">
        <f t="shared" si="205"/>
        <v>0</v>
      </c>
      <c r="FW60" s="2788" t="e">
        <f t="shared" si="206"/>
        <v>#DIV/0!</v>
      </c>
      <c r="FX60" s="3693" t="e">
        <f t="shared" si="207"/>
        <v>#DIV/0!</v>
      </c>
      <c r="FY60" s="3369" t="e">
        <f t="shared" si="208"/>
        <v>#DIV/0!</v>
      </c>
      <c r="FZ60" s="2374">
        <f t="shared" si="209"/>
        <v>0</v>
      </c>
      <c r="GA60" s="3641" t="e">
        <f t="shared" si="222"/>
        <v>#DIV/0!</v>
      </c>
      <c r="GB60" s="3641">
        <f t="shared" si="223"/>
        <v>0</v>
      </c>
    </row>
    <row r="61" spans="1:184" s="89" customFormat="1">
      <c r="A61" s="1821"/>
      <c r="B61" s="1821"/>
      <c r="C61" s="1821"/>
      <c r="D61" s="2341"/>
      <c r="E61" s="1821"/>
      <c r="F61" s="3501" t="s">
        <v>2031</v>
      </c>
      <c r="G61" s="3502">
        <v>20</v>
      </c>
      <c r="H61" s="3497">
        <v>323.09691564710351</v>
      </c>
      <c r="I61" s="3498">
        <v>7.5448694673870929</v>
      </c>
      <c r="J61" s="3498">
        <v>2.7614222250636744</v>
      </c>
      <c r="K61" s="3498">
        <v>32.744263844638134</v>
      </c>
      <c r="L61" s="3498">
        <v>-21.689424152928098</v>
      </c>
      <c r="M61" s="3615">
        <v>344.4580470312643</v>
      </c>
      <c r="N61" s="3497">
        <v>0</v>
      </c>
      <c r="O61" s="3498">
        <v>0</v>
      </c>
      <c r="P61" s="3615">
        <v>0</v>
      </c>
      <c r="Q61" s="3616">
        <v>344.4580470312643</v>
      </c>
      <c r="R61" s="3545">
        <v>0</v>
      </c>
      <c r="S61" s="3638">
        <v>344.4580470312643</v>
      </c>
      <c r="T61" s="2362"/>
      <c r="U61" s="2340"/>
      <c r="V61" s="3501" t="s">
        <v>2031</v>
      </c>
      <c r="W61" s="3502">
        <v>20</v>
      </c>
      <c r="X61" s="3497">
        <v>174.94415938648098</v>
      </c>
      <c r="Y61" s="3498">
        <v>4.0852474373182526</v>
      </c>
      <c r="Z61" s="3498">
        <v>1.4952005620584796</v>
      </c>
      <c r="AA61" s="3498">
        <v>17.72971958446708</v>
      </c>
      <c r="AB61" s="3498">
        <v>-11.743962545762109</v>
      </c>
      <c r="AC61" s="3615">
        <v>186.51036442456268</v>
      </c>
      <c r="AD61" s="3497">
        <v>0</v>
      </c>
      <c r="AE61" s="3498">
        <v>0</v>
      </c>
      <c r="AF61" s="3630">
        <v>0</v>
      </c>
      <c r="AG61" s="3614">
        <v>186.51036442456268</v>
      </c>
      <c r="AH61" s="3642">
        <v>0</v>
      </c>
      <c r="AI61" s="3638">
        <v>186.51036442456268</v>
      </c>
      <c r="AJ61" s="4029">
        <f t="shared" si="210"/>
        <v>18.651036442456267</v>
      </c>
      <c r="AK61" s="2341"/>
      <c r="AL61" s="3634">
        <v>3469.2206711903382</v>
      </c>
      <c r="AM61" s="3635">
        <v>3733.0158573728249</v>
      </c>
      <c r="AN61" s="3497">
        <v>26.431724630364716</v>
      </c>
      <c r="AO61" s="3608">
        <v>0</v>
      </c>
      <c r="AP61" s="2362"/>
      <c r="AQ61" s="2362"/>
      <c r="AR61" s="2362"/>
      <c r="AS61" s="2341"/>
      <c r="AT61" s="3521" t="s">
        <v>2031</v>
      </c>
      <c r="AU61" s="3649">
        <v>20</v>
      </c>
      <c r="AV61" s="3523">
        <v>323.09691564710351</v>
      </c>
      <c r="AW61" s="3524">
        <v>7.5448694673870929</v>
      </c>
      <c r="AX61" s="3524">
        <v>2.7614222250636744</v>
      </c>
      <c r="AY61" s="3524">
        <v>32.744263844638134</v>
      </c>
      <c r="AZ61" s="3524">
        <v>-21.689424152928098</v>
      </c>
      <c r="BA61" s="3652">
        <v>344.4580470312643</v>
      </c>
      <c r="BB61" s="3523">
        <v>0</v>
      </c>
      <c r="BC61" s="3524">
        <v>0</v>
      </c>
      <c r="BD61" s="3653">
        <v>0</v>
      </c>
      <c r="BE61" s="3695">
        <v>344.4580470312643</v>
      </c>
      <c r="BF61" s="3545">
        <v>0</v>
      </c>
      <c r="BG61" s="3638">
        <v>344.4580470312643</v>
      </c>
      <c r="BH61" s="2362"/>
      <c r="BI61" s="2340"/>
      <c r="BJ61" s="3521" t="s">
        <v>2031</v>
      </c>
      <c r="BK61" s="3522">
        <v>20</v>
      </c>
      <c r="BL61" s="3523">
        <v>174.94415938648098</v>
      </c>
      <c r="BM61" s="3524">
        <v>4.0852474373182526</v>
      </c>
      <c r="BN61" s="3524">
        <v>1.4952005620584796</v>
      </c>
      <c r="BO61" s="3524">
        <v>17.72971958446708</v>
      </c>
      <c r="BP61" s="3524">
        <v>-11.743962545762109</v>
      </c>
      <c r="BQ61" s="3665">
        <v>186.51036442456268</v>
      </c>
      <c r="BR61" s="3523">
        <v>0</v>
      </c>
      <c r="BS61" s="3524">
        <v>0</v>
      </c>
      <c r="BT61" s="3652">
        <v>0</v>
      </c>
      <c r="BU61" s="3654">
        <v>186.51036442456268</v>
      </c>
      <c r="BV61" s="3545">
        <v>0</v>
      </c>
      <c r="BW61" s="3638">
        <v>186.51036442456268</v>
      </c>
      <c r="BX61" s="3638">
        <f t="shared" si="211"/>
        <v>18.651036442456267</v>
      </c>
      <c r="BY61" s="2341"/>
      <c r="BZ61" s="3670">
        <v>3469.2206711903382</v>
      </c>
      <c r="CA61" s="3671">
        <v>3733.0158573728249</v>
      </c>
      <c r="CB61" s="3523">
        <v>26.431724630364716</v>
      </c>
      <c r="CC61" s="3526">
        <v>0</v>
      </c>
      <c r="CD61" s="2362"/>
      <c r="CE61" s="2362"/>
      <c r="CF61" s="2362"/>
      <c r="CG61" s="2341"/>
      <c r="CH61" s="2410" t="str">
        <f t="shared" si="143"/>
        <v>Solar Photovoltaic (Thin-Film) 20 MW</v>
      </c>
      <c r="CI61" s="2411">
        <f t="shared" si="144"/>
        <v>20</v>
      </c>
      <c r="CJ61" s="2412">
        <f t="shared" si="145"/>
        <v>0</v>
      </c>
      <c r="CK61" s="3674">
        <f t="shared" si="146"/>
        <v>0</v>
      </c>
      <c r="CL61" s="3674">
        <f t="shared" si="147"/>
        <v>0</v>
      </c>
      <c r="CM61" s="3674">
        <f t="shared" si="148"/>
        <v>0</v>
      </c>
      <c r="CN61" s="3674">
        <f t="shared" si="149"/>
        <v>0</v>
      </c>
      <c r="CO61" s="3675">
        <f t="shared" si="150"/>
        <v>0</v>
      </c>
      <c r="CP61" s="3676">
        <f t="shared" si="151"/>
        <v>0</v>
      </c>
      <c r="CQ61" s="3674">
        <f t="shared" si="152"/>
        <v>0</v>
      </c>
      <c r="CR61" s="3675">
        <f t="shared" si="153"/>
        <v>0</v>
      </c>
      <c r="CS61" s="3677">
        <f t="shared" si="154"/>
        <v>0</v>
      </c>
      <c r="CT61" s="3545">
        <f t="shared" si="154"/>
        <v>0</v>
      </c>
      <c r="CU61" s="3638">
        <f t="shared" si="154"/>
        <v>0</v>
      </c>
      <c r="CV61" s="2362"/>
      <c r="CW61" s="2340"/>
      <c r="CX61" s="2410" t="str">
        <f t="shared" si="155"/>
        <v>Solar Photovoltaic (Thin-Film) 20 MW</v>
      </c>
      <c r="CY61" s="2411">
        <f t="shared" si="156"/>
        <v>20</v>
      </c>
      <c r="CZ61" s="2412">
        <f t="shared" si="157"/>
        <v>0</v>
      </c>
      <c r="DA61" s="3674">
        <f t="shared" si="158"/>
        <v>0</v>
      </c>
      <c r="DB61" s="3674">
        <f t="shared" si="159"/>
        <v>0</v>
      </c>
      <c r="DC61" s="3674">
        <f t="shared" si="160"/>
        <v>0</v>
      </c>
      <c r="DD61" s="3674">
        <f t="shared" si="161"/>
        <v>0</v>
      </c>
      <c r="DE61" s="3675">
        <f t="shared" si="162"/>
        <v>0</v>
      </c>
      <c r="DF61" s="3676">
        <f t="shared" si="163"/>
        <v>0</v>
      </c>
      <c r="DG61" s="3674">
        <f t="shared" si="164"/>
        <v>0</v>
      </c>
      <c r="DH61" s="3675">
        <f t="shared" si="165"/>
        <v>0</v>
      </c>
      <c r="DI61" s="3677">
        <f t="shared" si="166"/>
        <v>0</v>
      </c>
      <c r="DJ61" s="3545">
        <f t="shared" si="166"/>
        <v>0</v>
      </c>
      <c r="DK61" s="3638">
        <f t="shared" si="166"/>
        <v>0</v>
      </c>
      <c r="DL61" s="3638">
        <f t="shared" si="166"/>
        <v>0</v>
      </c>
      <c r="DM61" s="2341"/>
      <c r="DN61" s="3687">
        <f t="shared" si="167"/>
        <v>0</v>
      </c>
      <c r="DO61" s="3688">
        <f t="shared" si="168"/>
        <v>0</v>
      </c>
      <c r="DP61" s="3687">
        <f t="shared" si="169"/>
        <v>0</v>
      </c>
      <c r="DQ61" s="3689">
        <f t="shared" si="170"/>
        <v>0</v>
      </c>
      <c r="DT61" s="2288" t="str">
        <f t="shared" si="171"/>
        <v>Solar Photovoltaic (Thin-Film) 20 MW</v>
      </c>
      <c r="DU61" s="2289">
        <f t="shared" si="172"/>
        <v>20</v>
      </c>
      <c r="DV61" s="2373">
        <f t="shared" si="173"/>
        <v>0</v>
      </c>
      <c r="DW61" s="2373">
        <f t="shared" si="174"/>
        <v>0</v>
      </c>
      <c r="DX61" s="2788">
        <f t="shared" si="212"/>
        <v>0</v>
      </c>
      <c r="DY61" s="3693">
        <f t="shared" si="175"/>
        <v>0</v>
      </c>
      <c r="DZ61" s="3693">
        <f t="shared" si="176"/>
        <v>0</v>
      </c>
      <c r="EA61" s="3369">
        <f t="shared" si="177"/>
        <v>0</v>
      </c>
      <c r="EB61" s="2374" t="str">
        <f t="shared" si="213"/>
        <v>0.00%</v>
      </c>
      <c r="EC61" s="3950" t="str">
        <f t="shared" si="214"/>
        <v>0.00%</v>
      </c>
      <c r="ED61" s="3369" t="str">
        <f t="shared" si="215"/>
        <v>0.00%</v>
      </c>
      <c r="EE61" s="2374">
        <f t="shared" si="178"/>
        <v>0</v>
      </c>
      <c r="EF61" s="3641" t="e">
        <f t="shared" si="178"/>
        <v>#DIV/0!</v>
      </c>
      <c r="EG61" s="3641">
        <f t="shared" si="178"/>
        <v>0</v>
      </c>
      <c r="EJ61" s="2288" t="str">
        <f t="shared" si="179"/>
        <v>Solar Photovoltaic (Thin-Film) 20 MW</v>
      </c>
      <c r="EK61" s="2289">
        <f t="shared" si="180"/>
        <v>20</v>
      </c>
      <c r="EL61" s="2788">
        <f t="shared" si="181"/>
        <v>0</v>
      </c>
      <c r="EM61" s="3693">
        <f t="shared" si="182"/>
        <v>0</v>
      </c>
      <c r="EN61" s="3370">
        <f t="shared" si="224"/>
        <v>0</v>
      </c>
      <c r="EO61" s="3693">
        <f t="shared" si="184"/>
        <v>0</v>
      </c>
      <c r="EP61" s="3693">
        <f t="shared" si="185"/>
        <v>0</v>
      </c>
      <c r="EQ61" s="3369">
        <f t="shared" si="186"/>
        <v>0</v>
      </c>
      <c r="ER61" s="2788" t="str">
        <f t="shared" si="187"/>
        <v>0.00%</v>
      </c>
      <c r="ES61" s="3693" t="str">
        <f t="shared" si="188"/>
        <v>0.00%</v>
      </c>
      <c r="ET61" s="3369" t="str">
        <f t="shared" si="189"/>
        <v>0.00%</v>
      </c>
      <c r="EU61" s="2374">
        <f t="shared" si="190"/>
        <v>0</v>
      </c>
      <c r="EV61" s="3641" t="e">
        <f t="shared" si="190"/>
        <v>#DIV/0!</v>
      </c>
      <c r="EW61" s="3641">
        <f t="shared" si="190"/>
        <v>0</v>
      </c>
      <c r="EY61" s="2288" t="str">
        <f t="shared" si="216"/>
        <v>Solar Photovoltaic (Thin-Film) 20 MW</v>
      </c>
      <c r="EZ61" s="2288">
        <f t="shared" si="217"/>
        <v>20</v>
      </c>
      <c r="FA61" s="2373">
        <f t="shared" si="218"/>
        <v>0</v>
      </c>
      <c r="FB61" s="2373">
        <f t="shared" si="191"/>
        <v>0</v>
      </c>
      <c r="FC61" s="2788">
        <f t="shared" si="192"/>
        <v>0</v>
      </c>
      <c r="FD61" s="3693">
        <f t="shared" si="193"/>
        <v>0</v>
      </c>
      <c r="FE61" s="3693">
        <f t="shared" si="194"/>
        <v>0</v>
      </c>
      <c r="FF61" s="3369">
        <f t="shared" si="195"/>
        <v>0</v>
      </c>
      <c r="FG61" s="2374" t="e">
        <f t="shared" si="196"/>
        <v>#DIV/0!</v>
      </c>
      <c r="FH61" s="3950" t="e">
        <f t="shared" si="197"/>
        <v>#DIV/0!</v>
      </c>
      <c r="FI61" s="3369" t="e">
        <f t="shared" si="198"/>
        <v>#DIV/0!</v>
      </c>
      <c r="FJ61" s="2374">
        <f t="shared" si="199"/>
        <v>0</v>
      </c>
      <c r="FK61" s="3641" t="e">
        <f t="shared" si="219"/>
        <v>#DIV/0!</v>
      </c>
      <c r="FL61" s="3641">
        <f t="shared" si="200"/>
        <v>0</v>
      </c>
      <c r="FO61" s="2288" t="str">
        <f t="shared" si="220"/>
        <v>Solar Photovoltaic (Thin-Film) 20 MW</v>
      </c>
      <c r="FP61" s="2288">
        <f t="shared" si="220"/>
        <v>20</v>
      </c>
      <c r="FQ61" s="2788">
        <f t="shared" si="221"/>
        <v>0</v>
      </c>
      <c r="FR61" s="3693">
        <f t="shared" si="201"/>
        <v>0</v>
      </c>
      <c r="FS61" s="3370">
        <f t="shared" si="202"/>
        <v>0</v>
      </c>
      <c r="FT61" s="3693">
        <f t="shared" si="203"/>
        <v>0</v>
      </c>
      <c r="FU61" s="3693">
        <f t="shared" si="204"/>
        <v>0</v>
      </c>
      <c r="FV61" s="3369">
        <f t="shared" si="205"/>
        <v>0</v>
      </c>
      <c r="FW61" s="2788" t="e">
        <f t="shared" si="206"/>
        <v>#DIV/0!</v>
      </c>
      <c r="FX61" s="3693" t="e">
        <f t="shared" si="207"/>
        <v>#DIV/0!</v>
      </c>
      <c r="FY61" s="3369" t="e">
        <f t="shared" si="208"/>
        <v>#DIV/0!</v>
      </c>
      <c r="FZ61" s="2374">
        <f t="shared" si="209"/>
        <v>0</v>
      </c>
      <c r="GA61" s="3641" t="e">
        <f t="shared" si="222"/>
        <v>#DIV/0!</v>
      </c>
      <c r="GB61" s="3641">
        <f t="shared" si="223"/>
        <v>0</v>
      </c>
    </row>
    <row r="62" spans="1:184">
      <c r="A62" s="1802"/>
      <c r="B62" s="1802"/>
      <c r="C62" s="1802"/>
      <c r="D62" s="1291"/>
      <c r="E62" s="1802"/>
      <c r="F62" s="3501" t="s">
        <v>1892</v>
      </c>
      <c r="G62" s="3502">
        <v>20</v>
      </c>
      <c r="H62" s="3618">
        <v>371.11372657076947</v>
      </c>
      <c r="I62" s="3498">
        <v>8.6661447043657027</v>
      </c>
      <c r="J62" s="3498">
        <v>3.1718089617978462</v>
      </c>
      <c r="K62" s="3498">
        <v>36.673575505994705</v>
      </c>
      <c r="L62" s="3498">
        <v>-24.910968940857643</v>
      </c>
      <c r="M62" s="3619">
        <v>394.71428680207009</v>
      </c>
      <c r="N62" s="3618">
        <v>0</v>
      </c>
      <c r="O62" s="3620">
        <v>0</v>
      </c>
      <c r="P62" s="3619">
        <v>0</v>
      </c>
      <c r="Q62" s="3621">
        <v>394.71428680207009</v>
      </c>
      <c r="R62" s="3545">
        <v>0</v>
      </c>
      <c r="S62" s="3638">
        <v>394.71428680207009</v>
      </c>
      <c r="T62" s="2362"/>
      <c r="U62" s="1289"/>
      <c r="V62" s="3501" t="s">
        <v>1892</v>
      </c>
      <c r="W62" s="3502">
        <v>20</v>
      </c>
      <c r="X62" s="3618">
        <v>168.4443529719095</v>
      </c>
      <c r="Y62" s="3498">
        <v>3.9334657625752132</v>
      </c>
      <c r="Z62" s="3498">
        <v>1.4396484691025275</v>
      </c>
      <c r="AA62" s="3498">
        <v>16.645724086672224</v>
      </c>
      <c r="AB62" s="3498">
        <v>-11.306809058020447</v>
      </c>
      <c r="AC62" s="3619">
        <v>179.15638223223905</v>
      </c>
      <c r="AD62" s="3618">
        <v>0</v>
      </c>
      <c r="AE62" s="3620">
        <v>0</v>
      </c>
      <c r="AF62" s="3631">
        <v>0</v>
      </c>
      <c r="AG62" s="3629">
        <v>179.15638223223905</v>
      </c>
      <c r="AH62" s="4028">
        <v>0</v>
      </c>
      <c r="AI62" s="3638">
        <v>179.15638223223905</v>
      </c>
      <c r="AJ62" s="4029">
        <f t="shared" si="210"/>
        <v>17.915638223223905</v>
      </c>
      <c r="AK62" s="2346"/>
      <c r="AL62" s="3634">
        <v>3984.7963543793553</v>
      </c>
      <c r="AM62" s="3635">
        <v>4287.7952684963184</v>
      </c>
      <c r="AN62" s="3497">
        <v>29.603531586008483</v>
      </c>
      <c r="AO62" s="3608">
        <v>0</v>
      </c>
      <c r="AP62" s="2282"/>
      <c r="AQ62" s="2282"/>
      <c r="AR62" s="2282"/>
      <c r="AS62" s="1291"/>
      <c r="AT62" s="3521" t="s">
        <v>1892</v>
      </c>
      <c r="AU62" s="3649">
        <v>20</v>
      </c>
      <c r="AV62" s="3655">
        <v>371.11372657076947</v>
      </c>
      <c r="AW62" s="3524">
        <v>8.6661447043657027</v>
      </c>
      <c r="AX62" s="3524">
        <v>3.1718089617978462</v>
      </c>
      <c r="AY62" s="3524">
        <v>36.673575505994705</v>
      </c>
      <c r="AZ62" s="3524">
        <v>-24.910968940857643</v>
      </c>
      <c r="BA62" s="3656">
        <v>394.71428680207009</v>
      </c>
      <c r="BB62" s="3655">
        <v>0</v>
      </c>
      <c r="BC62" s="3657">
        <v>0</v>
      </c>
      <c r="BD62" s="3658">
        <v>0</v>
      </c>
      <c r="BE62" s="3695">
        <v>394.71428680207009</v>
      </c>
      <c r="BF62" s="3545">
        <v>0</v>
      </c>
      <c r="BG62" s="3638">
        <v>394.71428680207009</v>
      </c>
      <c r="BH62" s="2362"/>
      <c r="BI62" s="1289"/>
      <c r="BJ62" s="3521" t="s">
        <v>1892</v>
      </c>
      <c r="BK62" s="3522">
        <v>20</v>
      </c>
      <c r="BL62" s="3655">
        <v>168.4443529719095</v>
      </c>
      <c r="BM62" s="3524">
        <v>3.9334657625752132</v>
      </c>
      <c r="BN62" s="3524">
        <v>1.4396484691025275</v>
      </c>
      <c r="BO62" s="3524">
        <v>16.645724086672224</v>
      </c>
      <c r="BP62" s="3524">
        <v>-11.306809058020447</v>
      </c>
      <c r="BQ62" s="3666">
        <v>179.15638223223905</v>
      </c>
      <c r="BR62" s="3655">
        <v>0</v>
      </c>
      <c r="BS62" s="3657">
        <v>0</v>
      </c>
      <c r="BT62" s="3656">
        <v>0</v>
      </c>
      <c r="BU62" s="3667">
        <v>179.15638223223905</v>
      </c>
      <c r="BV62" s="3642">
        <v>0</v>
      </c>
      <c r="BW62" s="3638">
        <v>179.15638223223905</v>
      </c>
      <c r="BX62" s="3638">
        <f t="shared" si="211"/>
        <v>17.915638223223905</v>
      </c>
      <c r="BY62" s="1291"/>
      <c r="BZ62" s="3670">
        <v>3984.7963543793553</v>
      </c>
      <c r="CA62" s="3671">
        <v>4287.7952684963184</v>
      </c>
      <c r="CB62" s="3523">
        <v>29.603531586008483</v>
      </c>
      <c r="CC62" s="3526">
        <v>0</v>
      </c>
      <c r="CD62" s="2362"/>
      <c r="CE62" s="2362"/>
      <c r="CF62" s="2362"/>
      <c r="CG62" s="2346"/>
      <c r="CH62" s="2410" t="str">
        <f t="shared" si="143"/>
        <v>Solar Photovoltaic (Single Axis) 20 MW</v>
      </c>
      <c r="CI62" s="2411">
        <f t="shared" si="144"/>
        <v>20</v>
      </c>
      <c r="CJ62" s="2412">
        <f t="shared" si="145"/>
        <v>0</v>
      </c>
      <c r="CK62" s="3674">
        <f t="shared" si="146"/>
        <v>0</v>
      </c>
      <c r="CL62" s="3674">
        <f t="shared" si="147"/>
        <v>0</v>
      </c>
      <c r="CM62" s="3674">
        <f t="shared" si="148"/>
        <v>0</v>
      </c>
      <c r="CN62" s="3674">
        <f t="shared" si="149"/>
        <v>0</v>
      </c>
      <c r="CO62" s="3678">
        <f t="shared" si="150"/>
        <v>0</v>
      </c>
      <c r="CP62" s="3679">
        <f t="shared" si="151"/>
        <v>0</v>
      </c>
      <c r="CQ62" s="3680">
        <f t="shared" si="152"/>
        <v>0</v>
      </c>
      <c r="CR62" s="3678">
        <f t="shared" si="153"/>
        <v>0</v>
      </c>
      <c r="CS62" s="3681">
        <f t="shared" ref="CS62:CU67" si="225">IF($G62=0,"",BE62-Q62)</f>
        <v>0</v>
      </c>
      <c r="CT62" s="3646">
        <f t="shared" si="225"/>
        <v>0</v>
      </c>
      <c r="CU62" s="3638">
        <f t="shared" si="225"/>
        <v>0</v>
      </c>
      <c r="CV62" s="2362"/>
      <c r="CW62" s="2340"/>
      <c r="CX62" s="2410" t="str">
        <f t="shared" si="155"/>
        <v>Solar Photovoltaic (Single Axis) 20 MW</v>
      </c>
      <c r="CY62" s="2411">
        <f t="shared" si="156"/>
        <v>20</v>
      </c>
      <c r="CZ62" s="2412">
        <f t="shared" si="157"/>
        <v>0</v>
      </c>
      <c r="DA62" s="3674">
        <f t="shared" si="158"/>
        <v>0</v>
      </c>
      <c r="DB62" s="3674">
        <f t="shared" si="159"/>
        <v>0</v>
      </c>
      <c r="DC62" s="3674">
        <f t="shared" si="160"/>
        <v>0</v>
      </c>
      <c r="DD62" s="3674">
        <f t="shared" si="161"/>
        <v>0</v>
      </c>
      <c r="DE62" s="3678">
        <f t="shared" si="162"/>
        <v>0</v>
      </c>
      <c r="DF62" s="3679">
        <f t="shared" si="163"/>
        <v>0</v>
      </c>
      <c r="DG62" s="3680">
        <f t="shared" si="164"/>
        <v>0</v>
      </c>
      <c r="DH62" s="3678">
        <f t="shared" si="165"/>
        <v>0</v>
      </c>
      <c r="DI62" s="3681">
        <f t="shared" ref="DI62:DL67" si="226">IF($G62=0,"",BU62-AG62)</f>
        <v>0</v>
      </c>
      <c r="DJ62" s="3646">
        <f t="shared" si="226"/>
        <v>0</v>
      </c>
      <c r="DK62" s="3638">
        <f t="shared" si="226"/>
        <v>0</v>
      </c>
      <c r="DL62" s="3638">
        <f t="shared" si="226"/>
        <v>0</v>
      </c>
      <c r="DM62" s="2341"/>
      <c r="DN62" s="3687">
        <f t="shared" si="167"/>
        <v>0</v>
      </c>
      <c r="DO62" s="3688">
        <f t="shared" si="168"/>
        <v>0</v>
      </c>
      <c r="DP62" s="3687">
        <f t="shared" si="169"/>
        <v>0</v>
      </c>
      <c r="DQ62" s="3689">
        <f t="shared" si="170"/>
        <v>0</v>
      </c>
      <c r="DS62" s="2329"/>
      <c r="DT62" s="2288" t="str">
        <f t="shared" si="171"/>
        <v>Solar Photovoltaic (Single Axis) 20 MW</v>
      </c>
      <c r="DU62" s="2289">
        <f t="shared" si="172"/>
        <v>20</v>
      </c>
      <c r="DV62" s="2373">
        <f t="shared" si="173"/>
        <v>0</v>
      </c>
      <c r="DW62" s="2373">
        <f t="shared" si="174"/>
        <v>0</v>
      </c>
      <c r="DX62" s="2788">
        <f t="shared" si="212"/>
        <v>0</v>
      </c>
      <c r="DY62" s="3693">
        <f t="shared" si="175"/>
        <v>0</v>
      </c>
      <c r="DZ62" s="3693">
        <f t="shared" si="176"/>
        <v>0</v>
      </c>
      <c r="EA62" s="3369">
        <f t="shared" si="177"/>
        <v>0</v>
      </c>
      <c r="EB62" s="2374" t="str">
        <f t="shared" si="213"/>
        <v>0.00%</v>
      </c>
      <c r="EC62" s="3950" t="str">
        <f t="shared" si="214"/>
        <v>0.00%</v>
      </c>
      <c r="ED62" s="3369" t="str">
        <f t="shared" si="215"/>
        <v>0.00%</v>
      </c>
      <c r="EE62" s="2374">
        <f t="shared" ref="EE62:EG67" si="227">IF($H62=0,"",CS62/Q62)</f>
        <v>0</v>
      </c>
      <c r="EF62" s="3641" t="e">
        <f t="shared" si="227"/>
        <v>#DIV/0!</v>
      </c>
      <c r="EG62" s="3641">
        <f t="shared" si="227"/>
        <v>0</v>
      </c>
      <c r="EH62" s="2329"/>
      <c r="EJ62" s="2288" t="str">
        <f t="shared" si="179"/>
        <v>Solar Photovoltaic (Single Axis) 20 MW</v>
      </c>
      <c r="EK62" s="2289">
        <f t="shared" si="180"/>
        <v>20</v>
      </c>
      <c r="EL62" s="2788">
        <f t="shared" si="181"/>
        <v>0</v>
      </c>
      <c r="EM62" s="3693">
        <f t="shared" si="182"/>
        <v>0</v>
      </c>
      <c r="EN62" s="3370">
        <f t="shared" si="224"/>
        <v>0</v>
      </c>
      <c r="EO62" s="3693">
        <f t="shared" si="184"/>
        <v>0</v>
      </c>
      <c r="EP62" s="3693">
        <f t="shared" si="185"/>
        <v>0</v>
      </c>
      <c r="EQ62" s="3369">
        <f t="shared" si="186"/>
        <v>0</v>
      </c>
      <c r="ER62" s="2788" t="str">
        <f t="shared" si="187"/>
        <v>0.00%</v>
      </c>
      <c r="ES62" s="3693" t="str">
        <f t="shared" si="188"/>
        <v>0.00%</v>
      </c>
      <c r="ET62" s="3369" t="str">
        <f t="shared" si="189"/>
        <v>0.00%</v>
      </c>
      <c r="EU62" s="2374">
        <f t="shared" ref="EU62:EW67" si="228">IF($H62=0,"",DI62/AG62)</f>
        <v>0</v>
      </c>
      <c r="EV62" s="3641" t="e">
        <f t="shared" si="228"/>
        <v>#DIV/0!</v>
      </c>
      <c r="EW62" s="3641">
        <f t="shared" si="228"/>
        <v>0</v>
      </c>
      <c r="EY62" s="2288" t="str">
        <f t="shared" si="216"/>
        <v>Solar Photovoltaic (Single Axis) 20 MW</v>
      </c>
      <c r="EZ62" s="2288">
        <f t="shared" si="217"/>
        <v>20</v>
      </c>
      <c r="FA62" s="2373">
        <f t="shared" si="218"/>
        <v>0</v>
      </c>
      <c r="FB62" s="2373">
        <f t="shared" si="191"/>
        <v>0</v>
      </c>
      <c r="FC62" s="2788">
        <f t="shared" si="192"/>
        <v>0</v>
      </c>
      <c r="FD62" s="3693">
        <f t="shared" si="193"/>
        <v>0</v>
      </c>
      <c r="FE62" s="3693">
        <f t="shared" si="194"/>
        <v>0</v>
      </c>
      <c r="FF62" s="3369">
        <f t="shared" si="195"/>
        <v>0</v>
      </c>
      <c r="FG62" s="2374" t="e">
        <f t="shared" si="196"/>
        <v>#DIV/0!</v>
      </c>
      <c r="FH62" s="3950" t="e">
        <f t="shared" si="197"/>
        <v>#DIV/0!</v>
      </c>
      <c r="FI62" s="3369" t="e">
        <f t="shared" si="198"/>
        <v>#DIV/0!</v>
      </c>
      <c r="FJ62" s="2374">
        <f t="shared" si="199"/>
        <v>0</v>
      </c>
      <c r="FK62" s="3641" t="e">
        <f t="shared" si="219"/>
        <v>#DIV/0!</v>
      </c>
      <c r="FL62" s="3641">
        <f t="shared" si="200"/>
        <v>0</v>
      </c>
      <c r="FO62" s="2288" t="str">
        <f t="shared" si="220"/>
        <v>Solar Photovoltaic (Single Axis) 20 MW</v>
      </c>
      <c r="FP62" s="2288">
        <f t="shared" si="220"/>
        <v>20</v>
      </c>
      <c r="FQ62" s="2788">
        <f t="shared" si="221"/>
        <v>0</v>
      </c>
      <c r="FR62" s="3693">
        <f t="shared" si="201"/>
        <v>0</v>
      </c>
      <c r="FS62" s="3370">
        <f t="shared" si="202"/>
        <v>0</v>
      </c>
      <c r="FT62" s="3693">
        <f t="shared" si="203"/>
        <v>0</v>
      </c>
      <c r="FU62" s="3693">
        <f t="shared" si="204"/>
        <v>0</v>
      </c>
      <c r="FV62" s="3369">
        <f t="shared" si="205"/>
        <v>0</v>
      </c>
      <c r="FW62" s="2788" t="e">
        <f t="shared" si="206"/>
        <v>#DIV/0!</v>
      </c>
      <c r="FX62" s="3693" t="e">
        <f t="shared" si="207"/>
        <v>#DIV/0!</v>
      </c>
      <c r="FY62" s="3369" t="e">
        <f t="shared" si="208"/>
        <v>#DIV/0!</v>
      </c>
      <c r="FZ62" s="2374">
        <f t="shared" si="209"/>
        <v>0</v>
      </c>
      <c r="GA62" s="3641" t="e">
        <f t="shared" si="222"/>
        <v>#DIV/0!</v>
      </c>
      <c r="GB62" s="3641">
        <f t="shared" si="223"/>
        <v>0</v>
      </c>
    </row>
    <row r="63" spans="1:184">
      <c r="A63" s="1802"/>
      <c r="B63" s="1802"/>
      <c r="C63" s="1802"/>
      <c r="D63" s="1291"/>
      <c r="E63" s="1802"/>
      <c r="F63" s="3501" t="s">
        <v>1795</v>
      </c>
      <c r="G63" s="3502">
        <v>100</v>
      </c>
      <c r="H63" s="3497">
        <v>180.44722346792372</v>
      </c>
      <c r="I63" s="3498">
        <v>8.427506923680637</v>
      </c>
      <c r="J63" s="3498">
        <v>15.422337670335567</v>
      </c>
      <c r="K63" s="3498">
        <v>0</v>
      </c>
      <c r="L63" s="3498">
        <v>-6.5171428438058268</v>
      </c>
      <c r="M63" s="3615">
        <v>197.77992521813408</v>
      </c>
      <c r="N63" s="3497">
        <v>0</v>
      </c>
      <c r="O63" s="3498">
        <v>25.973658441553034</v>
      </c>
      <c r="P63" s="3615">
        <v>25.973658441553034</v>
      </c>
      <c r="Q63" s="3616">
        <v>223.75358365968711</v>
      </c>
      <c r="R63" s="3545">
        <v>0</v>
      </c>
      <c r="S63" s="3638">
        <v>223.75358365968711</v>
      </c>
      <c r="T63" s="2362"/>
      <c r="U63" s="1289"/>
      <c r="V63" s="3501" t="s">
        <v>1795</v>
      </c>
      <c r="W63" s="3502">
        <v>100</v>
      </c>
      <c r="X63" s="3497">
        <v>84.470137543927748</v>
      </c>
      <c r="Y63" s="3498">
        <v>3.9450463981356254</v>
      </c>
      <c r="Z63" s="3498">
        <v>7.2194349085881946</v>
      </c>
      <c r="AA63" s="3498">
        <v>0</v>
      </c>
      <c r="AB63" s="3498">
        <v>-3.0507754113909105</v>
      </c>
      <c r="AC63" s="3615">
        <v>92.583843439260662</v>
      </c>
      <c r="AD63" s="3497">
        <v>0</v>
      </c>
      <c r="AE63" s="3498">
        <v>12.158671432630769</v>
      </c>
      <c r="AF63" s="3630">
        <v>12.158671432630769</v>
      </c>
      <c r="AG63" s="3614">
        <v>104.74251487189143</v>
      </c>
      <c r="AH63" s="4028">
        <v>0</v>
      </c>
      <c r="AI63" s="3638">
        <v>104.74251487189143</v>
      </c>
      <c r="AJ63" s="4029">
        <f t="shared" si="210"/>
        <v>10.474251487189143</v>
      </c>
      <c r="AK63" s="2346"/>
      <c r="AL63" s="3634">
        <v>1910.5228692064391</v>
      </c>
      <c r="AM63" s="3635">
        <v>2084.8615817812292</v>
      </c>
      <c r="AN63" s="3497">
        <v>0</v>
      </c>
      <c r="AO63" s="3608">
        <v>9.5154208669312972</v>
      </c>
      <c r="AP63" s="2282"/>
      <c r="AQ63" s="2282"/>
      <c r="AR63" s="2282"/>
      <c r="AS63" s="1291"/>
      <c r="AT63" s="3521" t="s">
        <v>1795</v>
      </c>
      <c r="AU63" s="3649">
        <v>100</v>
      </c>
      <c r="AV63" s="3523">
        <v>180.44722346792372</v>
      </c>
      <c r="AW63" s="3524">
        <v>8.427506923680637</v>
      </c>
      <c r="AX63" s="3524">
        <v>15.422337670335567</v>
      </c>
      <c r="AY63" s="3524">
        <v>0</v>
      </c>
      <c r="AZ63" s="3524">
        <v>-6.5171428438058268</v>
      </c>
      <c r="BA63" s="3652">
        <v>197.77992521813408</v>
      </c>
      <c r="BB63" s="3523">
        <v>0</v>
      </c>
      <c r="BC63" s="3524">
        <v>25.973658441553034</v>
      </c>
      <c r="BD63" s="3653">
        <v>25.973658441553034</v>
      </c>
      <c r="BE63" s="3695">
        <v>223.75358365968711</v>
      </c>
      <c r="BF63" s="3545">
        <v>0</v>
      </c>
      <c r="BG63" s="3638">
        <v>223.75358365968711</v>
      </c>
      <c r="BH63" s="2362"/>
      <c r="BI63" s="1289"/>
      <c r="BJ63" s="3521" t="s">
        <v>1795</v>
      </c>
      <c r="BK63" s="3522">
        <v>100</v>
      </c>
      <c r="BL63" s="3523">
        <v>84.470137543927748</v>
      </c>
      <c r="BM63" s="3524">
        <v>3.9450463981356254</v>
      </c>
      <c r="BN63" s="3524">
        <v>7.2194349085881946</v>
      </c>
      <c r="BO63" s="3524">
        <v>0</v>
      </c>
      <c r="BP63" s="3524">
        <v>-3.0507754113909105</v>
      </c>
      <c r="BQ63" s="3665">
        <v>92.583843439260662</v>
      </c>
      <c r="BR63" s="3523">
        <v>0</v>
      </c>
      <c r="BS63" s="3524">
        <v>12.158671432630769</v>
      </c>
      <c r="BT63" s="3652">
        <v>12.158671432630769</v>
      </c>
      <c r="BU63" s="3654">
        <v>104.74251487189143</v>
      </c>
      <c r="BV63" s="3642">
        <v>0</v>
      </c>
      <c r="BW63" s="3638">
        <v>104.74251487189143</v>
      </c>
      <c r="BX63" s="3638">
        <f t="shared" si="211"/>
        <v>10.474251487189143</v>
      </c>
      <c r="BY63" s="1291"/>
      <c r="BZ63" s="3670">
        <v>1910.5228692064391</v>
      </c>
      <c r="CA63" s="3671">
        <v>2084.8615817812292</v>
      </c>
      <c r="CB63" s="3523">
        <v>0</v>
      </c>
      <c r="CC63" s="3526">
        <v>9.5154208669312972</v>
      </c>
      <c r="CD63" s="2362"/>
      <c r="CE63" s="2362"/>
      <c r="CF63" s="2362"/>
      <c r="CG63" s="2346"/>
      <c r="CH63" s="2410" t="str">
        <f t="shared" si="143"/>
        <v>Wind - Class 3 100 MW</v>
      </c>
      <c r="CI63" s="2411">
        <f t="shared" si="144"/>
        <v>100</v>
      </c>
      <c r="CJ63" s="2412">
        <f t="shared" si="145"/>
        <v>0</v>
      </c>
      <c r="CK63" s="3674">
        <f t="shared" si="146"/>
        <v>0</v>
      </c>
      <c r="CL63" s="3674">
        <f t="shared" si="147"/>
        <v>0</v>
      </c>
      <c r="CM63" s="3674">
        <f t="shared" si="148"/>
        <v>0</v>
      </c>
      <c r="CN63" s="3674">
        <f t="shared" si="149"/>
        <v>0</v>
      </c>
      <c r="CO63" s="3675">
        <f t="shared" si="150"/>
        <v>0</v>
      </c>
      <c r="CP63" s="3676">
        <f t="shared" si="151"/>
        <v>0</v>
      </c>
      <c r="CQ63" s="3674">
        <f t="shared" si="152"/>
        <v>0</v>
      </c>
      <c r="CR63" s="3675">
        <f t="shared" si="153"/>
        <v>0</v>
      </c>
      <c r="CS63" s="3677">
        <f t="shared" si="225"/>
        <v>0</v>
      </c>
      <c r="CT63" s="3545">
        <f t="shared" si="225"/>
        <v>0</v>
      </c>
      <c r="CU63" s="3638">
        <f t="shared" si="225"/>
        <v>0</v>
      </c>
      <c r="CV63" s="2362"/>
      <c r="CW63" s="2340"/>
      <c r="CX63" s="2410" t="str">
        <f t="shared" si="155"/>
        <v>Wind - Class 3 100 MW</v>
      </c>
      <c r="CY63" s="2411">
        <f t="shared" si="156"/>
        <v>100</v>
      </c>
      <c r="CZ63" s="2412">
        <f t="shared" si="157"/>
        <v>0</v>
      </c>
      <c r="DA63" s="3674">
        <f t="shared" si="158"/>
        <v>0</v>
      </c>
      <c r="DB63" s="3674">
        <f t="shared" si="159"/>
        <v>0</v>
      </c>
      <c r="DC63" s="3674">
        <f t="shared" si="160"/>
        <v>0</v>
      </c>
      <c r="DD63" s="3674">
        <f t="shared" si="161"/>
        <v>0</v>
      </c>
      <c r="DE63" s="3675">
        <f t="shared" si="162"/>
        <v>0</v>
      </c>
      <c r="DF63" s="3676">
        <f t="shared" si="163"/>
        <v>0</v>
      </c>
      <c r="DG63" s="3674">
        <f t="shared" si="164"/>
        <v>0</v>
      </c>
      <c r="DH63" s="3675">
        <f t="shared" si="165"/>
        <v>0</v>
      </c>
      <c r="DI63" s="3677">
        <f t="shared" si="226"/>
        <v>0</v>
      </c>
      <c r="DJ63" s="3545">
        <f t="shared" si="226"/>
        <v>0</v>
      </c>
      <c r="DK63" s="3638">
        <f t="shared" si="226"/>
        <v>0</v>
      </c>
      <c r="DL63" s="3638">
        <f t="shared" si="226"/>
        <v>0</v>
      </c>
      <c r="DM63" s="2341"/>
      <c r="DN63" s="3687">
        <f t="shared" si="167"/>
        <v>0</v>
      </c>
      <c r="DO63" s="3688">
        <f t="shared" si="168"/>
        <v>0</v>
      </c>
      <c r="DP63" s="3687">
        <f t="shared" si="169"/>
        <v>0</v>
      </c>
      <c r="DQ63" s="3689">
        <f t="shared" si="170"/>
        <v>0</v>
      </c>
      <c r="DS63" s="2329"/>
      <c r="DT63" s="2288" t="str">
        <f t="shared" si="171"/>
        <v>Wind - Class 3 100 MW</v>
      </c>
      <c r="DU63" s="2289">
        <f t="shared" si="172"/>
        <v>100</v>
      </c>
      <c r="DV63" s="2373">
        <f t="shared" si="173"/>
        <v>0</v>
      </c>
      <c r="DW63" s="2373">
        <f t="shared" si="174"/>
        <v>0</v>
      </c>
      <c r="DX63" s="2788">
        <f>IF(J63=0,"0.00%",CL63/J63)</f>
        <v>0</v>
      </c>
      <c r="DY63" s="3693" t="e">
        <f t="shared" si="175"/>
        <v>#DIV/0!</v>
      </c>
      <c r="DZ63" s="3693">
        <f t="shared" si="176"/>
        <v>0</v>
      </c>
      <c r="EA63" s="3369">
        <f t="shared" si="177"/>
        <v>0</v>
      </c>
      <c r="EB63" s="2374" t="str">
        <f>IF(N63=0,"0.00%",CP63/N63)</f>
        <v>0.00%</v>
      </c>
      <c r="EC63" s="3950">
        <f>IF(O63=0,"0.00%",CQ63/O63)</f>
        <v>0</v>
      </c>
      <c r="ED63" s="3369">
        <f>IF(P63=0,"0.00%",CR63/P63)</f>
        <v>0</v>
      </c>
      <c r="EE63" s="2374">
        <f t="shared" si="227"/>
        <v>0</v>
      </c>
      <c r="EF63" s="3641" t="e">
        <f t="shared" si="227"/>
        <v>#DIV/0!</v>
      </c>
      <c r="EG63" s="3641">
        <f t="shared" si="227"/>
        <v>0</v>
      </c>
      <c r="EH63" s="2329"/>
      <c r="EJ63" s="2288" t="str">
        <f t="shared" si="179"/>
        <v>Wind - Class 3 100 MW</v>
      </c>
      <c r="EK63" s="2289">
        <f t="shared" si="180"/>
        <v>100</v>
      </c>
      <c r="EL63" s="2788">
        <f t="shared" si="181"/>
        <v>0</v>
      </c>
      <c r="EM63" s="3693">
        <f t="shared" si="182"/>
        <v>0</v>
      </c>
      <c r="EN63" s="3370">
        <f t="shared" si="224"/>
        <v>0</v>
      </c>
      <c r="EO63" s="3693" t="e">
        <f t="shared" si="184"/>
        <v>#DIV/0!</v>
      </c>
      <c r="EP63" s="3693">
        <f t="shared" si="185"/>
        <v>0</v>
      </c>
      <c r="EQ63" s="3369">
        <f t="shared" si="186"/>
        <v>0</v>
      </c>
      <c r="ER63" s="2788" t="str">
        <f t="shared" si="187"/>
        <v>0.00%</v>
      </c>
      <c r="ES63" s="3693">
        <f t="shared" si="188"/>
        <v>0</v>
      </c>
      <c r="ET63" s="3369">
        <f t="shared" si="189"/>
        <v>0</v>
      </c>
      <c r="EU63" s="2374">
        <f t="shared" si="228"/>
        <v>0</v>
      </c>
      <c r="EV63" s="3641" t="e">
        <f t="shared" si="228"/>
        <v>#DIV/0!</v>
      </c>
      <c r="EW63" s="3641">
        <f t="shared" si="228"/>
        <v>0</v>
      </c>
      <c r="EY63" s="2288" t="str">
        <f t="shared" si="216"/>
        <v>Wind - Class 3 100 MW</v>
      </c>
      <c r="EZ63" s="2288">
        <f t="shared" si="217"/>
        <v>100</v>
      </c>
      <c r="FA63" s="2373">
        <f t="shared" si="218"/>
        <v>0</v>
      </c>
      <c r="FB63" s="2373">
        <f t="shared" si="191"/>
        <v>0</v>
      </c>
      <c r="FC63" s="2788">
        <f t="shared" si="192"/>
        <v>0</v>
      </c>
      <c r="FD63" s="3693" t="e">
        <f t="shared" si="193"/>
        <v>#DIV/0!</v>
      </c>
      <c r="FE63" s="3693">
        <f t="shared" si="194"/>
        <v>0</v>
      </c>
      <c r="FF63" s="3369">
        <f t="shared" si="195"/>
        <v>0</v>
      </c>
      <c r="FG63" s="2374" t="e">
        <f t="shared" si="196"/>
        <v>#DIV/0!</v>
      </c>
      <c r="FH63" s="3950">
        <f t="shared" si="197"/>
        <v>0</v>
      </c>
      <c r="FI63" s="3369">
        <f t="shared" si="198"/>
        <v>0</v>
      </c>
      <c r="FJ63" s="2374">
        <f t="shared" si="199"/>
        <v>0</v>
      </c>
      <c r="FK63" s="3641" t="e">
        <f t="shared" si="219"/>
        <v>#DIV/0!</v>
      </c>
      <c r="FL63" s="3641">
        <f t="shared" si="200"/>
        <v>0</v>
      </c>
      <c r="FO63" s="2288" t="str">
        <f t="shared" si="220"/>
        <v>Wind - Class 3 100 MW</v>
      </c>
      <c r="FP63" s="2288">
        <f t="shared" si="220"/>
        <v>100</v>
      </c>
      <c r="FQ63" s="2788">
        <f t="shared" si="221"/>
        <v>0</v>
      </c>
      <c r="FR63" s="3693">
        <f t="shared" si="201"/>
        <v>0</v>
      </c>
      <c r="FS63" s="3370">
        <f t="shared" si="202"/>
        <v>0</v>
      </c>
      <c r="FT63" s="3693" t="e">
        <f t="shared" si="203"/>
        <v>#DIV/0!</v>
      </c>
      <c r="FU63" s="3693">
        <f t="shared" si="204"/>
        <v>0</v>
      </c>
      <c r="FV63" s="3369">
        <f t="shared" si="205"/>
        <v>0</v>
      </c>
      <c r="FW63" s="2788" t="e">
        <f t="shared" si="206"/>
        <v>#DIV/0!</v>
      </c>
      <c r="FX63" s="3693">
        <f t="shared" si="207"/>
        <v>0</v>
      </c>
      <c r="FY63" s="3369">
        <f t="shared" si="208"/>
        <v>0</v>
      </c>
      <c r="FZ63" s="2374">
        <f t="shared" si="209"/>
        <v>0</v>
      </c>
      <c r="GA63" s="3641" t="e">
        <f t="shared" si="222"/>
        <v>#DIV/0!</v>
      </c>
      <c r="GB63" s="3641">
        <f t="shared" si="223"/>
        <v>0</v>
      </c>
    </row>
    <row r="64" spans="1:184" ht="13.5" thickBot="1">
      <c r="A64" s="1802"/>
      <c r="B64" s="1802"/>
      <c r="C64" s="1802"/>
      <c r="D64" s="1291"/>
      <c r="E64" s="1802"/>
      <c r="F64" s="3622" t="s">
        <v>1796</v>
      </c>
      <c r="G64" s="3623">
        <v>100</v>
      </c>
      <c r="H64" s="3624">
        <v>172.10616298500059</v>
      </c>
      <c r="I64" s="3625">
        <v>8.0379506666226312</v>
      </c>
      <c r="J64" s="3625">
        <v>14.709449719919411</v>
      </c>
      <c r="K64" s="3625">
        <v>0</v>
      </c>
      <c r="L64" s="3625">
        <v>-6.216282140819466</v>
      </c>
      <c r="M64" s="3626">
        <v>188.63728123072318</v>
      </c>
      <c r="N64" s="3624">
        <v>0</v>
      </c>
      <c r="O64" s="3625">
        <v>24.974671578416384</v>
      </c>
      <c r="P64" s="3626">
        <v>24.974671578416384</v>
      </c>
      <c r="Q64" s="3627">
        <v>213.61195280913955</v>
      </c>
      <c r="R64" s="3545">
        <v>0</v>
      </c>
      <c r="S64" s="3638">
        <v>213.61195280913955</v>
      </c>
      <c r="T64" s="2362"/>
      <c r="U64" s="1289"/>
      <c r="V64" s="3622" t="s">
        <v>1796</v>
      </c>
      <c r="W64" s="3623">
        <v>100</v>
      </c>
      <c r="X64" s="3624">
        <v>83.788180384877379</v>
      </c>
      <c r="Y64" s="3625">
        <v>3.9131966496656951</v>
      </c>
      <c r="Z64" s="3625">
        <v>7.1611498688882191</v>
      </c>
      <c r="AA64" s="3625">
        <v>0</v>
      </c>
      <c r="AB64" s="3625">
        <v>-3.0263353752396789</v>
      </c>
      <c r="AC64" s="3626">
        <v>91.836191528191605</v>
      </c>
      <c r="AD64" s="3624">
        <v>0</v>
      </c>
      <c r="AE64" s="3625">
        <v>12.15867143263077</v>
      </c>
      <c r="AF64" s="3632">
        <v>12.15867143263077</v>
      </c>
      <c r="AG64" s="3628">
        <v>103.99486296082237</v>
      </c>
      <c r="AH64" s="4028">
        <v>0</v>
      </c>
      <c r="AI64" s="3638">
        <v>103.99486296082237</v>
      </c>
      <c r="AJ64" s="4029">
        <f t="shared" si="210"/>
        <v>10.399486296082237</v>
      </c>
      <c r="AK64" s="2346"/>
      <c r="AL64" s="3636">
        <v>1822.2101398676496</v>
      </c>
      <c r="AM64" s="3637">
        <v>1988.490154069839</v>
      </c>
      <c r="AN64" s="3624">
        <v>0</v>
      </c>
      <c r="AO64" s="3610">
        <v>9.5154208669312972</v>
      </c>
      <c r="AP64" s="2282"/>
      <c r="AQ64" s="2282"/>
      <c r="AR64" s="2282"/>
      <c r="AS64" s="1291"/>
      <c r="AT64" s="3659" t="s">
        <v>1796</v>
      </c>
      <c r="AU64" s="3650">
        <v>100</v>
      </c>
      <c r="AV64" s="3660">
        <v>172.10616298500059</v>
      </c>
      <c r="AW64" s="3661">
        <v>8.0379506666226312</v>
      </c>
      <c r="AX64" s="3661">
        <v>14.709449719919411</v>
      </c>
      <c r="AY64" s="3661">
        <v>0</v>
      </c>
      <c r="AZ64" s="3661">
        <v>-6.216282140819466</v>
      </c>
      <c r="BA64" s="3662">
        <v>188.63728123072318</v>
      </c>
      <c r="BB64" s="3660">
        <v>0</v>
      </c>
      <c r="BC64" s="3661">
        <v>24.974671578416384</v>
      </c>
      <c r="BD64" s="3663">
        <v>24.974671578416384</v>
      </c>
      <c r="BE64" s="3696">
        <v>213.61195280913955</v>
      </c>
      <c r="BF64" s="3545">
        <v>0</v>
      </c>
      <c r="BG64" s="3638">
        <v>213.61195280913955</v>
      </c>
      <c r="BH64" s="2362"/>
      <c r="BI64" s="1289"/>
      <c r="BJ64" s="3659" t="s">
        <v>1796</v>
      </c>
      <c r="BK64" s="3668">
        <v>100</v>
      </c>
      <c r="BL64" s="3660">
        <v>83.788180384877379</v>
      </c>
      <c r="BM64" s="3661">
        <v>3.9131966496656951</v>
      </c>
      <c r="BN64" s="3661">
        <v>7.1611498688882191</v>
      </c>
      <c r="BO64" s="3661">
        <v>0</v>
      </c>
      <c r="BP64" s="3661">
        <v>-3.0263353752396789</v>
      </c>
      <c r="BQ64" s="3669">
        <v>91.836191528191605</v>
      </c>
      <c r="BR64" s="3660">
        <v>0</v>
      </c>
      <c r="BS64" s="3661">
        <v>12.15867143263077</v>
      </c>
      <c r="BT64" s="3662">
        <v>12.15867143263077</v>
      </c>
      <c r="BU64" s="3664">
        <v>103.99486296082237</v>
      </c>
      <c r="BV64" s="3642">
        <v>0</v>
      </c>
      <c r="BW64" s="3638">
        <v>103.99486296082237</v>
      </c>
      <c r="BX64" s="3638">
        <f t="shared" si="211"/>
        <v>10.399486296082237</v>
      </c>
      <c r="BY64" s="1291"/>
      <c r="BZ64" s="3672">
        <v>1822.2101398676496</v>
      </c>
      <c r="CA64" s="3673">
        <v>1988.490154069839</v>
      </c>
      <c r="CB64" s="3660">
        <v>0</v>
      </c>
      <c r="CC64" s="3557">
        <v>9.5154208669312972</v>
      </c>
      <c r="CD64" s="2362"/>
      <c r="CE64" s="2362"/>
      <c r="CF64" s="2362"/>
      <c r="CG64" s="2346"/>
      <c r="CH64" s="2416" t="str">
        <f t="shared" si="143"/>
        <v>Wind - Class 4 100 MW</v>
      </c>
      <c r="CI64" s="2417">
        <f t="shared" si="144"/>
        <v>100</v>
      </c>
      <c r="CJ64" s="2418">
        <f t="shared" si="145"/>
        <v>0</v>
      </c>
      <c r="CK64" s="3682">
        <f t="shared" si="146"/>
        <v>0</v>
      </c>
      <c r="CL64" s="3682">
        <f t="shared" si="147"/>
        <v>0</v>
      </c>
      <c r="CM64" s="3682">
        <f t="shared" si="148"/>
        <v>0</v>
      </c>
      <c r="CN64" s="3682">
        <f t="shared" si="149"/>
        <v>0</v>
      </c>
      <c r="CO64" s="3683">
        <f t="shared" si="150"/>
        <v>0</v>
      </c>
      <c r="CP64" s="3684">
        <f t="shared" si="151"/>
        <v>0</v>
      </c>
      <c r="CQ64" s="3682">
        <f t="shared" si="152"/>
        <v>0</v>
      </c>
      <c r="CR64" s="3683">
        <f t="shared" si="153"/>
        <v>0</v>
      </c>
      <c r="CS64" s="3685">
        <f t="shared" si="225"/>
        <v>0</v>
      </c>
      <c r="CT64" s="3545">
        <f t="shared" si="225"/>
        <v>0</v>
      </c>
      <c r="CU64" s="3638">
        <f t="shared" si="225"/>
        <v>0</v>
      </c>
      <c r="CV64" s="2362"/>
      <c r="CW64" s="2340"/>
      <c r="CX64" s="2416" t="str">
        <f t="shared" si="155"/>
        <v>Wind - Class 4 100 MW</v>
      </c>
      <c r="CY64" s="2417">
        <f t="shared" si="156"/>
        <v>100</v>
      </c>
      <c r="CZ64" s="2418">
        <f t="shared" si="157"/>
        <v>0</v>
      </c>
      <c r="DA64" s="3682">
        <f t="shared" si="158"/>
        <v>0</v>
      </c>
      <c r="DB64" s="3682">
        <f t="shared" si="159"/>
        <v>0</v>
      </c>
      <c r="DC64" s="3682">
        <f t="shared" si="160"/>
        <v>0</v>
      </c>
      <c r="DD64" s="3682">
        <f t="shared" si="161"/>
        <v>0</v>
      </c>
      <c r="DE64" s="3683">
        <f t="shared" si="162"/>
        <v>0</v>
      </c>
      <c r="DF64" s="3684">
        <f t="shared" si="163"/>
        <v>0</v>
      </c>
      <c r="DG64" s="3682">
        <f t="shared" si="164"/>
        <v>0</v>
      </c>
      <c r="DH64" s="3683">
        <f t="shared" si="165"/>
        <v>0</v>
      </c>
      <c r="DI64" s="3685">
        <f t="shared" si="226"/>
        <v>0</v>
      </c>
      <c r="DJ64" s="3545">
        <f t="shared" si="226"/>
        <v>0</v>
      </c>
      <c r="DK64" s="3638">
        <f t="shared" si="226"/>
        <v>0</v>
      </c>
      <c r="DL64" s="3638">
        <f t="shared" si="226"/>
        <v>0</v>
      </c>
      <c r="DM64" s="2341"/>
      <c r="DN64" s="3690">
        <f t="shared" si="167"/>
        <v>0</v>
      </c>
      <c r="DO64" s="3691">
        <f t="shared" si="168"/>
        <v>0</v>
      </c>
      <c r="DP64" s="3690">
        <f t="shared" si="169"/>
        <v>0</v>
      </c>
      <c r="DQ64" s="3692">
        <f t="shared" si="170"/>
        <v>0</v>
      </c>
      <c r="DS64" s="2329"/>
      <c r="DT64" s="2350" t="str">
        <f t="shared" si="171"/>
        <v>Wind - Class 4 100 MW</v>
      </c>
      <c r="DU64" s="2371">
        <f t="shared" si="172"/>
        <v>100</v>
      </c>
      <c r="DV64" s="2375">
        <f t="shared" si="173"/>
        <v>0</v>
      </c>
      <c r="DW64" s="2375">
        <f t="shared" si="174"/>
        <v>0</v>
      </c>
      <c r="DX64" s="2789">
        <f t="shared" ref="DX64" si="229">IF($J64=0,"",CL64/J64)</f>
        <v>0</v>
      </c>
      <c r="DY64" s="3694" t="e">
        <f t="shared" si="175"/>
        <v>#DIV/0!</v>
      </c>
      <c r="DZ64" s="3694">
        <f t="shared" si="176"/>
        <v>0</v>
      </c>
      <c r="EA64" s="2790">
        <f t="shared" si="177"/>
        <v>0</v>
      </c>
      <c r="EB64" s="2376" t="str">
        <f>IF(N64=0,"0.00%",CP64/N64)</f>
        <v>0.00%</v>
      </c>
      <c r="EC64" s="3951">
        <f t="shared" ref="EC64:EC76" si="230">IF($P64=0,"",CQ64/O64)</f>
        <v>0</v>
      </c>
      <c r="ED64" s="2790">
        <f t="shared" ref="ED64:ED76" si="231">IF($P64=0,"",CR64/P64)</f>
        <v>0</v>
      </c>
      <c r="EE64" s="2376">
        <f t="shared" si="227"/>
        <v>0</v>
      </c>
      <c r="EF64" s="3641" t="e">
        <f t="shared" si="227"/>
        <v>#DIV/0!</v>
      </c>
      <c r="EG64" s="3641">
        <f t="shared" si="227"/>
        <v>0</v>
      </c>
      <c r="EH64" s="2329"/>
      <c r="EJ64" s="2350" t="str">
        <f t="shared" si="179"/>
        <v>Wind - Class 4 100 MW</v>
      </c>
      <c r="EK64" s="2371">
        <f t="shared" si="180"/>
        <v>100</v>
      </c>
      <c r="EL64" s="2789">
        <f t="shared" si="181"/>
        <v>0</v>
      </c>
      <c r="EM64" s="3694">
        <f t="shared" si="182"/>
        <v>0</v>
      </c>
      <c r="EN64" s="2791">
        <f t="shared" ref="EN64" si="232">IF($DX64="","",DB64/Z64)</f>
        <v>0</v>
      </c>
      <c r="EO64" s="3694" t="e">
        <f t="shared" ref="EO64:EO76" si="233">IF($H64=0,"",DC64/AA64)</f>
        <v>#DIV/0!</v>
      </c>
      <c r="EP64" s="3694">
        <f t="shared" ref="EP64:EP76" si="234">IF($H64=0,"",DD64/AB64)</f>
        <v>0</v>
      </c>
      <c r="EQ64" s="2790">
        <f t="shared" ref="EQ64:EQ76" si="235">IF($H64=0,"",DE64/AC64)</f>
        <v>0</v>
      </c>
      <c r="ER64" s="2789" t="str">
        <f t="shared" si="187"/>
        <v>0.00%</v>
      </c>
      <c r="ES64" s="3694">
        <f t="shared" ref="ES64:ES76" si="236">IF(EC64="","",DG64/AE64)</f>
        <v>0</v>
      </c>
      <c r="ET64" s="2790">
        <f t="shared" ref="ET64:ET76" si="237">IF(ED64="","",DH64/AF64)</f>
        <v>0</v>
      </c>
      <c r="EU64" s="2376">
        <f t="shared" si="228"/>
        <v>0</v>
      </c>
      <c r="EV64" s="3641" t="e">
        <f t="shared" si="228"/>
        <v>#DIV/0!</v>
      </c>
      <c r="EW64" s="3641">
        <f t="shared" si="228"/>
        <v>0</v>
      </c>
      <c r="EY64" s="2350" t="str">
        <f t="shared" si="216"/>
        <v>Wind - Class 4 100 MW</v>
      </c>
      <c r="EZ64" s="2350">
        <f t="shared" si="217"/>
        <v>100</v>
      </c>
      <c r="FA64" s="2375">
        <f t="shared" si="218"/>
        <v>0</v>
      </c>
      <c r="FB64" s="2375">
        <f t="shared" si="191"/>
        <v>0</v>
      </c>
      <c r="FC64" s="2789">
        <f t="shared" si="192"/>
        <v>0</v>
      </c>
      <c r="FD64" s="3694" t="e">
        <f t="shared" si="193"/>
        <v>#DIV/0!</v>
      </c>
      <c r="FE64" s="3694">
        <f t="shared" si="194"/>
        <v>0</v>
      </c>
      <c r="FF64" s="2790">
        <f t="shared" si="195"/>
        <v>0</v>
      </c>
      <c r="FG64" s="2376" t="e">
        <f t="shared" si="196"/>
        <v>#DIV/0!</v>
      </c>
      <c r="FH64" s="3951">
        <f t="shared" si="197"/>
        <v>0</v>
      </c>
      <c r="FI64" s="2790">
        <f t="shared" si="198"/>
        <v>0</v>
      </c>
      <c r="FJ64" s="2376">
        <f t="shared" si="199"/>
        <v>0</v>
      </c>
      <c r="FK64" s="3641" t="e">
        <f t="shared" si="219"/>
        <v>#DIV/0!</v>
      </c>
      <c r="FL64" s="3641">
        <f t="shared" si="200"/>
        <v>0</v>
      </c>
      <c r="FO64" s="2288" t="str">
        <f t="shared" si="220"/>
        <v>Wind - Class 4 100 MW</v>
      </c>
      <c r="FP64" s="2288">
        <f t="shared" si="220"/>
        <v>100</v>
      </c>
      <c r="FQ64" s="2789">
        <f t="shared" si="221"/>
        <v>0</v>
      </c>
      <c r="FR64" s="3694">
        <f t="shared" si="201"/>
        <v>0</v>
      </c>
      <c r="FS64" s="2791">
        <f t="shared" si="202"/>
        <v>0</v>
      </c>
      <c r="FT64" s="3694" t="e">
        <f t="shared" si="203"/>
        <v>#DIV/0!</v>
      </c>
      <c r="FU64" s="3694">
        <f t="shared" si="204"/>
        <v>0</v>
      </c>
      <c r="FV64" s="2790">
        <f t="shared" si="205"/>
        <v>0</v>
      </c>
      <c r="FW64" s="2789" t="e">
        <f t="shared" si="206"/>
        <v>#DIV/0!</v>
      </c>
      <c r="FX64" s="3694">
        <f t="shared" si="207"/>
        <v>0</v>
      </c>
      <c r="FY64" s="2790">
        <f t="shared" si="208"/>
        <v>0</v>
      </c>
      <c r="FZ64" s="2376">
        <f t="shared" si="209"/>
        <v>0</v>
      </c>
      <c r="GA64" s="3641" t="e">
        <f t="shared" si="222"/>
        <v>#DIV/0!</v>
      </c>
      <c r="GB64" s="3641">
        <f t="shared" si="223"/>
        <v>0</v>
      </c>
    </row>
    <row r="65" spans="1:184" s="3533" customFormat="1">
      <c r="A65" s="3639"/>
      <c r="B65" s="3639"/>
      <c r="C65" s="3639"/>
      <c r="D65" s="3639"/>
      <c r="E65" s="3639"/>
      <c r="F65" s="3639"/>
      <c r="G65" s="3640"/>
      <c r="H65" s="3545"/>
      <c r="I65" s="3545"/>
      <c r="J65" s="3545"/>
      <c r="K65" s="3545"/>
      <c r="L65" s="3545"/>
      <c r="M65" s="3638"/>
      <c r="N65" s="3545"/>
      <c r="O65" s="3545"/>
      <c r="P65" s="3638"/>
      <c r="Q65" s="3638"/>
      <c r="R65" s="3545"/>
      <c r="S65" s="3638"/>
      <c r="T65" s="3638"/>
      <c r="U65" s="3639"/>
      <c r="V65" s="3639"/>
      <c r="W65" s="3640"/>
      <c r="X65" s="3545"/>
      <c r="Y65" s="3545"/>
      <c r="Z65" s="3545"/>
      <c r="AA65" s="3545"/>
      <c r="AB65" s="3545"/>
      <c r="AC65" s="3638"/>
      <c r="AD65" s="3545"/>
      <c r="AE65" s="3545"/>
      <c r="AF65" s="3638"/>
      <c r="AG65" s="3638"/>
      <c r="AH65" s="3642"/>
      <c r="AI65" s="3638"/>
      <c r="AJ65" s="3643">
        <f t="shared" si="210"/>
        <v>0</v>
      </c>
      <c r="AK65" s="3639"/>
      <c r="AL65" s="3633">
        <v>2500.2333621434746</v>
      </c>
      <c r="AM65" s="3633">
        <v>2913.7172583199126</v>
      </c>
      <c r="AN65" s="3545">
        <v>30</v>
      </c>
      <c r="AO65" s="3545">
        <v>8</v>
      </c>
      <c r="AP65" s="3638"/>
      <c r="AQ65" s="3638"/>
      <c r="AR65" s="3638"/>
      <c r="AS65" s="3639"/>
      <c r="AT65" s="3639"/>
      <c r="AU65" s="3640"/>
      <c r="AV65" s="3545"/>
      <c r="AW65" s="3545"/>
      <c r="AX65" s="3545"/>
      <c r="AY65" s="3545"/>
      <c r="AZ65" s="3545"/>
      <c r="BA65" s="3638"/>
      <c r="BB65" s="3545"/>
      <c r="BC65" s="3545"/>
      <c r="BD65" s="3643"/>
      <c r="BE65" s="3644"/>
      <c r="BF65" s="3545"/>
      <c r="BG65" s="3638"/>
      <c r="BH65" s="3638"/>
      <c r="BI65" s="3639"/>
      <c r="BJ65" s="3639"/>
      <c r="BK65" s="3640"/>
      <c r="BL65" s="3545"/>
      <c r="BM65" s="3545"/>
      <c r="BN65" s="3545"/>
      <c r="BO65" s="3545"/>
      <c r="BP65" s="3545"/>
      <c r="BQ65" s="3643"/>
      <c r="BR65" s="3545"/>
      <c r="BS65" s="3545"/>
      <c r="BT65" s="3638"/>
      <c r="BU65" s="3638"/>
      <c r="BV65" s="3642"/>
      <c r="BW65" s="3638"/>
      <c r="BX65" s="3638" t="str">
        <f t="shared" si="211"/>
        <v/>
      </c>
      <c r="BY65" s="3639"/>
      <c r="BZ65" s="3645">
        <v>1673.1689048355195</v>
      </c>
      <c r="CA65" s="3645">
        <v>1949.874434890339</v>
      </c>
      <c r="CB65" s="3545">
        <v>31.718069556437662</v>
      </c>
      <c r="CC65" s="3545">
        <v>8.4581518817167094</v>
      </c>
      <c r="CD65" s="3638"/>
      <c r="CE65" s="3638"/>
      <c r="CF65" s="3638"/>
      <c r="CG65" s="3639"/>
      <c r="CH65" s="3639" t="str">
        <f t="shared" si="143"/>
        <v/>
      </c>
      <c r="CI65" s="3640" t="str">
        <f t="shared" si="144"/>
        <v/>
      </c>
      <c r="CJ65" s="3646" t="str">
        <f t="shared" si="145"/>
        <v/>
      </c>
      <c r="CK65" s="3545" t="str">
        <f t="shared" si="146"/>
        <v/>
      </c>
      <c r="CL65" s="3545" t="str">
        <f t="shared" si="147"/>
        <v/>
      </c>
      <c r="CM65" s="3545" t="str">
        <f t="shared" si="148"/>
        <v/>
      </c>
      <c r="CN65" s="3545" t="str">
        <f t="shared" si="149"/>
        <v/>
      </c>
      <c r="CO65" s="3638" t="str">
        <f t="shared" si="150"/>
        <v/>
      </c>
      <c r="CP65" s="3545" t="str">
        <f t="shared" si="151"/>
        <v/>
      </c>
      <c r="CQ65" s="3545" t="str">
        <f t="shared" si="152"/>
        <v/>
      </c>
      <c r="CR65" s="3638" t="str">
        <f t="shared" si="153"/>
        <v/>
      </c>
      <c r="CS65" s="3638" t="str">
        <f t="shared" si="225"/>
        <v/>
      </c>
      <c r="CT65" s="3545" t="str">
        <f t="shared" si="225"/>
        <v/>
      </c>
      <c r="CU65" s="3638" t="str">
        <f t="shared" si="225"/>
        <v/>
      </c>
      <c r="CV65" s="3638"/>
      <c r="CW65" s="3639"/>
      <c r="CX65" s="3639" t="str">
        <f t="shared" si="155"/>
        <v/>
      </c>
      <c r="CY65" s="3640" t="str">
        <f t="shared" si="156"/>
        <v/>
      </c>
      <c r="CZ65" s="3646" t="str">
        <f t="shared" si="157"/>
        <v/>
      </c>
      <c r="DA65" s="3545" t="str">
        <f t="shared" si="158"/>
        <v/>
      </c>
      <c r="DB65" s="3545" t="str">
        <f t="shared" si="159"/>
        <v/>
      </c>
      <c r="DC65" s="3545" t="str">
        <f t="shared" si="160"/>
        <v/>
      </c>
      <c r="DD65" s="3545" t="str">
        <f t="shared" si="161"/>
        <v/>
      </c>
      <c r="DE65" s="3638" t="str">
        <f t="shared" si="162"/>
        <v/>
      </c>
      <c r="DF65" s="3545" t="str">
        <f t="shared" si="163"/>
        <v/>
      </c>
      <c r="DG65" s="3545" t="str">
        <f t="shared" si="164"/>
        <v/>
      </c>
      <c r="DH65" s="3638" t="str">
        <f t="shared" si="165"/>
        <v/>
      </c>
      <c r="DI65" s="3638" t="str">
        <f t="shared" si="226"/>
        <v/>
      </c>
      <c r="DJ65" s="3545" t="str">
        <f t="shared" si="226"/>
        <v/>
      </c>
      <c r="DK65" s="3638" t="str">
        <f t="shared" si="226"/>
        <v/>
      </c>
      <c r="DL65" s="3638" t="str">
        <f t="shared" si="226"/>
        <v/>
      </c>
      <c r="DN65" s="3645" t="str">
        <f t="shared" si="167"/>
        <v/>
      </c>
      <c r="DO65" s="3645" t="str">
        <f t="shared" si="168"/>
        <v/>
      </c>
      <c r="DP65" s="3645" t="str">
        <f t="shared" si="169"/>
        <v/>
      </c>
      <c r="DQ65" s="3645" t="str">
        <f t="shared" si="170"/>
        <v/>
      </c>
      <c r="DT65" s="3639" t="str">
        <f t="shared" si="171"/>
        <v/>
      </c>
      <c r="DU65" s="3640" t="str">
        <f t="shared" si="172"/>
        <v/>
      </c>
      <c r="DV65" s="3641" t="str">
        <f t="shared" si="173"/>
        <v/>
      </c>
      <c r="DW65" s="3641" t="str">
        <f t="shared" si="174"/>
        <v/>
      </c>
      <c r="DX65" s="3641"/>
      <c r="DY65" s="3641" t="str">
        <f t="shared" si="175"/>
        <v/>
      </c>
      <c r="DZ65" s="3641" t="str">
        <f t="shared" si="176"/>
        <v/>
      </c>
      <c r="EA65" s="3641" t="str">
        <f t="shared" si="177"/>
        <v/>
      </c>
      <c r="EB65" s="3641" t="str">
        <f>IF(N65=0,"0.00%",CP65/N65)</f>
        <v>0.00%</v>
      </c>
      <c r="EC65" s="3641" t="str">
        <f t="shared" si="230"/>
        <v/>
      </c>
      <c r="ED65" s="3641" t="str">
        <f t="shared" si="231"/>
        <v/>
      </c>
      <c r="EE65" s="3641" t="str">
        <f t="shared" si="227"/>
        <v/>
      </c>
      <c r="EF65" s="3641" t="str">
        <f t="shared" si="227"/>
        <v/>
      </c>
      <c r="EG65" s="3641" t="str">
        <f t="shared" si="227"/>
        <v/>
      </c>
      <c r="EJ65" s="3639" t="str">
        <f t="shared" si="179"/>
        <v/>
      </c>
      <c r="EK65" s="3640" t="str">
        <f t="shared" si="180"/>
        <v/>
      </c>
      <c r="EL65" s="3641" t="str">
        <f t="shared" si="181"/>
        <v/>
      </c>
      <c r="EM65" s="3641" t="str">
        <f t="shared" si="182"/>
        <v/>
      </c>
      <c r="EN65" s="3641"/>
      <c r="EO65" s="3641" t="str">
        <f t="shared" si="233"/>
        <v/>
      </c>
      <c r="EP65" s="3641" t="str">
        <f t="shared" si="234"/>
        <v/>
      </c>
      <c r="EQ65" s="3641" t="str">
        <f t="shared" si="235"/>
        <v/>
      </c>
      <c r="ER65" s="3641"/>
      <c r="ES65" s="3641" t="str">
        <f t="shared" si="236"/>
        <v/>
      </c>
      <c r="ET65" s="3641" t="str">
        <f t="shared" si="237"/>
        <v/>
      </c>
      <c r="EU65" s="3641" t="str">
        <f t="shared" si="228"/>
        <v/>
      </c>
      <c r="EV65" s="3641" t="str">
        <f t="shared" si="228"/>
        <v/>
      </c>
      <c r="EW65" s="3641" t="str">
        <f t="shared" si="228"/>
        <v/>
      </c>
      <c r="EY65" s="3639" t="str">
        <f t="shared" ref="EY65:EY76" si="238">IF(DM65=0, "",DM65)</f>
        <v/>
      </c>
      <c r="EZ65" s="3640" t="str">
        <f t="shared" ref="EZ65:EZ76" si="239">IF(DN65=0, "",DN65)</f>
        <v/>
      </c>
      <c r="FA65" s="3641" t="str">
        <f t="shared" ref="FA65:FA76" si="240">IF($H65=0,"",DO65/AM65)</f>
        <v/>
      </c>
      <c r="FB65" s="3641" t="str">
        <f t="shared" ref="FB65:FB76" si="241">IF($H65=0,"",DP65/AN65)</f>
        <v/>
      </c>
      <c r="FC65" s="3641"/>
      <c r="FD65" s="3641" t="str">
        <f t="shared" ref="FD65:FD76" si="242">IF($H65=0,"",DR65/AP65)</f>
        <v/>
      </c>
      <c r="FE65" s="3641" t="str">
        <f t="shared" ref="FE65:FE76" si="243">IF($H65=0,"",DS65/AQ65)</f>
        <v/>
      </c>
      <c r="FF65" s="3641" t="str">
        <f t="shared" ref="FF65:FF76" si="244">IF($H65=0,"",DT65/AR65)</f>
        <v/>
      </c>
      <c r="FG65" s="3641" t="str">
        <f>IF(AS65=0,"0.00%",DU65/AS65)</f>
        <v>0.00%</v>
      </c>
      <c r="FH65" s="3641" t="str">
        <f t="shared" ref="FH65:FH76" si="245">IF($P65=0,"",DV65/AT65)</f>
        <v/>
      </c>
      <c r="FI65" s="3641" t="str">
        <f t="shared" ref="FI65:FI76" si="246">IF($P65=0,"",DW65/AU65)</f>
        <v/>
      </c>
      <c r="FJ65" s="3641" t="str">
        <f t="shared" ref="FJ65:FJ67" si="247">IF($H65=0,"",DX65/AV65)</f>
        <v/>
      </c>
      <c r="FK65" s="3641" t="str">
        <f t="shared" ref="FK65:FK67" si="248">IF($H65=0,"",DY65/AW65)</f>
        <v/>
      </c>
      <c r="FL65" s="3641" t="str">
        <f t="shared" ref="FL65:FL67" si="249">IF($H65=0,"",DZ65/AX65)</f>
        <v/>
      </c>
      <c r="FO65" s="3639" t="str">
        <f t="shared" ref="FO65:FO76" si="250">IF(EC65=0, "",EC65)</f>
        <v/>
      </c>
      <c r="FP65" s="3640" t="str">
        <f t="shared" ref="FP65:FP76" si="251">IF(ED65=0, "",ED65)</f>
        <v/>
      </c>
      <c r="FQ65" s="3641" t="str">
        <f t="shared" ref="FQ65:FQ76" si="252">IF($H65=0,"",EE65/BC65)</f>
        <v/>
      </c>
      <c r="FR65" s="3641" t="str">
        <f t="shared" ref="FR65:FR76" si="253">IF($H65=0,"",EF65/BD65)</f>
        <v/>
      </c>
      <c r="FS65" s="3641"/>
      <c r="FT65" s="3641" t="str">
        <f t="shared" ref="FT65:FT76" si="254">IF($H65=0,"",EH65/BF65)</f>
        <v/>
      </c>
      <c r="FU65" s="3641" t="str">
        <f t="shared" ref="FU65:FU76" si="255">IF($H65=0,"",EI65/BG65)</f>
        <v/>
      </c>
      <c r="FV65" s="3641" t="str">
        <f t="shared" ref="FV65:FV76" si="256">IF($H65=0,"",EJ65/BH65)</f>
        <v/>
      </c>
      <c r="FW65" s="3641"/>
      <c r="FX65" s="3641" t="str">
        <f t="shared" ref="FX65:FX76" si="257">IF(FH65="","",EL65/BJ65)</f>
        <v/>
      </c>
      <c r="FY65" s="3641" t="str">
        <f t="shared" ref="FY65:FY76" si="258">IF(FI65="","",EM65/BK65)</f>
        <v/>
      </c>
      <c r="FZ65" s="3641" t="str">
        <f t="shared" ref="FZ65:FZ67" si="259">IF($H65=0,"",EN65/BL65)</f>
        <v/>
      </c>
      <c r="GA65" s="3641" t="str">
        <f t="shared" ref="GA65:GA67" si="260">IF($H65=0,"",EO65/BM65)</f>
        <v/>
      </c>
      <c r="GB65" s="3641" t="str">
        <f t="shared" ref="GB65:GB76" si="261">IF($H65=0,"",EP65/BN65)</f>
        <v/>
      </c>
    </row>
    <row r="66" spans="1:184" s="2332" customFormat="1">
      <c r="A66" s="1872"/>
      <c r="B66" s="1872"/>
      <c r="C66" s="1872"/>
      <c r="D66" s="2349"/>
      <c r="E66" s="1872"/>
      <c r="F66" s="2349"/>
      <c r="G66" s="2271"/>
      <c r="H66" s="2366"/>
      <c r="I66" s="2366"/>
      <c r="J66" s="2366"/>
      <c r="K66" s="2366"/>
      <c r="L66" s="2366"/>
      <c r="M66" s="2362"/>
      <c r="N66" s="2366"/>
      <c r="O66" s="2366"/>
      <c r="P66" s="2362"/>
      <c r="Q66" s="2362"/>
      <c r="R66" s="2366"/>
      <c r="S66" s="2362"/>
      <c r="T66" s="2362"/>
      <c r="U66" s="2390"/>
      <c r="V66" s="2349"/>
      <c r="W66" s="2271"/>
      <c r="X66" s="2366"/>
      <c r="Y66" s="2366"/>
      <c r="Z66" s="2366"/>
      <c r="AA66" s="2366"/>
      <c r="AB66" s="2366"/>
      <c r="AC66" s="2362"/>
      <c r="AD66" s="2366"/>
      <c r="AE66" s="2366"/>
      <c r="AF66" s="2362"/>
      <c r="AG66" s="2362"/>
      <c r="AI66" s="2362"/>
      <c r="AJ66" s="2362" t="str">
        <f>IF(W66=0,"",AI66/10)</f>
        <v/>
      </c>
      <c r="AK66" s="2349"/>
      <c r="AL66" s="3362"/>
      <c r="AM66" s="3362"/>
      <c r="AN66" s="2366"/>
      <c r="AO66" s="2366"/>
      <c r="AP66" s="2362"/>
      <c r="AQ66" s="2362"/>
      <c r="AR66" s="2362"/>
      <c r="AS66" s="2349"/>
      <c r="AT66" s="2349"/>
      <c r="AU66" s="2271"/>
      <c r="AV66" s="2366"/>
      <c r="AW66" s="2366"/>
      <c r="AX66" s="2366"/>
      <c r="AY66" s="2366"/>
      <c r="AZ66" s="2366"/>
      <c r="BA66" s="2362"/>
      <c r="BB66" s="2366"/>
      <c r="BC66" s="2366"/>
      <c r="BD66" s="3363"/>
      <c r="BE66" s="251"/>
      <c r="BF66" s="2366"/>
      <c r="BG66" s="2362"/>
      <c r="BH66" s="2362"/>
      <c r="BI66" s="2390"/>
      <c r="BJ66" s="2349"/>
      <c r="BK66" s="2271"/>
      <c r="BL66" s="2366"/>
      <c r="BM66" s="2366"/>
      <c r="BN66" s="2366"/>
      <c r="BO66" s="2366"/>
      <c r="BP66" s="2366"/>
      <c r="BQ66" s="3363"/>
      <c r="BR66" s="2366"/>
      <c r="BS66" s="2366"/>
      <c r="BT66" s="2362"/>
      <c r="BU66" s="2362"/>
      <c r="BW66" s="2362"/>
      <c r="BX66" s="2362" t="str">
        <f t="shared" si="211"/>
        <v/>
      </c>
      <c r="BY66" s="2349"/>
      <c r="BZ66" s="2366"/>
      <c r="CA66" s="2366"/>
      <c r="CB66" s="2366"/>
      <c r="CC66" s="2366"/>
      <c r="CD66" s="2362"/>
      <c r="CE66" s="2362"/>
      <c r="CF66" s="2362"/>
      <c r="CG66" s="2349"/>
      <c r="CH66" s="2349" t="str">
        <f t="shared" si="143"/>
        <v/>
      </c>
      <c r="CI66" s="2271" t="str">
        <f t="shared" si="144"/>
        <v/>
      </c>
      <c r="CJ66" s="3364" t="str">
        <f t="shared" si="145"/>
        <v/>
      </c>
      <c r="CK66" s="2366" t="str">
        <f t="shared" si="146"/>
        <v/>
      </c>
      <c r="CL66" s="2366" t="str">
        <f t="shared" si="147"/>
        <v/>
      </c>
      <c r="CM66" s="2366" t="str">
        <f t="shared" si="148"/>
        <v/>
      </c>
      <c r="CN66" s="2366" t="str">
        <f t="shared" si="149"/>
        <v/>
      </c>
      <c r="CO66" s="2362" t="str">
        <f t="shared" si="150"/>
        <v/>
      </c>
      <c r="CP66" s="2366" t="str">
        <f t="shared" si="151"/>
        <v/>
      </c>
      <c r="CQ66" s="2366" t="str">
        <f t="shared" si="152"/>
        <v/>
      </c>
      <c r="CR66" s="2362" t="str">
        <f t="shared" si="153"/>
        <v/>
      </c>
      <c r="CS66" s="2362" t="str">
        <f t="shared" si="225"/>
        <v/>
      </c>
      <c r="CT66" s="2366" t="str">
        <f t="shared" si="225"/>
        <v/>
      </c>
      <c r="CU66" s="2362" t="str">
        <f t="shared" si="225"/>
        <v/>
      </c>
      <c r="CV66" s="2362"/>
      <c r="CW66" s="2390"/>
      <c r="CX66" s="2349" t="str">
        <f t="shared" si="155"/>
        <v/>
      </c>
      <c r="CY66" s="2271" t="str">
        <f t="shared" si="156"/>
        <v/>
      </c>
      <c r="CZ66" s="3364" t="str">
        <f t="shared" si="157"/>
        <v/>
      </c>
      <c r="DA66" s="2366" t="str">
        <f t="shared" si="158"/>
        <v/>
      </c>
      <c r="DB66" s="2366" t="str">
        <f t="shared" si="159"/>
        <v/>
      </c>
      <c r="DC66" s="2366" t="str">
        <f t="shared" si="160"/>
        <v/>
      </c>
      <c r="DD66" s="2366" t="str">
        <f t="shared" si="161"/>
        <v/>
      </c>
      <c r="DE66" s="2362" t="str">
        <f t="shared" si="162"/>
        <v/>
      </c>
      <c r="DF66" s="2366" t="str">
        <f t="shared" si="163"/>
        <v/>
      </c>
      <c r="DG66" s="2366" t="str">
        <f t="shared" si="164"/>
        <v/>
      </c>
      <c r="DH66" s="2362" t="str">
        <f t="shared" si="165"/>
        <v/>
      </c>
      <c r="DI66" s="2362" t="str">
        <f t="shared" si="226"/>
        <v/>
      </c>
      <c r="DJ66" s="2366" t="str">
        <f t="shared" si="226"/>
        <v/>
      </c>
      <c r="DK66" s="2362" t="str">
        <f t="shared" si="226"/>
        <v/>
      </c>
      <c r="DL66" s="2362" t="str">
        <f t="shared" si="226"/>
        <v/>
      </c>
      <c r="DN66" s="3365" t="str">
        <f t="shared" si="167"/>
        <v/>
      </c>
      <c r="DO66" s="3365" t="str">
        <f t="shared" si="168"/>
        <v/>
      </c>
      <c r="DP66" s="3365" t="str">
        <f t="shared" si="169"/>
        <v/>
      </c>
      <c r="DQ66" s="3365" t="str">
        <f t="shared" si="170"/>
        <v/>
      </c>
      <c r="DT66" s="2349" t="str">
        <f t="shared" si="171"/>
        <v/>
      </c>
      <c r="DU66" s="2271" t="str">
        <f t="shared" si="172"/>
        <v/>
      </c>
      <c r="DV66" s="2622" t="str">
        <f t="shared" si="173"/>
        <v/>
      </c>
      <c r="DW66" s="2622" t="str">
        <f t="shared" si="174"/>
        <v/>
      </c>
      <c r="DX66" s="2622"/>
      <c r="DY66" s="2622" t="str">
        <f t="shared" si="175"/>
        <v/>
      </c>
      <c r="DZ66" s="2622" t="str">
        <f t="shared" si="176"/>
        <v/>
      </c>
      <c r="EA66" s="2622" t="str">
        <f t="shared" si="177"/>
        <v/>
      </c>
      <c r="EB66" s="2622" t="str">
        <f t="shared" ref="EB66:EB76" si="262">IF($N66=0,"",CP66/N66)</f>
        <v/>
      </c>
      <c r="EC66" s="2622" t="str">
        <f t="shared" si="230"/>
        <v/>
      </c>
      <c r="ED66" s="2622" t="str">
        <f t="shared" si="231"/>
        <v/>
      </c>
      <c r="EE66" s="2622" t="str">
        <f t="shared" si="227"/>
        <v/>
      </c>
      <c r="EF66" s="2622" t="str">
        <f t="shared" si="227"/>
        <v/>
      </c>
      <c r="EG66" s="2622" t="str">
        <f t="shared" si="227"/>
        <v/>
      </c>
      <c r="EJ66" s="2349" t="str">
        <f t="shared" si="179"/>
        <v/>
      </c>
      <c r="EK66" s="2271" t="str">
        <f t="shared" si="180"/>
        <v/>
      </c>
      <c r="EL66" s="2622" t="str">
        <f t="shared" si="181"/>
        <v/>
      </c>
      <c r="EM66" s="2622" t="str">
        <f t="shared" si="182"/>
        <v/>
      </c>
      <c r="EN66" s="2622"/>
      <c r="EO66" s="2622" t="str">
        <f t="shared" si="233"/>
        <v/>
      </c>
      <c r="EP66" s="2622" t="str">
        <f t="shared" si="234"/>
        <v/>
      </c>
      <c r="EQ66" s="2622" t="str">
        <f t="shared" si="235"/>
        <v/>
      </c>
      <c r="ER66" s="2622" t="str">
        <f t="shared" ref="ER66:ER76" si="263">IF(EB66="","",DF66/AD66)</f>
        <v/>
      </c>
      <c r="ES66" s="2622" t="str">
        <f t="shared" si="236"/>
        <v/>
      </c>
      <c r="ET66" s="2622" t="str">
        <f t="shared" si="237"/>
        <v/>
      </c>
      <c r="EU66" s="2622" t="str">
        <f t="shared" si="228"/>
        <v/>
      </c>
      <c r="EV66" s="2622" t="str">
        <f t="shared" si="228"/>
        <v/>
      </c>
      <c r="EW66" s="2622" t="str">
        <f t="shared" si="228"/>
        <v/>
      </c>
      <c r="EY66" s="2349" t="str">
        <f t="shared" si="238"/>
        <v/>
      </c>
      <c r="EZ66" s="2271" t="str">
        <f t="shared" si="239"/>
        <v/>
      </c>
      <c r="FA66" s="2622" t="str">
        <f t="shared" si="240"/>
        <v/>
      </c>
      <c r="FB66" s="2622" t="str">
        <f t="shared" si="241"/>
        <v/>
      </c>
      <c r="FC66" s="2622"/>
      <c r="FD66" s="2622" t="str">
        <f t="shared" si="242"/>
        <v/>
      </c>
      <c r="FE66" s="2622" t="str">
        <f t="shared" si="243"/>
        <v/>
      </c>
      <c r="FF66" s="2622" t="str">
        <f t="shared" si="244"/>
        <v/>
      </c>
      <c r="FG66" s="2622" t="str">
        <f t="shared" ref="FG66:FG76" si="264">IF($N66=0,"",DU66/AS66)</f>
        <v/>
      </c>
      <c r="FH66" s="2622" t="str">
        <f t="shared" si="245"/>
        <v/>
      </c>
      <c r="FI66" s="2622" t="str">
        <f t="shared" si="246"/>
        <v/>
      </c>
      <c r="FJ66" s="2622" t="str">
        <f t="shared" si="247"/>
        <v/>
      </c>
      <c r="FK66" s="2622" t="str">
        <f t="shared" si="248"/>
        <v/>
      </c>
      <c r="FL66" s="2622" t="str">
        <f t="shared" si="249"/>
        <v/>
      </c>
      <c r="FO66" s="2349" t="str">
        <f t="shared" si="250"/>
        <v/>
      </c>
      <c r="FP66" s="2271" t="str">
        <f t="shared" si="251"/>
        <v/>
      </c>
      <c r="FQ66" s="2622" t="str">
        <f t="shared" si="252"/>
        <v/>
      </c>
      <c r="FR66" s="2622" t="str">
        <f t="shared" si="253"/>
        <v/>
      </c>
      <c r="FS66" s="2622"/>
      <c r="FT66" s="2622" t="str">
        <f t="shared" si="254"/>
        <v/>
      </c>
      <c r="FU66" s="2622" t="str">
        <f t="shared" si="255"/>
        <v/>
      </c>
      <c r="FV66" s="2622" t="str">
        <f t="shared" si="256"/>
        <v/>
      </c>
      <c r="FW66" s="2622" t="str">
        <f t="shared" ref="FW66:FW76" si="265">IF(FG66="","",EK66/BI66)</f>
        <v/>
      </c>
      <c r="FX66" s="2622" t="str">
        <f t="shared" si="257"/>
        <v/>
      </c>
      <c r="FY66" s="2622" t="str">
        <f t="shared" si="258"/>
        <v/>
      </c>
      <c r="FZ66" s="2622" t="str">
        <f t="shared" si="259"/>
        <v/>
      </c>
      <c r="GA66" s="2622" t="str">
        <f t="shared" si="260"/>
        <v/>
      </c>
      <c r="GB66" s="2622" t="str">
        <f t="shared" si="261"/>
        <v/>
      </c>
    </row>
    <row r="67" spans="1:184" s="2332" customFormat="1">
      <c r="A67" s="1872"/>
      <c r="B67" s="1872"/>
      <c r="C67" s="1872"/>
      <c r="D67" s="2349"/>
      <c r="E67" s="1872"/>
      <c r="F67" s="2349"/>
      <c r="G67" s="2271"/>
      <c r="H67" s="2366"/>
      <c r="I67" s="2366"/>
      <c r="J67" s="2366"/>
      <c r="K67" s="2366"/>
      <c r="L67" s="2366"/>
      <c r="M67" s="2362"/>
      <c r="N67" s="2366"/>
      <c r="O67" s="2366"/>
      <c r="P67" s="2362"/>
      <c r="Q67" s="2362"/>
      <c r="R67" s="2366"/>
      <c r="S67" s="2362"/>
      <c r="T67" s="2362"/>
      <c r="U67" s="2390"/>
      <c r="V67" s="2349"/>
      <c r="W67" s="2271"/>
      <c r="X67" s="2366"/>
      <c r="Y67" s="2366"/>
      <c r="Z67" s="2366"/>
      <c r="AA67" s="2366"/>
      <c r="AB67" s="2366"/>
      <c r="AC67" s="2362"/>
      <c r="AD67" s="2366"/>
      <c r="AE67" s="2366"/>
      <c r="AF67" s="2362"/>
      <c r="AG67" s="2362"/>
      <c r="AI67" s="2362"/>
      <c r="AJ67" s="2362" t="str">
        <f>IF(W67=0,"",AI67/10)</f>
        <v/>
      </c>
      <c r="AK67" s="2349"/>
      <c r="AL67" s="3362"/>
      <c r="AM67" s="3362"/>
      <c r="AN67" s="2366"/>
      <c r="AO67" s="2366"/>
      <c r="AP67" s="2362"/>
      <c r="AQ67" s="2362"/>
      <c r="AR67" s="2362"/>
      <c r="AS67" s="2349"/>
      <c r="AT67" s="2349"/>
      <c r="AU67" s="2271"/>
      <c r="AV67" s="2366"/>
      <c r="AW67" s="2366"/>
      <c r="AX67" s="2366"/>
      <c r="AY67" s="2366"/>
      <c r="AZ67" s="2366"/>
      <c r="BA67" s="2362"/>
      <c r="BB67" s="2366"/>
      <c r="BC67" s="2366"/>
      <c r="BD67" s="3363"/>
      <c r="BE67" s="251"/>
      <c r="BF67" s="2366"/>
      <c r="BG67" s="2362"/>
      <c r="BH67" s="2362"/>
      <c r="BI67" s="2390"/>
      <c r="BJ67" s="2349"/>
      <c r="BK67" s="2271"/>
      <c r="BL67" s="2366"/>
      <c r="BM67" s="2366"/>
      <c r="BN67" s="2366"/>
      <c r="BO67" s="2366"/>
      <c r="BP67" s="2366"/>
      <c r="BQ67" s="3363"/>
      <c r="BR67" s="2366"/>
      <c r="BS67" s="2366"/>
      <c r="BT67" s="2362"/>
      <c r="BU67" s="2362"/>
      <c r="BW67" s="2362"/>
      <c r="BX67" s="2362" t="str">
        <f t="shared" si="211"/>
        <v/>
      </c>
      <c r="BY67" s="2349"/>
      <c r="BZ67" s="2366"/>
      <c r="CA67" s="2366"/>
      <c r="CB67" s="2366"/>
      <c r="CC67" s="2366"/>
      <c r="CD67" s="2362"/>
      <c r="CE67" s="2362"/>
      <c r="CF67" s="2362"/>
      <c r="CG67" s="2349"/>
      <c r="CH67" s="2349" t="str">
        <f t="shared" si="143"/>
        <v/>
      </c>
      <c r="CI67" s="2271" t="str">
        <f t="shared" si="144"/>
        <v/>
      </c>
      <c r="CJ67" s="3364" t="str">
        <f t="shared" si="145"/>
        <v/>
      </c>
      <c r="CK67" s="2366" t="str">
        <f t="shared" si="146"/>
        <v/>
      </c>
      <c r="CL67" s="2366" t="str">
        <f t="shared" si="147"/>
        <v/>
      </c>
      <c r="CM67" s="2366" t="str">
        <f t="shared" si="148"/>
        <v/>
      </c>
      <c r="CN67" s="2366" t="str">
        <f t="shared" si="149"/>
        <v/>
      </c>
      <c r="CO67" s="2362" t="str">
        <f t="shared" si="150"/>
        <v/>
      </c>
      <c r="CP67" s="2366" t="str">
        <f t="shared" si="151"/>
        <v/>
      </c>
      <c r="CQ67" s="2366" t="str">
        <f t="shared" si="152"/>
        <v/>
      </c>
      <c r="CR67" s="2362" t="str">
        <f t="shared" si="153"/>
        <v/>
      </c>
      <c r="CS67" s="2362" t="str">
        <f t="shared" si="225"/>
        <v/>
      </c>
      <c r="CT67" s="2366" t="str">
        <f t="shared" si="225"/>
        <v/>
      </c>
      <c r="CU67" s="2362" t="str">
        <f t="shared" si="225"/>
        <v/>
      </c>
      <c r="CV67" s="2362"/>
      <c r="CW67" s="2390"/>
      <c r="CX67" s="2349" t="str">
        <f t="shared" si="155"/>
        <v/>
      </c>
      <c r="CY67" s="2271" t="str">
        <f t="shared" si="156"/>
        <v/>
      </c>
      <c r="CZ67" s="3364" t="str">
        <f t="shared" si="157"/>
        <v/>
      </c>
      <c r="DA67" s="2366" t="str">
        <f t="shared" si="158"/>
        <v/>
      </c>
      <c r="DB67" s="2366" t="str">
        <f t="shared" si="159"/>
        <v/>
      </c>
      <c r="DC67" s="2366" t="str">
        <f t="shared" si="160"/>
        <v/>
      </c>
      <c r="DD67" s="2366" t="str">
        <f t="shared" si="161"/>
        <v/>
      </c>
      <c r="DE67" s="2362" t="str">
        <f t="shared" si="162"/>
        <v/>
      </c>
      <c r="DF67" s="2366" t="str">
        <f t="shared" si="163"/>
        <v/>
      </c>
      <c r="DG67" s="2366" t="str">
        <f t="shared" si="164"/>
        <v/>
      </c>
      <c r="DH67" s="2362" t="str">
        <f t="shared" si="165"/>
        <v/>
      </c>
      <c r="DI67" s="2362" t="str">
        <f t="shared" si="226"/>
        <v/>
      </c>
      <c r="DJ67" s="2366" t="str">
        <f t="shared" si="226"/>
        <v/>
      </c>
      <c r="DK67" s="2362" t="str">
        <f t="shared" si="226"/>
        <v/>
      </c>
      <c r="DL67" s="2362" t="str">
        <f t="shared" si="226"/>
        <v/>
      </c>
      <c r="DN67" s="3365" t="str">
        <f t="shared" si="167"/>
        <v/>
      </c>
      <c r="DO67" s="3365" t="str">
        <f t="shared" si="168"/>
        <v/>
      </c>
      <c r="DP67" s="3365" t="str">
        <f t="shared" si="169"/>
        <v/>
      </c>
      <c r="DQ67" s="3365" t="str">
        <f t="shared" si="170"/>
        <v/>
      </c>
      <c r="DT67" s="2349" t="str">
        <f t="shared" si="171"/>
        <v/>
      </c>
      <c r="DU67" s="2271" t="str">
        <f t="shared" si="172"/>
        <v/>
      </c>
      <c r="DV67" s="2622" t="str">
        <f t="shared" si="173"/>
        <v/>
      </c>
      <c r="DW67" s="2622" t="str">
        <f t="shared" si="174"/>
        <v/>
      </c>
      <c r="DX67" s="2622"/>
      <c r="DY67" s="2622" t="str">
        <f t="shared" si="175"/>
        <v/>
      </c>
      <c r="DZ67" s="2622" t="str">
        <f t="shared" si="176"/>
        <v/>
      </c>
      <c r="EA67" s="2622" t="str">
        <f t="shared" si="177"/>
        <v/>
      </c>
      <c r="EB67" s="2622" t="str">
        <f t="shared" si="262"/>
        <v/>
      </c>
      <c r="EC67" s="2622" t="str">
        <f t="shared" si="230"/>
        <v/>
      </c>
      <c r="ED67" s="2622" t="str">
        <f t="shared" si="231"/>
        <v/>
      </c>
      <c r="EE67" s="2622" t="str">
        <f t="shared" si="227"/>
        <v/>
      </c>
      <c r="EF67" s="2622" t="str">
        <f t="shared" si="227"/>
        <v/>
      </c>
      <c r="EG67" s="2622" t="str">
        <f t="shared" si="227"/>
        <v/>
      </c>
      <c r="EJ67" s="2349" t="str">
        <f t="shared" si="179"/>
        <v/>
      </c>
      <c r="EK67" s="2271" t="str">
        <f t="shared" si="180"/>
        <v/>
      </c>
      <c r="EL67" s="2622" t="str">
        <f t="shared" si="181"/>
        <v/>
      </c>
      <c r="EM67" s="2622" t="str">
        <f t="shared" si="182"/>
        <v/>
      </c>
      <c r="EN67" s="2622"/>
      <c r="EO67" s="2622" t="str">
        <f t="shared" si="233"/>
        <v/>
      </c>
      <c r="EP67" s="2622" t="str">
        <f t="shared" si="234"/>
        <v/>
      </c>
      <c r="EQ67" s="2622" t="str">
        <f t="shared" si="235"/>
        <v/>
      </c>
      <c r="ER67" s="2622" t="str">
        <f t="shared" si="263"/>
        <v/>
      </c>
      <c r="ES67" s="2622" t="str">
        <f t="shared" si="236"/>
        <v/>
      </c>
      <c r="ET67" s="2622" t="str">
        <f t="shared" si="237"/>
        <v/>
      </c>
      <c r="EU67" s="2622" t="str">
        <f t="shared" si="228"/>
        <v/>
      </c>
      <c r="EV67" s="2622" t="str">
        <f t="shared" si="228"/>
        <v/>
      </c>
      <c r="EW67" s="2622" t="str">
        <f t="shared" si="228"/>
        <v/>
      </c>
      <c r="EY67" s="2349" t="str">
        <f t="shared" si="238"/>
        <v/>
      </c>
      <c r="EZ67" s="2271" t="str">
        <f t="shared" si="239"/>
        <v/>
      </c>
      <c r="FA67" s="2622" t="str">
        <f t="shared" si="240"/>
        <v/>
      </c>
      <c r="FB67" s="2622" t="str">
        <f t="shared" si="241"/>
        <v/>
      </c>
      <c r="FC67" s="2622"/>
      <c r="FD67" s="2622" t="str">
        <f t="shared" si="242"/>
        <v/>
      </c>
      <c r="FE67" s="2622" t="str">
        <f t="shared" si="243"/>
        <v/>
      </c>
      <c r="FF67" s="2622" t="str">
        <f t="shared" si="244"/>
        <v/>
      </c>
      <c r="FG67" s="2622" t="str">
        <f t="shared" si="264"/>
        <v/>
      </c>
      <c r="FH67" s="2622" t="str">
        <f t="shared" si="245"/>
        <v/>
      </c>
      <c r="FI67" s="2622" t="str">
        <f t="shared" si="246"/>
        <v/>
      </c>
      <c r="FJ67" s="2622" t="str">
        <f t="shared" si="247"/>
        <v/>
      </c>
      <c r="FK67" s="2622" t="str">
        <f t="shared" si="248"/>
        <v/>
      </c>
      <c r="FL67" s="2622" t="str">
        <f t="shared" si="249"/>
        <v/>
      </c>
      <c r="FO67" s="2349" t="str">
        <f t="shared" si="250"/>
        <v/>
      </c>
      <c r="FP67" s="2271" t="str">
        <f t="shared" si="251"/>
        <v/>
      </c>
      <c r="FQ67" s="2622" t="str">
        <f t="shared" si="252"/>
        <v/>
      </c>
      <c r="FR67" s="2622" t="str">
        <f t="shared" si="253"/>
        <v/>
      </c>
      <c r="FS67" s="2622"/>
      <c r="FT67" s="2622" t="str">
        <f t="shared" si="254"/>
        <v/>
      </c>
      <c r="FU67" s="2622" t="str">
        <f t="shared" si="255"/>
        <v/>
      </c>
      <c r="FV67" s="2622" t="str">
        <f t="shared" si="256"/>
        <v/>
      </c>
      <c r="FW67" s="2622" t="str">
        <f t="shared" si="265"/>
        <v/>
      </c>
      <c r="FX67" s="2622" t="str">
        <f t="shared" si="257"/>
        <v/>
      </c>
      <c r="FY67" s="2622" t="str">
        <f t="shared" si="258"/>
        <v/>
      </c>
      <c r="FZ67" s="2622" t="str">
        <f t="shared" si="259"/>
        <v/>
      </c>
      <c r="GA67" s="2622" t="str">
        <f t="shared" si="260"/>
        <v/>
      </c>
      <c r="GB67" s="2622" t="str">
        <f t="shared" si="261"/>
        <v/>
      </c>
    </row>
    <row r="68" spans="1:184" s="2332" customFormat="1">
      <c r="A68" s="2590"/>
      <c r="B68" s="2590"/>
      <c r="C68" s="2590"/>
      <c r="D68" s="2349"/>
      <c r="E68" s="2590"/>
      <c r="F68" s="2349"/>
      <c r="G68" s="2271"/>
      <c r="H68" s="2366"/>
      <c r="I68" s="2366"/>
      <c r="J68" s="2366"/>
      <c r="K68" s="2366"/>
      <c r="L68" s="2366"/>
      <c r="M68" s="2362"/>
      <c r="N68" s="2366"/>
      <c r="O68" s="2366"/>
      <c r="P68" s="2362"/>
      <c r="Q68" s="2362"/>
      <c r="R68" s="2362"/>
      <c r="S68" s="2362"/>
      <c r="T68" s="2362"/>
      <c r="U68" s="2390"/>
      <c r="V68" s="2349"/>
      <c r="W68" s="2271"/>
      <c r="X68" s="2366"/>
      <c r="Y68" s="2366"/>
      <c r="Z68" s="2366"/>
      <c r="AA68" s="2366"/>
      <c r="AB68" s="2366"/>
      <c r="AC68" s="2362"/>
      <c r="AD68" s="2366"/>
      <c r="AE68" s="2366"/>
      <c r="AF68" s="2362"/>
      <c r="AG68" s="2362"/>
      <c r="AI68" s="2362"/>
      <c r="AJ68" s="2362"/>
      <c r="AK68" s="2349"/>
      <c r="AL68" s="3362"/>
      <c r="AM68" s="3362"/>
      <c r="AN68" s="2366"/>
      <c r="AO68" s="2366"/>
      <c r="AP68" s="2362"/>
      <c r="AQ68" s="2362"/>
      <c r="AR68" s="2362"/>
      <c r="AS68" s="2349"/>
      <c r="AT68" s="2349"/>
      <c r="AU68" s="2271"/>
      <c r="AV68" s="2366"/>
      <c r="AW68" s="2366"/>
      <c r="AX68" s="2366"/>
      <c r="AY68" s="2366"/>
      <c r="AZ68" s="2366"/>
      <c r="BA68" s="2362"/>
      <c r="BB68" s="2366"/>
      <c r="BC68" s="2366"/>
      <c r="BD68" s="3363"/>
      <c r="BE68" s="251"/>
      <c r="BF68" s="2362"/>
      <c r="BG68" s="2362"/>
      <c r="BH68" s="2362"/>
      <c r="BI68" s="2390"/>
      <c r="BJ68" s="2349"/>
      <c r="BK68" s="2271"/>
      <c r="BL68" s="2366"/>
      <c r="BM68" s="2366"/>
      <c r="BN68" s="2366"/>
      <c r="BO68" s="2366"/>
      <c r="BP68" s="2366"/>
      <c r="BQ68" s="3363"/>
      <c r="BR68" s="2366"/>
      <c r="BS68" s="2366"/>
      <c r="BT68" s="2362"/>
      <c r="BU68" s="2362"/>
      <c r="BW68" s="2362"/>
      <c r="BX68" s="2362"/>
      <c r="BY68" s="2349"/>
      <c r="BZ68" s="2366"/>
      <c r="CA68" s="2366"/>
      <c r="CB68" s="2366"/>
      <c r="CC68" s="2366"/>
      <c r="CD68" s="2362"/>
      <c r="CE68" s="2362"/>
      <c r="CF68" s="2362"/>
      <c r="CG68" s="2349"/>
      <c r="CH68" s="2349" t="str">
        <f t="shared" si="143"/>
        <v/>
      </c>
      <c r="CI68" s="2271" t="str">
        <f t="shared" si="144"/>
        <v/>
      </c>
      <c r="CJ68" s="3364" t="str">
        <f t="shared" si="145"/>
        <v/>
      </c>
      <c r="CK68" s="2366" t="str">
        <f t="shared" si="146"/>
        <v/>
      </c>
      <c r="CL68" s="2366" t="str">
        <f t="shared" si="147"/>
        <v/>
      </c>
      <c r="CM68" s="2366" t="str">
        <f t="shared" si="148"/>
        <v/>
      </c>
      <c r="CN68" s="2366" t="str">
        <f t="shared" si="149"/>
        <v/>
      </c>
      <c r="CO68" s="2362" t="str">
        <f t="shared" si="150"/>
        <v/>
      </c>
      <c r="CP68" s="2366" t="str">
        <f t="shared" si="151"/>
        <v/>
      </c>
      <c r="CQ68" s="2366" t="str">
        <f t="shared" si="152"/>
        <v/>
      </c>
      <c r="CR68" s="2362" t="str">
        <f t="shared" si="153"/>
        <v/>
      </c>
      <c r="CS68" s="2362"/>
      <c r="CT68" s="2362" t="str">
        <f t="shared" ref="CT68:CT76" si="266">IF($G68=0,"",BF68-Q68)</f>
        <v/>
      </c>
      <c r="CU68" s="2362" t="str">
        <f t="shared" ref="CU68:CU76" si="267">IF($G68=0,"",BG68-R68)</f>
        <v/>
      </c>
      <c r="CV68" s="2362"/>
      <c r="CW68" s="2390"/>
      <c r="CX68" s="2349" t="str">
        <f t="shared" si="155"/>
        <v/>
      </c>
      <c r="CY68" s="2271" t="str">
        <f t="shared" si="156"/>
        <v/>
      </c>
      <c r="CZ68" s="3364" t="str">
        <f t="shared" si="157"/>
        <v/>
      </c>
      <c r="DA68" s="2366" t="str">
        <f t="shared" si="158"/>
        <v/>
      </c>
      <c r="DB68" s="2366" t="str">
        <f t="shared" si="159"/>
        <v/>
      </c>
      <c r="DC68" s="2366" t="str">
        <f t="shared" si="160"/>
        <v/>
      </c>
      <c r="DD68" s="2366" t="str">
        <f t="shared" si="161"/>
        <v/>
      </c>
      <c r="DE68" s="2362" t="str">
        <f t="shared" si="162"/>
        <v/>
      </c>
      <c r="DF68" s="2366" t="str">
        <f t="shared" si="163"/>
        <v/>
      </c>
      <c r="DG68" s="2366" t="str">
        <f t="shared" si="164"/>
        <v/>
      </c>
      <c r="DH68" s="2362" t="str">
        <f t="shared" si="165"/>
        <v/>
      </c>
      <c r="DI68" s="2362"/>
      <c r="DJ68" s="2362" t="str">
        <f t="shared" ref="DJ68:DJ76" si="268">IF($G68=0,"",BU68-AG68)</f>
        <v/>
      </c>
      <c r="DK68" s="2362" t="str">
        <f t="shared" ref="DK68:DK76" si="269">IF($G68=0,"",BW68-AI68)</f>
        <v/>
      </c>
      <c r="DL68" s="2362" t="str">
        <f t="shared" ref="DL68:DL76" si="270">IF($G68=0,"",DK68/10)</f>
        <v/>
      </c>
      <c r="DN68" s="3365" t="str">
        <f t="shared" si="167"/>
        <v/>
      </c>
      <c r="DO68" s="3365" t="str">
        <f t="shared" si="168"/>
        <v/>
      </c>
      <c r="DP68" s="3365" t="str">
        <f t="shared" si="169"/>
        <v/>
      </c>
      <c r="DQ68" s="3365" t="str">
        <f t="shared" si="170"/>
        <v/>
      </c>
      <c r="DT68" s="2349" t="str">
        <f t="shared" si="171"/>
        <v/>
      </c>
      <c r="DU68" s="2271" t="str">
        <f t="shared" si="172"/>
        <v/>
      </c>
      <c r="DV68" s="2622" t="str">
        <f t="shared" si="173"/>
        <v/>
      </c>
      <c r="DW68" s="2622" t="str">
        <f t="shared" si="174"/>
        <v/>
      </c>
      <c r="DX68" s="2622"/>
      <c r="DY68" s="2622" t="str">
        <f t="shared" si="175"/>
        <v/>
      </c>
      <c r="DZ68" s="2622" t="str">
        <f t="shared" si="176"/>
        <v/>
      </c>
      <c r="EA68" s="2622" t="str">
        <f t="shared" si="177"/>
        <v/>
      </c>
      <c r="EB68" s="2622" t="str">
        <f t="shared" si="262"/>
        <v/>
      </c>
      <c r="EC68" s="2622" t="str">
        <f t="shared" si="230"/>
        <v/>
      </c>
      <c r="ED68" s="2622" t="str">
        <f t="shared" si="231"/>
        <v/>
      </c>
      <c r="EE68" s="2622"/>
      <c r="EF68" s="2622" t="str">
        <f t="shared" ref="EF68:EF76" si="271">IF($H68=0,"",CT68/Q68)</f>
        <v/>
      </c>
      <c r="EG68" s="2622" t="str">
        <f t="shared" ref="EG68:EG76" si="272">IF($H68=0,"",CU68/R68)</f>
        <v/>
      </c>
      <c r="EJ68" s="2349" t="str">
        <f t="shared" si="179"/>
        <v/>
      </c>
      <c r="EK68" s="2271" t="str">
        <f t="shared" si="180"/>
        <v/>
      </c>
      <c r="EL68" s="2622" t="str">
        <f t="shared" si="181"/>
        <v/>
      </c>
      <c r="EM68" s="2622" t="str">
        <f t="shared" si="182"/>
        <v/>
      </c>
      <c r="EN68" s="2622"/>
      <c r="EO68" s="2622" t="str">
        <f t="shared" si="233"/>
        <v/>
      </c>
      <c r="EP68" s="2622" t="str">
        <f t="shared" si="234"/>
        <v/>
      </c>
      <c r="EQ68" s="2622" t="str">
        <f t="shared" si="235"/>
        <v/>
      </c>
      <c r="ER68" s="2622" t="str">
        <f t="shared" si="263"/>
        <v/>
      </c>
      <c r="ES68" s="2622" t="str">
        <f t="shared" si="236"/>
        <v/>
      </c>
      <c r="ET68" s="2622" t="str">
        <f t="shared" si="237"/>
        <v/>
      </c>
      <c r="EU68" s="2622"/>
      <c r="EV68" s="2622" t="str">
        <f t="shared" ref="EV68:EV76" si="273">IF($H68=0,"",DJ68/AG68)</f>
        <v/>
      </c>
      <c r="EW68" s="2622" t="str">
        <f t="shared" ref="EW68:EW76" si="274">IF($H68=0,"",DK68/AI68)</f>
        <v/>
      </c>
      <c r="EY68" s="2349" t="str">
        <f t="shared" si="238"/>
        <v/>
      </c>
      <c r="EZ68" s="2271" t="str">
        <f t="shared" si="239"/>
        <v/>
      </c>
      <c r="FA68" s="2622" t="str">
        <f t="shared" si="240"/>
        <v/>
      </c>
      <c r="FB68" s="2622" t="str">
        <f t="shared" si="241"/>
        <v/>
      </c>
      <c r="FC68" s="2622"/>
      <c r="FD68" s="2622" t="str">
        <f t="shared" si="242"/>
        <v/>
      </c>
      <c r="FE68" s="2622" t="str">
        <f t="shared" si="243"/>
        <v/>
      </c>
      <c r="FF68" s="2622" t="str">
        <f t="shared" si="244"/>
        <v/>
      </c>
      <c r="FG68" s="2622" t="str">
        <f t="shared" si="264"/>
        <v/>
      </c>
      <c r="FH68" s="2622" t="str">
        <f t="shared" si="245"/>
        <v/>
      </c>
      <c r="FI68" s="2622" t="str">
        <f t="shared" si="246"/>
        <v/>
      </c>
      <c r="FJ68" s="2622"/>
      <c r="FK68" s="2622" t="str">
        <f t="shared" ref="FK68:FK76" si="275">IF($H68=0,"",DY68/AV68)</f>
        <v/>
      </c>
      <c r="FL68" s="2622" t="str">
        <f t="shared" ref="FL68:FL76" si="276">IF($H68=0,"",DZ68/AW68)</f>
        <v/>
      </c>
      <c r="FO68" s="2349" t="str">
        <f t="shared" si="250"/>
        <v/>
      </c>
      <c r="FP68" s="2271" t="str">
        <f t="shared" si="251"/>
        <v/>
      </c>
      <c r="FQ68" s="2622" t="str">
        <f t="shared" si="252"/>
        <v/>
      </c>
      <c r="FR68" s="2622" t="str">
        <f t="shared" si="253"/>
        <v/>
      </c>
      <c r="FS68" s="2622"/>
      <c r="FT68" s="2622" t="str">
        <f t="shared" si="254"/>
        <v/>
      </c>
      <c r="FU68" s="2622" t="str">
        <f t="shared" si="255"/>
        <v/>
      </c>
      <c r="FV68" s="2622" t="str">
        <f t="shared" si="256"/>
        <v/>
      </c>
      <c r="FW68" s="2622" t="str">
        <f t="shared" si="265"/>
        <v/>
      </c>
      <c r="FX68" s="2622" t="str">
        <f t="shared" si="257"/>
        <v/>
      </c>
      <c r="FY68" s="2622" t="str">
        <f t="shared" si="258"/>
        <v/>
      </c>
      <c r="FZ68" s="2622"/>
      <c r="GA68" s="2622" t="str">
        <f t="shared" ref="GA68:GA76" si="277">IF($H68=0,"",EO68/BL68)</f>
        <v/>
      </c>
      <c r="GB68" s="2622" t="str">
        <f t="shared" si="261"/>
        <v/>
      </c>
    </row>
    <row r="69" spans="1:184" s="2332" customFormat="1">
      <c r="A69" s="2328"/>
      <c r="B69" s="2328"/>
      <c r="C69" s="2328"/>
      <c r="D69" s="2349"/>
      <c r="E69" s="2328"/>
      <c r="F69" s="2349"/>
      <c r="G69" s="2271"/>
      <c r="H69" s="2366"/>
      <c r="I69" s="2366"/>
      <c r="J69" s="2366"/>
      <c r="K69" s="2366"/>
      <c r="L69" s="2366"/>
      <c r="M69" s="2362"/>
      <c r="N69" s="2366"/>
      <c r="O69" s="2366"/>
      <c r="P69" s="2362"/>
      <c r="Q69" s="2362"/>
      <c r="R69" s="2362"/>
      <c r="S69" s="2362"/>
      <c r="T69" s="2362"/>
      <c r="U69" s="2390"/>
      <c r="V69" s="2349"/>
      <c r="W69" s="2271"/>
      <c r="X69" s="2366"/>
      <c r="Y69" s="2366"/>
      <c r="Z69" s="2366"/>
      <c r="AA69" s="2366"/>
      <c r="AB69" s="2366"/>
      <c r="AC69" s="2362"/>
      <c r="AD69" s="2366"/>
      <c r="AE69" s="2366"/>
      <c r="AF69" s="2362"/>
      <c r="AG69" s="2362"/>
      <c r="AI69" s="2362"/>
      <c r="AJ69" s="2362" t="str">
        <f t="shared" ref="AJ69:AJ76" si="278">IF(W69=0,"",AI69/10)</f>
        <v/>
      </c>
      <c r="AK69" s="2349"/>
      <c r="AL69" s="3362"/>
      <c r="AM69" s="3362"/>
      <c r="AN69" s="2366"/>
      <c r="AO69" s="2366"/>
      <c r="AP69" s="2362"/>
      <c r="AQ69" s="2362"/>
      <c r="AR69" s="2362"/>
      <c r="AS69" s="2349"/>
      <c r="AT69" s="2349"/>
      <c r="AU69" s="2271"/>
      <c r="AV69" s="2366"/>
      <c r="AW69" s="2366"/>
      <c r="AX69" s="2366"/>
      <c r="AY69" s="2366"/>
      <c r="AZ69" s="2366"/>
      <c r="BA69" s="2362"/>
      <c r="BB69" s="2366"/>
      <c r="BC69" s="2366"/>
      <c r="BD69" s="3363"/>
      <c r="BE69" s="251"/>
      <c r="BF69" s="2362"/>
      <c r="BG69" s="2362"/>
      <c r="BH69" s="2362"/>
      <c r="BI69" s="2390"/>
      <c r="BJ69" s="2349"/>
      <c r="BK69" s="2271"/>
      <c r="BL69" s="2366"/>
      <c r="BM69" s="2366"/>
      <c r="BN69" s="2366"/>
      <c r="BO69" s="2366"/>
      <c r="BP69" s="2366"/>
      <c r="BQ69" s="3363"/>
      <c r="BR69" s="2366"/>
      <c r="BS69" s="2366"/>
      <c r="BT69" s="2362"/>
      <c r="BU69" s="2362"/>
      <c r="BW69" s="2362"/>
      <c r="BX69" s="2362"/>
      <c r="BY69" s="2349"/>
      <c r="BZ69" s="2366"/>
      <c r="CA69" s="2366"/>
      <c r="CB69" s="2366"/>
      <c r="CC69" s="2366"/>
      <c r="CD69" s="2362"/>
      <c r="CE69" s="2362"/>
      <c r="CF69" s="2362"/>
      <c r="CG69" s="2349"/>
      <c r="CH69" s="2349" t="str">
        <f t="shared" si="143"/>
        <v/>
      </c>
      <c r="CI69" s="2271" t="str">
        <f t="shared" si="144"/>
        <v/>
      </c>
      <c r="CJ69" s="3364" t="str">
        <f t="shared" si="145"/>
        <v/>
      </c>
      <c r="CK69" s="2366" t="str">
        <f t="shared" si="146"/>
        <v/>
      </c>
      <c r="CL69" s="2366" t="str">
        <f t="shared" si="147"/>
        <v/>
      </c>
      <c r="CM69" s="2366" t="str">
        <f t="shared" si="148"/>
        <v/>
      </c>
      <c r="CN69" s="2366" t="str">
        <f t="shared" si="149"/>
        <v/>
      </c>
      <c r="CO69" s="2362" t="str">
        <f t="shared" si="150"/>
        <v/>
      </c>
      <c r="CP69" s="2366" t="str">
        <f t="shared" si="151"/>
        <v/>
      </c>
      <c r="CQ69" s="2366" t="str">
        <f t="shared" si="152"/>
        <v/>
      </c>
      <c r="CR69" s="2362" t="str">
        <f t="shared" si="153"/>
        <v/>
      </c>
      <c r="CS69" s="2362"/>
      <c r="CT69" s="2362" t="str">
        <f t="shared" si="266"/>
        <v/>
      </c>
      <c r="CU69" s="2362" t="str">
        <f t="shared" si="267"/>
        <v/>
      </c>
      <c r="CV69" s="2362"/>
      <c r="CW69" s="2390"/>
      <c r="CX69" s="2349" t="str">
        <f t="shared" si="155"/>
        <v/>
      </c>
      <c r="CY69" s="2271" t="str">
        <f t="shared" si="156"/>
        <v/>
      </c>
      <c r="CZ69" s="3364" t="str">
        <f t="shared" si="157"/>
        <v/>
      </c>
      <c r="DA69" s="2366" t="str">
        <f t="shared" si="158"/>
        <v/>
      </c>
      <c r="DB69" s="2366" t="str">
        <f t="shared" si="159"/>
        <v/>
      </c>
      <c r="DC69" s="2366" t="str">
        <f t="shared" si="160"/>
        <v/>
      </c>
      <c r="DD69" s="2366" t="str">
        <f t="shared" si="161"/>
        <v/>
      </c>
      <c r="DE69" s="2362" t="str">
        <f t="shared" si="162"/>
        <v/>
      </c>
      <c r="DF69" s="2366" t="str">
        <f t="shared" si="163"/>
        <v/>
      </c>
      <c r="DG69" s="2366" t="str">
        <f t="shared" si="164"/>
        <v/>
      </c>
      <c r="DH69" s="2362" t="str">
        <f t="shared" si="165"/>
        <v/>
      </c>
      <c r="DI69" s="2362"/>
      <c r="DJ69" s="2362" t="str">
        <f t="shared" si="268"/>
        <v/>
      </c>
      <c r="DK69" s="2362" t="str">
        <f t="shared" si="269"/>
        <v/>
      </c>
      <c r="DL69" s="2362" t="str">
        <f t="shared" si="270"/>
        <v/>
      </c>
      <c r="DN69" s="3365" t="str">
        <f t="shared" si="167"/>
        <v/>
      </c>
      <c r="DO69" s="3365" t="str">
        <f t="shared" si="168"/>
        <v/>
      </c>
      <c r="DP69" s="3365" t="str">
        <f t="shared" si="169"/>
        <v/>
      </c>
      <c r="DQ69" s="3365" t="str">
        <f t="shared" si="170"/>
        <v/>
      </c>
      <c r="DT69" s="2349" t="str">
        <f t="shared" si="171"/>
        <v/>
      </c>
      <c r="DU69" s="2271" t="str">
        <f t="shared" si="172"/>
        <v/>
      </c>
      <c r="DV69" s="2622" t="str">
        <f t="shared" si="173"/>
        <v/>
      </c>
      <c r="DW69" s="2622" t="str">
        <f t="shared" si="174"/>
        <v/>
      </c>
      <c r="DX69" s="2622"/>
      <c r="DY69" s="2622" t="str">
        <f t="shared" si="175"/>
        <v/>
      </c>
      <c r="DZ69" s="2622" t="str">
        <f t="shared" si="176"/>
        <v/>
      </c>
      <c r="EA69" s="2622" t="str">
        <f t="shared" si="177"/>
        <v/>
      </c>
      <c r="EB69" s="2622" t="str">
        <f t="shared" si="262"/>
        <v/>
      </c>
      <c r="EC69" s="2622" t="str">
        <f t="shared" si="230"/>
        <v/>
      </c>
      <c r="ED69" s="2622" t="str">
        <f t="shared" si="231"/>
        <v/>
      </c>
      <c r="EE69" s="2622"/>
      <c r="EF69" s="2622" t="str">
        <f t="shared" si="271"/>
        <v/>
      </c>
      <c r="EG69" s="2622" t="str">
        <f t="shared" si="272"/>
        <v/>
      </c>
      <c r="EJ69" s="2349" t="str">
        <f t="shared" si="179"/>
        <v/>
      </c>
      <c r="EK69" s="2271" t="str">
        <f t="shared" si="180"/>
        <v/>
      </c>
      <c r="EL69" s="2622" t="str">
        <f t="shared" si="181"/>
        <v/>
      </c>
      <c r="EM69" s="2622" t="str">
        <f t="shared" si="182"/>
        <v/>
      </c>
      <c r="EN69" s="2622"/>
      <c r="EO69" s="2622" t="str">
        <f t="shared" si="233"/>
        <v/>
      </c>
      <c r="EP69" s="2622" t="str">
        <f t="shared" si="234"/>
        <v/>
      </c>
      <c r="EQ69" s="2622" t="str">
        <f t="shared" si="235"/>
        <v/>
      </c>
      <c r="ER69" s="2622" t="str">
        <f t="shared" si="263"/>
        <v/>
      </c>
      <c r="ES69" s="2622" t="str">
        <f t="shared" si="236"/>
        <v/>
      </c>
      <c r="ET69" s="2622" t="str">
        <f t="shared" si="237"/>
        <v/>
      </c>
      <c r="EU69" s="2622"/>
      <c r="EV69" s="2622" t="str">
        <f t="shared" si="273"/>
        <v/>
      </c>
      <c r="EW69" s="2622" t="str">
        <f t="shared" si="274"/>
        <v/>
      </c>
      <c r="EY69" s="2349" t="str">
        <f t="shared" si="238"/>
        <v/>
      </c>
      <c r="EZ69" s="2271" t="str">
        <f t="shared" si="239"/>
        <v/>
      </c>
      <c r="FA69" s="2622" t="str">
        <f t="shared" si="240"/>
        <v/>
      </c>
      <c r="FB69" s="2622" t="str">
        <f t="shared" si="241"/>
        <v/>
      </c>
      <c r="FC69" s="2622"/>
      <c r="FD69" s="2622" t="str">
        <f t="shared" si="242"/>
        <v/>
      </c>
      <c r="FE69" s="2622" t="str">
        <f t="shared" si="243"/>
        <v/>
      </c>
      <c r="FF69" s="2622" t="str">
        <f t="shared" si="244"/>
        <v/>
      </c>
      <c r="FG69" s="2622" t="str">
        <f t="shared" si="264"/>
        <v/>
      </c>
      <c r="FH69" s="2622" t="str">
        <f t="shared" si="245"/>
        <v/>
      </c>
      <c r="FI69" s="2622" t="str">
        <f t="shared" si="246"/>
        <v/>
      </c>
      <c r="FJ69" s="2622"/>
      <c r="FK69" s="2622" t="str">
        <f t="shared" si="275"/>
        <v/>
      </c>
      <c r="FL69" s="2622" t="str">
        <f t="shared" si="276"/>
        <v/>
      </c>
      <c r="FO69" s="2349" t="str">
        <f t="shared" si="250"/>
        <v/>
      </c>
      <c r="FP69" s="2271" t="str">
        <f t="shared" si="251"/>
        <v/>
      </c>
      <c r="FQ69" s="2622" t="str">
        <f t="shared" si="252"/>
        <v/>
      </c>
      <c r="FR69" s="2622" t="str">
        <f t="shared" si="253"/>
        <v/>
      </c>
      <c r="FS69" s="2622"/>
      <c r="FT69" s="2622" t="str">
        <f t="shared" si="254"/>
        <v/>
      </c>
      <c r="FU69" s="2622" t="str">
        <f t="shared" si="255"/>
        <v/>
      </c>
      <c r="FV69" s="2622" t="str">
        <f t="shared" si="256"/>
        <v/>
      </c>
      <c r="FW69" s="2622" t="str">
        <f t="shared" si="265"/>
        <v/>
      </c>
      <c r="FX69" s="2622" t="str">
        <f t="shared" si="257"/>
        <v/>
      </c>
      <c r="FY69" s="2622" t="str">
        <f t="shared" si="258"/>
        <v/>
      </c>
      <c r="FZ69" s="2622"/>
      <c r="GA69" s="2622" t="str">
        <f t="shared" si="277"/>
        <v/>
      </c>
      <c r="GB69" s="2622" t="str">
        <f t="shared" si="261"/>
        <v/>
      </c>
    </row>
    <row r="70" spans="1:184" s="2332" customFormat="1">
      <c r="A70" s="2328"/>
      <c r="B70" s="2328"/>
      <c r="C70" s="2328"/>
      <c r="D70" s="2349"/>
      <c r="E70" s="2328"/>
      <c r="F70" s="2349"/>
      <c r="G70" s="2271"/>
      <c r="H70" s="2366"/>
      <c r="I70" s="2366"/>
      <c r="J70" s="2366"/>
      <c r="K70" s="2366"/>
      <c r="L70" s="2366"/>
      <c r="M70" s="2362"/>
      <c r="N70" s="2366"/>
      <c r="O70" s="2366"/>
      <c r="P70" s="2362"/>
      <c r="Q70" s="2362"/>
      <c r="R70" s="2362"/>
      <c r="S70" s="2362"/>
      <c r="T70" s="2362"/>
      <c r="U70" s="2390"/>
      <c r="V70" s="2349"/>
      <c r="W70" s="2271"/>
      <c r="X70" s="2366"/>
      <c r="Y70" s="2366"/>
      <c r="Z70" s="2366"/>
      <c r="AA70" s="2366"/>
      <c r="AB70" s="2366"/>
      <c r="AC70" s="2362"/>
      <c r="AD70" s="2366"/>
      <c r="AE70" s="2366"/>
      <c r="AF70" s="2362"/>
      <c r="AG70" s="2362"/>
      <c r="AI70" s="2362"/>
      <c r="AJ70" s="2362" t="str">
        <f t="shared" si="278"/>
        <v/>
      </c>
      <c r="AK70" s="2349"/>
      <c r="AL70" s="3362"/>
      <c r="AM70" s="3362"/>
      <c r="AN70" s="2366"/>
      <c r="AO70" s="2366"/>
      <c r="AP70" s="2362"/>
      <c r="AQ70" s="2362"/>
      <c r="AR70" s="2362"/>
      <c r="AS70" s="2349"/>
      <c r="AT70" s="2349"/>
      <c r="AU70" s="2271"/>
      <c r="AV70" s="2366"/>
      <c r="AW70" s="2366"/>
      <c r="AX70" s="2366"/>
      <c r="AY70" s="2366"/>
      <c r="AZ70" s="2366"/>
      <c r="BA70" s="2362"/>
      <c r="BB70" s="2366"/>
      <c r="BC70" s="2366"/>
      <c r="BD70" s="3363"/>
      <c r="BE70" s="251"/>
      <c r="BF70" s="2362"/>
      <c r="BG70" s="2362"/>
      <c r="BH70" s="2362"/>
      <c r="BI70" s="2390"/>
      <c r="BJ70" s="2349"/>
      <c r="BK70" s="2271"/>
      <c r="BL70" s="2366"/>
      <c r="BM70" s="2366"/>
      <c r="BN70" s="2366"/>
      <c r="BO70" s="2366"/>
      <c r="BP70" s="2366"/>
      <c r="BQ70" s="3363"/>
      <c r="BR70" s="2366"/>
      <c r="BS70" s="2366"/>
      <c r="BT70" s="2362"/>
      <c r="BU70" s="2362"/>
      <c r="BW70" s="2362"/>
      <c r="BX70" s="2362"/>
      <c r="BY70" s="2349"/>
      <c r="BZ70" s="2366"/>
      <c r="CA70" s="2366"/>
      <c r="CB70" s="2366"/>
      <c r="CC70" s="2366"/>
      <c r="CD70" s="2362"/>
      <c r="CE70" s="2362"/>
      <c r="CF70" s="2362"/>
      <c r="CG70" s="2349"/>
      <c r="CH70" s="2349" t="str">
        <f t="shared" si="143"/>
        <v/>
      </c>
      <c r="CI70" s="2271" t="str">
        <f t="shared" si="144"/>
        <v/>
      </c>
      <c r="CJ70" s="3364" t="str">
        <f t="shared" si="145"/>
        <v/>
      </c>
      <c r="CK70" s="2366" t="str">
        <f t="shared" si="146"/>
        <v/>
      </c>
      <c r="CL70" s="2366" t="str">
        <f t="shared" si="147"/>
        <v/>
      </c>
      <c r="CM70" s="2366" t="str">
        <f t="shared" si="148"/>
        <v/>
      </c>
      <c r="CN70" s="2366" t="str">
        <f t="shared" si="149"/>
        <v/>
      </c>
      <c r="CO70" s="2362" t="str">
        <f t="shared" si="150"/>
        <v/>
      </c>
      <c r="CP70" s="2366" t="str">
        <f t="shared" si="151"/>
        <v/>
      </c>
      <c r="CQ70" s="2366" t="str">
        <f t="shared" si="152"/>
        <v/>
      </c>
      <c r="CR70" s="2362" t="str">
        <f t="shared" si="153"/>
        <v/>
      </c>
      <c r="CS70" s="2362"/>
      <c r="CT70" s="2362" t="str">
        <f t="shared" si="266"/>
        <v/>
      </c>
      <c r="CU70" s="2362" t="str">
        <f t="shared" si="267"/>
        <v/>
      </c>
      <c r="CV70" s="2362"/>
      <c r="CW70" s="2390"/>
      <c r="CX70" s="2349" t="str">
        <f t="shared" si="155"/>
        <v/>
      </c>
      <c r="CY70" s="2271" t="str">
        <f t="shared" si="156"/>
        <v/>
      </c>
      <c r="CZ70" s="3364" t="str">
        <f t="shared" si="157"/>
        <v/>
      </c>
      <c r="DA70" s="2366" t="str">
        <f t="shared" si="158"/>
        <v/>
      </c>
      <c r="DB70" s="2366" t="str">
        <f t="shared" si="159"/>
        <v/>
      </c>
      <c r="DC70" s="2366" t="str">
        <f t="shared" si="160"/>
        <v/>
      </c>
      <c r="DD70" s="2366" t="str">
        <f t="shared" si="161"/>
        <v/>
      </c>
      <c r="DE70" s="2362" t="str">
        <f t="shared" si="162"/>
        <v/>
      </c>
      <c r="DF70" s="2366" t="str">
        <f t="shared" si="163"/>
        <v/>
      </c>
      <c r="DG70" s="2366" t="str">
        <f t="shared" si="164"/>
        <v/>
      </c>
      <c r="DH70" s="2362" t="str">
        <f t="shared" si="165"/>
        <v/>
      </c>
      <c r="DI70" s="2362"/>
      <c r="DJ70" s="2362" t="str">
        <f t="shared" si="268"/>
        <v/>
      </c>
      <c r="DK70" s="2362" t="str">
        <f t="shared" si="269"/>
        <v/>
      </c>
      <c r="DL70" s="2362" t="str">
        <f t="shared" si="270"/>
        <v/>
      </c>
      <c r="DN70" s="3365" t="str">
        <f t="shared" si="167"/>
        <v/>
      </c>
      <c r="DO70" s="3365" t="str">
        <f t="shared" si="168"/>
        <v/>
      </c>
      <c r="DP70" s="3365" t="str">
        <f t="shared" si="169"/>
        <v/>
      </c>
      <c r="DQ70" s="3365" t="str">
        <f t="shared" si="170"/>
        <v/>
      </c>
      <c r="DT70" s="2349" t="str">
        <f t="shared" si="171"/>
        <v/>
      </c>
      <c r="DU70" s="2271" t="str">
        <f t="shared" si="172"/>
        <v/>
      </c>
      <c r="DV70" s="2622" t="str">
        <f t="shared" si="173"/>
        <v/>
      </c>
      <c r="DW70" s="2622" t="str">
        <f t="shared" si="174"/>
        <v/>
      </c>
      <c r="DX70" s="2622"/>
      <c r="DY70" s="2622" t="str">
        <f t="shared" si="175"/>
        <v/>
      </c>
      <c r="DZ70" s="2622" t="str">
        <f t="shared" si="176"/>
        <v/>
      </c>
      <c r="EA70" s="2622" t="str">
        <f t="shared" si="177"/>
        <v/>
      </c>
      <c r="EB70" s="2622" t="str">
        <f t="shared" si="262"/>
        <v/>
      </c>
      <c r="EC70" s="2622" t="str">
        <f t="shared" si="230"/>
        <v/>
      </c>
      <c r="ED70" s="2622" t="str">
        <f t="shared" si="231"/>
        <v/>
      </c>
      <c r="EE70" s="2622"/>
      <c r="EF70" s="2622" t="str">
        <f t="shared" si="271"/>
        <v/>
      </c>
      <c r="EG70" s="2622" t="str">
        <f t="shared" si="272"/>
        <v/>
      </c>
      <c r="EJ70" s="2349" t="str">
        <f t="shared" si="179"/>
        <v/>
      </c>
      <c r="EK70" s="2271" t="str">
        <f t="shared" si="180"/>
        <v/>
      </c>
      <c r="EL70" s="2622" t="str">
        <f t="shared" si="181"/>
        <v/>
      </c>
      <c r="EM70" s="2622" t="str">
        <f t="shared" si="182"/>
        <v/>
      </c>
      <c r="EN70" s="2622"/>
      <c r="EO70" s="2622" t="str">
        <f t="shared" si="233"/>
        <v/>
      </c>
      <c r="EP70" s="2622" t="str">
        <f t="shared" si="234"/>
        <v/>
      </c>
      <c r="EQ70" s="2622" t="str">
        <f t="shared" si="235"/>
        <v/>
      </c>
      <c r="ER70" s="2622" t="str">
        <f t="shared" si="263"/>
        <v/>
      </c>
      <c r="ES70" s="2622" t="str">
        <f t="shared" si="236"/>
        <v/>
      </c>
      <c r="ET70" s="2622" t="str">
        <f t="shared" si="237"/>
        <v/>
      </c>
      <c r="EU70" s="2622"/>
      <c r="EV70" s="2622" t="str">
        <f t="shared" si="273"/>
        <v/>
      </c>
      <c r="EW70" s="2622" t="str">
        <f t="shared" si="274"/>
        <v/>
      </c>
      <c r="EY70" s="2349" t="str">
        <f t="shared" si="238"/>
        <v/>
      </c>
      <c r="EZ70" s="2271" t="str">
        <f t="shared" si="239"/>
        <v/>
      </c>
      <c r="FA70" s="2622" t="str">
        <f t="shared" si="240"/>
        <v/>
      </c>
      <c r="FB70" s="2622" t="str">
        <f t="shared" si="241"/>
        <v/>
      </c>
      <c r="FC70" s="2622"/>
      <c r="FD70" s="2622" t="str">
        <f t="shared" si="242"/>
        <v/>
      </c>
      <c r="FE70" s="2622" t="str">
        <f t="shared" si="243"/>
        <v/>
      </c>
      <c r="FF70" s="2622" t="str">
        <f t="shared" si="244"/>
        <v/>
      </c>
      <c r="FG70" s="2622" t="str">
        <f t="shared" si="264"/>
        <v/>
      </c>
      <c r="FH70" s="2622" t="str">
        <f t="shared" si="245"/>
        <v/>
      </c>
      <c r="FI70" s="2622" t="str">
        <f t="shared" si="246"/>
        <v/>
      </c>
      <c r="FJ70" s="2622"/>
      <c r="FK70" s="2622" t="str">
        <f t="shared" si="275"/>
        <v/>
      </c>
      <c r="FL70" s="2622" t="str">
        <f t="shared" si="276"/>
        <v/>
      </c>
      <c r="FO70" s="2349" t="str">
        <f t="shared" si="250"/>
        <v/>
      </c>
      <c r="FP70" s="2271" t="str">
        <f t="shared" si="251"/>
        <v/>
      </c>
      <c r="FQ70" s="2622" t="str">
        <f t="shared" si="252"/>
        <v/>
      </c>
      <c r="FR70" s="2622" t="str">
        <f t="shared" si="253"/>
        <v/>
      </c>
      <c r="FS70" s="2622"/>
      <c r="FT70" s="2622" t="str">
        <f t="shared" si="254"/>
        <v/>
      </c>
      <c r="FU70" s="2622" t="str">
        <f t="shared" si="255"/>
        <v/>
      </c>
      <c r="FV70" s="2622" t="str">
        <f t="shared" si="256"/>
        <v/>
      </c>
      <c r="FW70" s="2622" t="str">
        <f t="shared" si="265"/>
        <v/>
      </c>
      <c r="FX70" s="2622" t="str">
        <f t="shared" si="257"/>
        <v/>
      </c>
      <c r="FY70" s="2622" t="str">
        <f t="shared" si="258"/>
        <v/>
      </c>
      <c r="FZ70" s="2622"/>
      <c r="GA70" s="2622" t="str">
        <f t="shared" si="277"/>
        <v/>
      </c>
      <c r="GB70" s="2622" t="str">
        <f t="shared" si="261"/>
        <v/>
      </c>
    </row>
    <row r="71" spans="1:184" s="2332" customFormat="1">
      <c r="A71" s="2328"/>
      <c r="B71" s="2328"/>
      <c r="C71" s="2328"/>
      <c r="D71" s="2349"/>
      <c r="E71" s="2328"/>
      <c r="F71" s="2349"/>
      <c r="G71" s="2271"/>
      <c r="H71" s="3366"/>
      <c r="I71" s="3366"/>
      <c r="J71" s="3366"/>
      <c r="K71" s="3366"/>
      <c r="L71" s="3366"/>
      <c r="M71" s="2362"/>
      <c r="N71" s="3366"/>
      <c r="O71" s="3366"/>
      <c r="P71" s="2362"/>
      <c r="Q71" s="2362"/>
      <c r="R71" s="2362"/>
      <c r="S71" s="2362"/>
      <c r="T71" s="2362"/>
      <c r="U71" s="2390"/>
      <c r="V71" s="2349"/>
      <c r="W71" s="2271"/>
      <c r="X71" s="3366"/>
      <c r="Y71" s="3366"/>
      <c r="Z71" s="3366"/>
      <c r="AA71" s="3366"/>
      <c r="AB71" s="3366"/>
      <c r="AC71" s="2362"/>
      <c r="AD71" s="3366"/>
      <c r="AE71" s="3366"/>
      <c r="AF71" s="2362"/>
      <c r="AG71" s="2362"/>
      <c r="AI71" s="2362"/>
      <c r="AJ71" s="2362" t="str">
        <f t="shared" si="278"/>
        <v/>
      </c>
      <c r="AK71" s="2349"/>
      <c r="AL71" s="3362"/>
      <c r="AM71" s="3362"/>
      <c r="AN71" s="2366"/>
      <c r="AO71" s="2366"/>
      <c r="AP71" s="2362"/>
      <c r="AQ71" s="2362"/>
      <c r="AR71" s="2362"/>
      <c r="AS71" s="2349"/>
      <c r="AT71" s="2349"/>
      <c r="AU71" s="2271"/>
      <c r="AV71" s="3366"/>
      <c r="AW71" s="3366"/>
      <c r="AX71" s="3366"/>
      <c r="AY71" s="3366"/>
      <c r="AZ71" s="3366"/>
      <c r="BA71" s="2362"/>
      <c r="BB71" s="3366"/>
      <c r="BC71" s="3366"/>
      <c r="BD71" s="3363"/>
      <c r="BE71" s="251"/>
      <c r="BF71" s="2362"/>
      <c r="BG71" s="2362"/>
      <c r="BH71" s="2362"/>
      <c r="BI71" s="2390"/>
      <c r="BJ71" s="2349"/>
      <c r="BK71" s="2271"/>
      <c r="BL71" s="3366"/>
      <c r="BM71" s="3366"/>
      <c r="BN71" s="3366"/>
      <c r="BO71" s="3366"/>
      <c r="BP71" s="3366"/>
      <c r="BQ71" s="3363"/>
      <c r="BR71" s="3366"/>
      <c r="BS71" s="3366"/>
      <c r="BT71" s="2362"/>
      <c r="BU71" s="2362"/>
      <c r="BW71" s="2362"/>
      <c r="BX71" s="2362"/>
      <c r="BY71" s="2349"/>
      <c r="BZ71" s="2366"/>
      <c r="CA71" s="2366"/>
      <c r="CB71" s="2366"/>
      <c r="CC71" s="2366"/>
      <c r="CD71" s="2362"/>
      <c r="CE71" s="2362"/>
      <c r="CF71" s="2362"/>
      <c r="CG71" s="2349"/>
      <c r="CH71" s="2349" t="str">
        <f t="shared" si="143"/>
        <v/>
      </c>
      <c r="CI71" s="2271" t="str">
        <f t="shared" si="144"/>
        <v/>
      </c>
      <c r="CJ71" s="3364" t="str">
        <f t="shared" si="145"/>
        <v/>
      </c>
      <c r="CK71" s="3366" t="str">
        <f t="shared" si="146"/>
        <v/>
      </c>
      <c r="CL71" s="3366" t="str">
        <f t="shared" si="147"/>
        <v/>
      </c>
      <c r="CM71" s="3366" t="str">
        <f t="shared" si="148"/>
        <v/>
      </c>
      <c r="CN71" s="3366" t="str">
        <f t="shared" si="149"/>
        <v/>
      </c>
      <c r="CO71" s="2362" t="str">
        <f t="shared" si="150"/>
        <v/>
      </c>
      <c r="CP71" s="3366" t="str">
        <f t="shared" si="151"/>
        <v/>
      </c>
      <c r="CQ71" s="3366" t="str">
        <f t="shared" si="152"/>
        <v/>
      </c>
      <c r="CR71" s="2362" t="str">
        <f t="shared" si="153"/>
        <v/>
      </c>
      <c r="CS71" s="2362"/>
      <c r="CT71" s="2362" t="str">
        <f t="shared" si="266"/>
        <v/>
      </c>
      <c r="CU71" s="2362" t="str">
        <f t="shared" si="267"/>
        <v/>
      </c>
      <c r="CV71" s="2362"/>
      <c r="CW71" s="2390"/>
      <c r="CX71" s="2349" t="str">
        <f t="shared" si="155"/>
        <v/>
      </c>
      <c r="CY71" s="2271" t="str">
        <f t="shared" si="156"/>
        <v/>
      </c>
      <c r="CZ71" s="3364" t="str">
        <f t="shared" si="157"/>
        <v/>
      </c>
      <c r="DA71" s="3366" t="str">
        <f t="shared" si="158"/>
        <v/>
      </c>
      <c r="DB71" s="3366" t="str">
        <f t="shared" si="159"/>
        <v/>
      </c>
      <c r="DC71" s="3366" t="str">
        <f t="shared" si="160"/>
        <v/>
      </c>
      <c r="DD71" s="3366" t="str">
        <f t="shared" si="161"/>
        <v/>
      </c>
      <c r="DE71" s="2362" t="str">
        <f t="shared" si="162"/>
        <v/>
      </c>
      <c r="DF71" s="3366" t="str">
        <f t="shared" si="163"/>
        <v/>
      </c>
      <c r="DG71" s="3366" t="str">
        <f t="shared" si="164"/>
        <v/>
      </c>
      <c r="DH71" s="2362" t="str">
        <f t="shared" si="165"/>
        <v/>
      </c>
      <c r="DI71" s="2362"/>
      <c r="DJ71" s="2362" t="str">
        <f t="shared" si="268"/>
        <v/>
      </c>
      <c r="DK71" s="2362" t="str">
        <f t="shared" si="269"/>
        <v/>
      </c>
      <c r="DL71" s="2362" t="str">
        <f t="shared" si="270"/>
        <v/>
      </c>
      <c r="DN71" s="3365" t="str">
        <f t="shared" si="167"/>
        <v/>
      </c>
      <c r="DO71" s="3365" t="str">
        <f t="shared" si="168"/>
        <v/>
      </c>
      <c r="DP71" s="3365" t="str">
        <f t="shared" si="169"/>
        <v/>
      </c>
      <c r="DQ71" s="3365" t="str">
        <f t="shared" si="170"/>
        <v/>
      </c>
      <c r="DT71" s="2349" t="str">
        <f t="shared" si="171"/>
        <v/>
      </c>
      <c r="DU71" s="2271" t="str">
        <f t="shared" si="172"/>
        <v/>
      </c>
      <c r="DV71" s="2622" t="str">
        <f t="shared" si="173"/>
        <v/>
      </c>
      <c r="DW71" s="2622" t="str">
        <f t="shared" si="174"/>
        <v/>
      </c>
      <c r="DX71" s="2622"/>
      <c r="DY71" s="2622" t="str">
        <f t="shared" si="175"/>
        <v/>
      </c>
      <c r="DZ71" s="2622" t="str">
        <f t="shared" si="176"/>
        <v/>
      </c>
      <c r="EA71" s="2622" t="str">
        <f t="shared" si="177"/>
        <v/>
      </c>
      <c r="EB71" s="2622" t="str">
        <f t="shared" si="262"/>
        <v/>
      </c>
      <c r="EC71" s="2622" t="str">
        <f t="shared" si="230"/>
        <v/>
      </c>
      <c r="ED71" s="2622" t="str">
        <f t="shared" si="231"/>
        <v/>
      </c>
      <c r="EE71" s="2622"/>
      <c r="EF71" s="2622" t="str">
        <f t="shared" si="271"/>
        <v/>
      </c>
      <c r="EG71" s="2622" t="str">
        <f t="shared" si="272"/>
        <v/>
      </c>
      <c r="EJ71" s="2349" t="str">
        <f t="shared" si="179"/>
        <v/>
      </c>
      <c r="EK71" s="2271" t="str">
        <f t="shared" si="180"/>
        <v/>
      </c>
      <c r="EL71" s="2622" t="str">
        <f t="shared" si="181"/>
        <v/>
      </c>
      <c r="EM71" s="2622" t="str">
        <f t="shared" si="182"/>
        <v/>
      </c>
      <c r="EN71" s="2622"/>
      <c r="EO71" s="2622" t="str">
        <f t="shared" si="233"/>
        <v/>
      </c>
      <c r="EP71" s="2622" t="str">
        <f t="shared" si="234"/>
        <v/>
      </c>
      <c r="EQ71" s="2622" t="str">
        <f t="shared" si="235"/>
        <v/>
      </c>
      <c r="ER71" s="2622" t="str">
        <f t="shared" si="263"/>
        <v/>
      </c>
      <c r="ES71" s="2622" t="str">
        <f t="shared" si="236"/>
        <v/>
      </c>
      <c r="ET71" s="2622" t="str">
        <f t="shared" si="237"/>
        <v/>
      </c>
      <c r="EU71" s="2622"/>
      <c r="EV71" s="2622" t="str">
        <f t="shared" si="273"/>
        <v/>
      </c>
      <c r="EW71" s="2622" t="str">
        <f t="shared" si="274"/>
        <v/>
      </c>
      <c r="EY71" s="2349" t="str">
        <f t="shared" si="238"/>
        <v/>
      </c>
      <c r="EZ71" s="2271" t="str">
        <f t="shared" si="239"/>
        <v/>
      </c>
      <c r="FA71" s="2622" t="str">
        <f t="shared" si="240"/>
        <v/>
      </c>
      <c r="FB71" s="2622" t="str">
        <f t="shared" si="241"/>
        <v/>
      </c>
      <c r="FC71" s="2622"/>
      <c r="FD71" s="2622" t="str">
        <f t="shared" si="242"/>
        <v/>
      </c>
      <c r="FE71" s="2622" t="str">
        <f t="shared" si="243"/>
        <v/>
      </c>
      <c r="FF71" s="2622" t="str">
        <f t="shared" si="244"/>
        <v/>
      </c>
      <c r="FG71" s="2622" t="str">
        <f t="shared" si="264"/>
        <v/>
      </c>
      <c r="FH71" s="2622" t="str">
        <f t="shared" si="245"/>
        <v/>
      </c>
      <c r="FI71" s="2622" t="str">
        <f t="shared" si="246"/>
        <v/>
      </c>
      <c r="FJ71" s="2622"/>
      <c r="FK71" s="2622" t="str">
        <f t="shared" si="275"/>
        <v/>
      </c>
      <c r="FL71" s="2622" t="str">
        <f t="shared" si="276"/>
        <v/>
      </c>
      <c r="FO71" s="2349" t="str">
        <f t="shared" si="250"/>
        <v/>
      </c>
      <c r="FP71" s="2271" t="str">
        <f t="shared" si="251"/>
        <v/>
      </c>
      <c r="FQ71" s="2622" t="str">
        <f t="shared" si="252"/>
        <v/>
      </c>
      <c r="FR71" s="2622" t="str">
        <f t="shared" si="253"/>
        <v/>
      </c>
      <c r="FS71" s="2622"/>
      <c r="FT71" s="2622" t="str">
        <f t="shared" si="254"/>
        <v/>
      </c>
      <c r="FU71" s="2622" t="str">
        <f t="shared" si="255"/>
        <v/>
      </c>
      <c r="FV71" s="2622" t="str">
        <f t="shared" si="256"/>
        <v/>
      </c>
      <c r="FW71" s="2622" t="str">
        <f t="shared" si="265"/>
        <v/>
      </c>
      <c r="FX71" s="2622" t="str">
        <f t="shared" si="257"/>
        <v/>
      </c>
      <c r="FY71" s="2622" t="str">
        <f t="shared" si="258"/>
        <v/>
      </c>
      <c r="FZ71" s="2622"/>
      <c r="GA71" s="2622" t="str">
        <f t="shared" si="277"/>
        <v/>
      </c>
      <c r="GB71" s="2622" t="str">
        <f t="shared" si="261"/>
        <v/>
      </c>
    </row>
    <row r="72" spans="1:184" s="2332" customFormat="1">
      <c r="A72" s="2328"/>
      <c r="B72" s="2328"/>
      <c r="C72" s="2328"/>
      <c r="D72" s="2349"/>
      <c r="E72" s="2328"/>
      <c r="F72" s="2349"/>
      <c r="G72" s="2271"/>
      <c r="H72" s="2366"/>
      <c r="I72" s="2366"/>
      <c r="J72" s="2366"/>
      <c r="K72" s="2366"/>
      <c r="L72" s="2366"/>
      <c r="M72" s="2362"/>
      <c r="N72" s="2366"/>
      <c r="O72" s="2366"/>
      <c r="P72" s="2362"/>
      <c r="Q72" s="2362"/>
      <c r="R72" s="2362"/>
      <c r="S72" s="2362"/>
      <c r="T72" s="2362"/>
      <c r="U72" s="2390"/>
      <c r="V72" s="2349"/>
      <c r="W72" s="2271"/>
      <c r="X72" s="2366"/>
      <c r="Y72" s="2366"/>
      <c r="Z72" s="2366"/>
      <c r="AA72" s="2366"/>
      <c r="AB72" s="2366"/>
      <c r="AC72" s="2362"/>
      <c r="AD72" s="2366"/>
      <c r="AE72" s="2366"/>
      <c r="AF72" s="2362"/>
      <c r="AG72" s="2362"/>
      <c r="AI72" s="2362"/>
      <c r="AJ72" s="2362" t="str">
        <f t="shared" si="278"/>
        <v/>
      </c>
      <c r="AK72" s="2349"/>
      <c r="AL72" s="3362"/>
      <c r="AM72" s="3362"/>
      <c r="AN72" s="2366"/>
      <c r="AO72" s="2366"/>
      <c r="AP72" s="2362"/>
      <c r="AQ72" s="2362"/>
      <c r="AR72" s="2362"/>
      <c r="AS72" s="2349"/>
      <c r="AT72" s="2349"/>
      <c r="AU72" s="2271"/>
      <c r="AV72" s="2366"/>
      <c r="AW72" s="2366"/>
      <c r="AX72" s="2366"/>
      <c r="AY72" s="2366"/>
      <c r="AZ72" s="2366"/>
      <c r="BA72" s="2362"/>
      <c r="BB72" s="2366"/>
      <c r="BC72" s="2366"/>
      <c r="BD72" s="3363"/>
      <c r="BE72" s="251"/>
      <c r="BF72" s="2362"/>
      <c r="BG72" s="2362"/>
      <c r="BH72" s="2362"/>
      <c r="BI72" s="2390"/>
      <c r="BJ72" s="2349"/>
      <c r="BK72" s="2271"/>
      <c r="BL72" s="2366"/>
      <c r="BM72" s="2366"/>
      <c r="BN72" s="2366"/>
      <c r="BO72" s="2366"/>
      <c r="BP72" s="2366"/>
      <c r="BQ72" s="3363"/>
      <c r="BR72" s="2366"/>
      <c r="BS72" s="2366"/>
      <c r="BT72" s="2362"/>
      <c r="BU72" s="2362"/>
      <c r="BW72" s="2362"/>
      <c r="BX72" s="2362"/>
      <c r="BY72" s="2349"/>
      <c r="BZ72" s="2366"/>
      <c r="CA72" s="2366"/>
      <c r="CB72" s="2366"/>
      <c r="CC72" s="2366"/>
      <c r="CD72" s="2362"/>
      <c r="CE72" s="2362"/>
      <c r="CF72" s="2362"/>
      <c r="CG72" s="2349"/>
      <c r="CH72" s="2349" t="str">
        <f t="shared" si="143"/>
        <v/>
      </c>
      <c r="CI72" s="2271" t="str">
        <f t="shared" si="144"/>
        <v/>
      </c>
      <c r="CJ72" s="3364" t="str">
        <f t="shared" si="145"/>
        <v/>
      </c>
      <c r="CK72" s="2366" t="str">
        <f t="shared" si="146"/>
        <v/>
      </c>
      <c r="CL72" s="2366" t="str">
        <f t="shared" si="147"/>
        <v/>
      </c>
      <c r="CM72" s="2366" t="str">
        <f t="shared" si="148"/>
        <v/>
      </c>
      <c r="CN72" s="2366" t="str">
        <f t="shared" si="149"/>
        <v/>
      </c>
      <c r="CO72" s="2362" t="str">
        <f t="shared" si="150"/>
        <v/>
      </c>
      <c r="CP72" s="2366" t="str">
        <f t="shared" si="151"/>
        <v/>
      </c>
      <c r="CQ72" s="2366" t="str">
        <f t="shared" si="152"/>
        <v/>
      </c>
      <c r="CR72" s="2362" t="str">
        <f t="shared" si="153"/>
        <v/>
      </c>
      <c r="CS72" s="2362"/>
      <c r="CT72" s="2362" t="str">
        <f t="shared" si="266"/>
        <v/>
      </c>
      <c r="CU72" s="2362" t="str">
        <f t="shared" si="267"/>
        <v/>
      </c>
      <c r="CV72" s="2362"/>
      <c r="CW72" s="2390"/>
      <c r="CX72" s="2349" t="str">
        <f t="shared" si="155"/>
        <v/>
      </c>
      <c r="CY72" s="2271" t="str">
        <f t="shared" si="156"/>
        <v/>
      </c>
      <c r="CZ72" s="3364" t="str">
        <f t="shared" si="157"/>
        <v/>
      </c>
      <c r="DA72" s="2366" t="str">
        <f t="shared" si="158"/>
        <v/>
      </c>
      <c r="DB72" s="2366" t="str">
        <f t="shared" si="159"/>
        <v/>
      </c>
      <c r="DC72" s="2366" t="str">
        <f t="shared" si="160"/>
        <v/>
      </c>
      <c r="DD72" s="2366" t="str">
        <f t="shared" si="161"/>
        <v/>
      </c>
      <c r="DE72" s="2362" t="str">
        <f t="shared" si="162"/>
        <v/>
      </c>
      <c r="DF72" s="2366" t="str">
        <f t="shared" si="163"/>
        <v/>
      </c>
      <c r="DG72" s="2366" t="str">
        <f t="shared" si="164"/>
        <v/>
      </c>
      <c r="DH72" s="2362" t="str">
        <f t="shared" si="165"/>
        <v/>
      </c>
      <c r="DI72" s="2362"/>
      <c r="DJ72" s="2362" t="str">
        <f t="shared" si="268"/>
        <v/>
      </c>
      <c r="DK72" s="2362" t="str">
        <f t="shared" si="269"/>
        <v/>
      </c>
      <c r="DL72" s="2362" t="str">
        <f t="shared" si="270"/>
        <v/>
      </c>
      <c r="DN72" s="3365" t="str">
        <f t="shared" si="167"/>
        <v/>
      </c>
      <c r="DO72" s="3365" t="str">
        <f t="shared" si="168"/>
        <v/>
      </c>
      <c r="DP72" s="3365" t="str">
        <f t="shared" si="169"/>
        <v/>
      </c>
      <c r="DQ72" s="3365" t="str">
        <f t="shared" si="170"/>
        <v/>
      </c>
      <c r="DT72" s="2349" t="str">
        <f t="shared" si="171"/>
        <v/>
      </c>
      <c r="DU72" s="2271" t="str">
        <f t="shared" si="172"/>
        <v/>
      </c>
      <c r="DV72" s="2622" t="str">
        <f t="shared" si="173"/>
        <v/>
      </c>
      <c r="DW72" s="2622" t="str">
        <f t="shared" si="174"/>
        <v/>
      </c>
      <c r="DX72" s="2622"/>
      <c r="DY72" s="2622" t="str">
        <f t="shared" si="175"/>
        <v/>
      </c>
      <c r="DZ72" s="2622" t="str">
        <f t="shared" si="176"/>
        <v/>
      </c>
      <c r="EA72" s="2622" t="str">
        <f t="shared" si="177"/>
        <v/>
      </c>
      <c r="EB72" s="2622" t="str">
        <f t="shared" si="262"/>
        <v/>
      </c>
      <c r="EC72" s="2622" t="str">
        <f t="shared" si="230"/>
        <v/>
      </c>
      <c r="ED72" s="2622" t="str">
        <f t="shared" si="231"/>
        <v/>
      </c>
      <c r="EE72" s="2622"/>
      <c r="EF72" s="2622" t="str">
        <f t="shared" si="271"/>
        <v/>
      </c>
      <c r="EG72" s="2622" t="str">
        <f t="shared" si="272"/>
        <v/>
      </c>
      <c r="EJ72" s="2349" t="str">
        <f t="shared" si="179"/>
        <v/>
      </c>
      <c r="EK72" s="2271" t="str">
        <f t="shared" si="180"/>
        <v/>
      </c>
      <c r="EL72" s="2622" t="str">
        <f t="shared" si="181"/>
        <v/>
      </c>
      <c r="EM72" s="2622" t="str">
        <f t="shared" si="182"/>
        <v/>
      </c>
      <c r="EN72" s="2622"/>
      <c r="EO72" s="2622" t="str">
        <f t="shared" si="233"/>
        <v/>
      </c>
      <c r="EP72" s="2622" t="str">
        <f t="shared" si="234"/>
        <v/>
      </c>
      <c r="EQ72" s="2622" t="str">
        <f t="shared" si="235"/>
        <v/>
      </c>
      <c r="ER72" s="2622" t="str">
        <f t="shared" si="263"/>
        <v/>
      </c>
      <c r="ES72" s="2622" t="str">
        <f t="shared" si="236"/>
        <v/>
      </c>
      <c r="ET72" s="2622" t="str">
        <f t="shared" si="237"/>
        <v/>
      </c>
      <c r="EU72" s="2622"/>
      <c r="EV72" s="2622" t="str">
        <f t="shared" si="273"/>
        <v/>
      </c>
      <c r="EW72" s="2622" t="str">
        <f t="shared" si="274"/>
        <v/>
      </c>
      <c r="EY72" s="2349" t="str">
        <f t="shared" si="238"/>
        <v/>
      </c>
      <c r="EZ72" s="2271" t="str">
        <f t="shared" si="239"/>
        <v/>
      </c>
      <c r="FA72" s="2622" t="str">
        <f t="shared" si="240"/>
        <v/>
      </c>
      <c r="FB72" s="2622" t="str">
        <f t="shared" si="241"/>
        <v/>
      </c>
      <c r="FC72" s="2622"/>
      <c r="FD72" s="2622" t="str">
        <f t="shared" si="242"/>
        <v/>
      </c>
      <c r="FE72" s="2622" t="str">
        <f t="shared" si="243"/>
        <v/>
      </c>
      <c r="FF72" s="2622" t="str">
        <f t="shared" si="244"/>
        <v/>
      </c>
      <c r="FG72" s="2622" t="str">
        <f t="shared" si="264"/>
        <v/>
      </c>
      <c r="FH72" s="2622" t="str">
        <f t="shared" si="245"/>
        <v/>
      </c>
      <c r="FI72" s="2622" t="str">
        <f t="shared" si="246"/>
        <v/>
      </c>
      <c r="FJ72" s="2622"/>
      <c r="FK72" s="2622" t="str">
        <f t="shared" si="275"/>
        <v/>
      </c>
      <c r="FL72" s="2622" t="str">
        <f t="shared" si="276"/>
        <v/>
      </c>
      <c r="FO72" s="2349" t="str">
        <f t="shared" si="250"/>
        <v/>
      </c>
      <c r="FP72" s="2271" t="str">
        <f t="shared" si="251"/>
        <v/>
      </c>
      <c r="FQ72" s="2622" t="str">
        <f t="shared" si="252"/>
        <v/>
      </c>
      <c r="FR72" s="2622" t="str">
        <f t="shared" si="253"/>
        <v/>
      </c>
      <c r="FS72" s="2622"/>
      <c r="FT72" s="2622" t="str">
        <f t="shared" si="254"/>
        <v/>
      </c>
      <c r="FU72" s="2622" t="str">
        <f t="shared" si="255"/>
        <v/>
      </c>
      <c r="FV72" s="2622" t="str">
        <f t="shared" si="256"/>
        <v/>
      </c>
      <c r="FW72" s="2622" t="str">
        <f t="shared" si="265"/>
        <v/>
      </c>
      <c r="FX72" s="2622" t="str">
        <f t="shared" si="257"/>
        <v/>
      </c>
      <c r="FY72" s="2622" t="str">
        <f t="shared" si="258"/>
        <v/>
      </c>
      <c r="FZ72" s="2622"/>
      <c r="GA72" s="2622" t="str">
        <f t="shared" si="277"/>
        <v/>
      </c>
      <c r="GB72" s="2622" t="str">
        <f t="shared" si="261"/>
        <v/>
      </c>
    </row>
    <row r="73" spans="1:184" s="2332" customFormat="1">
      <c r="A73" s="2328"/>
      <c r="B73" s="2328"/>
      <c r="C73" s="2328"/>
      <c r="D73" s="2349"/>
      <c r="E73" s="2328"/>
      <c r="F73" s="2349"/>
      <c r="G73" s="2271"/>
      <c r="H73" s="2366"/>
      <c r="I73" s="2366"/>
      <c r="J73" s="2366"/>
      <c r="K73" s="2366"/>
      <c r="L73" s="2366"/>
      <c r="M73" s="2362"/>
      <c r="N73" s="2366"/>
      <c r="O73" s="2366"/>
      <c r="P73" s="2362"/>
      <c r="Q73" s="2362"/>
      <c r="R73" s="2362"/>
      <c r="S73" s="2362"/>
      <c r="T73" s="2362"/>
      <c r="U73" s="2390"/>
      <c r="V73" s="2349"/>
      <c r="W73" s="2271"/>
      <c r="X73" s="2366"/>
      <c r="Y73" s="2366"/>
      <c r="Z73" s="2366"/>
      <c r="AA73" s="2366"/>
      <c r="AB73" s="2366"/>
      <c r="AC73" s="2362"/>
      <c r="AD73" s="2366"/>
      <c r="AE73" s="2366"/>
      <c r="AF73" s="2362"/>
      <c r="AG73" s="2362"/>
      <c r="AI73" s="2362"/>
      <c r="AJ73" s="2362" t="str">
        <f t="shared" si="278"/>
        <v/>
      </c>
      <c r="AK73" s="2349"/>
      <c r="AL73" s="3362"/>
      <c r="AM73" s="3362"/>
      <c r="AN73" s="2366"/>
      <c r="AO73" s="2366"/>
      <c r="AP73" s="2362"/>
      <c r="AQ73" s="2362"/>
      <c r="AR73" s="2362"/>
      <c r="AS73" s="2349"/>
      <c r="AT73" s="2349"/>
      <c r="AU73" s="2271"/>
      <c r="AV73" s="2366"/>
      <c r="AW73" s="2366"/>
      <c r="AX73" s="2366"/>
      <c r="AY73" s="2366"/>
      <c r="AZ73" s="2366"/>
      <c r="BA73" s="2362"/>
      <c r="BB73" s="2366"/>
      <c r="BC73" s="2366"/>
      <c r="BD73" s="3363"/>
      <c r="BE73" s="251"/>
      <c r="BF73" s="2362"/>
      <c r="BG73" s="2362"/>
      <c r="BH73" s="2362"/>
      <c r="BI73" s="2390"/>
      <c r="BJ73" s="2349"/>
      <c r="BK73" s="2271"/>
      <c r="BL73" s="2366"/>
      <c r="BM73" s="2366"/>
      <c r="BN73" s="2366"/>
      <c r="BO73" s="2366"/>
      <c r="BP73" s="2366"/>
      <c r="BQ73" s="3363"/>
      <c r="BR73" s="2366"/>
      <c r="BS73" s="2366"/>
      <c r="BT73" s="2362"/>
      <c r="BU73" s="2362"/>
      <c r="BW73" s="2362"/>
      <c r="BX73" s="2362"/>
      <c r="BY73" s="2349"/>
      <c r="BZ73" s="2366"/>
      <c r="CA73" s="2366"/>
      <c r="CB73" s="2366"/>
      <c r="CC73" s="2366"/>
      <c r="CD73" s="2362"/>
      <c r="CE73" s="2362"/>
      <c r="CF73" s="2362"/>
      <c r="CG73" s="2349"/>
      <c r="CH73" s="2349" t="str">
        <f t="shared" si="143"/>
        <v/>
      </c>
      <c r="CI73" s="2271" t="str">
        <f t="shared" si="144"/>
        <v/>
      </c>
      <c r="CJ73" s="3364" t="str">
        <f t="shared" si="145"/>
        <v/>
      </c>
      <c r="CK73" s="2366" t="str">
        <f t="shared" si="146"/>
        <v/>
      </c>
      <c r="CL73" s="2366" t="str">
        <f t="shared" si="147"/>
        <v/>
      </c>
      <c r="CM73" s="2366" t="str">
        <f t="shared" si="148"/>
        <v/>
      </c>
      <c r="CN73" s="2366" t="str">
        <f t="shared" si="149"/>
        <v/>
      </c>
      <c r="CO73" s="2362" t="str">
        <f t="shared" si="150"/>
        <v/>
      </c>
      <c r="CP73" s="2366" t="str">
        <f t="shared" si="151"/>
        <v/>
      </c>
      <c r="CQ73" s="2366" t="str">
        <f t="shared" si="152"/>
        <v/>
      </c>
      <c r="CR73" s="2362" t="str">
        <f t="shared" si="153"/>
        <v/>
      </c>
      <c r="CS73" s="2362"/>
      <c r="CT73" s="2362" t="str">
        <f t="shared" si="266"/>
        <v/>
      </c>
      <c r="CU73" s="2362" t="str">
        <f t="shared" si="267"/>
        <v/>
      </c>
      <c r="CV73" s="2362"/>
      <c r="CW73" s="2390"/>
      <c r="CX73" s="2349" t="str">
        <f t="shared" si="155"/>
        <v/>
      </c>
      <c r="CY73" s="2271" t="str">
        <f t="shared" si="156"/>
        <v/>
      </c>
      <c r="CZ73" s="3364" t="str">
        <f t="shared" si="157"/>
        <v/>
      </c>
      <c r="DA73" s="2366" t="str">
        <f t="shared" si="158"/>
        <v/>
      </c>
      <c r="DB73" s="2366" t="str">
        <f t="shared" si="159"/>
        <v/>
      </c>
      <c r="DC73" s="2366" t="str">
        <f t="shared" si="160"/>
        <v/>
      </c>
      <c r="DD73" s="2366" t="str">
        <f t="shared" si="161"/>
        <v/>
      </c>
      <c r="DE73" s="2362" t="str">
        <f t="shared" si="162"/>
        <v/>
      </c>
      <c r="DF73" s="2366" t="str">
        <f t="shared" si="163"/>
        <v/>
      </c>
      <c r="DG73" s="2366" t="str">
        <f t="shared" si="164"/>
        <v/>
      </c>
      <c r="DH73" s="2362" t="str">
        <f t="shared" si="165"/>
        <v/>
      </c>
      <c r="DI73" s="2362"/>
      <c r="DJ73" s="2362" t="str">
        <f t="shared" si="268"/>
        <v/>
      </c>
      <c r="DK73" s="2362" t="str">
        <f t="shared" si="269"/>
        <v/>
      </c>
      <c r="DL73" s="2362" t="str">
        <f t="shared" si="270"/>
        <v/>
      </c>
      <c r="DN73" s="3365" t="str">
        <f t="shared" si="167"/>
        <v/>
      </c>
      <c r="DO73" s="3365" t="str">
        <f t="shared" si="168"/>
        <v/>
      </c>
      <c r="DP73" s="3365" t="str">
        <f t="shared" si="169"/>
        <v/>
      </c>
      <c r="DQ73" s="3365" t="str">
        <f t="shared" si="170"/>
        <v/>
      </c>
      <c r="DT73" s="2349" t="str">
        <f t="shared" si="171"/>
        <v/>
      </c>
      <c r="DU73" s="2271" t="str">
        <f t="shared" si="172"/>
        <v/>
      </c>
      <c r="DV73" s="2622" t="str">
        <f t="shared" si="173"/>
        <v/>
      </c>
      <c r="DW73" s="2622" t="str">
        <f t="shared" si="174"/>
        <v/>
      </c>
      <c r="DX73" s="2622"/>
      <c r="DY73" s="2622" t="str">
        <f t="shared" si="175"/>
        <v/>
      </c>
      <c r="DZ73" s="2622" t="str">
        <f t="shared" si="176"/>
        <v/>
      </c>
      <c r="EA73" s="2622" t="str">
        <f t="shared" si="177"/>
        <v/>
      </c>
      <c r="EB73" s="2622" t="str">
        <f t="shared" si="262"/>
        <v/>
      </c>
      <c r="EC73" s="2622" t="str">
        <f t="shared" si="230"/>
        <v/>
      </c>
      <c r="ED73" s="2622" t="str">
        <f t="shared" si="231"/>
        <v/>
      </c>
      <c r="EE73" s="2622"/>
      <c r="EF73" s="2622" t="str">
        <f t="shared" si="271"/>
        <v/>
      </c>
      <c r="EG73" s="2622" t="str">
        <f t="shared" si="272"/>
        <v/>
      </c>
      <c r="EJ73" s="2349" t="str">
        <f t="shared" si="179"/>
        <v/>
      </c>
      <c r="EK73" s="2271" t="str">
        <f t="shared" si="180"/>
        <v/>
      </c>
      <c r="EL73" s="2622" t="str">
        <f t="shared" si="181"/>
        <v/>
      </c>
      <c r="EM73" s="2622" t="str">
        <f t="shared" si="182"/>
        <v/>
      </c>
      <c r="EN73" s="2622"/>
      <c r="EO73" s="2622" t="str">
        <f t="shared" si="233"/>
        <v/>
      </c>
      <c r="EP73" s="2622" t="str">
        <f t="shared" si="234"/>
        <v/>
      </c>
      <c r="EQ73" s="2622" t="str">
        <f t="shared" si="235"/>
        <v/>
      </c>
      <c r="ER73" s="2622" t="str">
        <f t="shared" si="263"/>
        <v/>
      </c>
      <c r="ES73" s="2622" t="str">
        <f t="shared" si="236"/>
        <v/>
      </c>
      <c r="ET73" s="2622" t="str">
        <f t="shared" si="237"/>
        <v/>
      </c>
      <c r="EU73" s="2622"/>
      <c r="EV73" s="2622" t="str">
        <f t="shared" si="273"/>
        <v/>
      </c>
      <c r="EW73" s="2622" t="str">
        <f t="shared" si="274"/>
        <v/>
      </c>
      <c r="EY73" s="2349" t="str">
        <f t="shared" si="238"/>
        <v/>
      </c>
      <c r="EZ73" s="2271" t="str">
        <f t="shared" si="239"/>
        <v/>
      </c>
      <c r="FA73" s="2622" t="str">
        <f t="shared" si="240"/>
        <v/>
      </c>
      <c r="FB73" s="2622" t="str">
        <f t="shared" si="241"/>
        <v/>
      </c>
      <c r="FC73" s="2622"/>
      <c r="FD73" s="2622" t="str">
        <f t="shared" si="242"/>
        <v/>
      </c>
      <c r="FE73" s="2622" t="str">
        <f t="shared" si="243"/>
        <v/>
      </c>
      <c r="FF73" s="2622" t="str">
        <f t="shared" si="244"/>
        <v/>
      </c>
      <c r="FG73" s="2622" t="str">
        <f t="shared" si="264"/>
        <v/>
      </c>
      <c r="FH73" s="2622" t="str">
        <f t="shared" si="245"/>
        <v/>
      </c>
      <c r="FI73" s="2622" t="str">
        <f t="shared" si="246"/>
        <v/>
      </c>
      <c r="FJ73" s="2622"/>
      <c r="FK73" s="2622" t="str">
        <f t="shared" si="275"/>
        <v/>
      </c>
      <c r="FL73" s="2622" t="str">
        <f t="shared" si="276"/>
        <v/>
      </c>
      <c r="FO73" s="2349" t="str">
        <f t="shared" si="250"/>
        <v/>
      </c>
      <c r="FP73" s="2271" t="str">
        <f t="shared" si="251"/>
        <v/>
      </c>
      <c r="FQ73" s="2622" t="str">
        <f t="shared" si="252"/>
        <v/>
      </c>
      <c r="FR73" s="2622" t="str">
        <f t="shared" si="253"/>
        <v/>
      </c>
      <c r="FS73" s="2622"/>
      <c r="FT73" s="2622" t="str">
        <f t="shared" si="254"/>
        <v/>
      </c>
      <c r="FU73" s="2622" t="str">
        <f t="shared" si="255"/>
        <v/>
      </c>
      <c r="FV73" s="2622" t="str">
        <f t="shared" si="256"/>
        <v/>
      </c>
      <c r="FW73" s="2622" t="str">
        <f t="shared" si="265"/>
        <v/>
      </c>
      <c r="FX73" s="2622" t="str">
        <f t="shared" si="257"/>
        <v/>
      </c>
      <c r="FY73" s="2622" t="str">
        <f t="shared" si="258"/>
        <v/>
      </c>
      <c r="FZ73" s="2622"/>
      <c r="GA73" s="2622" t="str">
        <f t="shared" si="277"/>
        <v/>
      </c>
      <c r="GB73" s="2622" t="str">
        <f t="shared" si="261"/>
        <v/>
      </c>
    </row>
    <row r="74" spans="1:184" s="2332" customFormat="1">
      <c r="A74" s="2328"/>
      <c r="B74" s="2328"/>
      <c r="C74" s="2328"/>
      <c r="D74" s="2349"/>
      <c r="E74" s="2328"/>
      <c r="F74" s="2349"/>
      <c r="G74" s="2271"/>
      <c r="H74" s="2366"/>
      <c r="I74" s="2366"/>
      <c r="J74" s="2366"/>
      <c r="K74" s="2366"/>
      <c r="L74" s="2366"/>
      <c r="M74" s="2362"/>
      <c r="N74" s="2366"/>
      <c r="O74" s="2366"/>
      <c r="P74" s="2362"/>
      <c r="Q74" s="2362"/>
      <c r="R74" s="2362"/>
      <c r="S74" s="2362"/>
      <c r="T74" s="2362"/>
      <c r="U74" s="2390"/>
      <c r="V74" s="2349"/>
      <c r="W74" s="2271"/>
      <c r="X74" s="2366"/>
      <c r="Y74" s="2366"/>
      <c r="Z74" s="2366"/>
      <c r="AA74" s="2366"/>
      <c r="AB74" s="2366"/>
      <c r="AC74" s="2362"/>
      <c r="AD74" s="2366"/>
      <c r="AE74" s="2366"/>
      <c r="AF74" s="2362"/>
      <c r="AG74" s="2362"/>
      <c r="AI74" s="2362"/>
      <c r="AJ74" s="2362" t="str">
        <f t="shared" si="278"/>
        <v/>
      </c>
      <c r="AK74" s="2349"/>
      <c r="AL74" s="3362"/>
      <c r="AM74" s="3362"/>
      <c r="AN74" s="2366"/>
      <c r="AO74" s="2366"/>
      <c r="AP74" s="2362"/>
      <c r="AQ74" s="2362"/>
      <c r="AR74" s="2362"/>
      <c r="AS74" s="2349"/>
      <c r="AT74" s="2349"/>
      <c r="AU74" s="2271"/>
      <c r="AV74" s="2366"/>
      <c r="AW74" s="2366"/>
      <c r="AX74" s="2366"/>
      <c r="AY74" s="2366"/>
      <c r="AZ74" s="2366"/>
      <c r="BA74" s="2362"/>
      <c r="BB74" s="2366"/>
      <c r="BC74" s="2366"/>
      <c r="BD74" s="3363"/>
      <c r="BE74" s="251"/>
      <c r="BF74" s="2362"/>
      <c r="BG74" s="2362"/>
      <c r="BH74" s="2362"/>
      <c r="BI74" s="2390"/>
      <c r="BJ74" s="2349"/>
      <c r="BK74" s="2271"/>
      <c r="BL74" s="2366"/>
      <c r="BM74" s="2366"/>
      <c r="BN74" s="2366"/>
      <c r="BO74" s="2366"/>
      <c r="BP74" s="2366"/>
      <c r="BQ74" s="3363"/>
      <c r="BR74" s="2366"/>
      <c r="BS74" s="2366"/>
      <c r="BT74" s="2362"/>
      <c r="BU74" s="2362"/>
      <c r="BW74" s="2362"/>
      <c r="BX74" s="2362"/>
      <c r="BY74" s="2349"/>
      <c r="BZ74" s="2366"/>
      <c r="CA74" s="2366"/>
      <c r="CB74" s="2366"/>
      <c r="CC74" s="2366"/>
      <c r="CD74" s="2362"/>
      <c r="CE74" s="2362"/>
      <c r="CF74" s="2362"/>
      <c r="CG74" s="2349"/>
      <c r="CH74" s="2349" t="str">
        <f t="shared" si="143"/>
        <v/>
      </c>
      <c r="CI74" s="2271" t="str">
        <f t="shared" si="144"/>
        <v/>
      </c>
      <c r="CJ74" s="3364" t="str">
        <f t="shared" si="145"/>
        <v/>
      </c>
      <c r="CK74" s="2366" t="str">
        <f t="shared" si="146"/>
        <v/>
      </c>
      <c r="CL74" s="2366" t="str">
        <f t="shared" si="147"/>
        <v/>
      </c>
      <c r="CM74" s="2366" t="str">
        <f t="shared" si="148"/>
        <v/>
      </c>
      <c r="CN74" s="2366" t="str">
        <f t="shared" si="149"/>
        <v/>
      </c>
      <c r="CO74" s="2362" t="str">
        <f t="shared" si="150"/>
        <v/>
      </c>
      <c r="CP74" s="2366" t="str">
        <f t="shared" si="151"/>
        <v/>
      </c>
      <c r="CQ74" s="2366" t="str">
        <f t="shared" si="152"/>
        <v/>
      </c>
      <c r="CR74" s="2362" t="str">
        <f t="shared" si="153"/>
        <v/>
      </c>
      <c r="CS74" s="2362"/>
      <c r="CT74" s="2362" t="str">
        <f t="shared" si="266"/>
        <v/>
      </c>
      <c r="CU74" s="2362" t="str">
        <f t="shared" si="267"/>
        <v/>
      </c>
      <c r="CV74" s="2362"/>
      <c r="CW74" s="2390"/>
      <c r="CX74" s="2349" t="str">
        <f t="shared" si="155"/>
        <v/>
      </c>
      <c r="CY74" s="2271" t="str">
        <f t="shared" si="156"/>
        <v/>
      </c>
      <c r="CZ74" s="3364" t="str">
        <f t="shared" si="157"/>
        <v/>
      </c>
      <c r="DA74" s="2366" t="str">
        <f t="shared" si="158"/>
        <v/>
      </c>
      <c r="DB74" s="2366" t="str">
        <f t="shared" si="159"/>
        <v/>
      </c>
      <c r="DC74" s="2366" t="str">
        <f t="shared" si="160"/>
        <v/>
      </c>
      <c r="DD74" s="2366" t="str">
        <f t="shared" si="161"/>
        <v/>
      </c>
      <c r="DE74" s="2362" t="str">
        <f t="shared" si="162"/>
        <v/>
      </c>
      <c r="DF74" s="2366" t="str">
        <f t="shared" si="163"/>
        <v/>
      </c>
      <c r="DG74" s="2366" t="str">
        <f t="shared" si="164"/>
        <v/>
      </c>
      <c r="DH74" s="2362" t="str">
        <f t="shared" si="165"/>
        <v/>
      </c>
      <c r="DI74" s="2362"/>
      <c r="DJ74" s="2362" t="str">
        <f t="shared" si="268"/>
        <v/>
      </c>
      <c r="DK74" s="2362" t="str">
        <f t="shared" si="269"/>
        <v/>
      </c>
      <c r="DL74" s="2362" t="str">
        <f t="shared" si="270"/>
        <v/>
      </c>
      <c r="DN74" s="3365" t="str">
        <f t="shared" si="167"/>
        <v/>
      </c>
      <c r="DO74" s="3365" t="str">
        <f t="shared" si="168"/>
        <v/>
      </c>
      <c r="DP74" s="3365" t="str">
        <f t="shared" si="169"/>
        <v/>
      </c>
      <c r="DQ74" s="3365" t="str">
        <f t="shared" si="170"/>
        <v/>
      </c>
      <c r="DT74" s="2349" t="str">
        <f t="shared" si="171"/>
        <v/>
      </c>
      <c r="DU74" s="2271" t="str">
        <f t="shared" si="172"/>
        <v/>
      </c>
      <c r="DV74" s="2622" t="str">
        <f t="shared" si="173"/>
        <v/>
      </c>
      <c r="DW74" s="2622" t="str">
        <f t="shared" si="174"/>
        <v/>
      </c>
      <c r="DX74" s="2622"/>
      <c r="DY74" s="2622" t="str">
        <f t="shared" si="175"/>
        <v/>
      </c>
      <c r="DZ74" s="2622" t="str">
        <f t="shared" si="176"/>
        <v/>
      </c>
      <c r="EA74" s="2622" t="str">
        <f t="shared" si="177"/>
        <v/>
      </c>
      <c r="EB74" s="2622" t="str">
        <f t="shared" si="262"/>
        <v/>
      </c>
      <c r="EC74" s="2622" t="str">
        <f t="shared" si="230"/>
        <v/>
      </c>
      <c r="ED74" s="2622" t="str">
        <f t="shared" si="231"/>
        <v/>
      </c>
      <c r="EE74" s="2622"/>
      <c r="EF74" s="2622" t="str">
        <f t="shared" si="271"/>
        <v/>
      </c>
      <c r="EG74" s="2622" t="str">
        <f t="shared" si="272"/>
        <v/>
      </c>
      <c r="EJ74" s="2349" t="str">
        <f t="shared" si="179"/>
        <v/>
      </c>
      <c r="EK74" s="2271" t="str">
        <f t="shared" si="180"/>
        <v/>
      </c>
      <c r="EL74" s="2622" t="str">
        <f t="shared" si="181"/>
        <v/>
      </c>
      <c r="EM74" s="2622" t="str">
        <f t="shared" si="182"/>
        <v/>
      </c>
      <c r="EN74" s="2622"/>
      <c r="EO74" s="2622" t="str">
        <f t="shared" si="233"/>
        <v/>
      </c>
      <c r="EP74" s="2622" t="str">
        <f t="shared" si="234"/>
        <v/>
      </c>
      <c r="EQ74" s="2622" t="str">
        <f t="shared" si="235"/>
        <v/>
      </c>
      <c r="ER74" s="2622" t="str">
        <f t="shared" si="263"/>
        <v/>
      </c>
      <c r="ES74" s="2622" t="str">
        <f t="shared" si="236"/>
        <v/>
      </c>
      <c r="ET74" s="2622" t="str">
        <f t="shared" si="237"/>
        <v/>
      </c>
      <c r="EU74" s="2622"/>
      <c r="EV74" s="2622" t="str">
        <f t="shared" si="273"/>
        <v/>
      </c>
      <c r="EW74" s="2622" t="str">
        <f t="shared" si="274"/>
        <v/>
      </c>
      <c r="EY74" s="2349" t="str">
        <f t="shared" si="238"/>
        <v/>
      </c>
      <c r="EZ74" s="2271" t="str">
        <f t="shared" si="239"/>
        <v/>
      </c>
      <c r="FA74" s="2622" t="str">
        <f t="shared" si="240"/>
        <v/>
      </c>
      <c r="FB74" s="2622" t="str">
        <f t="shared" si="241"/>
        <v/>
      </c>
      <c r="FC74" s="2622"/>
      <c r="FD74" s="2622" t="str">
        <f t="shared" si="242"/>
        <v/>
      </c>
      <c r="FE74" s="2622" t="str">
        <f t="shared" si="243"/>
        <v/>
      </c>
      <c r="FF74" s="2622" t="str">
        <f t="shared" si="244"/>
        <v/>
      </c>
      <c r="FG74" s="2622" t="str">
        <f t="shared" si="264"/>
        <v/>
      </c>
      <c r="FH74" s="2622" t="str">
        <f t="shared" si="245"/>
        <v/>
      </c>
      <c r="FI74" s="2622" t="str">
        <f t="shared" si="246"/>
        <v/>
      </c>
      <c r="FJ74" s="2622"/>
      <c r="FK74" s="2622" t="str">
        <f t="shared" si="275"/>
        <v/>
      </c>
      <c r="FL74" s="2622" t="str">
        <f t="shared" si="276"/>
        <v/>
      </c>
      <c r="FO74" s="2349" t="str">
        <f t="shared" si="250"/>
        <v/>
      </c>
      <c r="FP74" s="2271" t="str">
        <f t="shared" si="251"/>
        <v/>
      </c>
      <c r="FQ74" s="2622" t="str">
        <f t="shared" si="252"/>
        <v/>
      </c>
      <c r="FR74" s="2622" t="str">
        <f t="shared" si="253"/>
        <v/>
      </c>
      <c r="FS74" s="2622"/>
      <c r="FT74" s="2622" t="str">
        <f t="shared" si="254"/>
        <v/>
      </c>
      <c r="FU74" s="2622" t="str">
        <f t="shared" si="255"/>
        <v/>
      </c>
      <c r="FV74" s="2622" t="str">
        <f t="shared" si="256"/>
        <v/>
      </c>
      <c r="FW74" s="2622" t="str">
        <f t="shared" si="265"/>
        <v/>
      </c>
      <c r="FX74" s="2622" t="str">
        <f t="shared" si="257"/>
        <v/>
      </c>
      <c r="FY74" s="2622" t="str">
        <f t="shared" si="258"/>
        <v/>
      </c>
      <c r="FZ74" s="2622"/>
      <c r="GA74" s="2622" t="str">
        <f t="shared" si="277"/>
        <v/>
      </c>
      <c r="GB74" s="2622" t="str">
        <f t="shared" si="261"/>
        <v/>
      </c>
    </row>
    <row r="75" spans="1:184" s="2332" customFormat="1">
      <c r="A75" s="2328"/>
      <c r="B75" s="2328"/>
      <c r="C75" s="2328"/>
      <c r="D75" s="2349"/>
      <c r="E75" s="2328"/>
      <c r="F75" s="2349"/>
      <c r="G75" s="2271"/>
      <c r="H75" s="2366"/>
      <c r="I75" s="2366"/>
      <c r="J75" s="2366"/>
      <c r="K75" s="2366"/>
      <c r="L75" s="2366"/>
      <c r="M75" s="2362"/>
      <c r="N75" s="2366"/>
      <c r="O75" s="2366"/>
      <c r="P75" s="2362"/>
      <c r="Q75" s="2362"/>
      <c r="R75" s="2362"/>
      <c r="S75" s="2362"/>
      <c r="T75" s="2362"/>
      <c r="U75" s="2390"/>
      <c r="V75" s="2349"/>
      <c r="W75" s="2271"/>
      <c r="X75" s="2366"/>
      <c r="Y75" s="2366"/>
      <c r="Z75" s="2366"/>
      <c r="AA75" s="2366"/>
      <c r="AB75" s="2366"/>
      <c r="AC75" s="2362"/>
      <c r="AD75" s="2366"/>
      <c r="AE75" s="2366"/>
      <c r="AF75" s="2362"/>
      <c r="AG75" s="2362"/>
      <c r="AI75" s="2362"/>
      <c r="AJ75" s="2362" t="str">
        <f t="shared" si="278"/>
        <v/>
      </c>
      <c r="AK75" s="2349"/>
      <c r="AL75" s="3362"/>
      <c r="AM75" s="3362"/>
      <c r="AN75" s="2366"/>
      <c r="AO75" s="2366"/>
      <c r="AP75" s="2362"/>
      <c r="AQ75" s="2362"/>
      <c r="AR75" s="2362"/>
      <c r="AS75" s="2349"/>
      <c r="AT75" s="2349"/>
      <c r="AU75" s="2271"/>
      <c r="AV75" s="2366"/>
      <c r="AW75" s="2366"/>
      <c r="AX75" s="2366"/>
      <c r="AY75" s="2366"/>
      <c r="AZ75" s="2366"/>
      <c r="BA75" s="2362"/>
      <c r="BB75" s="2366"/>
      <c r="BC75" s="2366"/>
      <c r="BD75" s="3363"/>
      <c r="BE75" s="251"/>
      <c r="BF75" s="2362"/>
      <c r="BG75" s="2362"/>
      <c r="BH75" s="2362"/>
      <c r="BI75" s="2390"/>
      <c r="BJ75" s="2349"/>
      <c r="BK75" s="2271"/>
      <c r="BL75" s="2366"/>
      <c r="BM75" s="2366"/>
      <c r="BN75" s="2366"/>
      <c r="BO75" s="2366"/>
      <c r="BP75" s="2366"/>
      <c r="BQ75" s="3363"/>
      <c r="BR75" s="2366"/>
      <c r="BS75" s="2366"/>
      <c r="BT75" s="2362"/>
      <c r="BU75" s="2362"/>
      <c r="BW75" s="2362"/>
      <c r="BX75" s="2362"/>
      <c r="BY75" s="2349"/>
      <c r="BZ75" s="2366"/>
      <c r="CA75" s="2366"/>
      <c r="CB75" s="2366"/>
      <c r="CC75" s="2366"/>
      <c r="CD75" s="2362"/>
      <c r="CE75" s="2362"/>
      <c r="CF75" s="2362"/>
      <c r="CG75" s="2349"/>
      <c r="CH75" s="2349" t="str">
        <f t="shared" si="143"/>
        <v/>
      </c>
      <c r="CI75" s="2271" t="str">
        <f t="shared" si="144"/>
        <v/>
      </c>
      <c r="CJ75" s="3364" t="str">
        <f t="shared" si="145"/>
        <v/>
      </c>
      <c r="CK75" s="2366" t="str">
        <f t="shared" si="146"/>
        <v/>
      </c>
      <c r="CL75" s="2366" t="str">
        <f t="shared" si="147"/>
        <v/>
      </c>
      <c r="CM75" s="2366" t="str">
        <f t="shared" si="148"/>
        <v/>
      </c>
      <c r="CN75" s="2366" t="str">
        <f t="shared" si="149"/>
        <v/>
      </c>
      <c r="CO75" s="2362" t="str">
        <f t="shared" si="150"/>
        <v/>
      </c>
      <c r="CP75" s="2366" t="str">
        <f t="shared" si="151"/>
        <v/>
      </c>
      <c r="CQ75" s="2366" t="str">
        <f t="shared" si="152"/>
        <v/>
      </c>
      <c r="CR75" s="2362" t="str">
        <f t="shared" si="153"/>
        <v/>
      </c>
      <c r="CS75" s="2362"/>
      <c r="CT75" s="2362" t="str">
        <f t="shared" si="266"/>
        <v/>
      </c>
      <c r="CU75" s="2362" t="str">
        <f t="shared" si="267"/>
        <v/>
      </c>
      <c r="CV75" s="2362"/>
      <c r="CW75" s="2390"/>
      <c r="CX75" s="2349" t="str">
        <f t="shared" si="155"/>
        <v/>
      </c>
      <c r="CY75" s="2271" t="str">
        <f t="shared" si="156"/>
        <v/>
      </c>
      <c r="CZ75" s="3364" t="str">
        <f t="shared" si="157"/>
        <v/>
      </c>
      <c r="DA75" s="2366" t="str">
        <f t="shared" si="158"/>
        <v/>
      </c>
      <c r="DB75" s="2366" t="str">
        <f t="shared" si="159"/>
        <v/>
      </c>
      <c r="DC75" s="2366" t="str">
        <f t="shared" si="160"/>
        <v/>
      </c>
      <c r="DD75" s="2366" t="str">
        <f t="shared" si="161"/>
        <v/>
      </c>
      <c r="DE75" s="2362" t="str">
        <f t="shared" si="162"/>
        <v/>
      </c>
      <c r="DF75" s="2366" t="str">
        <f t="shared" si="163"/>
        <v/>
      </c>
      <c r="DG75" s="2366" t="str">
        <f t="shared" si="164"/>
        <v/>
      </c>
      <c r="DH75" s="2362" t="str">
        <f t="shared" si="165"/>
        <v/>
      </c>
      <c r="DI75" s="2362"/>
      <c r="DJ75" s="2362" t="str">
        <f t="shared" si="268"/>
        <v/>
      </c>
      <c r="DK75" s="2362" t="str">
        <f t="shared" si="269"/>
        <v/>
      </c>
      <c r="DL75" s="2362" t="str">
        <f t="shared" si="270"/>
        <v/>
      </c>
      <c r="DN75" s="3365" t="str">
        <f t="shared" si="167"/>
        <v/>
      </c>
      <c r="DO75" s="3365" t="str">
        <f t="shared" si="168"/>
        <v/>
      </c>
      <c r="DP75" s="3365" t="str">
        <f t="shared" si="169"/>
        <v/>
      </c>
      <c r="DQ75" s="3365" t="str">
        <f t="shared" si="170"/>
        <v/>
      </c>
      <c r="DT75" s="2349" t="str">
        <f t="shared" si="171"/>
        <v/>
      </c>
      <c r="DU75" s="2271" t="str">
        <f t="shared" si="172"/>
        <v/>
      </c>
      <c r="DV75" s="2622" t="str">
        <f t="shared" si="173"/>
        <v/>
      </c>
      <c r="DW75" s="2622" t="str">
        <f t="shared" si="174"/>
        <v/>
      </c>
      <c r="DX75" s="2622"/>
      <c r="DY75" s="2622" t="str">
        <f t="shared" si="175"/>
        <v/>
      </c>
      <c r="DZ75" s="2622" t="str">
        <f t="shared" si="176"/>
        <v/>
      </c>
      <c r="EA75" s="2622" t="str">
        <f t="shared" si="177"/>
        <v/>
      </c>
      <c r="EB75" s="2622" t="str">
        <f t="shared" si="262"/>
        <v/>
      </c>
      <c r="EC75" s="2622" t="str">
        <f t="shared" si="230"/>
        <v/>
      </c>
      <c r="ED75" s="2622" t="str">
        <f t="shared" si="231"/>
        <v/>
      </c>
      <c r="EE75" s="2622"/>
      <c r="EF75" s="2622" t="str">
        <f t="shared" si="271"/>
        <v/>
      </c>
      <c r="EG75" s="2622" t="str">
        <f t="shared" si="272"/>
        <v/>
      </c>
      <c r="EJ75" s="2349" t="str">
        <f t="shared" si="179"/>
        <v/>
      </c>
      <c r="EK75" s="2271" t="str">
        <f t="shared" si="180"/>
        <v/>
      </c>
      <c r="EL75" s="2622" t="str">
        <f t="shared" si="181"/>
        <v/>
      </c>
      <c r="EM75" s="2622" t="str">
        <f t="shared" si="182"/>
        <v/>
      </c>
      <c r="EN75" s="2622"/>
      <c r="EO75" s="2622" t="str">
        <f t="shared" si="233"/>
        <v/>
      </c>
      <c r="EP75" s="2622" t="str">
        <f t="shared" si="234"/>
        <v/>
      </c>
      <c r="EQ75" s="2622" t="str">
        <f t="shared" si="235"/>
        <v/>
      </c>
      <c r="ER75" s="2622" t="str">
        <f t="shared" si="263"/>
        <v/>
      </c>
      <c r="ES75" s="2622" t="str">
        <f t="shared" si="236"/>
        <v/>
      </c>
      <c r="ET75" s="2622" t="str">
        <f t="shared" si="237"/>
        <v/>
      </c>
      <c r="EU75" s="2622"/>
      <c r="EV75" s="2622" t="str">
        <f t="shared" si="273"/>
        <v/>
      </c>
      <c r="EW75" s="2622" t="str">
        <f t="shared" si="274"/>
        <v/>
      </c>
      <c r="EY75" s="2349" t="str">
        <f t="shared" si="238"/>
        <v/>
      </c>
      <c r="EZ75" s="2271" t="str">
        <f t="shared" si="239"/>
        <v/>
      </c>
      <c r="FA75" s="2622" t="str">
        <f t="shared" si="240"/>
        <v/>
      </c>
      <c r="FB75" s="2622" t="str">
        <f t="shared" si="241"/>
        <v/>
      </c>
      <c r="FC75" s="2622"/>
      <c r="FD75" s="2622" t="str">
        <f t="shared" si="242"/>
        <v/>
      </c>
      <c r="FE75" s="2622" t="str">
        <f t="shared" si="243"/>
        <v/>
      </c>
      <c r="FF75" s="2622" t="str">
        <f t="shared" si="244"/>
        <v/>
      </c>
      <c r="FG75" s="2622" t="str">
        <f t="shared" si="264"/>
        <v/>
      </c>
      <c r="FH75" s="2622" t="str">
        <f t="shared" si="245"/>
        <v/>
      </c>
      <c r="FI75" s="2622" t="str">
        <f t="shared" si="246"/>
        <v/>
      </c>
      <c r="FJ75" s="2622"/>
      <c r="FK75" s="2622" t="str">
        <f t="shared" si="275"/>
        <v/>
      </c>
      <c r="FL75" s="2622" t="str">
        <f t="shared" si="276"/>
        <v/>
      </c>
      <c r="FO75" s="2349" t="str">
        <f t="shared" si="250"/>
        <v/>
      </c>
      <c r="FP75" s="2271" t="str">
        <f t="shared" si="251"/>
        <v/>
      </c>
      <c r="FQ75" s="2622" t="str">
        <f t="shared" si="252"/>
        <v/>
      </c>
      <c r="FR75" s="2622" t="str">
        <f t="shared" si="253"/>
        <v/>
      </c>
      <c r="FS75" s="2622"/>
      <c r="FT75" s="2622" t="str">
        <f t="shared" si="254"/>
        <v/>
      </c>
      <c r="FU75" s="2622" t="str">
        <f t="shared" si="255"/>
        <v/>
      </c>
      <c r="FV75" s="2622" t="str">
        <f t="shared" si="256"/>
        <v/>
      </c>
      <c r="FW75" s="2622" t="str">
        <f t="shared" si="265"/>
        <v/>
      </c>
      <c r="FX75" s="2622" t="str">
        <f t="shared" si="257"/>
        <v/>
      </c>
      <c r="FY75" s="2622" t="str">
        <f t="shared" si="258"/>
        <v/>
      </c>
      <c r="FZ75" s="2622"/>
      <c r="GA75" s="2622" t="str">
        <f t="shared" si="277"/>
        <v/>
      </c>
      <c r="GB75" s="2622" t="str">
        <f t="shared" si="261"/>
        <v/>
      </c>
    </row>
    <row r="76" spans="1:184" s="2332" customFormat="1">
      <c r="A76" s="2328"/>
      <c r="B76" s="2328"/>
      <c r="C76" s="2328"/>
      <c r="D76" s="2349"/>
      <c r="E76" s="2328"/>
      <c r="F76" s="2349"/>
      <c r="G76" s="2271"/>
      <c r="H76" s="2366"/>
      <c r="I76" s="2366"/>
      <c r="J76" s="2366"/>
      <c r="K76" s="2366"/>
      <c r="L76" s="2366"/>
      <c r="M76" s="2362"/>
      <c r="N76" s="2366"/>
      <c r="O76" s="2366"/>
      <c r="P76" s="2362"/>
      <c r="Q76" s="2362"/>
      <c r="R76" s="2362"/>
      <c r="S76" s="2362"/>
      <c r="T76" s="2362"/>
      <c r="U76" s="2390"/>
      <c r="V76" s="2349"/>
      <c r="W76" s="2271"/>
      <c r="X76" s="2366"/>
      <c r="Y76" s="2366"/>
      <c r="Z76" s="2366"/>
      <c r="AA76" s="2366"/>
      <c r="AB76" s="2366"/>
      <c r="AC76" s="2362"/>
      <c r="AD76" s="2366"/>
      <c r="AE76" s="2366"/>
      <c r="AF76" s="2362"/>
      <c r="AG76" s="2362"/>
      <c r="AI76" s="2362"/>
      <c r="AJ76" s="2362" t="str">
        <f t="shared" si="278"/>
        <v/>
      </c>
      <c r="AK76" s="2349"/>
      <c r="AL76" s="3362"/>
      <c r="AM76" s="3362"/>
      <c r="AN76" s="2366"/>
      <c r="AO76" s="2366"/>
      <c r="AP76" s="2362"/>
      <c r="AQ76" s="2362"/>
      <c r="AR76" s="2362"/>
      <c r="AS76" s="2349"/>
      <c r="AT76" s="2349"/>
      <c r="AU76" s="2271"/>
      <c r="AV76" s="2366"/>
      <c r="AW76" s="2366"/>
      <c r="AX76" s="2366"/>
      <c r="AY76" s="2366"/>
      <c r="AZ76" s="2366"/>
      <c r="BA76" s="2362"/>
      <c r="BB76" s="2366"/>
      <c r="BC76" s="2366"/>
      <c r="BD76" s="3363"/>
      <c r="BE76" s="251"/>
      <c r="BF76" s="2362"/>
      <c r="BG76" s="2362"/>
      <c r="BH76" s="2362"/>
      <c r="BI76" s="2390"/>
      <c r="BJ76" s="2349"/>
      <c r="BK76" s="2271"/>
      <c r="BL76" s="2366"/>
      <c r="BM76" s="2366"/>
      <c r="BN76" s="2366"/>
      <c r="BO76" s="2366"/>
      <c r="BP76" s="2366"/>
      <c r="BQ76" s="3363"/>
      <c r="BR76" s="2366"/>
      <c r="BS76" s="2366"/>
      <c r="BT76" s="2362"/>
      <c r="BU76" s="2362"/>
      <c r="BW76" s="2362"/>
      <c r="BX76" s="2362"/>
      <c r="BY76" s="2349"/>
      <c r="BZ76" s="2366"/>
      <c r="CA76" s="2366"/>
      <c r="CB76" s="2366"/>
      <c r="CC76" s="2366"/>
      <c r="CD76" s="2362"/>
      <c r="CE76" s="2362"/>
      <c r="CF76" s="2362"/>
      <c r="CG76" s="2349"/>
      <c r="CH76" s="2349" t="str">
        <f t="shared" si="143"/>
        <v/>
      </c>
      <c r="CI76" s="2271" t="str">
        <f t="shared" si="144"/>
        <v/>
      </c>
      <c r="CJ76" s="3364" t="str">
        <f t="shared" si="145"/>
        <v/>
      </c>
      <c r="CK76" s="2366" t="str">
        <f t="shared" si="146"/>
        <v/>
      </c>
      <c r="CL76" s="2366" t="str">
        <f t="shared" si="147"/>
        <v/>
      </c>
      <c r="CM76" s="2366" t="str">
        <f t="shared" si="148"/>
        <v/>
      </c>
      <c r="CN76" s="2366" t="str">
        <f t="shared" si="149"/>
        <v/>
      </c>
      <c r="CO76" s="2362" t="str">
        <f t="shared" si="150"/>
        <v/>
      </c>
      <c r="CP76" s="2366" t="str">
        <f t="shared" si="151"/>
        <v/>
      </c>
      <c r="CQ76" s="2366" t="str">
        <f t="shared" si="152"/>
        <v/>
      </c>
      <c r="CR76" s="2362" t="str">
        <f t="shared" si="153"/>
        <v/>
      </c>
      <c r="CS76" s="2362"/>
      <c r="CT76" s="2362" t="str">
        <f t="shared" si="266"/>
        <v/>
      </c>
      <c r="CU76" s="2362" t="str">
        <f t="shared" si="267"/>
        <v/>
      </c>
      <c r="CV76" s="2362"/>
      <c r="CW76" s="2390"/>
      <c r="CX76" s="2349" t="str">
        <f t="shared" si="155"/>
        <v/>
      </c>
      <c r="CY76" s="2271" t="str">
        <f t="shared" si="156"/>
        <v/>
      </c>
      <c r="CZ76" s="3364" t="str">
        <f t="shared" si="157"/>
        <v/>
      </c>
      <c r="DA76" s="2366" t="str">
        <f t="shared" si="158"/>
        <v/>
      </c>
      <c r="DB76" s="2366" t="str">
        <f t="shared" si="159"/>
        <v/>
      </c>
      <c r="DC76" s="2366" t="str">
        <f t="shared" si="160"/>
        <v/>
      </c>
      <c r="DD76" s="2366" t="str">
        <f t="shared" si="161"/>
        <v/>
      </c>
      <c r="DE76" s="2362" t="str">
        <f t="shared" si="162"/>
        <v/>
      </c>
      <c r="DF76" s="2366" t="str">
        <f t="shared" si="163"/>
        <v/>
      </c>
      <c r="DG76" s="2366" t="str">
        <f t="shared" si="164"/>
        <v/>
      </c>
      <c r="DH76" s="2362" t="str">
        <f t="shared" si="165"/>
        <v/>
      </c>
      <c r="DI76" s="2362"/>
      <c r="DJ76" s="2362" t="str">
        <f t="shared" si="268"/>
        <v/>
      </c>
      <c r="DK76" s="2362" t="str">
        <f t="shared" si="269"/>
        <v/>
      </c>
      <c r="DL76" s="2362" t="str">
        <f t="shared" si="270"/>
        <v/>
      </c>
      <c r="DN76" s="3365" t="str">
        <f t="shared" si="167"/>
        <v/>
      </c>
      <c r="DO76" s="3365" t="str">
        <f t="shared" si="168"/>
        <v/>
      </c>
      <c r="DP76" s="3365" t="str">
        <f t="shared" si="169"/>
        <v/>
      </c>
      <c r="DQ76" s="3365" t="str">
        <f t="shared" si="170"/>
        <v/>
      </c>
      <c r="DT76" s="2349" t="str">
        <f t="shared" si="171"/>
        <v/>
      </c>
      <c r="DU76" s="2271" t="str">
        <f t="shared" si="172"/>
        <v/>
      </c>
      <c r="DV76" s="2622" t="str">
        <f t="shared" si="173"/>
        <v/>
      </c>
      <c r="DW76" s="2622" t="str">
        <f t="shared" si="174"/>
        <v/>
      </c>
      <c r="DX76" s="2622"/>
      <c r="DY76" s="2622" t="str">
        <f t="shared" si="175"/>
        <v/>
      </c>
      <c r="DZ76" s="2622" t="str">
        <f t="shared" si="176"/>
        <v/>
      </c>
      <c r="EA76" s="2622" t="str">
        <f t="shared" si="177"/>
        <v/>
      </c>
      <c r="EB76" s="2622" t="str">
        <f t="shared" si="262"/>
        <v/>
      </c>
      <c r="EC76" s="2622" t="str">
        <f t="shared" si="230"/>
        <v/>
      </c>
      <c r="ED76" s="2622" t="str">
        <f t="shared" si="231"/>
        <v/>
      </c>
      <c r="EE76" s="2622"/>
      <c r="EF76" s="2622" t="str">
        <f t="shared" si="271"/>
        <v/>
      </c>
      <c r="EG76" s="2622" t="str">
        <f t="shared" si="272"/>
        <v/>
      </c>
      <c r="EJ76" s="2349" t="str">
        <f t="shared" si="179"/>
        <v/>
      </c>
      <c r="EK76" s="2271" t="str">
        <f t="shared" si="180"/>
        <v/>
      </c>
      <c r="EL76" s="2622" t="str">
        <f t="shared" si="181"/>
        <v/>
      </c>
      <c r="EM76" s="2622" t="str">
        <f t="shared" si="182"/>
        <v/>
      </c>
      <c r="EN76" s="2622"/>
      <c r="EO76" s="2622" t="str">
        <f t="shared" si="233"/>
        <v/>
      </c>
      <c r="EP76" s="2622" t="str">
        <f t="shared" si="234"/>
        <v/>
      </c>
      <c r="EQ76" s="2622" t="str">
        <f t="shared" si="235"/>
        <v/>
      </c>
      <c r="ER76" s="2622" t="str">
        <f t="shared" si="263"/>
        <v/>
      </c>
      <c r="ES76" s="2622" t="str">
        <f t="shared" si="236"/>
        <v/>
      </c>
      <c r="ET76" s="2622" t="str">
        <f t="shared" si="237"/>
        <v/>
      </c>
      <c r="EU76" s="2622"/>
      <c r="EV76" s="2622" t="str">
        <f t="shared" si="273"/>
        <v/>
      </c>
      <c r="EW76" s="2622" t="str">
        <f t="shared" si="274"/>
        <v/>
      </c>
      <c r="EY76" s="2349" t="str">
        <f t="shared" si="238"/>
        <v/>
      </c>
      <c r="EZ76" s="2271" t="str">
        <f t="shared" si="239"/>
        <v/>
      </c>
      <c r="FA76" s="2622" t="str">
        <f t="shared" si="240"/>
        <v/>
      </c>
      <c r="FB76" s="2622" t="str">
        <f t="shared" si="241"/>
        <v/>
      </c>
      <c r="FC76" s="2622"/>
      <c r="FD76" s="2622" t="str">
        <f t="shared" si="242"/>
        <v/>
      </c>
      <c r="FE76" s="2622" t="str">
        <f t="shared" si="243"/>
        <v/>
      </c>
      <c r="FF76" s="2622" t="str">
        <f t="shared" si="244"/>
        <v/>
      </c>
      <c r="FG76" s="2622" t="str">
        <f t="shared" si="264"/>
        <v/>
      </c>
      <c r="FH76" s="2622" t="str">
        <f t="shared" si="245"/>
        <v/>
      </c>
      <c r="FI76" s="2622" t="str">
        <f t="shared" si="246"/>
        <v/>
      </c>
      <c r="FJ76" s="2622"/>
      <c r="FK76" s="2622" t="str">
        <f t="shared" si="275"/>
        <v/>
      </c>
      <c r="FL76" s="2622" t="str">
        <f t="shared" si="276"/>
        <v/>
      </c>
      <c r="FO76" s="2349" t="str">
        <f t="shared" si="250"/>
        <v/>
      </c>
      <c r="FP76" s="2271" t="str">
        <f t="shared" si="251"/>
        <v/>
      </c>
      <c r="FQ76" s="2622" t="str">
        <f t="shared" si="252"/>
        <v/>
      </c>
      <c r="FR76" s="2622" t="str">
        <f t="shared" si="253"/>
        <v/>
      </c>
      <c r="FS76" s="2622"/>
      <c r="FT76" s="2622" t="str">
        <f t="shared" si="254"/>
        <v/>
      </c>
      <c r="FU76" s="2622" t="str">
        <f t="shared" si="255"/>
        <v/>
      </c>
      <c r="FV76" s="2622" t="str">
        <f t="shared" si="256"/>
        <v/>
      </c>
      <c r="FW76" s="2622" t="str">
        <f t="shared" si="265"/>
        <v/>
      </c>
      <c r="FX76" s="2622" t="str">
        <f t="shared" si="257"/>
        <v/>
      </c>
      <c r="FY76" s="2622" t="str">
        <f t="shared" si="258"/>
        <v/>
      </c>
      <c r="FZ76" s="2622"/>
      <c r="GA76" s="2622" t="str">
        <f t="shared" si="277"/>
        <v/>
      </c>
      <c r="GB76" s="2622" t="str">
        <f t="shared" si="261"/>
        <v/>
      </c>
    </row>
    <row r="77" spans="1:184">
      <c r="A77" s="1817"/>
      <c r="B77" s="1817"/>
      <c r="C77" s="1817"/>
      <c r="D77" s="1289"/>
      <c r="E77" s="1817"/>
      <c r="F77" s="1291"/>
      <c r="G77" s="1291"/>
      <c r="H77" s="1291"/>
      <c r="I77" s="1291"/>
      <c r="J77" s="1291"/>
      <c r="K77" s="1291"/>
      <c r="L77" s="1291"/>
      <c r="M77" s="1291"/>
      <c r="N77" s="1291"/>
      <c r="O77" s="1291"/>
      <c r="P77" s="1291"/>
      <c r="Q77" s="1291"/>
      <c r="R77" s="1291"/>
      <c r="S77" s="1291"/>
      <c r="T77" s="2341"/>
      <c r="U77" s="1291"/>
      <c r="V77" s="1291"/>
      <c r="W77" s="1291"/>
      <c r="X77" s="1291"/>
      <c r="Y77" s="1291"/>
      <c r="Z77" s="1291"/>
      <c r="AA77" s="1291"/>
      <c r="AB77" s="1291"/>
      <c r="AC77" s="1291"/>
      <c r="AD77" s="1291"/>
      <c r="AE77" s="1291"/>
      <c r="AF77" s="1291"/>
      <c r="AG77" s="1291"/>
      <c r="AH77" s="1291"/>
      <c r="AI77" s="1804"/>
      <c r="AJ77" s="1804"/>
      <c r="AK77" s="2346"/>
      <c r="AL77" s="1291"/>
      <c r="AM77" s="1291"/>
      <c r="AN77" s="1291"/>
      <c r="AO77" s="1291"/>
      <c r="AP77" s="1291"/>
      <c r="AQ77" s="1291"/>
      <c r="AR77" s="1291"/>
      <c r="AS77" s="1291"/>
      <c r="AT77" s="1291"/>
      <c r="AU77" s="1291"/>
      <c r="AV77" s="1291"/>
      <c r="AW77" s="1291"/>
      <c r="AX77" s="1291"/>
      <c r="AY77" s="1291"/>
      <c r="AZ77" s="1291"/>
      <c r="BA77" s="1291"/>
      <c r="BB77" s="1291"/>
      <c r="BC77" s="1291"/>
      <c r="BD77" s="2799"/>
      <c r="BE77" s="1291"/>
      <c r="BF77" s="1291"/>
      <c r="BG77" s="2341"/>
      <c r="BH77" s="1291"/>
      <c r="BI77" s="1291"/>
      <c r="BJ77" s="1291"/>
      <c r="BK77" s="1291"/>
      <c r="BL77" s="1291"/>
      <c r="BM77" s="1291"/>
      <c r="BN77" s="1291"/>
      <c r="BO77" s="1291"/>
      <c r="BP77" s="1291"/>
      <c r="BQ77" s="2799"/>
      <c r="BR77" s="1291"/>
      <c r="BS77" s="1291"/>
      <c r="BT77" s="1291"/>
      <c r="BU77" s="1291"/>
      <c r="BV77" s="1291"/>
      <c r="BW77" s="1291"/>
      <c r="BX77" s="2341"/>
      <c r="BY77" s="1291"/>
      <c r="BZ77" s="1291"/>
      <c r="CA77" s="1291"/>
      <c r="CB77" s="1291"/>
      <c r="CC77" s="1291"/>
      <c r="CD77" s="2341"/>
      <c r="CE77" s="2341"/>
      <c r="CF77" s="2341"/>
      <c r="CG77" s="2346"/>
      <c r="CH77" s="2341"/>
      <c r="CI77" s="2341"/>
      <c r="CJ77" s="2341"/>
      <c r="CK77" s="2341"/>
      <c r="CL77" s="2341"/>
      <c r="CM77" s="2341"/>
      <c r="CN77" s="2341"/>
      <c r="CO77" s="2341"/>
      <c r="CP77" s="2341"/>
      <c r="CQ77" s="2341"/>
      <c r="CR77" s="2341"/>
      <c r="CS77" s="2341"/>
      <c r="CT77" s="2341"/>
      <c r="CU77" s="2341"/>
      <c r="CV77" s="2341"/>
      <c r="CW77" s="2341"/>
      <c r="CX77" s="2341"/>
      <c r="CY77" s="2341"/>
      <c r="CZ77" s="2341"/>
      <c r="DA77" s="2341"/>
      <c r="DB77" s="2341"/>
      <c r="DC77" s="2341"/>
      <c r="DD77" s="2341"/>
      <c r="DE77" s="2341"/>
      <c r="DF77" s="2341"/>
      <c r="DG77" s="2341"/>
      <c r="DH77" s="2341"/>
      <c r="DI77" s="2341"/>
      <c r="DJ77" s="2341"/>
      <c r="DK77" s="2341"/>
      <c r="DL77" s="2341"/>
      <c r="DT77" s="2341"/>
      <c r="DU77" s="2341"/>
      <c r="DV77" s="2341"/>
      <c r="DW77" s="2341"/>
      <c r="DX77" s="2341"/>
      <c r="DY77" s="2341"/>
      <c r="DZ77" s="2341"/>
      <c r="EA77" s="2341"/>
      <c r="EB77" s="2341"/>
      <c r="EC77" s="2341"/>
      <c r="ED77" s="2341"/>
      <c r="EE77" s="2341"/>
      <c r="EF77" s="2341"/>
      <c r="EG77" s="2341"/>
      <c r="EJ77" s="2341"/>
      <c r="EK77" s="2341"/>
      <c r="EL77" s="2341"/>
      <c r="EM77" s="2341"/>
      <c r="EN77" s="2341"/>
      <c r="EO77" s="2341"/>
      <c r="EP77" s="2341"/>
      <c r="EQ77" s="2341"/>
      <c r="ER77" s="2341"/>
      <c r="ES77" s="2341"/>
      <c r="ET77" s="2341"/>
      <c r="EU77" s="2341"/>
      <c r="EV77" s="2341"/>
      <c r="EW77" s="2341"/>
      <c r="EY77" s="2341"/>
      <c r="EZ77" s="2341"/>
      <c r="FA77" s="2341"/>
      <c r="FB77" s="2341"/>
      <c r="FC77" s="2341"/>
      <c r="FD77" s="2341"/>
      <c r="FE77" s="2341"/>
      <c r="FF77" s="2341"/>
      <c r="FG77" s="2341"/>
      <c r="FH77" s="2341"/>
      <c r="FI77" s="2341"/>
      <c r="FJ77" s="2341"/>
      <c r="FK77" s="2341"/>
      <c r="FL77" s="2341"/>
      <c r="FO77" s="2341"/>
      <c r="FP77" s="2341"/>
      <c r="FQ77" s="2341"/>
      <c r="FR77" s="2341"/>
      <c r="FS77" s="2341"/>
      <c r="FT77" s="2341"/>
      <c r="FU77" s="2341"/>
      <c r="FV77" s="2341"/>
      <c r="FW77" s="2341"/>
      <c r="FX77" s="2341"/>
      <c r="FY77" s="2341"/>
      <c r="FZ77" s="2341"/>
      <c r="GA77" s="2341"/>
      <c r="GB77" s="2341"/>
    </row>
    <row r="78" spans="1:184">
      <c r="A78" s="1817"/>
      <c r="B78" s="1817"/>
      <c r="C78" s="1817"/>
      <c r="D78" s="1289"/>
      <c r="E78" s="1817"/>
      <c r="F78" s="1291"/>
      <c r="G78" s="1291"/>
      <c r="H78" s="1291"/>
      <c r="I78" s="1291"/>
      <c r="J78" s="1291"/>
      <c r="K78" s="1291"/>
      <c r="L78" s="1291"/>
      <c r="M78" s="1291"/>
      <c r="N78" s="1291"/>
      <c r="O78" s="1291"/>
      <c r="P78" s="1291"/>
      <c r="Q78" s="1291"/>
      <c r="R78" s="1291"/>
      <c r="S78" s="1291"/>
      <c r="T78" s="2341"/>
      <c r="U78" s="1291"/>
      <c r="V78" s="1291"/>
      <c r="W78" s="1291"/>
      <c r="X78" s="1291"/>
      <c r="Y78" s="1291"/>
      <c r="Z78" s="1291"/>
      <c r="AA78" s="1291"/>
      <c r="AB78" s="1291"/>
      <c r="AC78" s="1291"/>
      <c r="AD78" s="1291"/>
      <c r="AE78" s="1291"/>
      <c r="AF78" s="1291"/>
      <c r="AG78" s="1291"/>
      <c r="AH78" s="1291"/>
      <c r="AI78" s="1804"/>
      <c r="AJ78" s="1804"/>
      <c r="AK78" s="2346"/>
      <c r="AL78" s="1291"/>
      <c r="AM78" s="1291"/>
      <c r="AN78" s="1291"/>
      <c r="AO78" s="1291"/>
      <c r="AP78" s="1291"/>
      <c r="AQ78" s="1291"/>
      <c r="AR78" s="1291"/>
      <c r="AS78" s="1291"/>
      <c r="AT78" s="1291"/>
      <c r="AU78" s="1291"/>
      <c r="AV78" s="1291"/>
      <c r="AW78" s="1291"/>
      <c r="AX78" s="1291"/>
      <c r="AY78" s="1291"/>
      <c r="AZ78" s="1291"/>
      <c r="BA78" s="1291"/>
      <c r="BB78" s="1291"/>
      <c r="BC78" s="1291"/>
      <c r="BD78" s="2799"/>
      <c r="BE78" s="1291"/>
      <c r="BF78" s="1291"/>
      <c r="BG78" s="2341"/>
      <c r="BH78" s="1291"/>
      <c r="BI78" s="1291"/>
      <c r="BJ78" s="1291"/>
      <c r="BK78" s="1291"/>
      <c r="BL78" s="1291"/>
      <c r="BM78" s="1291"/>
      <c r="BN78" s="1291"/>
      <c r="BO78" s="1291"/>
      <c r="BP78" s="1291"/>
      <c r="BQ78" s="2799"/>
      <c r="BR78" s="1291"/>
      <c r="BS78" s="1291"/>
      <c r="BT78" s="1291"/>
      <c r="BU78" s="1291"/>
      <c r="BV78" s="1291"/>
      <c r="BW78" s="1291"/>
      <c r="BX78" s="2341"/>
      <c r="BY78" s="1291"/>
      <c r="BZ78" s="1291"/>
      <c r="CA78" s="1291"/>
      <c r="CB78" s="1291"/>
      <c r="CC78" s="1291"/>
      <c r="CD78" s="2341"/>
      <c r="CE78" s="2341"/>
      <c r="CF78" s="2341"/>
      <c r="CG78" s="2346"/>
      <c r="CH78" s="2341"/>
      <c r="CI78" s="2341"/>
      <c r="CJ78" s="2341"/>
      <c r="CK78" s="2341"/>
      <c r="CL78" s="2341"/>
      <c r="CM78" s="2341"/>
      <c r="CN78" s="2341"/>
      <c r="CO78" s="2341"/>
      <c r="CP78" s="2341"/>
      <c r="CQ78" s="2341"/>
      <c r="CR78" s="2341"/>
      <c r="CS78" s="2341"/>
      <c r="CT78" s="2341"/>
      <c r="CU78" s="2341"/>
      <c r="CV78" s="2341"/>
      <c r="CW78" s="2341"/>
      <c r="CX78" s="2341"/>
      <c r="CY78" s="2341"/>
      <c r="CZ78" s="2341"/>
      <c r="DA78" s="2341"/>
      <c r="DB78" s="2341"/>
      <c r="DC78" s="2341"/>
      <c r="DD78" s="2341"/>
      <c r="DE78" s="2341"/>
      <c r="DF78" s="2341"/>
      <c r="DG78" s="2341"/>
      <c r="DH78" s="2341"/>
      <c r="DI78" s="2341"/>
      <c r="DJ78" s="2341"/>
      <c r="DK78" s="2341"/>
      <c r="DL78" s="2341"/>
      <c r="DT78" s="2341"/>
      <c r="DU78" s="2341"/>
      <c r="DV78" s="2341"/>
      <c r="DW78" s="2341"/>
      <c r="DX78" s="2341"/>
      <c r="DY78" s="2341"/>
      <c r="DZ78" s="2341"/>
      <c r="EA78" s="2341"/>
      <c r="EB78" s="2341"/>
      <c r="EC78" s="2341"/>
      <c r="ED78" s="2341"/>
      <c r="EE78" s="2341"/>
      <c r="EF78" s="2341"/>
      <c r="EG78" s="2341"/>
      <c r="EJ78" s="2341"/>
      <c r="EK78" s="2341"/>
      <c r="EL78" s="2341"/>
      <c r="EM78" s="2341"/>
      <c r="EN78" s="2341"/>
      <c r="EO78" s="2341"/>
      <c r="EP78" s="2341"/>
      <c r="EQ78" s="2341"/>
      <c r="ER78" s="2341"/>
      <c r="ES78" s="2341"/>
      <c r="ET78" s="2341"/>
      <c r="EU78" s="2341"/>
      <c r="EV78" s="2341"/>
      <c r="EW78" s="2341"/>
      <c r="EY78" s="2341"/>
      <c r="EZ78" s="2341"/>
      <c r="FA78" s="2341"/>
      <c r="FB78" s="2341"/>
      <c r="FC78" s="2341"/>
      <c r="FD78" s="2341"/>
      <c r="FE78" s="2341"/>
      <c r="FF78" s="2341"/>
      <c r="FG78" s="2341"/>
      <c r="FH78" s="2341"/>
      <c r="FI78" s="2341"/>
      <c r="FJ78" s="2341"/>
      <c r="FK78" s="2341"/>
      <c r="FL78" s="2341"/>
      <c r="FO78" s="2341"/>
      <c r="FP78" s="2341"/>
      <c r="FQ78" s="2341"/>
      <c r="FR78" s="2341"/>
      <c r="FS78" s="2341"/>
      <c r="FT78" s="2341"/>
      <c r="FU78" s="2341"/>
      <c r="FV78" s="2341"/>
      <c r="FW78" s="2341"/>
      <c r="FX78" s="2341"/>
      <c r="FY78" s="2341"/>
      <c r="FZ78" s="2341"/>
      <c r="GA78" s="2341"/>
      <c r="GB78" s="2341"/>
    </row>
    <row r="79" spans="1:184">
      <c r="A79" s="1817"/>
      <c r="B79" s="1817"/>
      <c r="C79" s="1817"/>
      <c r="D79" s="1289"/>
      <c r="E79" s="1817"/>
      <c r="F79" s="1291"/>
      <c r="G79" s="1291"/>
      <c r="H79" s="1291"/>
      <c r="I79" s="1291"/>
      <c r="J79" s="1291"/>
      <c r="K79" s="1291"/>
      <c r="L79" s="1291"/>
      <c r="M79" s="1291"/>
      <c r="N79" s="1291"/>
      <c r="O79" s="1291"/>
      <c r="P79" s="1291"/>
      <c r="Q79" s="1291"/>
      <c r="R79" s="1291"/>
      <c r="S79" s="1291"/>
      <c r="T79" s="2341"/>
      <c r="U79" s="1291"/>
      <c r="V79" s="1291"/>
      <c r="W79" s="1291"/>
      <c r="X79" s="1291"/>
      <c r="Y79" s="1291"/>
      <c r="Z79" s="1291"/>
      <c r="AA79" s="1291"/>
      <c r="AB79" s="1291"/>
      <c r="AC79" s="1291"/>
      <c r="AD79" s="1291"/>
      <c r="AE79" s="1291"/>
      <c r="AF79" s="1291"/>
      <c r="AG79" s="1291"/>
      <c r="AH79" s="1291"/>
      <c r="AI79" s="1804"/>
      <c r="AJ79" s="1804"/>
      <c r="AK79" s="2346"/>
      <c r="AL79" s="1291"/>
      <c r="AM79" s="1291"/>
      <c r="AN79" s="1291"/>
      <c r="AO79" s="1291"/>
      <c r="AP79" s="1291"/>
      <c r="AQ79" s="1291"/>
      <c r="AR79" s="1291"/>
      <c r="AS79" s="1291"/>
      <c r="AT79" s="1291"/>
      <c r="AU79" s="1291"/>
      <c r="AV79" s="1291"/>
      <c r="AW79" s="1291"/>
      <c r="AX79" s="1291"/>
      <c r="AY79" s="1291"/>
      <c r="AZ79" s="1291"/>
      <c r="BA79" s="1291"/>
      <c r="BB79" s="1291"/>
      <c r="BC79" s="1291"/>
      <c r="BD79" s="2799"/>
      <c r="BE79" s="1291"/>
      <c r="BF79" s="1291"/>
      <c r="BG79" s="2341"/>
      <c r="BH79" s="1291"/>
      <c r="BI79" s="1291"/>
      <c r="BJ79" s="1291"/>
      <c r="BK79" s="1291"/>
      <c r="BL79" s="1291"/>
      <c r="BM79" s="1291"/>
      <c r="BN79" s="1291"/>
      <c r="BO79" s="1291"/>
      <c r="BP79" s="1291"/>
      <c r="BQ79" s="2799"/>
      <c r="BR79" s="1291"/>
      <c r="BS79" s="1291"/>
      <c r="BT79" s="1291"/>
      <c r="BU79" s="1291"/>
      <c r="BV79" s="1291"/>
      <c r="BW79" s="1291"/>
      <c r="BX79" s="2341"/>
      <c r="BY79" s="1291"/>
      <c r="BZ79" s="1291"/>
      <c r="CA79" s="1291"/>
      <c r="CB79" s="1291"/>
      <c r="CC79" s="1291"/>
      <c r="CD79" s="2341"/>
      <c r="CE79" s="2341"/>
      <c r="CF79" s="2341"/>
      <c r="CG79" s="2346"/>
      <c r="CH79" s="2341"/>
      <c r="CI79" s="2341"/>
      <c r="CJ79" s="2341"/>
      <c r="CK79" s="2341"/>
      <c r="CL79" s="2341"/>
      <c r="CM79" s="2341"/>
      <c r="CN79" s="2341"/>
      <c r="CO79" s="2341"/>
      <c r="CP79" s="2341"/>
      <c r="CQ79" s="2341"/>
      <c r="CR79" s="2341"/>
      <c r="CS79" s="2341"/>
      <c r="CT79" s="2341"/>
      <c r="CU79" s="2341"/>
      <c r="CV79" s="2341"/>
      <c r="CW79" s="2341"/>
      <c r="CX79" s="2341"/>
      <c r="CY79" s="2341"/>
      <c r="CZ79" s="2341"/>
      <c r="DA79" s="2341"/>
      <c r="DB79" s="2341"/>
      <c r="DC79" s="2341"/>
      <c r="DD79" s="2341"/>
      <c r="DE79" s="2341"/>
      <c r="DF79" s="2341"/>
      <c r="DG79" s="2341"/>
      <c r="DH79" s="2341"/>
      <c r="DI79" s="2341"/>
      <c r="DJ79" s="2341"/>
      <c r="DK79" s="2341"/>
      <c r="DL79" s="2341"/>
      <c r="DT79" s="2341"/>
      <c r="DU79" s="2341"/>
      <c r="DV79" s="2341"/>
      <c r="DW79" s="2341"/>
      <c r="DX79" s="2341"/>
      <c r="DY79" s="2341"/>
      <c r="DZ79" s="2341"/>
      <c r="EA79" s="2341"/>
      <c r="EB79" s="2341"/>
      <c r="EC79" s="2341"/>
      <c r="ED79" s="2341"/>
      <c r="EE79" s="2341"/>
      <c r="EF79" s="2341"/>
      <c r="EG79" s="2341"/>
      <c r="EJ79" s="2341"/>
      <c r="EK79" s="2341"/>
      <c r="EL79" s="2341"/>
      <c r="EM79" s="2341"/>
      <c r="EN79" s="2341"/>
      <c r="EO79" s="2341"/>
      <c r="EP79" s="2341"/>
      <c r="EQ79" s="2341"/>
      <c r="ER79" s="2341"/>
      <c r="ES79" s="2341"/>
      <c r="ET79" s="2341"/>
      <c r="EU79" s="2341"/>
      <c r="EV79" s="2341"/>
      <c r="EW79" s="2341"/>
      <c r="EY79" s="2341"/>
      <c r="EZ79" s="2341"/>
      <c r="FA79" s="2341"/>
      <c r="FB79" s="2341"/>
      <c r="FC79" s="2341"/>
      <c r="FD79" s="2341"/>
      <c r="FE79" s="2341"/>
      <c r="FF79" s="2341"/>
      <c r="FG79" s="2341"/>
      <c r="FH79" s="2341"/>
      <c r="FI79" s="2341"/>
      <c r="FJ79" s="2341"/>
      <c r="FK79" s="2341"/>
      <c r="FL79" s="2341"/>
      <c r="FO79" s="2341"/>
      <c r="FP79" s="2341"/>
      <c r="FQ79" s="2341"/>
      <c r="FR79" s="2341"/>
      <c r="FS79" s="2341"/>
      <c r="FT79" s="2341"/>
      <c r="FU79" s="2341"/>
      <c r="FV79" s="2341"/>
      <c r="FW79" s="2341"/>
      <c r="FX79" s="2341"/>
      <c r="FY79" s="2341"/>
      <c r="FZ79" s="2341"/>
      <c r="GA79" s="2341"/>
      <c r="GB79" s="2341"/>
    </row>
    <row r="80" spans="1:184" s="1855" customFormat="1" ht="18.75" thickBot="1">
      <c r="D80" s="2430"/>
      <c r="F80" s="4310" t="s">
        <v>1600</v>
      </c>
      <c r="G80" s="2430"/>
      <c r="H80" s="2430"/>
      <c r="I80" s="2430"/>
      <c r="J80" s="2430"/>
      <c r="K80" s="2430"/>
      <c r="L80" s="2430"/>
      <c r="M80" s="2430"/>
      <c r="N80" s="2430"/>
      <c r="O80" s="2430"/>
      <c r="P80" s="2430"/>
      <c r="Q80" s="2430"/>
      <c r="R80" s="2430"/>
      <c r="S80" s="2430"/>
      <c r="T80" s="2430"/>
      <c r="U80" s="2430"/>
      <c r="V80" s="4310" t="s">
        <v>1609</v>
      </c>
      <c r="W80" s="2430"/>
      <c r="X80" s="2430"/>
      <c r="Y80" s="2430"/>
      <c r="Z80" s="2430"/>
      <c r="AA80" s="2430"/>
      <c r="AB80" s="2430"/>
      <c r="AC80" s="2430"/>
      <c r="AD80" s="2430"/>
      <c r="AE80" s="2430"/>
      <c r="AF80" s="2430"/>
      <c r="AG80" s="2430"/>
      <c r="AH80" s="2430"/>
      <c r="AL80" s="2430"/>
      <c r="AM80" s="2430"/>
      <c r="AN80" s="2430"/>
      <c r="AO80" s="2430"/>
      <c r="AP80" s="2430"/>
      <c r="AQ80" s="2430"/>
      <c r="AR80" s="2430"/>
      <c r="AS80" s="2430"/>
      <c r="AT80" s="4310" t="s">
        <v>1611</v>
      </c>
      <c r="AU80" s="2430"/>
      <c r="AV80" s="2430"/>
      <c r="AW80" s="2430"/>
      <c r="AX80" s="2430"/>
      <c r="AY80" s="2430"/>
      <c r="AZ80" s="2430"/>
      <c r="BA80" s="2430"/>
      <c r="BB80" s="2430"/>
      <c r="BC80" s="2430"/>
      <c r="BD80" s="2800"/>
      <c r="BE80" s="2430"/>
      <c r="BF80" s="2430"/>
      <c r="BG80" s="2430"/>
      <c r="BH80" s="2430"/>
      <c r="BI80" s="2430"/>
      <c r="BJ80" s="4310" t="s">
        <v>1612</v>
      </c>
      <c r="BK80" s="2430"/>
      <c r="BL80" s="2430"/>
      <c r="BM80" s="2430"/>
      <c r="BN80" s="2430"/>
      <c r="BO80" s="2430"/>
      <c r="BP80" s="2430"/>
      <c r="BQ80" s="2800"/>
      <c r="BR80" s="2430"/>
      <c r="BS80" s="2430"/>
      <c r="BT80" s="2430"/>
      <c r="BU80" s="2430"/>
      <c r="BV80" s="2430"/>
      <c r="BW80" s="2430"/>
      <c r="BX80" s="2430"/>
      <c r="BY80" s="2430"/>
      <c r="BZ80" s="2430"/>
      <c r="CA80" s="2430"/>
      <c r="CB80" s="2430"/>
      <c r="CC80" s="2430"/>
      <c r="CD80" s="2430"/>
      <c r="CE80" s="2430"/>
      <c r="CF80" s="2430"/>
      <c r="CH80" s="2427" t="s">
        <v>1615</v>
      </c>
      <c r="CU80" s="4027"/>
      <c r="CV80" s="4027"/>
      <c r="CX80" s="2427" t="s">
        <v>1615</v>
      </c>
      <c r="DF80" s="2430"/>
      <c r="DG80" s="2430"/>
      <c r="DH80" s="2430"/>
      <c r="DI80" s="2430"/>
      <c r="DJ80" s="2430"/>
      <c r="DK80" s="2430"/>
      <c r="DL80" s="2430"/>
      <c r="DT80" s="2427" t="s">
        <v>1588</v>
      </c>
      <c r="DU80" s="2430"/>
      <c r="DV80" s="2430"/>
      <c r="DW80" s="2430"/>
      <c r="DX80" s="2430"/>
      <c r="DY80" s="2430"/>
      <c r="DZ80" s="2430"/>
      <c r="EA80" s="2430"/>
      <c r="EB80" s="2430"/>
      <c r="EC80" s="2430"/>
      <c r="ED80" s="2430"/>
      <c r="EE80" s="2430"/>
      <c r="EF80" s="2430"/>
      <c r="EG80" s="2430"/>
      <c r="EJ80" s="2427" t="s">
        <v>1591</v>
      </c>
      <c r="EK80" s="2430"/>
      <c r="EL80" s="2430"/>
      <c r="EM80" s="2430"/>
      <c r="EN80" s="2430"/>
      <c r="EO80" s="2430"/>
      <c r="EP80" s="2430"/>
      <c r="EQ80" s="2430"/>
      <c r="ER80" s="2430"/>
      <c r="ES80" s="2430"/>
      <c r="ET80" s="2430"/>
      <c r="EU80" s="2430"/>
      <c r="EV80" s="2430"/>
      <c r="EW80" s="2430"/>
      <c r="EY80" s="2427" t="s">
        <v>1588</v>
      </c>
      <c r="EZ80" s="2430"/>
      <c r="FA80" s="2430"/>
      <c r="FB80" s="2430"/>
      <c r="FC80" s="2430"/>
      <c r="FD80" s="2430"/>
      <c r="FE80" s="2430"/>
      <c r="FF80" s="2430"/>
      <c r="FG80" s="2430"/>
      <c r="FH80" s="2430"/>
      <c r="FI80" s="2430"/>
      <c r="FJ80" s="2430"/>
      <c r="FK80" s="2430"/>
      <c r="FL80" s="2430"/>
      <c r="FN80" s="2430"/>
      <c r="FO80" s="2427" t="s">
        <v>1591</v>
      </c>
      <c r="FP80" s="2430"/>
      <c r="FQ80" s="2430"/>
      <c r="FR80" s="2430"/>
      <c r="FS80" s="2430"/>
      <c r="FT80" s="2430"/>
      <c r="FU80" s="2430"/>
      <c r="FV80" s="2430"/>
      <c r="FW80" s="2430"/>
      <c r="FX80" s="2430"/>
      <c r="FY80" s="2430"/>
      <c r="FZ80" s="2430"/>
      <c r="GA80" s="2430"/>
      <c r="GB80" s="2430"/>
    </row>
    <row r="81" spans="1:184" ht="13.5" thickBot="1">
      <c r="A81" s="1817"/>
      <c r="B81" s="1817"/>
      <c r="C81" s="1817"/>
      <c r="D81" s="1289"/>
      <c r="E81" s="1817"/>
      <c r="F81" s="2347"/>
      <c r="G81" s="2392"/>
      <c r="H81" s="4479" t="str">
        <f>("$/kW-Year (Nominal "&amp;StartYr&amp;"$)")</f>
        <v>$/kW-Year (Nominal 2013$)</v>
      </c>
      <c r="I81" s="4480"/>
      <c r="J81" s="4480"/>
      <c r="K81" s="4480"/>
      <c r="L81" s="4480"/>
      <c r="M81" s="4480"/>
      <c r="N81" s="4480"/>
      <c r="O81" s="4480"/>
      <c r="P81" s="4480"/>
      <c r="Q81" s="4481"/>
      <c r="R81" s="4023"/>
      <c r="S81" s="4023"/>
      <c r="T81" s="1820"/>
      <c r="U81" s="1291"/>
      <c r="V81" s="2340"/>
      <c r="W81" s="2284"/>
      <c r="X81" s="4529" t="str">
        <f>("$/MWh (Nominal "&amp;StartYr&amp;"$)")</f>
        <v>$/MWh (Nominal 2013$)</v>
      </c>
      <c r="Y81" s="4530"/>
      <c r="Z81" s="4530"/>
      <c r="AA81" s="4530"/>
      <c r="AB81" s="4530"/>
      <c r="AC81" s="4530"/>
      <c r="AD81" s="4530"/>
      <c r="AE81" s="4530"/>
      <c r="AF81" s="4530"/>
      <c r="AG81" s="4531"/>
      <c r="AH81" s="3995"/>
      <c r="AI81" s="3995"/>
      <c r="AJ81" s="4026" t="s">
        <v>1376</v>
      </c>
      <c r="AK81" s="2346"/>
      <c r="AL81" s="4488" t="str">
        <f>("(Nominal "&amp;StartYr&amp;"$)")</f>
        <v>(Nominal 2013$)</v>
      </c>
      <c r="AM81" s="4518"/>
      <c r="AN81" s="4518"/>
      <c r="AO81" s="4489"/>
      <c r="AP81" s="2269"/>
      <c r="AQ81" s="2269"/>
      <c r="AR81" s="1820"/>
      <c r="AS81" s="1291"/>
      <c r="AT81" s="2347"/>
      <c r="AU81" s="2392"/>
      <c r="AV81" s="4479" t="str">
        <f>("$/kW-Year (Nominal "&amp;StartYr&amp;"$)")</f>
        <v>$/kW-Year (Nominal 2013$)</v>
      </c>
      <c r="AW81" s="4480"/>
      <c r="AX81" s="4480"/>
      <c r="AY81" s="4480"/>
      <c r="AZ81" s="4480"/>
      <c r="BA81" s="4480"/>
      <c r="BB81" s="4480"/>
      <c r="BC81" s="4480"/>
      <c r="BD81" s="4480"/>
      <c r="BE81" s="4481"/>
      <c r="BF81" s="4023"/>
      <c r="BG81" s="4023"/>
      <c r="BH81" s="4013"/>
      <c r="BI81" s="1291"/>
      <c r="BJ81" s="2340"/>
      <c r="BK81" s="2363"/>
      <c r="BL81" s="4479" t="str">
        <f>("$/MWh (Nominal "&amp;StartYr&amp;"$)")</f>
        <v>$/MWh (Nominal 2013$)</v>
      </c>
      <c r="BM81" s="4480"/>
      <c r="BN81" s="4480"/>
      <c r="BO81" s="4480"/>
      <c r="BP81" s="4480"/>
      <c r="BQ81" s="4480"/>
      <c r="BR81" s="4480"/>
      <c r="BS81" s="4480"/>
      <c r="BT81" s="4480"/>
      <c r="BU81" s="4481"/>
      <c r="BV81" s="4517"/>
      <c r="BW81" s="4517"/>
      <c r="BX81" s="4026" t="s">
        <v>1376</v>
      </c>
      <c r="BY81" s="1291"/>
      <c r="BZ81" s="4488" t="str">
        <f>("(Nominal "&amp;StartYr&amp;"$)")</f>
        <v>(Nominal 2013$)</v>
      </c>
      <c r="CA81" s="4518"/>
      <c r="CB81" s="4518"/>
      <c r="CC81" s="4489"/>
      <c r="CD81" s="2338"/>
      <c r="CE81" s="2338"/>
      <c r="CF81" s="2338"/>
      <c r="CG81" s="2346"/>
      <c r="CH81" s="2347"/>
      <c r="CI81" s="2392"/>
      <c r="CJ81" s="4479" t="str">
        <f>("$/kW-Year (Nominal "&amp;StartYr&amp;"$)")</f>
        <v>$/kW-Year (Nominal 2013$)</v>
      </c>
      <c r="CK81" s="4480"/>
      <c r="CL81" s="4480"/>
      <c r="CM81" s="4480"/>
      <c r="CN81" s="4480"/>
      <c r="CO81" s="4480"/>
      <c r="CP81" s="4480"/>
      <c r="CQ81" s="4480"/>
      <c r="CR81" s="4480"/>
      <c r="CS81" s="4481"/>
      <c r="CT81" s="3892"/>
      <c r="CU81" s="3892"/>
      <c r="CV81" s="4013"/>
      <c r="CW81" s="2341"/>
      <c r="CX81" s="2347"/>
      <c r="CY81" s="2392"/>
      <c r="CZ81" s="4479" t="str">
        <f>("$/MWh (Nominal "&amp;StartYr&amp;"$)")</f>
        <v>$/MWh (Nominal 2013$)</v>
      </c>
      <c r="DA81" s="4480"/>
      <c r="DB81" s="4480"/>
      <c r="DC81" s="4480"/>
      <c r="DD81" s="4480"/>
      <c r="DE81" s="4480"/>
      <c r="DF81" s="4480"/>
      <c r="DG81" s="4480"/>
      <c r="DH81" s="4480"/>
      <c r="DI81" s="4481"/>
      <c r="DJ81" s="3892"/>
      <c r="DK81" s="3892"/>
      <c r="DL81" s="4026" t="s">
        <v>1376</v>
      </c>
      <c r="DM81" s="2341"/>
      <c r="DN81" s="4485" t="str">
        <f>("(Nominal "&amp;StartYr&amp;"$)")</f>
        <v>(Nominal 2013$)</v>
      </c>
      <c r="DO81" s="4486"/>
      <c r="DP81" s="4486"/>
      <c r="DQ81" s="4487"/>
      <c r="DT81" s="2347"/>
      <c r="DU81" s="2392"/>
      <c r="DV81" s="4479" t="str">
        <f>("$/kW-Year (Nominal "&amp;StartYr&amp;"$)")</f>
        <v>$/kW-Year (Nominal 2013$)</v>
      </c>
      <c r="DW81" s="4480"/>
      <c r="DX81" s="4480"/>
      <c r="DY81" s="4480"/>
      <c r="DZ81" s="4480"/>
      <c r="EA81" s="4480"/>
      <c r="EB81" s="4480"/>
      <c r="EC81" s="4480"/>
      <c r="ED81" s="4480"/>
      <c r="EE81" s="4481"/>
      <c r="EF81" s="4023"/>
      <c r="EG81" s="4023"/>
      <c r="EH81" s="2347"/>
      <c r="EJ81" s="2347"/>
      <c r="EK81" s="2392"/>
      <c r="EL81" s="4479" t="str">
        <f>("$/MWh (Nominal "&amp;StartYr&amp;"$)")</f>
        <v>$/MWh (Nominal 2013$)</v>
      </c>
      <c r="EM81" s="4480"/>
      <c r="EN81" s="4480"/>
      <c r="EO81" s="4480"/>
      <c r="EP81" s="4480"/>
      <c r="EQ81" s="4480"/>
      <c r="ER81" s="4480"/>
      <c r="ES81" s="4480"/>
      <c r="ET81" s="4480"/>
      <c r="EU81" s="4481"/>
      <c r="EV81" s="4023"/>
      <c r="EW81" s="4023"/>
      <c r="EY81" s="2347"/>
      <c r="EZ81" s="2392"/>
      <c r="FA81" s="4479" t="str">
        <f>("$/kW-Year (Nominal "&amp;StartYr&amp;"$)")</f>
        <v>$/kW-Year (Nominal 2013$)</v>
      </c>
      <c r="FB81" s="4480"/>
      <c r="FC81" s="4480"/>
      <c r="FD81" s="4480"/>
      <c r="FE81" s="4480"/>
      <c r="FF81" s="4480"/>
      <c r="FG81" s="4480"/>
      <c r="FH81" s="4480"/>
      <c r="FI81" s="4480"/>
      <c r="FJ81" s="4481"/>
      <c r="FK81" s="4023"/>
      <c r="FL81" s="4023"/>
      <c r="FO81" s="2347"/>
      <c r="FP81" s="2392"/>
      <c r="FQ81" s="4479" t="str">
        <f>("$/MWh (Nominal "&amp;StartYr&amp;"$)")</f>
        <v>$/MWh (Nominal 2013$)</v>
      </c>
      <c r="FR81" s="4480"/>
      <c r="FS81" s="4480"/>
      <c r="FT81" s="4480"/>
      <c r="FU81" s="4480"/>
      <c r="FV81" s="4480"/>
      <c r="FW81" s="4480"/>
      <c r="FX81" s="4480"/>
      <c r="FY81" s="4480"/>
      <c r="FZ81" s="4481"/>
      <c r="GA81" s="4023"/>
      <c r="GB81" s="4023"/>
    </row>
    <row r="82" spans="1:184" s="99" customFormat="1" ht="79.900000000000006" customHeight="1">
      <c r="A82" s="1884"/>
      <c r="B82" s="1884"/>
      <c r="C82" s="1884"/>
      <c r="D82" s="1868"/>
      <c r="E82" s="1884"/>
      <c r="F82" s="1905" t="str">
        <f>("In-Service Year = "&amp;StartYr&amp;"")</f>
        <v>In-Service Year = 2013</v>
      </c>
      <c r="G82" s="1905" t="s">
        <v>1377</v>
      </c>
      <c r="H82" s="2352" t="s">
        <v>1378</v>
      </c>
      <c r="I82" s="2353" t="s">
        <v>196</v>
      </c>
      <c r="J82" s="2354" t="s">
        <v>303</v>
      </c>
      <c r="K82" s="2353" t="s">
        <v>301</v>
      </c>
      <c r="L82" s="2353" t="s">
        <v>8</v>
      </c>
      <c r="M82" s="2355" t="s">
        <v>958</v>
      </c>
      <c r="N82" s="2352" t="s">
        <v>157</v>
      </c>
      <c r="O82" s="2353" t="s">
        <v>164</v>
      </c>
      <c r="P82" s="2355" t="s">
        <v>1697</v>
      </c>
      <c r="Q82" s="2356" t="str">
        <f>"Total Levelized Costs "&amp;Perspective&amp;""</f>
        <v>Total Levelized Costs At Interconnection Point</v>
      </c>
      <c r="R82" s="3534" t="s">
        <v>1958</v>
      </c>
      <c r="S82" s="4024" t="s">
        <v>1696</v>
      </c>
      <c r="T82" s="2274"/>
      <c r="U82" s="1290"/>
      <c r="V82" s="1905" t="str">
        <f>("In-Service Year = "&amp;StartYr&amp;"")</f>
        <v>In-Service Year = 2013</v>
      </c>
      <c r="W82" s="1905" t="s">
        <v>1377</v>
      </c>
      <c r="X82" s="2352" t="s">
        <v>1378</v>
      </c>
      <c r="Y82" s="2353" t="s">
        <v>196</v>
      </c>
      <c r="Z82" s="2354" t="s">
        <v>303</v>
      </c>
      <c r="AA82" s="2353" t="s">
        <v>301</v>
      </c>
      <c r="AB82" s="2353" t="s">
        <v>8</v>
      </c>
      <c r="AC82" s="2355" t="s">
        <v>958</v>
      </c>
      <c r="AD82" s="2352" t="s">
        <v>157</v>
      </c>
      <c r="AE82" s="2353" t="s">
        <v>164</v>
      </c>
      <c r="AF82" s="2793" t="s">
        <v>1697</v>
      </c>
      <c r="AG82" s="1905" t="str">
        <f>"Total Levelized Costs "&amp;Perspective&amp;""</f>
        <v>Total Levelized Costs At Interconnection Point</v>
      </c>
      <c r="AH82" s="3534" t="s">
        <v>1958</v>
      </c>
      <c r="AI82" s="4024" t="s">
        <v>1696</v>
      </c>
      <c r="AJ82" s="4024" t="str">
        <f>AG82</f>
        <v>Total Levelized Costs At Interconnection Point</v>
      </c>
      <c r="AK82" s="1816"/>
      <c r="AL82" s="2277" t="s">
        <v>1548</v>
      </c>
      <c r="AM82" s="1906" t="s">
        <v>1493</v>
      </c>
      <c r="AN82" s="2277" t="s">
        <v>1549</v>
      </c>
      <c r="AO82" s="1906" t="s">
        <v>970</v>
      </c>
      <c r="AP82" s="1733"/>
      <c r="AQ82" s="1733"/>
      <c r="AR82" s="2274"/>
      <c r="AS82" s="1290"/>
      <c r="AT82" s="1905" t="str">
        <f>("In-Service Year = "&amp;StartYr&amp;"")</f>
        <v>In-Service Year = 2013</v>
      </c>
      <c r="AU82" s="1905" t="s">
        <v>1377</v>
      </c>
      <c r="AV82" s="2352" t="s">
        <v>1378</v>
      </c>
      <c r="AW82" s="2353" t="s">
        <v>196</v>
      </c>
      <c r="AX82" s="2354" t="s">
        <v>303</v>
      </c>
      <c r="AY82" s="2353" t="s">
        <v>301</v>
      </c>
      <c r="AZ82" s="2353" t="s">
        <v>8</v>
      </c>
      <c r="BA82" s="2355" t="s">
        <v>958</v>
      </c>
      <c r="BB82" s="2352" t="s">
        <v>157</v>
      </c>
      <c r="BC82" s="2353" t="s">
        <v>164</v>
      </c>
      <c r="BD82" s="2355" t="s">
        <v>1697</v>
      </c>
      <c r="BE82" s="2356" t="str">
        <f>"Total Levelized Costs "&amp;Perspective&amp;""</f>
        <v>Total Levelized Costs At Interconnection Point</v>
      </c>
      <c r="BF82" s="3534" t="s">
        <v>1958</v>
      </c>
      <c r="BG82" s="4024" t="s">
        <v>1696</v>
      </c>
      <c r="BH82" s="2274"/>
      <c r="BI82" s="1290"/>
      <c r="BJ82" s="1905" t="str">
        <f>("In-Service Year = "&amp;StartYr&amp;"")</f>
        <v>In-Service Year = 2013</v>
      </c>
      <c r="BK82" s="1905" t="s">
        <v>1377</v>
      </c>
      <c r="BL82" s="2352" t="s">
        <v>1378</v>
      </c>
      <c r="BM82" s="2353" t="s">
        <v>196</v>
      </c>
      <c r="BN82" s="2354" t="s">
        <v>303</v>
      </c>
      <c r="BO82" s="2353" t="s">
        <v>301</v>
      </c>
      <c r="BP82" s="2353" t="s">
        <v>8</v>
      </c>
      <c r="BQ82" s="2797" t="s">
        <v>958</v>
      </c>
      <c r="BR82" s="2352" t="s">
        <v>157</v>
      </c>
      <c r="BS82" s="2353" t="s">
        <v>164</v>
      </c>
      <c r="BT82" s="2355" t="s">
        <v>1697</v>
      </c>
      <c r="BU82" s="2356" t="str">
        <f>"Total Levelized Costs "&amp;Perspective&amp;""</f>
        <v>Total Levelized Costs At Interconnection Point</v>
      </c>
      <c r="BV82" s="3534" t="s">
        <v>1958</v>
      </c>
      <c r="BW82" s="4024" t="s">
        <v>1696</v>
      </c>
      <c r="BX82" s="4024" t="str">
        <f>BU82</f>
        <v>Total Levelized Costs At Interconnection Point</v>
      </c>
      <c r="BY82" s="1290"/>
      <c r="BZ82" s="2277" t="s">
        <v>1548</v>
      </c>
      <c r="CA82" s="1906" t="s">
        <v>1493</v>
      </c>
      <c r="CB82" s="2277" t="s">
        <v>1549</v>
      </c>
      <c r="CC82" s="1906" t="s">
        <v>970</v>
      </c>
      <c r="CD82" s="2338"/>
      <c r="CE82" s="2338"/>
      <c r="CF82" s="2338"/>
      <c r="CG82" s="2346"/>
      <c r="CH82" s="2327" t="str">
        <f>("In-Service Year = "&amp;StartYr&amp;"")</f>
        <v>In-Service Year = 2013</v>
      </c>
      <c r="CI82" s="1905" t="s">
        <v>1377</v>
      </c>
      <c r="CJ82" s="2352" t="s">
        <v>1378</v>
      </c>
      <c r="CK82" s="2353" t="s">
        <v>196</v>
      </c>
      <c r="CL82" s="2354" t="s">
        <v>303</v>
      </c>
      <c r="CM82" s="2353" t="s">
        <v>301</v>
      </c>
      <c r="CN82" s="2353" t="s">
        <v>8</v>
      </c>
      <c r="CO82" s="2355" t="s">
        <v>958</v>
      </c>
      <c r="CP82" s="2352" t="s">
        <v>157</v>
      </c>
      <c r="CQ82" s="2353" t="s">
        <v>164</v>
      </c>
      <c r="CR82" s="2355" t="s">
        <v>1697</v>
      </c>
      <c r="CS82" s="2356" t="str">
        <f>"Total Levelized Costs "&amp;Perspective&amp;""</f>
        <v>Total Levelized Costs At Interconnection Point</v>
      </c>
      <c r="CT82" s="3534" t="s">
        <v>1958</v>
      </c>
      <c r="CU82" s="4024" t="s">
        <v>1696</v>
      </c>
      <c r="CV82" s="4013"/>
      <c r="CW82" s="2341"/>
      <c r="CX82" s="2327" t="str">
        <f>("In-Service Year = "&amp;StartYr&amp;"")</f>
        <v>In-Service Year = 2013</v>
      </c>
      <c r="CY82" s="2327" t="s">
        <v>1377</v>
      </c>
      <c r="CZ82" s="2352" t="s">
        <v>1378</v>
      </c>
      <c r="DA82" s="2353" t="s">
        <v>196</v>
      </c>
      <c r="DB82" s="2354" t="s">
        <v>303</v>
      </c>
      <c r="DC82" s="2353" t="s">
        <v>301</v>
      </c>
      <c r="DD82" s="2353" t="s">
        <v>8</v>
      </c>
      <c r="DE82" s="2355" t="s">
        <v>958</v>
      </c>
      <c r="DF82" s="2352" t="s">
        <v>157</v>
      </c>
      <c r="DG82" s="2353" t="s">
        <v>164</v>
      </c>
      <c r="DH82" s="2355" t="s">
        <v>1697</v>
      </c>
      <c r="DI82" s="2356" t="str">
        <f>"Total Levelized Costs "&amp;Perspective&amp;""</f>
        <v>Total Levelized Costs At Interconnection Point</v>
      </c>
      <c r="DJ82" s="3534" t="s">
        <v>1958</v>
      </c>
      <c r="DK82" s="4024" t="s">
        <v>1696</v>
      </c>
      <c r="DL82" s="4024" t="s">
        <v>1696</v>
      </c>
      <c r="DM82" s="2341"/>
      <c r="DN82" s="2806" t="s">
        <v>1548</v>
      </c>
      <c r="DO82" s="2353" t="s">
        <v>1493</v>
      </c>
      <c r="DP82" s="2806" t="s">
        <v>1549</v>
      </c>
      <c r="DQ82" s="2807" t="s">
        <v>970</v>
      </c>
      <c r="DT82" s="2327" t="str">
        <f>("In-Service Year = "&amp;StartYr&amp;"")</f>
        <v>In-Service Year = 2013</v>
      </c>
      <c r="DU82" s="2327" t="s">
        <v>1377</v>
      </c>
      <c r="DV82" s="2352" t="s">
        <v>1378</v>
      </c>
      <c r="DW82" s="2353" t="s">
        <v>196</v>
      </c>
      <c r="DX82" s="2354" t="s">
        <v>303</v>
      </c>
      <c r="DY82" s="2353" t="s">
        <v>301</v>
      </c>
      <c r="DZ82" s="2353" t="s">
        <v>8</v>
      </c>
      <c r="EA82" s="2355" t="s">
        <v>958</v>
      </c>
      <c r="EB82" s="3474" t="s">
        <v>157</v>
      </c>
      <c r="EC82" s="2792" t="s">
        <v>164</v>
      </c>
      <c r="ED82" s="2355" t="s">
        <v>1697</v>
      </c>
      <c r="EE82" s="2356" t="str">
        <f>"Total Levelized Costs "&amp;Perspective&amp;""</f>
        <v>Total Levelized Costs At Interconnection Point</v>
      </c>
      <c r="EF82" s="3534" t="s">
        <v>1958</v>
      </c>
      <c r="EG82" s="4024" t="s">
        <v>1696</v>
      </c>
      <c r="EH82" s="1814"/>
      <c r="EJ82" s="2327" t="str">
        <f>("In-Service Year = "&amp;StartYr&amp;"")</f>
        <v>In-Service Year = 2013</v>
      </c>
      <c r="EK82" s="2327" t="s">
        <v>1377</v>
      </c>
      <c r="EL82" s="2352" t="s">
        <v>1378</v>
      </c>
      <c r="EM82" s="2353" t="s">
        <v>196</v>
      </c>
      <c r="EN82" s="2354" t="s">
        <v>303</v>
      </c>
      <c r="EO82" s="2353" t="s">
        <v>301</v>
      </c>
      <c r="EP82" s="2353" t="s">
        <v>8</v>
      </c>
      <c r="EQ82" s="2355" t="s">
        <v>958</v>
      </c>
      <c r="ER82" s="2352" t="s">
        <v>157</v>
      </c>
      <c r="ES82" s="2353" t="s">
        <v>164</v>
      </c>
      <c r="ET82" s="2355" t="s">
        <v>1697</v>
      </c>
      <c r="EU82" s="1905" t="str">
        <f>"Total Levelized Costs "&amp;Perspective&amp;""</f>
        <v>Total Levelized Costs At Interconnection Point</v>
      </c>
      <c r="EV82" s="3534" t="s">
        <v>1958</v>
      </c>
      <c r="EW82" s="4024" t="s">
        <v>1696</v>
      </c>
      <c r="EY82" s="2327" t="str">
        <f>("In-Service Year = "&amp;StartYr&amp;"")</f>
        <v>In-Service Year = 2013</v>
      </c>
      <c r="EZ82" s="2327" t="s">
        <v>1377</v>
      </c>
      <c r="FA82" s="2352" t="s">
        <v>1378</v>
      </c>
      <c r="FB82" s="2353" t="s">
        <v>196</v>
      </c>
      <c r="FC82" s="2354" t="s">
        <v>303</v>
      </c>
      <c r="FD82" s="2353" t="s">
        <v>301</v>
      </c>
      <c r="FE82" s="2353" t="s">
        <v>8</v>
      </c>
      <c r="FF82" s="2355" t="s">
        <v>958</v>
      </c>
      <c r="FG82" s="3474" t="s">
        <v>157</v>
      </c>
      <c r="FH82" s="2792" t="s">
        <v>164</v>
      </c>
      <c r="FI82" s="2355" t="s">
        <v>1697</v>
      </c>
      <c r="FJ82" s="2356" t="str">
        <f>"Total Levelized Costs "&amp;Perspective&amp;""</f>
        <v>Total Levelized Costs At Interconnection Point</v>
      </c>
      <c r="FK82" s="3534" t="s">
        <v>1958</v>
      </c>
      <c r="FL82" s="4024" t="s">
        <v>1696</v>
      </c>
      <c r="FN82" s="3952"/>
      <c r="FO82" s="2327" t="str">
        <f>("In-Service Year = "&amp;StartYr&amp;"")</f>
        <v>In-Service Year = 2013</v>
      </c>
      <c r="FP82" s="2327" t="s">
        <v>1377</v>
      </c>
      <c r="FQ82" s="2352" t="s">
        <v>1378</v>
      </c>
      <c r="FR82" s="2353" t="s">
        <v>196</v>
      </c>
      <c r="FS82" s="2354" t="s">
        <v>303</v>
      </c>
      <c r="FT82" s="2353" t="s">
        <v>301</v>
      </c>
      <c r="FU82" s="2353" t="s">
        <v>8</v>
      </c>
      <c r="FV82" s="2355" t="s">
        <v>958</v>
      </c>
      <c r="FW82" s="2352" t="s">
        <v>157</v>
      </c>
      <c r="FX82" s="2353" t="s">
        <v>164</v>
      </c>
      <c r="FY82" s="2355" t="s">
        <v>1697</v>
      </c>
      <c r="FZ82" s="1905" t="str">
        <f>"Total Levelized Costs "&amp;Perspective&amp;""</f>
        <v>Total Levelized Costs At Interconnection Point</v>
      </c>
      <c r="GA82" s="3534" t="s">
        <v>1958</v>
      </c>
      <c r="GB82" s="4024" t="s">
        <v>1696</v>
      </c>
    </row>
    <row r="83" spans="1:184">
      <c r="A83" s="1817"/>
      <c r="B83" s="1817"/>
      <c r="C83" s="1817"/>
      <c r="D83" s="1291"/>
      <c r="E83" s="1817"/>
      <c r="F83" s="2288" t="s">
        <v>1785</v>
      </c>
      <c r="G83" s="2289">
        <v>49.9</v>
      </c>
      <c r="H83" s="2278">
        <v>68.660238042470993</v>
      </c>
      <c r="I83" s="2279">
        <v>9.589420880744699</v>
      </c>
      <c r="J83" s="2279">
        <v>8.5572120741279232</v>
      </c>
      <c r="K83" s="2279">
        <v>36.998379440590007</v>
      </c>
      <c r="L83" s="2279">
        <v>0</v>
      </c>
      <c r="M83" s="2280">
        <v>123.80525043793361</v>
      </c>
      <c r="N83" s="2278">
        <v>69.537156372151344</v>
      </c>
      <c r="O83" s="2281">
        <v>0</v>
      </c>
      <c r="P83" s="2280">
        <v>69.537156372151344</v>
      </c>
      <c r="Q83" s="4025">
        <v>193.34240681008495</v>
      </c>
      <c r="R83" s="3545">
        <v>0</v>
      </c>
      <c r="S83" s="3638">
        <v>193.34240681008495</v>
      </c>
      <c r="T83" s="2362"/>
      <c r="U83" s="1291"/>
      <c r="V83" s="2288" t="s">
        <v>1785</v>
      </c>
      <c r="W83" s="2289">
        <v>49.9</v>
      </c>
      <c r="X83" s="2278">
        <v>110.53790982836045</v>
      </c>
      <c r="Y83" s="2279">
        <v>15.438259039624596</v>
      </c>
      <c r="Z83" s="2279">
        <v>13.776479132609603</v>
      </c>
      <c r="AA83" s="2279">
        <v>59.564657027108375</v>
      </c>
      <c r="AB83" s="2279">
        <v>0</v>
      </c>
      <c r="AC83" s="2280">
        <v>199.31730502770304</v>
      </c>
      <c r="AD83" s="2278">
        <v>111.9496835421813</v>
      </c>
      <c r="AE83" s="2281">
        <v>0</v>
      </c>
      <c r="AF83" s="3960">
        <v>111.9496835421813</v>
      </c>
      <c r="AG83" s="3475">
        <v>311.26698856988435</v>
      </c>
      <c r="AH83" s="4028">
        <v>0</v>
      </c>
      <c r="AI83" s="3638">
        <v>311.26698856988435</v>
      </c>
      <c r="AJ83" s="4029">
        <f>AI83/10</f>
        <v>31.126698856988433</v>
      </c>
      <c r="AK83" s="2346"/>
      <c r="AL83" s="2784">
        <v>1232.017683059365</v>
      </c>
      <c r="AM83" s="2785">
        <v>1311.6355938093936</v>
      </c>
      <c r="AN83" s="2290">
        <v>28.387672253011708</v>
      </c>
      <c r="AO83" s="2291">
        <v>0</v>
      </c>
      <c r="AP83" s="2282"/>
      <c r="AQ83" s="2282"/>
      <c r="AR83" s="2282"/>
      <c r="AS83" s="1291"/>
      <c r="AT83" s="2394" t="s">
        <v>1785</v>
      </c>
      <c r="AU83" s="3648">
        <v>49.9</v>
      </c>
      <c r="AV83" s="2396">
        <v>68.660238042470993</v>
      </c>
      <c r="AW83" s="2397">
        <v>9.589420880744699</v>
      </c>
      <c r="AX83" s="2397">
        <v>8.5572120741279232</v>
      </c>
      <c r="AY83" s="2397">
        <v>36.998379440590007</v>
      </c>
      <c r="AZ83" s="2397">
        <v>0</v>
      </c>
      <c r="BA83" s="2398">
        <v>123.80525043793361</v>
      </c>
      <c r="BB83" s="2396">
        <v>69.537156372151344</v>
      </c>
      <c r="BC83" s="2399">
        <v>0</v>
      </c>
      <c r="BD83" s="3651">
        <v>69.537156372151344</v>
      </c>
      <c r="BE83" s="3770">
        <v>193.34240681008495</v>
      </c>
      <c r="BF83" s="3545">
        <v>0</v>
      </c>
      <c r="BG83" s="3638">
        <v>193.34240681008495</v>
      </c>
      <c r="BH83" s="2362"/>
      <c r="BI83" s="1291"/>
      <c r="BJ83" s="2394" t="s">
        <v>1785</v>
      </c>
      <c r="BK83" s="2395">
        <v>49.9</v>
      </c>
      <c r="BL83" s="2396">
        <v>110.53790982836045</v>
      </c>
      <c r="BM83" s="2397">
        <v>15.438259039624596</v>
      </c>
      <c r="BN83" s="2397">
        <v>13.776479132609603</v>
      </c>
      <c r="BO83" s="2397">
        <v>59.564657027108375</v>
      </c>
      <c r="BP83" s="2397">
        <v>0</v>
      </c>
      <c r="BQ83" s="2798">
        <v>199.31730502770304</v>
      </c>
      <c r="BR83" s="2396">
        <v>111.9496835421813</v>
      </c>
      <c r="BS83" s="2399">
        <v>0</v>
      </c>
      <c r="BT83" s="2398">
        <v>111.9496835421813</v>
      </c>
      <c r="BU83" s="4034">
        <v>311.26698856988435</v>
      </c>
      <c r="BV83" s="3642">
        <v>0</v>
      </c>
      <c r="BW83" s="3638">
        <v>311.26698856988435</v>
      </c>
      <c r="BX83" s="3638">
        <f>IF(BK83=0,"",BW83/10)</f>
        <v>31.126698856988433</v>
      </c>
      <c r="BY83" s="1291"/>
      <c r="BZ83" s="2786">
        <v>1232.017683059365</v>
      </c>
      <c r="CA83" s="2787">
        <v>1311.6355938093936</v>
      </c>
      <c r="CB83" s="2400">
        <v>28.387672253011708</v>
      </c>
      <c r="CC83" s="2401">
        <v>0</v>
      </c>
      <c r="CD83" s="2362"/>
      <c r="CE83" s="2362"/>
      <c r="CF83" s="2362"/>
      <c r="CG83" s="2346"/>
      <c r="CH83" s="2410" t="str">
        <f t="shared" ref="CH83:CH113" si="279">IF(AT83=0, "",AT83)</f>
        <v>Generation Turbine 49.9 MW</v>
      </c>
      <c r="CI83" s="2411">
        <f t="shared" ref="CI83:CI113" si="280">IF(AU83=0, "",AU83)</f>
        <v>49.9</v>
      </c>
      <c r="CJ83" s="2412">
        <f t="shared" ref="CJ83:CJ113" si="281">IF($G83=0,"",AV83-H83)</f>
        <v>0</v>
      </c>
      <c r="CK83" s="2413">
        <f t="shared" ref="CK83:CK113" si="282">IF($G83=0,"",AW83-I83)</f>
        <v>0</v>
      </c>
      <c r="CL83" s="2413">
        <f t="shared" ref="CL83:CL113" si="283">IF($G83=0,"",AX83-J83)</f>
        <v>0</v>
      </c>
      <c r="CM83" s="2413">
        <f t="shared" ref="CM83:CM113" si="284">IF($G83=0,"",AY83-K83)</f>
        <v>0</v>
      </c>
      <c r="CN83" s="2413">
        <f t="shared" ref="CN83:CN113" si="285">IF($G83=0,"",AZ83-L83)</f>
        <v>0</v>
      </c>
      <c r="CO83" s="2414">
        <f t="shared" ref="CO83:CO113" si="286">IF($G83=0,"",BA83-M83)</f>
        <v>0</v>
      </c>
      <c r="CP83" s="2412">
        <f t="shared" ref="CP83:CP113" si="287">IF($G83=0,"",BB83-N83)</f>
        <v>0</v>
      </c>
      <c r="CQ83" s="2415">
        <f t="shared" ref="CQ83:CQ113" si="288">IF($G83=0,"",BC83-O83)</f>
        <v>0</v>
      </c>
      <c r="CR83" s="2414">
        <f t="shared" ref="CR83:CR113" si="289">IF($G83=0,"",BD83-P83)</f>
        <v>0</v>
      </c>
      <c r="CS83" s="3367">
        <f t="shared" ref="CS83:CU98" si="290">IF($G83=0,"",BE83-Q83)</f>
        <v>0</v>
      </c>
      <c r="CT83" s="3646">
        <f t="shared" si="290"/>
        <v>0</v>
      </c>
      <c r="CU83" s="3638">
        <f t="shared" si="290"/>
        <v>0</v>
      </c>
      <c r="CV83" s="2362"/>
      <c r="CW83" s="2341"/>
      <c r="CX83" s="2410" t="str">
        <f t="shared" ref="CX83:CX113" si="291">IF(BJ83=0, "",BJ83)</f>
        <v>Generation Turbine 49.9 MW</v>
      </c>
      <c r="CY83" s="2411">
        <f t="shared" ref="CY83:CY113" si="292">IF(BK83=0, "",BK83)</f>
        <v>49.9</v>
      </c>
      <c r="CZ83" s="2412">
        <f t="shared" ref="CZ83:CZ113" si="293">IF($G83=0,"",BL83-X83)</f>
        <v>0</v>
      </c>
      <c r="DA83" s="2413">
        <f t="shared" ref="DA83:DA113" si="294">IF($G83=0,"",BM83-Y83)</f>
        <v>0</v>
      </c>
      <c r="DB83" s="2413">
        <f t="shared" ref="DB83:DB113" si="295">IF($G83=0,"",BN83-Z83)</f>
        <v>0</v>
      </c>
      <c r="DC83" s="2413">
        <f t="shared" ref="DC83:DC113" si="296">IF($G83=0,"",BO83-AA83)</f>
        <v>0</v>
      </c>
      <c r="DD83" s="2413">
        <f t="shared" ref="DD83:DD113" si="297">IF($G83=0,"",BP83-AB83)</f>
        <v>0</v>
      </c>
      <c r="DE83" s="2414">
        <f t="shared" ref="DE83:DE113" si="298">IF($G83=0,"",BQ83-AC83)</f>
        <v>0</v>
      </c>
      <c r="DF83" s="2412">
        <f t="shared" ref="DF83:DF113" si="299">IF($G83=0,"",BR83-AD83)</f>
        <v>0</v>
      </c>
      <c r="DG83" s="2415">
        <f t="shared" ref="DG83:DG113" si="300">IF($G83=0,"",BS83-AE83)</f>
        <v>0</v>
      </c>
      <c r="DH83" s="2414">
        <f t="shared" ref="DH83:DH113" si="301">IF($G83=0,"",BT83-AF83)</f>
        <v>0</v>
      </c>
      <c r="DI83" s="3367">
        <f t="shared" ref="DI83:DL98" si="302">IF($G83=0,"",BU83-AG83)</f>
        <v>0</v>
      </c>
      <c r="DJ83" s="3646">
        <f t="shared" si="302"/>
        <v>0</v>
      </c>
      <c r="DK83" s="3638">
        <f t="shared" si="302"/>
        <v>0</v>
      </c>
      <c r="DL83" s="3638">
        <f t="shared" si="302"/>
        <v>0</v>
      </c>
      <c r="DM83" s="2341"/>
      <c r="DN83" s="2419">
        <f t="shared" ref="DN83:DN113" si="303">IF($AT83=0,"",BZ83-AL83)</f>
        <v>0</v>
      </c>
      <c r="DO83" s="3686">
        <f t="shared" ref="DO83:DO113" si="304">IF($AT83=0,"",CA83-AM83)</f>
        <v>0</v>
      </c>
      <c r="DP83" s="2419">
        <f t="shared" ref="DP83:DP113" si="305">IF($AT83=0,"",CB83-AN83)</f>
        <v>0</v>
      </c>
      <c r="DQ83" s="2420">
        <f t="shared" ref="DQ83:DQ113" si="306">IF($AT83=0,"",CC83-AO83)</f>
        <v>0</v>
      </c>
      <c r="DT83" s="2288" t="str">
        <f t="shared" ref="DT83:DT113" si="307">IF(CH83=0, "",CH83)</f>
        <v>Generation Turbine 49.9 MW</v>
      </c>
      <c r="DU83" s="2289">
        <f t="shared" ref="DU83:DU113" si="308">IF(CI83=0, "",CI83)</f>
        <v>49.9</v>
      </c>
      <c r="DV83" s="2373">
        <f t="shared" ref="DV83:DV113" si="309">IF($H83=0,"",CJ83/H83)</f>
        <v>0</v>
      </c>
      <c r="DW83" s="2373">
        <f t="shared" ref="DW83:DW101" si="310">IF($H83=0,"",CK83/I83)</f>
        <v>0</v>
      </c>
      <c r="DX83" s="2788">
        <f>IF(J83=0,"0.00%",CL83/J83)</f>
        <v>0</v>
      </c>
      <c r="DY83" s="3693">
        <f t="shared" ref="DY83:DY113" si="311">IF($H83=0,"",CM83/K83)</f>
        <v>0</v>
      </c>
      <c r="DZ83" s="3693" t="e">
        <f t="shared" ref="DZ83:DZ113" si="312">IF($H83=0,"",CN83/L83)</f>
        <v>#DIV/0!</v>
      </c>
      <c r="EA83" s="3369">
        <f t="shared" ref="EA83:EA113" si="313">IF($H83=0,"",CO83/M83)</f>
        <v>0</v>
      </c>
      <c r="EB83" s="2374">
        <f>IF(N83=0,"0.00%",CP83/N83)</f>
        <v>0</v>
      </c>
      <c r="EC83" s="3950" t="str">
        <f>IF(O83=0,"0.00%",CQ83/O83)</f>
        <v>0.00%</v>
      </c>
      <c r="ED83" s="3369">
        <f>IF(P83=0,"0.00%",CR83/P83)</f>
        <v>0</v>
      </c>
      <c r="EE83" s="2374">
        <f t="shared" ref="EE83:EG98" si="314">IF($H83=0,"",CS83/Q83)</f>
        <v>0</v>
      </c>
      <c r="EF83" s="3641" t="e">
        <f t="shared" si="314"/>
        <v>#DIV/0!</v>
      </c>
      <c r="EG83" s="3641">
        <f t="shared" si="314"/>
        <v>0</v>
      </c>
      <c r="EH83" s="2329"/>
      <c r="EJ83" s="2288" t="str">
        <f>IF(CX83=0, "",CX83)</f>
        <v>Generation Turbine 49.9 MW</v>
      </c>
      <c r="EK83" s="2289">
        <f>IF(CY83=0, "",CY83)</f>
        <v>49.9</v>
      </c>
      <c r="EL83" s="2788">
        <f t="shared" ref="EL83:EL113" si="315">IF($H83=0,"",CZ83/X83)</f>
        <v>0</v>
      </c>
      <c r="EM83" s="3693">
        <f t="shared" ref="EM83:EM113" si="316">IF($H83=0,"",DA83/Y83)</f>
        <v>0</v>
      </c>
      <c r="EN83" s="3370">
        <f t="shared" ref="EN83:EN91" si="317">IF(DX83="0.00%","0.00%",DB83/Z83)</f>
        <v>0</v>
      </c>
      <c r="EO83" s="3693">
        <f t="shared" ref="EO83:EO100" si="318">IF(DY83="0.00%","0.00%",DC83/AA83)</f>
        <v>0</v>
      </c>
      <c r="EP83" s="3693" t="e">
        <f t="shared" ref="EP83:EP100" si="319">IF(DZ83="0.00%","0.00%",DD83/AB83)</f>
        <v>#DIV/0!</v>
      </c>
      <c r="EQ83" s="3369">
        <f t="shared" ref="EQ83:EQ100" si="320">IF(EA83="0.00%","0.00%",DE83/AC83)</f>
        <v>0</v>
      </c>
      <c r="ER83" s="2788">
        <f t="shared" ref="ER83:ER101" si="321">IF(EB83="0.00%","0.00%",DF83/AD83)</f>
        <v>0</v>
      </c>
      <c r="ES83" s="3693" t="str">
        <f t="shared" ref="ES83:ES100" si="322">IF(EC83="0.00%","0.00%",DG83/AE83)</f>
        <v>0.00%</v>
      </c>
      <c r="ET83" s="3369">
        <f t="shared" ref="ET83:ET100" si="323">IF(ED83="0.00%","0.00%",DH83/AF83)</f>
        <v>0</v>
      </c>
      <c r="EU83" s="2374">
        <f t="shared" ref="EU83:EW98" si="324">IF($H83=0,"",DI83/AG83)</f>
        <v>0</v>
      </c>
      <c r="EV83" s="3641" t="e">
        <f t="shared" si="324"/>
        <v>#DIV/0!</v>
      </c>
      <c r="EW83" s="3641">
        <f t="shared" si="324"/>
        <v>0</v>
      </c>
      <c r="EY83" s="2288" t="str">
        <f>DT83</f>
        <v>Generation Turbine 49.9 MW</v>
      </c>
      <c r="EZ83" s="2288">
        <f>DU83</f>
        <v>49.9</v>
      </c>
      <c r="FA83" s="2373">
        <f>CJ83/AV83</f>
        <v>0</v>
      </c>
      <c r="FB83" s="2373">
        <f t="shared" ref="FB83:FB101" si="325">CK83/AW83</f>
        <v>0</v>
      </c>
      <c r="FC83" s="2788">
        <f t="shared" ref="FC83:FC101" si="326">CL83/AX83</f>
        <v>0</v>
      </c>
      <c r="FD83" s="3693">
        <f t="shared" ref="FD83:FD101" si="327">CM83/AY83</f>
        <v>0</v>
      </c>
      <c r="FE83" s="3693" t="e">
        <f t="shared" ref="FE83:FE101" si="328">CN83/AZ83</f>
        <v>#DIV/0!</v>
      </c>
      <c r="FF83" s="3369">
        <f t="shared" ref="FF83:FF101" si="329">CO83/BA83</f>
        <v>0</v>
      </c>
      <c r="FG83" s="2374">
        <f t="shared" ref="FG83:FG101" si="330">CP83/BB83</f>
        <v>0</v>
      </c>
      <c r="FH83" s="3950" t="e">
        <f t="shared" ref="FH83:FH101" si="331">CQ83/BC83</f>
        <v>#DIV/0!</v>
      </c>
      <c r="FI83" s="3369">
        <f t="shared" ref="FI83:FI101" si="332">CR83/BD83</f>
        <v>0</v>
      </c>
      <c r="FJ83" s="2374">
        <f t="shared" ref="FJ83:FJ101" si="333">CS83/BE83</f>
        <v>0</v>
      </c>
      <c r="FK83" s="3641" t="e">
        <f>IF($H83=0,"",CT83/BF83)</f>
        <v>#DIV/0!</v>
      </c>
      <c r="FL83" s="3641">
        <f t="shared" ref="FL83:FL101" si="334">CU83/BG83</f>
        <v>0</v>
      </c>
      <c r="FO83" s="2288" t="str">
        <f>EY83</f>
        <v>Generation Turbine 49.9 MW</v>
      </c>
      <c r="FP83" s="2288">
        <f>EZ83</f>
        <v>49.9</v>
      </c>
      <c r="FQ83" s="2788">
        <f>CZ83/BL83</f>
        <v>0</v>
      </c>
      <c r="FR83" s="3693">
        <f t="shared" ref="FR83:FR101" si="335">DA83/BM83</f>
        <v>0</v>
      </c>
      <c r="FS83" s="3370">
        <f t="shared" ref="FS83:FS101" si="336">DB83/BN83</f>
        <v>0</v>
      </c>
      <c r="FT83" s="3693">
        <f t="shared" ref="FT83:FT101" si="337">DC83/BO83</f>
        <v>0</v>
      </c>
      <c r="FU83" s="3693" t="e">
        <f t="shared" ref="FU83:FU101" si="338">DD83/BP83</f>
        <v>#DIV/0!</v>
      </c>
      <c r="FV83" s="3369">
        <f t="shared" ref="FV83:FV101" si="339">DE83/BQ83</f>
        <v>0</v>
      </c>
      <c r="FW83" s="2788">
        <f t="shared" ref="FW83:FW101" si="340">DF83/BR83</f>
        <v>0</v>
      </c>
      <c r="FX83" s="3693" t="e">
        <f t="shared" ref="FX83:FX101" si="341">DG83/BS83</f>
        <v>#DIV/0!</v>
      </c>
      <c r="FY83" s="3369">
        <f t="shared" ref="FY83:FY101" si="342">DH83/BT83</f>
        <v>0</v>
      </c>
      <c r="FZ83" s="2374">
        <f t="shared" ref="FZ83:FZ101" si="343">DI83/BU83</f>
        <v>0</v>
      </c>
      <c r="GA83" s="3641" t="e">
        <f>IF($H83=0,"",DJ83/BV83)</f>
        <v>#DIV/0!</v>
      </c>
      <c r="GB83" s="3641">
        <f>IF($H83=0,"",DK83/BW83)</f>
        <v>0</v>
      </c>
    </row>
    <row r="84" spans="1:184">
      <c r="A84" s="1817"/>
      <c r="B84" s="1817"/>
      <c r="C84" s="1817"/>
      <c r="D84" s="1291"/>
      <c r="E84" s="1817"/>
      <c r="F84" s="2288" t="s">
        <v>1786</v>
      </c>
      <c r="G84" s="2289">
        <v>100</v>
      </c>
      <c r="H84" s="2278">
        <v>68.425956052618773</v>
      </c>
      <c r="I84" s="2279">
        <v>9.5566999250719054</v>
      </c>
      <c r="J84" s="2279">
        <v>8.5280132142131944</v>
      </c>
      <c r="K84" s="2279">
        <v>35.758210297329995</v>
      </c>
      <c r="L84" s="2279">
        <v>0</v>
      </c>
      <c r="M84" s="2280">
        <v>122.26887948923387</v>
      </c>
      <c r="N84" s="2278">
        <v>69.537156372151316</v>
      </c>
      <c r="O84" s="2281">
        <v>0</v>
      </c>
      <c r="P84" s="2280">
        <v>69.537156372151316</v>
      </c>
      <c r="Q84" s="4025">
        <v>191.80603586138517</v>
      </c>
      <c r="R84" s="3545">
        <v>0</v>
      </c>
      <c r="S84" s="3638">
        <v>191.80603586138517</v>
      </c>
      <c r="T84" s="2362"/>
      <c r="U84" s="1291"/>
      <c r="V84" s="2288" t="s">
        <v>1786</v>
      </c>
      <c r="W84" s="2289">
        <v>100</v>
      </c>
      <c r="X84" s="2278">
        <v>110.51206201592366</v>
      </c>
      <c r="Y84" s="2279">
        <v>15.434649009141605</v>
      </c>
      <c r="Z84" s="2279">
        <v>13.773257687141603</v>
      </c>
      <c r="AA84" s="2279">
        <v>57.751674684941932</v>
      </c>
      <c r="AB84" s="2279">
        <v>0</v>
      </c>
      <c r="AC84" s="2280">
        <v>197.4716433971488</v>
      </c>
      <c r="AD84" s="2278">
        <v>112.30671781188889</v>
      </c>
      <c r="AE84" s="2281">
        <v>0</v>
      </c>
      <c r="AF84" s="3960">
        <v>112.30671781188889</v>
      </c>
      <c r="AG84" s="3629">
        <v>309.77836120903771</v>
      </c>
      <c r="AH84" s="4028">
        <v>0</v>
      </c>
      <c r="AI84" s="3638">
        <v>309.77836120903771</v>
      </c>
      <c r="AJ84" s="4029">
        <f t="shared" ref="AJ84:AJ101" si="344">AI84/10</f>
        <v>30.97783612090377</v>
      </c>
      <c r="AK84" s="2346"/>
      <c r="AL84" s="3634">
        <v>1227.8138008336477</v>
      </c>
      <c r="AM84" s="3635">
        <v>1307.1600398987216</v>
      </c>
      <c r="AN84" s="3497">
        <v>27.436130166318577</v>
      </c>
      <c r="AO84" s="3608">
        <v>0</v>
      </c>
      <c r="AP84" s="2282"/>
      <c r="AQ84" s="2282"/>
      <c r="AR84" s="2282"/>
      <c r="AS84" s="1291"/>
      <c r="AT84" s="2394" t="s">
        <v>1786</v>
      </c>
      <c r="AU84" s="3648">
        <v>100</v>
      </c>
      <c r="AV84" s="2396">
        <v>68.425956052618773</v>
      </c>
      <c r="AW84" s="2397">
        <v>9.5566999250719054</v>
      </c>
      <c r="AX84" s="2397">
        <v>8.5280132142131944</v>
      </c>
      <c r="AY84" s="2397">
        <v>35.758210297329995</v>
      </c>
      <c r="AZ84" s="2397">
        <v>0</v>
      </c>
      <c r="BA84" s="2398">
        <v>122.26887948923387</v>
      </c>
      <c r="BB84" s="2396">
        <v>69.537156372151316</v>
      </c>
      <c r="BC84" s="2399">
        <v>0</v>
      </c>
      <c r="BD84" s="3651">
        <v>69.537156372151316</v>
      </c>
      <c r="BE84" s="3695">
        <v>191.80603586138517</v>
      </c>
      <c r="BF84" s="3545">
        <v>0</v>
      </c>
      <c r="BG84" s="3638">
        <v>191.80603586138517</v>
      </c>
      <c r="BH84" s="2362"/>
      <c r="BI84" s="1291"/>
      <c r="BJ84" s="2394" t="s">
        <v>1786</v>
      </c>
      <c r="BK84" s="2395">
        <v>100</v>
      </c>
      <c r="BL84" s="2396">
        <v>110.51206201592366</v>
      </c>
      <c r="BM84" s="2397">
        <v>15.434649009141605</v>
      </c>
      <c r="BN84" s="2397">
        <v>13.773257687141603</v>
      </c>
      <c r="BO84" s="2397">
        <v>57.751674684941932</v>
      </c>
      <c r="BP84" s="2397">
        <v>0</v>
      </c>
      <c r="BQ84" s="2798">
        <v>197.4716433971488</v>
      </c>
      <c r="BR84" s="2396">
        <v>112.30671781188889</v>
      </c>
      <c r="BS84" s="2399">
        <v>0</v>
      </c>
      <c r="BT84" s="2398">
        <v>112.30671781188889</v>
      </c>
      <c r="BU84" s="4034">
        <v>309.77836120903771</v>
      </c>
      <c r="BV84" s="3642">
        <v>0</v>
      </c>
      <c r="BW84" s="3638">
        <v>309.77836120903771</v>
      </c>
      <c r="BX84" s="3638">
        <f t="shared" ref="BX84:BX104" si="345">IF(BK84=0,"",BW84/10)</f>
        <v>30.97783612090377</v>
      </c>
      <c r="BY84" s="1291"/>
      <c r="BZ84" s="3670">
        <v>1227.8138008336477</v>
      </c>
      <c r="CA84" s="3671">
        <v>1307.1600398987216</v>
      </c>
      <c r="CB84" s="3523">
        <v>27.436130166318577</v>
      </c>
      <c r="CC84" s="3526">
        <v>0</v>
      </c>
      <c r="CD84" s="2362"/>
      <c r="CE84" s="2362"/>
      <c r="CF84" s="2362"/>
      <c r="CG84" s="2346"/>
      <c r="CH84" s="2410" t="str">
        <f t="shared" si="279"/>
        <v>Generation Turbine 100 MW</v>
      </c>
      <c r="CI84" s="2411">
        <f t="shared" si="280"/>
        <v>100</v>
      </c>
      <c r="CJ84" s="2412">
        <f t="shared" si="281"/>
        <v>0</v>
      </c>
      <c r="CK84" s="2413">
        <f t="shared" si="282"/>
        <v>0</v>
      </c>
      <c r="CL84" s="2413">
        <f t="shared" si="283"/>
        <v>0</v>
      </c>
      <c r="CM84" s="2413">
        <f t="shared" si="284"/>
        <v>0</v>
      </c>
      <c r="CN84" s="2413">
        <f t="shared" si="285"/>
        <v>0</v>
      </c>
      <c r="CO84" s="2414">
        <f t="shared" si="286"/>
        <v>0</v>
      </c>
      <c r="CP84" s="2412">
        <f t="shared" si="287"/>
        <v>0</v>
      </c>
      <c r="CQ84" s="2415">
        <f t="shared" si="288"/>
        <v>0</v>
      </c>
      <c r="CR84" s="2414">
        <f t="shared" si="289"/>
        <v>0</v>
      </c>
      <c r="CS84" s="3367">
        <f t="shared" si="290"/>
        <v>0</v>
      </c>
      <c r="CT84" s="3646">
        <f t="shared" si="290"/>
        <v>0</v>
      </c>
      <c r="CU84" s="3638">
        <f t="shared" si="290"/>
        <v>0</v>
      </c>
      <c r="CV84" s="2362"/>
      <c r="CW84" s="2341"/>
      <c r="CX84" s="2410" t="str">
        <f t="shared" si="291"/>
        <v>Generation Turbine 100 MW</v>
      </c>
      <c r="CY84" s="2411">
        <f t="shared" si="292"/>
        <v>100</v>
      </c>
      <c r="CZ84" s="2412">
        <f t="shared" si="293"/>
        <v>0</v>
      </c>
      <c r="DA84" s="2413">
        <f t="shared" si="294"/>
        <v>0</v>
      </c>
      <c r="DB84" s="2413">
        <f t="shared" si="295"/>
        <v>0</v>
      </c>
      <c r="DC84" s="2413">
        <f t="shared" si="296"/>
        <v>0</v>
      </c>
      <c r="DD84" s="2413">
        <f t="shared" si="297"/>
        <v>0</v>
      </c>
      <c r="DE84" s="2414">
        <f t="shared" si="298"/>
        <v>0</v>
      </c>
      <c r="DF84" s="2412">
        <f t="shared" si="299"/>
        <v>0</v>
      </c>
      <c r="DG84" s="2415">
        <f t="shared" si="300"/>
        <v>0</v>
      </c>
      <c r="DH84" s="2414">
        <f t="shared" si="301"/>
        <v>0</v>
      </c>
      <c r="DI84" s="3367">
        <f t="shared" si="302"/>
        <v>0</v>
      </c>
      <c r="DJ84" s="3646">
        <f t="shared" si="302"/>
        <v>0</v>
      </c>
      <c r="DK84" s="3638">
        <f t="shared" si="302"/>
        <v>0</v>
      </c>
      <c r="DL84" s="3638">
        <f t="shared" si="302"/>
        <v>0</v>
      </c>
      <c r="DM84" s="2341"/>
      <c r="DN84" s="3687">
        <f t="shared" si="303"/>
        <v>0</v>
      </c>
      <c r="DO84" s="3688">
        <f t="shared" si="304"/>
        <v>0</v>
      </c>
      <c r="DP84" s="3687">
        <f t="shared" si="305"/>
        <v>0</v>
      </c>
      <c r="DQ84" s="3689">
        <f t="shared" si="306"/>
        <v>0</v>
      </c>
      <c r="DT84" s="2288" t="str">
        <f t="shared" si="307"/>
        <v>Generation Turbine 100 MW</v>
      </c>
      <c r="DU84" s="2289">
        <f t="shared" si="308"/>
        <v>100</v>
      </c>
      <c r="DV84" s="2373">
        <f t="shared" si="309"/>
        <v>0</v>
      </c>
      <c r="DW84" s="2373">
        <f t="shared" si="310"/>
        <v>0</v>
      </c>
      <c r="DX84" s="2788">
        <f t="shared" ref="DX84:DX99" si="346">IF(J84=0,"0.00%",CL84/J84)</f>
        <v>0</v>
      </c>
      <c r="DY84" s="3693">
        <f t="shared" si="311"/>
        <v>0</v>
      </c>
      <c r="DZ84" s="3693" t="e">
        <f t="shared" si="312"/>
        <v>#DIV/0!</v>
      </c>
      <c r="EA84" s="3369">
        <f t="shared" si="313"/>
        <v>0</v>
      </c>
      <c r="EB84" s="2374">
        <f t="shared" ref="EB84:EB99" si="347">IF(N84=0,"0.00%",CP84/N84)</f>
        <v>0</v>
      </c>
      <c r="EC84" s="3950" t="str">
        <f t="shared" ref="EC84:EC99" si="348">IF(O84=0,"0.00%",CQ84/O84)</f>
        <v>0.00%</v>
      </c>
      <c r="ED84" s="3369">
        <f t="shared" ref="ED84:ED99" si="349">IF(P84=0,"0.00%",CR84/P84)</f>
        <v>0</v>
      </c>
      <c r="EE84" s="2374">
        <f t="shared" si="314"/>
        <v>0</v>
      </c>
      <c r="EF84" s="3641" t="e">
        <f t="shared" si="314"/>
        <v>#DIV/0!</v>
      </c>
      <c r="EG84" s="3641">
        <f t="shared" si="314"/>
        <v>0</v>
      </c>
      <c r="EH84" s="2329"/>
      <c r="EJ84" s="2288" t="str">
        <f t="shared" ref="EJ84:EK113" si="350">IF(CX84=0, "",CX84)</f>
        <v>Generation Turbine 100 MW</v>
      </c>
      <c r="EK84" s="2289">
        <f t="shared" si="350"/>
        <v>100</v>
      </c>
      <c r="EL84" s="2788">
        <f t="shared" si="315"/>
        <v>0</v>
      </c>
      <c r="EM84" s="3693">
        <f t="shared" si="316"/>
        <v>0</v>
      </c>
      <c r="EN84" s="3370">
        <f t="shared" si="317"/>
        <v>0</v>
      </c>
      <c r="EO84" s="3693">
        <f t="shared" si="318"/>
        <v>0</v>
      </c>
      <c r="EP84" s="3693" t="e">
        <f t="shared" si="319"/>
        <v>#DIV/0!</v>
      </c>
      <c r="EQ84" s="3369">
        <f t="shared" si="320"/>
        <v>0</v>
      </c>
      <c r="ER84" s="2788">
        <f t="shared" si="321"/>
        <v>0</v>
      </c>
      <c r="ES84" s="3693" t="str">
        <f t="shared" si="322"/>
        <v>0.00%</v>
      </c>
      <c r="ET84" s="3369">
        <f t="shared" si="323"/>
        <v>0</v>
      </c>
      <c r="EU84" s="2374">
        <f t="shared" si="324"/>
        <v>0</v>
      </c>
      <c r="EV84" s="3641" t="e">
        <f t="shared" si="324"/>
        <v>#DIV/0!</v>
      </c>
      <c r="EW84" s="3641">
        <f t="shared" si="324"/>
        <v>0</v>
      </c>
      <c r="EY84" s="2288" t="str">
        <f t="shared" ref="EY84:EY102" si="351">DT84</f>
        <v>Generation Turbine 100 MW</v>
      </c>
      <c r="EZ84" s="2288">
        <f t="shared" ref="EZ84:EZ102" si="352">DU84</f>
        <v>100</v>
      </c>
      <c r="FA84" s="2373">
        <f t="shared" ref="FA84:FA101" si="353">CJ84/AV84</f>
        <v>0</v>
      </c>
      <c r="FB84" s="2373">
        <f t="shared" si="325"/>
        <v>0</v>
      </c>
      <c r="FC84" s="2788">
        <f t="shared" si="326"/>
        <v>0</v>
      </c>
      <c r="FD84" s="3693">
        <f t="shared" si="327"/>
        <v>0</v>
      </c>
      <c r="FE84" s="3693" t="e">
        <f t="shared" si="328"/>
        <v>#DIV/0!</v>
      </c>
      <c r="FF84" s="3369">
        <f t="shared" si="329"/>
        <v>0</v>
      </c>
      <c r="FG84" s="2374">
        <f t="shared" si="330"/>
        <v>0</v>
      </c>
      <c r="FH84" s="3950" t="e">
        <f t="shared" si="331"/>
        <v>#DIV/0!</v>
      </c>
      <c r="FI84" s="3369">
        <f t="shared" si="332"/>
        <v>0</v>
      </c>
      <c r="FJ84" s="2374">
        <f t="shared" si="333"/>
        <v>0</v>
      </c>
      <c r="FK84" s="3641" t="e">
        <f t="shared" ref="FK84:FK101" si="354">IF($H84=0,"",CT84/BF84)</f>
        <v>#DIV/0!</v>
      </c>
      <c r="FL84" s="3641">
        <f t="shared" si="334"/>
        <v>0</v>
      </c>
      <c r="FO84" s="2288" t="str">
        <f t="shared" ref="FO84:FO101" si="355">EY84</f>
        <v>Generation Turbine 100 MW</v>
      </c>
      <c r="FP84" s="2288">
        <f t="shared" ref="FP84:FP101" si="356">EZ84</f>
        <v>100</v>
      </c>
      <c r="FQ84" s="2788">
        <f t="shared" ref="FQ84:FQ101" si="357">CZ84/BL84</f>
        <v>0</v>
      </c>
      <c r="FR84" s="3693">
        <f t="shared" si="335"/>
        <v>0</v>
      </c>
      <c r="FS84" s="3370">
        <f t="shared" si="336"/>
        <v>0</v>
      </c>
      <c r="FT84" s="3693">
        <f t="shared" si="337"/>
        <v>0</v>
      </c>
      <c r="FU84" s="3693" t="e">
        <f t="shared" si="338"/>
        <v>#DIV/0!</v>
      </c>
      <c r="FV84" s="3369">
        <f t="shared" si="339"/>
        <v>0</v>
      </c>
      <c r="FW84" s="2788">
        <f t="shared" si="340"/>
        <v>0</v>
      </c>
      <c r="FX84" s="3693" t="e">
        <f t="shared" si="341"/>
        <v>#DIV/0!</v>
      </c>
      <c r="FY84" s="3369">
        <f t="shared" si="342"/>
        <v>0</v>
      </c>
      <c r="FZ84" s="2374">
        <f t="shared" si="343"/>
        <v>0</v>
      </c>
      <c r="GA84" s="3641" t="e">
        <f t="shared" ref="GA84:GA101" si="358">IF($H84=0,"",DJ84/BV84)</f>
        <v>#DIV/0!</v>
      </c>
      <c r="GB84" s="3641">
        <f t="shared" ref="GB84:GB101" si="359">IF($H84=0,"",DK84/BW84)</f>
        <v>0</v>
      </c>
    </row>
    <row r="85" spans="1:184">
      <c r="A85" s="1817"/>
      <c r="B85" s="1817"/>
      <c r="C85" s="1817"/>
      <c r="D85" s="1291"/>
      <c r="E85" s="1817"/>
      <c r="F85" s="2288" t="s">
        <v>1787</v>
      </c>
      <c r="G85" s="2289">
        <v>200</v>
      </c>
      <c r="H85" s="2278">
        <v>55.695420445253831</v>
      </c>
      <c r="I85" s="2279">
        <v>7.7786917582371835</v>
      </c>
      <c r="J85" s="2279">
        <v>6.9413905033791083</v>
      </c>
      <c r="K85" s="2279">
        <v>32.892041610684664</v>
      </c>
      <c r="L85" s="2279">
        <v>0</v>
      </c>
      <c r="M85" s="2280">
        <v>103.3075443175548</v>
      </c>
      <c r="N85" s="2278">
        <v>97.358245290472837</v>
      </c>
      <c r="O85" s="2281">
        <v>0</v>
      </c>
      <c r="P85" s="2280">
        <v>97.358245290472837</v>
      </c>
      <c r="Q85" s="4025">
        <v>200.66578960802764</v>
      </c>
      <c r="R85" s="3545">
        <v>0</v>
      </c>
      <c r="S85" s="3638">
        <v>200.66578960802764</v>
      </c>
      <c r="T85" s="2362"/>
      <c r="U85" s="1291"/>
      <c r="V85" s="2288" t="s">
        <v>1787</v>
      </c>
      <c r="W85" s="2289">
        <v>200</v>
      </c>
      <c r="X85" s="2278">
        <v>59.819737907381146</v>
      </c>
      <c r="Y85" s="2279">
        <v>8.3547138798860985</v>
      </c>
      <c r="Z85" s="2279">
        <v>7.4554093910302344</v>
      </c>
      <c r="AA85" s="2279">
        <v>35.327739563863958</v>
      </c>
      <c r="AB85" s="2279">
        <v>0</v>
      </c>
      <c r="AC85" s="2280">
        <v>110.95760074216143</v>
      </c>
      <c r="AD85" s="2278">
        <v>104.56774847625567</v>
      </c>
      <c r="AE85" s="2281">
        <v>0</v>
      </c>
      <c r="AF85" s="3960">
        <v>104.56774847625567</v>
      </c>
      <c r="AG85" s="3629">
        <v>215.52534921841709</v>
      </c>
      <c r="AH85" s="4028">
        <v>0</v>
      </c>
      <c r="AI85" s="3638">
        <v>215.52534921841709</v>
      </c>
      <c r="AJ85" s="4029">
        <f t="shared" si="344"/>
        <v>21.552534921841708</v>
      </c>
      <c r="AK85" s="2346"/>
      <c r="AL85" s="3634">
        <v>990.5406030849</v>
      </c>
      <c r="AM85" s="3635">
        <v>1063.9650830075288</v>
      </c>
      <c r="AN85" s="3497">
        <v>25.237010677072234</v>
      </c>
      <c r="AO85" s="3608">
        <v>0</v>
      </c>
      <c r="AP85" s="2282"/>
      <c r="AQ85" s="2282"/>
      <c r="AR85" s="2282"/>
      <c r="AS85" s="1291"/>
      <c r="AT85" s="2394" t="s">
        <v>1787</v>
      </c>
      <c r="AU85" s="3648">
        <v>200</v>
      </c>
      <c r="AV85" s="2396">
        <v>55.695420445253831</v>
      </c>
      <c r="AW85" s="2397">
        <v>7.7786917582371835</v>
      </c>
      <c r="AX85" s="2397">
        <v>6.9413905033791083</v>
      </c>
      <c r="AY85" s="2397">
        <v>32.892041610684664</v>
      </c>
      <c r="AZ85" s="2397">
        <v>0</v>
      </c>
      <c r="BA85" s="2398">
        <v>103.3075443175548</v>
      </c>
      <c r="BB85" s="2396">
        <v>97.358245290472837</v>
      </c>
      <c r="BC85" s="2399">
        <v>0</v>
      </c>
      <c r="BD85" s="3651">
        <v>97.358245290472837</v>
      </c>
      <c r="BE85" s="3695">
        <v>200.66578960802764</v>
      </c>
      <c r="BF85" s="3545">
        <v>0</v>
      </c>
      <c r="BG85" s="3638">
        <v>200.66578960802764</v>
      </c>
      <c r="BH85" s="2362"/>
      <c r="BI85" s="1291"/>
      <c r="BJ85" s="2394" t="s">
        <v>1787</v>
      </c>
      <c r="BK85" s="2395">
        <v>200</v>
      </c>
      <c r="BL85" s="2396">
        <v>59.819737907381146</v>
      </c>
      <c r="BM85" s="2397">
        <v>8.3547138798860985</v>
      </c>
      <c r="BN85" s="2397">
        <v>7.4554093910302344</v>
      </c>
      <c r="BO85" s="2397">
        <v>35.327739563863958</v>
      </c>
      <c r="BP85" s="2397">
        <v>0</v>
      </c>
      <c r="BQ85" s="2798">
        <v>110.95760074216143</v>
      </c>
      <c r="BR85" s="2396">
        <v>104.56774847625567</v>
      </c>
      <c r="BS85" s="2399">
        <v>0</v>
      </c>
      <c r="BT85" s="2398">
        <v>104.56774847625567</v>
      </c>
      <c r="BU85" s="4034">
        <v>215.52534921841709</v>
      </c>
      <c r="BV85" s="3642">
        <v>0</v>
      </c>
      <c r="BW85" s="3638">
        <v>215.52534921841709</v>
      </c>
      <c r="BX85" s="3638">
        <f t="shared" si="345"/>
        <v>21.552534921841708</v>
      </c>
      <c r="BY85" s="1291"/>
      <c r="BZ85" s="3670">
        <v>990.5406030849</v>
      </c>
      <c r="CA85" s="3671">
        <v>1063.9650830075288</v>
      </c>
      <c r="CB85" s="3523">
        <v>25.237010677072234</v>
      </c>
      <c r="CC85" s="3526">
        <v>0</v>
      </c>
      <c r="CD85" s="2362"/>
      <c r="CE85" s="2362"/>
      <c r="CF85" s="2362"/>
      <c r="CG85" s="2346"/>
      <c r="CH85" s="2410" t="str">
        <f t="shared" si="279"/>
        <v>Generation Turbine - Advanced 200 MW</v>
      </c>
      <c r="CI85" s="2411">
        <f t="shared" si="280"/>
        <v>200</v>
      </c>
      <c r="CJ85" s="2412">
        <f t="shared" si="281"/>
        <v>0</v>
      </c>
      <c r="CK85" s="2413">
        <f t="shared" si="282"/>
        <v>0</v>
      </c>
      <c r="CL85" s="2413">
        <f t="shared" si="283"/>
        <v>0</v>
      </c>
      <c r="CM85" s="2413">
        <f t="shared" si="284"/>
        <v>0</v>
      </c>
      <c r="CN85" s="2413">
        <f t="shared" si="285"/>
        <v>0</v>
      </c>
      <c r="CO85" s="2414">
        <f t="shared" si="286"/>
        <v>0</v>
      </c>
      <c r="CP85" s="2412">
        <f t="shared" si="287"/>
        <v>0</v>
      </c>
      <c r="CQ85" s="2415">
        <f t="shared" si="288"/>
        <v>0</v>
      </c>
      <c r="CR85" s="2414">
        <f t="shared" si="289"/>
        <v>0</v>
      </c>
      <c r="CS85" s="3367">
        <f t="shared" si="290"/>
        <v>0</v>
      </c>
      <c r="CT85" s="3646">
        <f t="shared" si="290"/>
        <v>0</v>
      </c>
      <c r="CU85" s="3638">
        <f t="shared" si="290"/>
        <v>0</v>
      </c>
      <c r="CV85" s="2362"/>
      <c r="CW85" s="2341"/>
      <c r="CX85" s="2410" t="str">
        <f t="shared" si="291"/>
        <v>Generation Turbine - Advanced 200 MW</v>
      </c>
      <c r="CY85" s="2411">
        <f t="shared" si="292"/>
        <v>200</v>
      </c>
      <c r="CZ85" s="2412">
        <f t="shared" si="293"/>
        <v>0</v>
      </c>
      <c r="DA85" s="2413">
        <f t="shared" si="294"/>
        <v>0</v>
      </c>
      <c r="DB85" s="2413">
        <f t="shared" si="295"/>
        <v>0</v>
      </c>
      <c r="DC85" s="2413">
        <f t="shared" si="296"/>
        <v>0</v>
      </c>
      <c r="DD85" s="2413">
        <f t="shared" si="297"/>
        <v>0</v>
      </c>
      <c r="DE85" s="2414">
        <f t="shared" si="298"/>
        <v>0</v>
      </c>
      <c r="DF85" s="2412">
        <f t="shared" si="299"/>
        <v>0</v>
      </c>
      <c r="DG85" s="2415">
        <f t="shared" si="300"/>
        <v>0</v>
      </c>
      <c r="DH85" s="2414">
        <f t="shared" si="301"/>
        <v>0</v>
      </c>
      <c r="DI85" s="3367">
        <f t="shared" si="302"/>
        <v>0</v>
      </c>
      <c r="DJ85" s="3646">
        <f t="shared" si="302"/>
        <v>0</v>
      </c>
      <c r="DK85" s="3638">
        <f t="shared" si="302"/>
        <v>0</v>
      </c>
      <c r="DL85" s="3638">
        <f t="shared" si="302"/>
        <v>0</v>
      </c>
      <c r="DM85" s="2341"/>
      <c r="DN85" s="3687">
        <f t="shared" si="303"/>
        <v>0</v>
      </c>
      <c r="DO85" s="3688">
        <f t="shared" si="304"/>
        <v>0</v>
      </c>
      <c r="DP85" s="3687">
        <f t="shared" si="305"/>
        <v>0</v>
      </c>
      <c r="DQ85" s="3689">
        <f t="shared" si="306"/>
        <v>0</v>
      </c>
      <c r="DT85" s="2288" t="str">
        <f t="shared" si="307"/>
        <v>Generation Turbine - Advanced 200 MW</v>
      </c>
      <c r="DU85" s="2289">
        <f t="shared" si="308"/>
        <v>200</v>
      </c>
      <c r="DV85" s="2373">
        <f t="shared" si="309"/>
        <v>0</v>
      </c>
      <c r="DW85" s="2373">
        <f t="shared" si="310"/>
        <v>0</v>
      </c>
      <c r="DX85" s="2788">
        <f t="shared" si="346"/>
        <v>0</v>
      </c>
      <c r="DY85" s="3693">
        <f t="shared" si="311"/>
        <v>0</v>
      </c>
      <c r="DZ85" s="3693" t="e">
        <f t="shared" si="312"/>
        <v>#DIV/0!</v>
      </c>
      <c r="EA85" s="3369">
        <f t="shared" si="313"/>
        <v>0</v>
      </c>
      <c r="EB85" s="2374">
        <f t="shared" si="347"/>
        <v>0</v>
      </c>
      <c r="EC85" s="3950" t="str">
        <f t="shared" si="348"/>
        <v>0.00%</v>
      </c>
      <c r="ED85" s="3369">
        <f t="shared" si="349"/>
        <v>0</v>
      </c>
      <c r="EE85" s="2374">
        <f t="shared" si="314"/>
        <v>0</v>
      </c>
      <c r="EF85" s="3641" t="e">
        <f t="shared" si="314"/>
        <v>#DIV/0!</v>
      </c>
      <c r="EG85" s="3641">
        <f t="shared" si="314"/>
        <v>0</v>
      </c>
      <c r="EH85" s="2329"/>
      <c r="EJ85" s="2288" t="str">
        <f t="shared" si="350"/>
        <v>Generation Turbine - Advanced 200 MW</v>
      </c>
      <c r="EK85" s="2289">
        <f t="shared" si="350"/>
        <v>200</v>
      </c>
      <c r="EL85" s="2788">
        <f t="shared" si="315"/>
        <v>0</v>
      </c>
      <c r="EM85" s="3693">
        <f t="shared" si="316"/>
        <v>0</v>
      </c>
      <c r="EN85" s="3370">
        <f t="shared" si="317"/>
        <v>0</v>
      </c>
      <c r="EO85" s="3693">
        <f t="shared" si="318"/>
        <v>0</v>
      </c>
      <c r="EP85" s="3693" t="e">
        <f t="shared" si="319"/>
        <v>#DIV/0!</v>
      </c>
      <c r="EQ85" s="3369">
        <f t="shared" si="320"/>
        <v>0</v>
      </c>
      <c r="ER85" s="2788">
        <f t="shared" si="321"/>
        <v>0</v>
      </c>
      <c r="ES85" s="3693" t="str">
        <f t="shared" si="322"/>
        <v>0.00%</v>
      </c>
      <c r="ET85" s="3369">
        <f t="shared" si="323"/>
        <v>0</v>
      </c>
      <c r="EU85" s="2374">
        <f t="shared" si="324"/>
        <v>0</v>
      </c>
      <c r="EV85" s="3641" t="e">
        <f t="shared" si="324"/>
        <v>#DIV/0!</v>
      </c>
      <c r="EW85" s="3641">
        <f t="shared" si="324"/>
        <v>0</v>
      </c>
      <c r="EY85" s="2288" t="str">
        <f t="shared" si="351"/>
        <v>Generation Turbine - Advanced 200 MW</v>
      </c>
      <c r="EZ85" s="2288">
        <f t="shared" si="352"/>
        <v>200</v>
      </c>
      <c r="FA85" s="2373">
        <f t="shared" si="353"/>
        <v>0</v>
      </c>
      <c r="FB85" s="2373">
        <f t="shared" si="325"/>
        <v>0</v>
      </c>
      <c r="FC85" s="2788">
        <f t="shared" si="326"/>
        <v>0</v>
      </c>
      <c r="FD85" s="3693">
        <f t="shared" si="327"/>
        <v>0</v>
      </c>
      <c r="FE85" s="3693" t="e">
        <f t="shared" si="328"/>
        <v>#DIV/0!</v>
      </c>
      <c r="FF85" s="3369">
        <f t="shared" si="329"/>
        <v>0</v>
      </c>
      <c r="FG85" s="2374">
        <f t="shared" si="330"/>
        <v>0</v>
      </c>
      <c r="FH85" s="3950" t="e">
        <f t="shared" si="331"/>
        <v>#DIV/0!</v>
      </c>
      <c r="FI85" s="3369">
        <f t="shared" si="332"/>
        <v>0</v>
      </c>
      <c r="FJ85" s="2374">
        <f t="shared" si="333"/>
        <v>0</v>
      </c>
      <c r="FK85" s="3641" t="e">
        <f t="shared" si="354"/>
        <v>#DIV/0!</v>
      </c>
      <c r="FL85" s="3641">
        <f t="shared" si="334"/>
        <v>0</v>
      </c>
      <c r="FO85" s="2288" t="str">
        <f t="shared" si="355"/>
        <v>Generation Turbine - Advanced 200 MW</v>
      </c>
      <c r="FP85" s="2288">
        <f t="shared" si="356"/>
        <v>200</v>
      </c>
      <c r="FQ85" s="2788">
        <f t="shared" si="357"/>
        <v>0</v>
      </c>
      <c r="FR85" s="3693">
        <f t="shared" si="335"/>
        <v>0</v>
      </c>
      <c r="FS85" s="3370">
        <f t="shared" si="336"/>
        <v>0</v>
      </c>
      <c r="FT85" s="3693">
        <f t="shared" si="337"/>
        <v>0</v>
      </c>
      <c r="FU85" s="3693" t="e">
        <f t="shared" si="338"/>
        <v>#DIV/0!</v>
      </c>
      <c r="FV85" s="3369">
        <f t="shared" si="339"/>
        <v>0</v>
      </c>
      <c r="FW85" s="2788">
        <f t="shared" si="340"/>
        <v>0</v>
      </c>
      <c r="FX85" s="3693" t="e">
        <f t="shared" si="341"/>
        <v>#DIV/0!</v>
      </c>
      <c r="FY85" s="3369">
        <f t="shared" si="342"/>
        <v>0</v>
      </c>
      <c r="FZ85" s="2374">
        <f t="shared" si="343"/>
        <v>0</v>
      </c>
      <c r="GA85" s="3641" t="e">
        <f t="shared" si="358"/>
        <v>#DIV/0!</v>
      </c>
      <c r="GB85" s="3641">
        <f t="shared" si="359"/>
        <v>0</v>
      </c>
    </row>
    <row r="86" spans="1:184">
      <c r="A86" s="1817"/>
      <c r="B86" s="1817"/>
      <c r="C86" s="1817"/>
      <c r="D86" s="1291"/>
      <c r="E86" s="1817"/>
      <c r="F86" s="2288" t="s">
        <v>1788</v>
      </c>
      <c r="G86" s="2289">
        <v>500</v>
      </c>
      <c r="H86" s="2278">
        <v>56.729096986479199</v>
      </c>
      <c r="I86" s="2279">
        <v>7.9230600227665162</v>
      </c>
      <c r="J86" s="2279">
        <v>7.0702189145746113</v>
      </c>
      <c r="K86" s="2279">
        <v>45.045699214632648</v>
      </c>
      <c r="L86" s="2279">
        <v>0</v>
      </c>
      <c r="M86" s="2280">
        <v>116.76807513845297</v>
      </c>
      <c r="N86" s="2278">
        <v>361.970559359817</v>
      </c>
      <c r="O86" s="2281">
        <v>3.8950569186800537</v>
      </c>
      <c r="P86" s="2280">
        <v>365.86561627849704</v>
      </c>
      <c r="Q86" s="4025">
        <v>482.63369141695</v>
      </c>
      <c r="R86" s="3545">
        <v>0</v>
      </c>
      <c r="S86" s="3638">
        <v>482.63369141695</v>
      </c>
      <c r="T86" s="2362"/>
      <c r="U86" s="1291"/>
      <c r="V86" s="2288" t="s">
        <v>1788</v>
      </c>
      <c r="W86" s="2289">
        <v>500</v>
      </c>
      <c r="X86" s="2278">
        <v>12.027028709360764</v>
      </c>
      <c r="Y86" s="2279">
        <v>1.6797529913531506</v>
      </c>
      <c r="Z86" s="2279">
        <v>1.4989437587437937</v>
      </c>
      <c r="AA86" s="2279">
        <v>9.5500536138754484</v>
      </c>
      <c r="AB86" s="2279">
        <v>0</v>
      </c>
      <c r="AC86" s="2280">
        <v>24.755779073333159</v>
      </c>
      <c r="AD86" s="2278">
        <v>76.740694645668157</v>
      </c>
      <c r="AE86" s="2281">
        <v>0.82578366083853816</v>
      </c>
      <c r="AF86" s="3960">
        <v>77.566478306506696</v>
      </c>
      <c r="AG86" s="3629">
        <v>102.32225737983985</v>
      </c>
      <c r="AH86" s="4028">
        <v>0</v>
      </c>
      <c r="AI86" s="3638">
        <v>102.32225737983985</v>
      </c>
      <c r="AJ86" s="4029">
        <f t="shared" si="344"/>
        <v>10.232225737983985</v>
      </c>
      <c r="AK86" s="2346"/>
      <c r="AL86" s="3634">
        <v>1005.8744560108703</v>
      </c>
      <c r="AM86" s="3635">
        <v>1083.7116930195466</v>
      </c>
      <c r="AN86" s="3497">
        <v>34.5621231266649</v>
      </c>
      <c r="AO86" s="3608">
        <v>0.61321601142446136</v>
      </c>
      <c r="AP86" s="2282"/>
      <c r="AQ86" s="2282"/>
      <c r="AR86" s="2282"/>
      <c r="AS86" s="1291"/>
      <c r="AT86" s="2394" t="s">
        <v>1788</v>
      </c>
      <c r="AU86" s="3648">
        <v>500</v>
      </c>
      <c r="AV86" s="2396">
        <v>56.729096986479199</v>
      </c>
      <c r="AW86" s="2397">
        <v>7.9230600227665162</v>
      </c>
      <c r="AX86" s="2397">
        <v>7.0702189145746113</v>
      </c>
      <c r="AY86" s="2397">
        <v>45.045699214632648</v>
      </c>
      <c r="AZ86" s="2397">
        <v>0</v>
      </c>
      <c r="BA86" s="2398">
        <v>116.76807513845297</v>
      </c>
      <c r="BB86" s="2396">
        <v>361.970559359817</v>
      </c>
      <c r="BC86" s="2399">
        <v>3.8950569186800537</v>
      </c>
      <c r="BD86" s="3651">
        <v>365.86561627849704</v>
      </c>
      <c r="BE86" s="3695">
        <v>482.63369141695</v>
      </c>
      <c r="BF86" s="3545">
        <v>0</v>
      </c>
      <c r="BG86" s="3638">
        <v>482.63369141695</v>
      </c>
      <c r="BH86" s="2362"/>
      <c r="BI86" s="1291"/>
      <c r="BJ86" s="2394" t="s">
        <v>1788</v>
      </c>
      <c r="BK86" s="2395">
        <v>500</v>
      </c>
      <c r="BL86" s="2396">
        <v>12.027028709360764</v>
      </c>
      <c r="BM86" s="2397">
        <v>1.6797529913531506</v>
      </c>
      <c r="BN86" s="2397">
        <v>1.4989437587437937</v>
      </c>
      <c r="BO86" s="2397">
        <v>9.5500536138754484</v>
      </c>
      <c r="BP86" s="2397">
        <v>0</v>
      </c>
      <c r="BQ86" s="2798">
        <v>24.755779073333159</v>
      </c>
      <c r="BR86" s="2396">
        <v>76.740694645668157</v>
      </c>
      <c r="BS86" s="2399">
        <v>0.82578366083853816</v>
      </c>
      <c r="BT86" s="2398">
        <v>77.566478306506696</v>
      </c>
      <c r="BU86" s="4034">
        <v>102.32225737983985</v>
      </c>
      <c r="BV86" s="3642">
        <v>0</v>
      </c>
      <c r="BW86" s="3638">
        <v>102.32225737983985</v>
      </c>
      <c r="BX86" s="3638">
        <f t="shared" si="345"/>
        <v>10.232225737983985</v>
      </c>
      <c r="BY86" s="1291"/>
      <c r="BZ86" s="3670">
        <v>1005.8744560108703</v>
      </c>
      <c r="CA86" s="3671">
        <v>1083.7116930195466</v>
      </c>
      <c r="CB86" s="3523">
        <v>34.5621231266649</v>
      </c>
      <c r="CC86" s="3526">
        <v>0.61321601142446136</v>
      </c>
      <c r="CD86" s="2362"/>
      <c r="CE86" s="2362"/>
      <c r="CF86" s="2362"/>
      <c r="CG86" s="2346"/>
      <c r="CH86" s="2410" t="str">
        <f t="shared" si="279"/>
        <v>Combined Cycle - 2 CTs No Duct Firing 500 MW</v>
      </c>
      <c r="CI86" s="2411">
        <f t="shared" si="280"/>
        <v>500</v>
      </c>
      <c r="CJ86" s="2412">
        <f t="shared" si="281"/>
        <v>0</v>
      </c>
      <c r="CK86" s="2413">
        <f t="shared" si="282"/>
        <v>0</v>
      </c>
      <c r="CL86" s="2413">
        <f t="shared" si="283"/>
        <v>0</v>
      </c>
      <c r="CM86" s="2413">
        <f t="shared" si="284"/>
        <v>0</v>
      </c>
      <c r="CN86" s="2413">
        <f t="shared" si="285"/>
        <v>0</v>
      </c>
      <c r="CO86" s="2414">
        <f t="shared" si="286"/>
        <v>0</v>
      </c>
      <c r="CP86" s="2412">
        <f t="shared" si="287"/>
        <v>0</v>
      </c>
      <c r="CQ86" s="2415">
        <f t="shared" si="288"/>
        <v>0</v>
      </c>
      <c r="CR86" s="2414">
        <f t="shared" si="289"/>
        <v>0</v>
      </c>
      <c r="CS86" s="3367">
        <f t="shared" si="290"/>
        <v>0</v>
      </c>
      <c r="CT86" s="3646">
        <f t="shared" si="290"/>
        <v>0</v>
      </c>
      <c r="CU86" s="3638">
        <f t="shared" si="290"/>
        <v>0</v>
      </c>
      <c r="CV86" s="2362"/>
      <c r="CW86" s="2341"/>
      <c r="CX86" s="2410" t="str">
        <f t="shared" si="291"/>
        <v>Combined Cycle - 2 CTs No Duct Firing 500 MW</v>
      </c>
      <c r="CY86" s="2411">
        <f t="shared" si="292"/>
        <v>500</v>
      </c>
      <c r="CZ86" s="2412">
        <f t="shared" si="293"/>
        <v>0</v>
      </c>
      <c r="DA86" s="2413">
        <f t="shared" si="294"/>
        <v>0</v>
      </c>
      <c r="DB86" s="2413">
        <f t="shared" si="295"/>
        <v>0</v>
      </c>
      <c r="DC86" s="2413">
        <f t="shared" si="296"/>
        <v>0</v>
      </c>
      <c r="DD86" s="2413">
        <f t="shared" si="297"/>
        <v>0</v>
      </c>
      <c r="DE86" s="2414">
        <f t="shared" si="298"/>
        <v>0</v>
      </c>
      <c r="DF86" s="2412">
        <f t="shared" si="299"/>
        <v>0</v>
      </c>
      <c r="DG86" s="2415">
        <f t="shared" si="300"/>
        <v>0</v>
      </c>
      <c r="DH86" s="2414">
        <f t="shared" si="301"/>
        <v>0</v>
      </c>
      <c r="DI86" s="3367">
        <f t="shared" si="302"/>
        <v>0</v>
      </c>
      <c r="DJ86" s="3646">
        <f t="shared" si="302"/>
        <v>0</v>
      </c>
      <c r="DK86" s="3638">
        <f t="shared" si="302"/>
        <v>0</v>
      </c>
      <c r="DL86" s="3638">
        <f t="shared" si="302"/>
        <v>0</v>
      </c>
      <c r="DM86" s="2342"/>
      <c r="DN86" s="3687">
        <f t="shared" si="303"/>
        <v>0</v>
      </c>
      <c r="DO86" s="3688">
        <f t="shared" si="304"/>
        <v>0</v>
      </c>
      <c r="DP86" s="3687">
        <f t="shared" si="305"/>
        <v>0</v>
      </c>
      <c r="DQ86" s="3689">
        <f t="shared" si="306"/>
        <v>0</v>
      </c>
      <c r="DT86" s="2288" t="str">
        <f t="shared" si="307"/>
        <v>Combined Cycle - 2 CTs No Duct Firing 500 MW</v>
      </c>
      <c r="DU86" s="2289">
        <f t="shared" si="308"/>
        <v>500</v>
      </c>
      <c r="DV86" s="2373">
        <f t="shared" si="309"/>
        <v>0</v>
      </c>
      <c r="DW86" s="2373">
        <f t="shared" si="310"/>
        <v>0</v>
      </c>
      <c r="DX86" s="2788">
        <f t="shared" si="346"/>
        <v>0</v>
      </c>
      <c r="DY86" s="3693">
        <f t="shared" si="311"/>
        <v>0</v>
      </c>
      <c r="DZ86" s="3693" t="e">
        <f t="shared" si="312"/>
        <v>#DIV/0!</v>
      </c>
      <c r="EA86" s="3369">
        <f t="shared" si="313"/>
        <v>0</v>
      </c>
      <c r="EB86" s="2374">
        <f t="shared" si="347"/>
        <v>0</v>
      </c>
      <c r="EC86" s="3950">
        <f t="shared" si="348"/>
        <v>0</v>
      </c>
      <c r="ED86" s="3369">
        <f t="shared" si="349"/>
        <v>0</v>
      </c>
      <c r="EE86" s="2374">
        <f t="shared" si="314"/>
        <v>0</v>
      </c>
      <c r="EF86" s="3641" t="e">
        <f t="shared" si="314"/>
        <v>#DIV/0!</v>
      </c>
      <c r="EG86" s="3641">
        <f t="shared" si="314"/>
        <v>0</v>
      </c>
      <c r="EH86" s="2329"/>
      <c r="EJ86" s="2288" t="str">
        <f t="shared" si="350"/>
        <v>Combined Cycle - 2 CTs No Duct Firing 500 MW</v>
      </c>
      <c r="EK86" s="2289">
        <f t="shared" si="350"/>
        <v>500</v>
      </c>
      <c r="EL86" s="2788">
        <f t="shared" si="315"/>
        <v>0</v>
      </c>
      <c r="EM86" s="3693">
        <f t="shared" si="316"/>
        <v>0</v>
      </c>
      <c r="EN86" s="3370">
        <f t="shared" si="317"/>
        <v>0</v>
      </c>
      <c r="EO86" s="3693">
        <f t="shared" si="318"/>
        <v>0</v>
      </c>
      <c r="EP86" s="3693" t="e">
        <f t="shared" si="319"/>
        <v>#DIV/0!</v>
      </c>
      <c r="EQ86" s="3369">
        <f t="shared" si="320"/>
        <v>0</v>
      </c>
      <c r="ER86" s="2788">
        <f t="shared" si="321"/>
        <v>0</v>
      </c>
      <c r="ES86" s="3693">
        <f t="shared" si="322"/>
        <v>0</v>
      </c>
      <c r="ET86" s="3369">
        <f t="shared" si="323"/>
        <v>0</v>
      </c>
      <c r="EU86" s="2374">
        <f t="shared" si="324"/>
        <v>0</v>
      </c>
      <c r="EV86" s="3641" t="e">
        <f t="shared" si="324"/>
        <v>#DIV/0!</v>
      </c>
      <c r="EW86" s="3641">
        <f t="shared" si="324"/>
        <v>0</v>
      </c>
      <c r="EY86" s="2288" t="str">
        <f t="shared" si="351"/>
        <v>Combined Cycle - 2 CTs No Duct Firing 500 MW</v>
      </c>
      <c r="EZ86" s="2288">
        <f t="shared" si="352"/>
        <v>500</v>
      </c>
      <c r="FA86" s="2373">
        <f t="shared" si="353"/>
        <v>0</v>
      </c>
      <c r="FB86" s="2373">
        <f t="shared" si="325"/>
        <v>0</v>
      </c>
      <c r="FC86" s="2788">
        <f t="shared" si="326"/>
        <v>0</v>
      </c>
      <c r="FD86" s="3693">
        <f t="shared" si="327"/>
        <v>0</v>
      </c>
      <c r="FE86" s="3693" t="e">
        <f t="shared" si="328"/>
        <v>#DIV/0!</v>
      </c>
      <c r="FF86" s="3369">
        <f t="shared" si="329"/>
        <v>0</v>
      </c>
      <c r="FG86" s="2374">
        <f t="shared" si="330"/>
        <v>0</v>
      </c>
      <c r="FH86" s="3950">
        <f t="shared" si="331"/>
        <v>0</v>
      </c>
      <c r="FI86" s="3369">
        <f t="shared" si="332"/>
        <v>0</v>
      </c>
      <c r="FJ86" s="2374">
        <f t="shared" si="333"/>
        <v>0</v>
      </c>
      <c r="FK86" s="3641" t="e">
        <f t="shared" si="354"/>
        <v>#DIV/0!</v>
      </c>
      <c r="FL86" s="3641">
        <f t="shared" si="334"/>
        <v>0</v>
      </c>
      <c r="FO86" s="2288" t="str">
        <f t="shared" si="355"/>
        <v>Combined Cycle - 2 CTs No Duct Firing 500 MW</v>
      </c>
      <c r="FP86" s="2288">
        <f t="shared" si="356"/>
        <v>500</v>
      </c>
      <c r="FQ86" s="2788">
        <f t="shared" si="357"/>
        <v>0</v>
      </c>
      <c r="FR86" s="3693">
        <f t="shared" si="335"/>
        <v>0</v>
      </c>
      <c r="FS86" s="3370">
        <f t="shared" si="336"/>
        <v>0</v>
      </c>
      <c r="FT86" s="3693">
        <f t="shared" si="337"/>
        <v>0</v>
      </c>
      <c r="FU86" s="3693" t="e">
        <f t="shared" si="338"/>
        <v>#DIV/0!</v>
      </c>
      <c r="FV86" s="3369">
        <f t="shared" si="339"/>
        <v>0</v>
      </c>
      <c r="FW86" s="2788">
        <f t="shared" si="340"/>
        <v>0</v>
      </c>
      <c r="FX86" s="3693">
        <f t="shared" si="341"/>
        <v>0</v>
      </c>
      <c r="FY86" s="3369">
        <f t="shared" si="342"/>
        <v>0</v>
      </c>
      <c r="FZ86" s="2374">
        <f t="shared" si="343"/>
        <v>0</v>
      </c>
      <c r="GA86" s="3641" t="e">
        <f t="shared" si="358"/>
        <v>#DIV/0!</v>
      </c>
      <c r="GB86" s="3641">
        <f t="shared" si="359"/>
        <v>0</v>
      </c>
    </row>
    <row r="87" spans="1:184">
      <c r="A87" s="1817"/>
      <c r="B87" s="1817"/>
      <c r="C87" s="1817"/>
      <c r="D87" s="1291"/>
      <c r="E87" s="1817"/>
      <c r="F87" s="3501" t="s">
        <v>1789</v>
      </c>
      <c r="G87" s="2289">
        <v>550</v>
      </c>
      <c r="H87" s="3497">
        <v>55.688118091659689</v>
      </c>
      <c r="I87" s="3498">
        <v>7.7776718762205954</v>
      </c>
      <c r="J87" s="3498">
        <v>6.9404804018396069</v>
      </c>
      <c r="K87" s="3498">
        <v>45.045699214632648</v>
      </c>
      <c r="L87" s="3498">
        <v>0</v>
      </c>
      <c r="M87" s="3615">
        <v>115.45196958435254</v>
      </c>
      <c r="N87" s="3497">
        <v>361.970559359817</v>
      </c>
      <c r="O87" s="3498">
        <v>3.8950569186800528</v>
      </c>
      <c r="P87" s="3615">
        <v>365.86561627849704</v>
      </c>
      <c r="Q87" s="3616">
        <v>481.31758586284957</v>
      </c>
      <c r="R87" s="3545">
        <v>0</v>
      </c>
      <c r="S87" s="3638">
        <v>481.31758586284957</v>
      </c>
      <c r="T87" s="2362"/>
      <c r="U87" s="1291"/>
      <c r="V87" s="3501" t="s">
        <v>1789</v>
      </c>
      <c r="W87" s="2289">
        <v>550</v>
      </c>
      <c r="X87" s="3497">
        <v>11.806332739939343</v>
      </c>
      <c r="Y87" s="3498">
        <v>1.6489295249946911</v>
      </c>
      <c r="Z87" s="3498">
        <v>1.4714381416925375</v>
      </c>
      <c r="AA87" s="3498">
        <v>9.5500536138754484</v>
      </c>
      <c r="AB87" s="3498">
        <v>0</v>
      </c>
      <c r="AC87" s="3615">
        <v>24.476754020502021</v>
      </c>
      <c r="AD87" s="3497">
        <v>76.740694645668157</v>
      </c>
      <c r="AE87" s="3498">
        <v>0.82578366083853805</v>
      </c>
      <c r="AF87" s="3630">
        <v>77.566478306506696</v>
      </c>
      <c r="AG87" s="3614">
        <v>102.04323232700872</v>
      </c>
      <c r="AH87" s="4028">
        <v>0</v>
      </c>
      <c r="AI87" s="3638">
        <v>102.04323232700872</v>
      </c>
      <c r="AJ87" s="4029">
        <f t="shared" si="344"/>
        <v>10.204323232700872</v>
      </c>
      <c r="AK87" s="2346"/>
      <c r="AL87" s="3634">
        <v>987.41666036157767</v>
      </c>
      <c r="AM87" s="3635">
        <v>1063.8255841190062</v>
      </c>
      <c r="AN87" s="3497">
        <v>34.5621231266649</v>
      </c>
      <c r="AO87" s="3608">
        <v>0.61321601142446136</v>
      </c>
      <c r="AP87" s="2282"/>
      <c r="AQ87" s="2282"/>
      <c r="AR87" s="2282"/>
      <c r="AS87" s="1291"/>
      <c r="AT87" s="3521" t="s">
        <v>1789</v>
      </c>
      <c r="AU87" s="3648">
        <v>550</v>
      </c>
      <c r="AV87" s="3523">
        <v>55.688118091659689</v>
      </c>
      <c r="AW87" s="3524">
        <v>7.7776718762205954</v>
      </c>
      <c r="AX87" s="3524">
        <v>6.9404804018396069</v>
      </c>
      <c r="AY87" s="3524">
        <v>45.045699214632648</v>
      </c>
      <c r="AZ87" s="3524">
        <v>0</v>
      </c>
      <c r="BA87" s="3652">
        <v>115.45196958435254</v>
      </c>
      <c r="BB87" s="3523">
        <v>361.970559359817</v>
      </c>
      <c r="BC87" s="3524">
        <v>3.8950569186800528</v>
      </c>
      <c r="BD87" s="3653">
        <v>365.86561627849704</v>
      </c>
      <c r="BE87" s="3695">
        <v>481.31758586284957</v>
      </c>
      <c r="BF87" s="3545">
        <v>0</v>
      </c>
      <c r="BG87" s="3638">
        <v>481.31758586284957</v>
      </c>
      <c r="BH87" s="2362"/>
      <c r="BI87" s="1291"/>
      <c r="BJ87" s="3521" t="s">
        <v>1789</v>
      </c>
      <c r="BK87" s="2395">
        <v>550</v>
      </c>
      <c r="BL87" s="3523">
        <v>11.806332739939343</v>
      </c>
      <c r="BM87" s="3524">
        <v>1.6489295249946911</v>
      </c>
      <c r="BN87" s="3524">
        <v>1.4714381416925375</v>
      </c>
      <c r="BO87" s="3524">
        <v>9.5500536138754484</v>
      </c>
      <c r="BP87" s="3524">
        <v>0</v>
      </c>
      <c r="BQ87" s="3665">
        <v>24.476754020502021</v>
      </c>
      <c r="BR87" s="3523">
        <v>76.740694645668157</v>
      </c>
      <c r="BS87" s="3524">
        <v>0.82578366083853805</v>
      </c>
      <c r="BT87" s="3652">
        <v>77.566478306506696</v>
      </c>
      <c r="BU87" s="3654">
        <v>102.04323232700872</v>
      </c>
      <c r="BV87" s="3642">
        <v>0</v>
      </c>
      <c r="BW87" s="3638">
        <v>102.04323232700872</v>
      </c>
      <c r="BX87" s="3638">
        <f t="shared" si="345"/>
        <v>10.204323232700872</v>
      </c>
      <c r="BY87" s="1291"/>
      <c r="BZ87" s="3670">
        <v>987.41666036157767</v>
      </c>
      <c r="CA87" s="3671">
        <v>1063.8255841190062</v>
      </c>
      <c r="CB87" s="3523">
        <v>34.5621231266649</v>
      </c>
      <c r="CC87" s="3526">
        <v>0.61321601142446136</v>
      </c>
      <c r="CD87" s="2362"/>
      <c r="CE87" s="2362"/>
      <c r="CF87" s="2362"/>
      <c r="CG87" s="2346"/>
      <c r="CH87" s="2410" t="str">
        <f t="shared" si="279"/>
        <v>Combined Cycle - 2 CTs With Duct Firing 550 MW</v>
      </c>
      <c r="CI87" s="2411">
        <f t="shared" si="280"/>
        <v>550</v>
      </c>
      <c r="CJ87" s="2412">
        <f t="shared" si="281"/>
        <v>0</v>
      </c>
      <c r="CK87" s="3674">
        <f t="shared" si="282"/>
        <v>0</v>
      </c>
      <c r="CL87" s="3674">
        <f t="shared" si="283"/>
        <v>0</v>
      </c>
      <c r="CM87" s="3674">
        <f t="shared" si="284"/>
        <v>0</v>
      </c>
      <c r="CN87" s="3674">
        <f t="shared" si="285"/>
        <v>0</v>
      </c>
      <c r="CO87" s="3675">
        <f t="shared" si="286"/>
        <v>0</v>
      </c>
      <c r="CP87" s="3676">
        <f t="shared" si="287"/>
        <v>0</v>
      </c>
      <c r="CQ87" s="3674">
        <f t="shared" si="288"/>
        <v>0</v>
      </c>
      <c r="CR87" s="3675">
        <f t="shared" si="289"/>
        <v>0</v>
      </c>
      <c r="CS87" s="3677">
        <f t="shared" si="290"/>
        <v>0</v>
      </c>
      <c r="CT87" s="3545">
        <f t="shared" si="290"/>
        <v>0</v>
      </c>
      <c r="CU87" s="3638">
        <f t="shared" si="290"/>
        <v>0</v>
      </c>
      <c r="CV87" s="2362"/>
      <c r="CW87" s="2341"/>
      <c r="CX87" s="2410" t="str">
        <f t="shared" si="291"/>
        <v>Combined Cycle - 2 CTs With Duct Firing 550 MW</v>
      </c>
      <c r="CY87" s="2411">
        <f t="shared" si="292"/>
        <v>550</v>
      </c>
      <c r="CZ87" s="2412">
        <f t="shared" si="293"/>
        <v>0</v>
      </c>
      <c r="DA87" s="3674">
        <f t="shared" si="294"/>
        <v>0</v>
      </c>
      <c r="DB87" s="3674">
        <f t="shared" si="295"/>
        <v>0</v>
      </c>
      <c r="DC87" s="3674">
        <f t="shared" si="296"/>
        <v>0</v>
      </c>
      <c r="DD87" s="3674">
        <f t="shared" si="297"/>
        <v>0</v>
      </c>
      <c r="DE87" s="3675">
        <f t="shared" si="298"/>
        <v>0</v>
      </c>
      <c r="DF87" s="3676">
        <f t="shared" si="299"/>
        <v>0</v>
      </c>
      <c r="DG87" s="3674">
        <f t="shared" si="300"/>
        <v>0</v>
      </c>
      <c r="DH87" s="3675">
        <f t="shared" si="301"/>
        <v>0</v>
      </c>
      <c r="DI87" s="3677">
        <f t="shared" si="302"/>
        <v>0</v>
      </c>
      <c r="DJ87" s="3545">
        <f t="shared" si="302"/>
        <v>0</v>
      </c>
      <c r="DK87" s="3638">
        <f t="shared" si="302"/>
        <v>0</v>
      </c>
      <c r="DL87" s="3638">
        <f t="shared" si="302"/>
        <v>0</v>
      </c>
      <c r="DM87" s="2341"/>
      <c r="DN87" s="3687">
        <f t="shared" si="303"/>
        <v>0</v>
      </c>
      <c r="DO87" s="3688">
        <f t="shared" si="304"/>
        <v>0</v>
      </c>
      <c r="DP87" s="3687">
        <f t="shared" si="305"/>
        <v>0</v>
      </c>
      <c r="DQ87" s="3689">
        <f t="shared" si="306"/>
        <v>0</v>
      </c>
      <c r="DT87" s="2288" t="str">
        <f t="shared" si="307"/>
        <v>Combined Cycle - 2 CTs With Duct Firing 550 MW</v>
      </c>
      <c r="DU87" s="2289">
        <f t="shared" si="308"/>
        <v>550</v>
      </c>
      <c r="DV87" s="2373">
        <f t="shared" si="309"/>
        <v>0</v>
      </c>
      <c r="DW87" s="2373">
        <f t="shared" si="310"/>
        <v>0</v>
      </c>
      <c r="DX87" s="2788">
        <f t="shared" si="346"/>
        <v>0</v>
      </c>
      <c r="DY87" s="3693">
        <f t="shared" si="311"/>
        <v>0</v>
      </c>
      <c r="DZ87" s="3693" t="e">
        <f t="shared" si="312"/>
        <v>#DIV/0!</v>
      </c>
      <c r="EA87" s="3369">
        <f t="shared" si="313"/>
        <v>0</v>
      </c>
      <c r="EB87" s="2374">
        <f t="shared" si="347"/>
        <v>0</v>
      </c>
      <c r="EC87" s="3950">
        <f t="shared" si="348"/>
        <v>0</v>
      </c>
      <c r="ED87" s="3369">
        <f t="shared" si="349"/>
        <v>0</v>
      </c>
      <c r="EE87" s="2374">
        <f t="shared" si="314"/>
        <v>0</v>
      </c>
      <c r="EF87" s="3641" t="e">
        <f t="shared" si="314"/>
        <v>#DIV/0!</v>
      </c>
      <c r="EG87" s="3641">
        <f t="shared" si="314"/>
        <v>0</v>
      </c>
      <c r="EH87" s="2329"/>
      <c r="EJ87" s="2288" t="str">
        <f t="shared" si="350"/>
        <v>Combined Cycle - 2 CTs With Duct Firing 550 MW</v>
      </c>
      <c r="EK87" s="2289">
        <f t="shared" si="350"/>
        <v>550</v>
      </c>
      <c r="EL87" s="2788">
        <f t="shared" si="315"/>
        <v>0</v>
      </c>
      <c r="EM87" s="3693">
        <f t="shared" si="316"/>
        <v>0</v>
      </c>
      <c r="EN87" s="3370">
        <f t="shared" si="317"/>
        <v>0</v>
      </c>
      <c r="EO87" s="3693">
        <f t="shared" si="318"/>
        <v>0</v>
      </c>
      <c r="EP87" s="3693" t="e">
        <f t="shared" si="319"/>
        <v>#DIV/0!</v>
      </c>
      <c r="EQ87" s="3369">
        <f t="shared" si="320"/>
        <v>0</v>
      </c>
      <c r="ER87" s="2788">
        <f t="shared" si="321"/>
        <v>0</v>
      </c>
      <c r="ES87" s="3693">
        <f t="shared" si="322"/>
        <v>0</v>
      </c>
      <c r="ET87" s="3369">
        <f t="shared" si="323"/>
        <v>0</v>
      </c>
      <c r="EU87" s="2374">
        <f t="shared" si="324"/>
        <v>0</v>
      </c>
      <c r="EV87" s="3641" t="e">
        <f t="shared" si="324"/>
        <v>#DIV/0!</v>
      </c>
      <c r="EW87" s="3641">
        <f t="shared" si="324"/>
        <v>0</v>
      </c>
      <c r="EY87" s="2288" t="str">
        <f t="shared" si="351"/>
        <v>Combined Cycle - 2 CTs With Duct Firing 550 MW</v>
      </c>
      <c r="EZ87" s="2288">
        <f t="shared" si="352"/>
        <v>550</v>
      </c>
      <c r="FA87" s="2373">
        <f t="shared" si="353"/>
        <v>0</v>
      </c>
      <c r="FB87" s="2373">
        <f t="shared" si="325"/>
        <v>0</v>
      </c>
      <c r="FC87" s="2788">
        <f t="shared" si="326"/>
        <v>0</v>
      </c>
      <c r="FD87" s="3693">
        <f t="shared" si="327"/>
        <v>0</v>
      </c>
      <c r="FE87" s="3693" t="e">
        <f t="shared" si="328"/>
        <v>#DIV/0!</v>
      </c>
      <c r="FF87" s="3369">
        <f t="shared" si="329"/>
        <v>0</v>
      </c>
      <c r="FG87" s="2374">
        <f t="shared" si="330"/>
        <v>0</v>
      </c>
      <c r="FH87" s="3950">
        <f t="shared" si="331"/>
        <v>0</v>
      </c>
      <c r="FI87" s="3369">
        <f t="shared" si="332"/>
        <v>0</v>
      </c>
      <c r="FJ87" s="2374">
        <f t="shared" si="333"/>
        <v>0</v>
      </c>
      <c r="FK87" s="3641" t="e">
        <f t="shared" si="354"/>
        <v>#DIV/0!</v>
      </c>
      <c r="FL87" s="3641">
        <f t="shared" si="334"/>
        <v>0</v>
      </c>
      <c r="FO87" s="2288" t="str">
        <f t="shared" si="355"/>
        <v>Combined Cycle - 2 CTs With Duct Firing 550 MW</v>
      </c>
      <c r="FP87" s="2288">
        <f t="shared" si="356"/>
        <v>550</v>
      </c>
      <c r="FQ87" s="2788">
        <f t="shared" si="357"/>
        <v>0</v>
      </c>
      <c r="FR87" s="3693">
        <f t="shared" si="335"/>
        <v>0</v>
      </c>
      <c r="FS87" s="3370">
        <f t="shared" si="336"/>
        <v>0</v>
      </c>
      <c r="FT87" s="3693">
        <f t="shared" si="337"/>
        <v>0</v>
      </c>
      <c r="FU87" s="3693" t="e">
        <f t="shared" si="338"/>
        <v>#DIV/0!</v>
      </c>
      <c r="FV87" s="3369">
        <f t="shared" si="339"/>
        <v>0</v>
      </c>
      <c r="FW87" s="2788">
        <f t="shared" si="340"/>
        <v>0</v>
      </c>
      <c r="FX87" s="3693">
        <f t="shared" si="341"/>
        <v>0</v>
      </c>
      <c r="FY87" s="3369">
        <f t="shared" si="342"/>
        <v>0</v>
      </c>
      <c r="FZ87" s="2374">
        <f t="shared" si="343"/>
        <v>0</v>
      </c>
      <c r="GA87" s="3641" t="e">
        <f t="shared" si="358"/>
        <v>#DIV/0!</v>
      </c>
      <c r="GB87" s="3641">
        <f t="shared" si="359"/>
        <v>0</v>
      </c>
    </row>
    <row r="88" spans="1:184" ht="13.15" customHeight="1">
      <c r="A88" s="1817"/>
      <c r="B88" s="1817"/>
      <c r="C88" s="1817"/>
      <c r="D88" s="1291"/>
      <c r="E88" s="1817"/>
      <c r="F88" s="3501" t="s">
        <v>1790</v>
      </c>
      <c r="G88" s="2289">
        <v>50</v>
      </c>
      <c r="H88" s="3497">
        <v>257.37179298210117</v>
      </c>
      <c r="I88" s="3498">
        <v>35.945789238461593</v>
      </c>
      <c r="J88" s="3498">
        <v>32.076571203905026</v>
      </c>
      <c r="K88" s="3498">
        <v>138.48555433069998</v>
      </c>
      <c r="L88" s="3498">
        <v>-3.9804539450948493</v>
      </c>
      <c r="M88" s="3615">
        <v>459.89925381007293</v>
      </c>
      <c r="N88" s="3497">
        <v>312.08783913932257</v>
      </c>
      <c r="O88" s="3498">
        <v>48.046209298159873</v>
      </c>
      <c r="P88" s="3615">
        <v>360.13404843748242</v>
      </c>
      <c r="Q88" s="3616">
        <v>820.03330224755541</v>
      </c>
      <c r="R88" s="3545">
        <v>0</v>
      </c>
      <c r="S88" s="3638">
        <v>820.03330224755541</v>
      </c>
      <c r="T88" s="2362"/>
      <c r="U88" s="1291"/>
      <c r="V88" s="3501" t="s">
        <v>1790</v>
      </c>
      <c r="W88" s="2289">
        <v>50</v>
      </c>
      <c r="X88" s="3497">
        <v>38.762698155052483</v>
      </c>
      <c r="Y88" s="3498">
        <v>5.4137858778196453</v>
      </c>
      <c r="Z88" s="3498">
        <v>4.8310439656939757</v>
      </c>
      <c r="AA88" s="3498">
        <v>20.857272971360018</v>
      </c>
      <c r="AB88" s="3498">
        <v>-0.5994951234012259</v>
      </c>
      <c r="AC88" s="3615">
        <v>69.265305846524896</v>
      </c>
      <c r="AD88" s="3497">
        <v>47.003467498326216</v>
      </c>
      <c r="AE88" s="3498">
        <v>7.2362269654334934</v>
      </c>
      <c r="AF88" s="3630">
        <v>54.239694463759712</v>
      </c>
      <c r="AG88" s="3614">
        <v>123.5050003102846</v>
      </c>
      <c r="AH88" s="4028">
        <v>0</v>
      </c>
      <c r="AI88" s="3638">
        <v>123.5050003102846</v>
      </c>
      <c r="AJ88" s="4029"/>
      <c r="AK88" s="2346"/>
      <c r="AL88" s="3634">
        <v>4512.9065685248042</v>
      </c>
      <c r="AM88" s="3635">
        <v>4916.6448317445675</v>
      </c>
      <c r="AN88" s="3497">
        <v>106.25553301406616</v>
      </c>
      <c r="AO88" s="3608">
        <v>5.2863449260729434</v>
      </c>
      <c r="AP88" s="2282"/>
      <c r="AQ88" s="2282"/>
      <c r="AR88" s="2282"/>
      <c r="AS88" s="1291"/>
      <c r="AT88" s="3521" t="s">
        <v>1790</v>
      </c>
      <c r="AU88" s="3648">
        <v>50</v>
      </c>
      <c r="AV88" s="3523">
        <v>257.37179298210117</v>
      </c>
      <c r="AW88" s="3524">
        <v>35.945789238461593</v>
      </c>
      <c r="AX88" s="3524">
        <v>32.076571203905026</v>
      </c>
      <c r="AY88" s="3524">
        <v>138.48555433069998</v>
      </c>
      <c r="AZ88" s="3524">
        <v>-3.9804539450948493</v>
      </c>
      <c r="BA88" s="3652">
        <v>459.89925381007293</v>
      </c>
      <c r="BB88" s="3523">
        <v>312.08783913932257</v>
      </c>
      <c r="BC88" s="3524">
        <v>48.046209298159873</v>
      </c>
      <c r="BD88" s="3653">
        <v>360.13404843748242</v>
      </c>
      <c r="BE88" s="3695">
        <v>820.03330224755541</v>
      </c>
      <c r="BF88" s="3545">
        <v>0</v>
      </c>
      <c r="BG88" s="3638">
        <v>820.03330224755541</v>
      </c>
      <c r="BH88" s="2362"/>
      <c r="BI88" s="2341"/>
      <c r="BJ88" s="3521" t="s">
        <v>1790</v>
      </c>
      <c r="BK88" s="2395">
        <v>50</v>
      </c>
      <c r="BL88" s="3523">
        <v>38.762698155052483</v>
      </c>
      <c r="BM88" s="3524">
        <v>5.4137858778196453</v>
      </c>
      <c r="BN88" s="3524">
        <v>4.8310439656939757</v>
      </c>
      <c r="BO88" s="3524">
        <v>20.857272971360018</v>
      </c>
      <c r="BP88" s="3524">
        <v>-0.5994951234012259</v>
      </c>
      <c r="BQ88" s="3665">
        <v>69.265305846524896</v>
      </c>
      <c r="BR88" s="3523">
        <v>47.003467498326216</v>
      </c>
      <c r="BS88" s="3524">
        <v>7.2362269654334934</v>
      </c>
      <c r="BT88" s="3652">
        <v>54.239694463759712</v>
      </c>
      <c r="BU88" s="3654">
        <v>123.5050003102846</v>
      </c>
      <c r="BV88" s="3642">
        <v>0</v>
      </c>
      <c r="BW88" s="3638">
        <v>123.5050003102846</v>
      </c>
      <c r="BX88" s="3638">
        <f t="shared" si="345"/>
        <v>12.35050003102846</v>
      </c>
      <c r="BY88" s="1291"/>
      <c r="BZ88" s="3670">
        <v>4512.9065685248042</v>
      </c>
      <c r="CA88" s="3671">
        <v>4916.6448317445675</v>
      </c>
      <c r="CB88" s="3523">
        <v>106.25553301406616</v>
      </c>
      <c r="CC88" s="3526">
        <v>5.2863449260729434</v>
      </c>
      <c r="CD88" s="2362"/>
      <c r="CE88" s="2362"/>
      <c r="CF88" s="2362"/>
      <c r="CG88" s="2346"/>
      <c r="CH88" s="2410" t="str">
        <f t="shared" si="279"/>
        <v>Biomass Fludized Bed Boiler 50 MW</v>
      </c>
      <c r="CI88" s="2411">
        <f t="shared" si="280"/>
        <v>50</v>
      </c>
      <c r="CJ88" s="2412">
        <f t="shared" si="281"/>
        <v>0</v>
      </c>
      <c r="CK88" s="3674">
        <f t="shared" si="282"/>
        <v>0</v>
      </c>
      <c r="CL88" s="3674">
        <f t="shared" si="283"/>
        <v>0</v>
      </c>
      <c r="CM88" s="3674">
        <f t="shared" si="284"/>
        <v>0</v>
      </c>
      <c r="CN88" s="3674">
        <f t="shared" si="285"/>
        <v>0</v>
      </c>
      <c r="CO88" s="3675">
        <f t="shared" si="286"/>
        <v>0</v>
      </c>
      <c r="CP88" s="3676">
        <f t="shared" si="287"/>
        <v>0</v>
      </c>
      <c r="CQ88" s="3674">
        <f t="shared" si="288"/>
        <v>0</v>
      </c>
      <c r="CR88" s="3675">
        <f t="shared" si="289"/>
        <v>0</v>
      </c>
      <c r="CS88" s="3677">
        <f t="shared" si="290"/>
        <v>0</v>
      </c>
      <c r="CT88" s="3545">
        <f t="shared" si="290"/>
        <v>0</v>
      </c>
      <c r="CU88" s="3638">
        <f t="shared" si="290"/>
        <v>0</v>
      </c>
      <c r="CV88" s="2362"/>
      <c r="CW88" s="2341"/>
      <c r="CX88" s="2410" t="str">
        <f t="shared" si="291"/>
        <v>Biomass Fludized Bed Boiler 50 MW</v>
      </c>
      <c r="CY88" s="2411">
        <f t="shared" si="292"/>
        <v>50</v>
      </c>
      <c r="CZ88" s="2412">
        <f t="shared" si="293"/>
        <v>0</v>
      </c>
      <c r="DA88" s="3674">
        <f t="shared" si="294"/>
        <v>0</v>
      </c>
      <c r="DB88" s="3674">
        <f t="shared" si="295"/>
        <v>0</v>
      </c>
      <c r="DC88" s="3674">
        <f t="shared" si="296"/>
        <v>0</v>
      </c>
      <c r="DD88" s="3674">
        <f t="shared" si="297"/>
        <v>0</v>
      </c>
      <c r="DE88" s="3675">
        <f t="shared" si="298"/>
        <v>0</v>
      </c>
      <c r="DF88" s="3676">
        <f t="shared" si="299"/>
        <v>0</v>
      </c>
      <c r="DG88" s="3674">
        <f t="shared" si="300"/>
        <v>0</v>
      </c>
      <c r="DH88" s="3675">
        <f t="shared" si="301"/>
        <v>0</v>
      </c>
      <c r="DI88" s="3677">
        <f t="shared" si="302"/>
        <v>0</v>
      </c>
      <c r="DJ88" s="3545">
        <f t="shared" si="302"/>
        <v>0</v>
      </c>
      <c r="DK88" s="3638">
        <f t="shared" si="302"/>
        <v>0</v>
      </c>
      <c r="DL88" s="3638">
        <f t="shared" si="302"/>
        <v>12.35050003102846</v>
      </c>
      <c r="DM88" s="2341"/>
      <c r="DN88" s="3687">
        <f t="shared" si="303"/>
        <v>0</v>
      </c>
      <c r="DO88" s="3688">
        <f t="shared" si="304"/>
        <v>0</v>
      </c>
      <c r="DP88" s="3687">
        <f t="shared" si="305"/>
        <v>0</v>
      </c>
      <c r="DQ88" s="3689">
        <f t="shared" si="306"/>
        <v>0</v>
      </c>
      <c r="DT88" s="2288" t="str">
        <f t="shared" si="307"/>
        <v>Biomass Fludized Bed Boiler 50 MW</v>
      </c>
      <c r="DU88" s="2289">
        <f t="shared" si="308"/>
        <v>50</v>
      </c>
      <c r="DV88" s="2373">
        <f t="shared" si="309"/>
        <v>0</v>
      </c>
      <c r="DW88" s="2373">
        <f t="shared" si="310"/>
        <v>0</v>
      </c>
      <c r="DX88" s="2788">
        <f t="shared" si="346"/>
        <v>0</v>
      </c>
      <c r="DY88" s="3693">
        <f t="shared" si="311"/>
        <v>0</v>
      </c>
      <c r="DZ88" s="3693">
        <f t="shared" si="312"/>
        <v>0</v>
      </c>
      <c r="EA88" s="3369">
        <f t="shared" si="313"/>
        <v>0</v>
      </c>
      <c r="EB88" s="2374">
        <f t="shared" si="347"/>
        <v>0</v>
      </c>
      <c r="EC88" s="3950">
        <f t="shared" si="348"/>
        <v>0</v>
      </c>
      <c r="ED88" s="3369">
        <f t="shared" si="349"/>
        <v>0</v>
      </c>
      <c r="EE88" s="2374">
        <f t="shared" si="314"/>
        <v>0</v>
      </c>
      <c r="EF88" s="3641" t="e">
        <f t="shared" si="314"/>
        <v>#DIV/0!</v>
      </c>
      <c r="EG88" s="3641">
        <f t="shared" si="314"/>
        <v>0</v>
      </c>
      <c r="EH88" s="2329"/>
      <c r="EJ88" s="2288" t="str">
        <f t="shared" si="350"/>
        <v>Biomass Fludized Bed Boiler 50 MW</v>
      </c>
      <c r="EK88" s="2289">
        <f t="shared" si="350"/>
        <v>50</v>
      </c>
      <c r="EL88" s="2788">
        <f t="shared" si="315"/>
        <v>0</v>
      </c>
      <c r="EM88" s="3693">
        <f t="shared" si="316"/>
        <v>0</v>
      </c>
      <c r="EN88" s="3370">
        <f t="shared" si="317"/>
        <v>0</v>
      </c>
      <c r="EO88" s="3693">
        <f t="shared" si="318"/>
        <v>0</v>
      </c>
      <c r="EP88" s="3693">
        <f t="shared" si="319"/>
        <v>0</v>
      </c>
      <c r="EQ88" s="3369">
        <f t="shared" si="320"/>
        <v>0</v>
      </c>
      <c r="ER88" s="2788">
        <f t="shared" si="321"/>
        <v>0</v>
      </c>
      <c r="ES88" s="3693">
        <f t="shared" si="322"/>
        <v>0</v>
      </c>
      <c r="ET88" s="3369">
        <f t="shared" si="323"/>
        <v>0</v>
      </c>
      <c r="EU88" s="2374">
        <f t="shared" si="324"/>
        <v>0</v>
      </c>
      <c r="EV88" s="3641" t="e">
        <f t="shared" si="324"/>
        <v>#DIV/0!</v>
      </c>
      <c r="EW88" s="3641">
        <f t="shared" si="324"/>
        <v>0</v>
      </c>
      <c r="EY88" s="2288" t="str">
        <f t="shared" si="351"/>
        <v>Biomass Fludized Bed Boiler 50 MW</v>
      </c>
      <c r="EZ88" s="2288">
        <f t="shared" si="352"/>
        <v>50</v>
      </c>
      <c r="FA88" s="2373">
        <f t="shared" si="353"/>
        <v>0</v>
      </c>
      <c r="FB88" s="2373">
        <f t="shared" si="325"/>
        <v>0</v>
      </c>
      <c r="FC88" s="2788">
        <f t="shared" si="326"/>
        <v>0</v>
      </c>
      <c r="FD88" s="3693">
        <f t="shared" si="327"/>
        <v>0</v>
      </c>
      <c r="FE88" s="3693">
        <f t="shared" si="328"/>
        <v>0</v>
      </c>
      <c r="FF88" s="3369">
        <f t="shared" si="329"/>
        <v>0</v>
      </c>
      <c r="FG88" s="2374">
        <f t="shared" si="330"/>
        <v>0</v>
      </c>
      <c r="FH88" s="3950">
        <f t="shared" si="331"/>
        <v>0</v>
      </c>
      <c r="FI88" s="3369">
        <f t="shared" si="332"/>
        <v>0</v>
      </c>
      <c r="FJ88" s="2374">
        <f t="shared" si="333"/>
        <v>0</v>
      </c>
      <c r="FK88" s="3641" t="e">
        <f t="shared" si="354"/>
        <v>#DIV/0!</v>
      </c>
      <c r="FL88" s="3641">
        <f t="shared" si="334"/>
        <v>0</v>
      </c>
      <c r="FO88" s="2288" t="str">
        <f t="shared" si="355"/>
        <v>Biomass Fludized Bed Boiler 50 MW</v>
      </c>
      <c r="FP88" s="2288">
        <f t="shared" si="356"/>
        <v>50</v>
      </c>
      <c r="FQ88" s="2788">
        <f t="shared" si="357"/>
        <v>0</v>
      </c>
      <c r="FR88" s="3693">
        <f t="shared" si="335"/>
        <v>0</v>
      </c>
      <c r="FS88" s="3370">
        <f t="shared" si="336"/>
        <v>0</v>
      </c>
      <c r="FT88" s="3693">
        <f t="shared" si="337"/>
        <v>0</v>
      </c>
      <c r="FU88" s="3693">
        <f t="shared" si="338"/>
        <v>0</v>
      </c>
      <c r="FV88" s="3369">
        <f t="shared" si="339"/>
        <v>0</v>
      </c>
      <c r="FW88" s="2788">
        <f t="shared" si="340"/>
        <v>0</v>
      </c>
      <c r="FX88" s="3693">
        <f t="shared" si="341"/>
        <v>0</v>
      </c>
      <c r="FY88" s="3369">
        <f t="shared" si="342"/>
        <v>0</v>
      </c>
      <c r="FZ88" s="2374">
        <f t="shared" si="343"/>
        <v>0</v>
      </c>
      <c r="GA88" s="3641" t="e">
        <f t="shared" si="358"/>
        <v>#DIV/0!</v>
      </c>
      <c r="GB88" s="3641">
        <f t="shared" si="359"/>
        <v>0</v>
      </c>
    </row>
    <row r="89" spans="1:184">
      <c r="A89" s="1817"/>
      <c r="B89" s="1817"/>
      <c r="C89" s="1817"/>
      <c r="D89" s="1291"/>
      <c r="E89" s="1817"/>
      <c r="F89" s="3501" t="s">
        <v>1791</v>
      </c>
      <c r="G89" s="3502">
        <v>30</v>
      </c>
      <c r="H89" s="3497">
        <v>322.46924069556462</v>
      </c>
      <c r="I89" s="3498">
        <v>45.037613592471715</v>
      </c>
      <c r="J89" s="3498">
        <v>40.189748225283623</v>
      </c>
      <c r="K89" s="3498">
        <v>117.03062815230199</v>
      </c>
      <c r="L89" s="3498">
        <v>-4.9872363495080663</v>
      </c>
      <c r="M89" s="3615">
        <v>519.73999431611389</v>
      </c>
      <c r="N89" s="3497">
        <v>0</v>
      </c>
      <c r="O89" s="3498">
        <v>0</v>
      </c>
      <c r="P89" s="3615">
        <v>0</v>
      </c>
      <c r="Q89" s="3616">
        <v>519.73999431611389</v>
      </c>
      <c r="R89" s="3545">
        <v>0</v>
      </c>
      <c r="S89" s="3638">
        <v>519.73999431611389</v>
      </c>
      <c r="T89" s="2362"/>
      <c r="U89" s="1291"/>
      <c r="V89" s="3501" t="s">
        <v>1791</v>
      </c>
      <c r="W89" s="3502">
        <v>30</v>
      </c>
      <c r="X89" s="3497">
        <v>52.725866856253639</v>
      </c>
      <c r="Y89" s="3498">
        <v>7.3639495434602065</v>
      </c>
      <c r="Z89" s="3498">
        <v>6.5712912938359711</v>
      </c>
      <c r="AA89" s="3498">
        <v>19.135286530746853</v>
      </c>
      <c r="AB89" s="3498">
        <v>-0.81544633273435663</v>
      </c>
      <c r="AC89" s="3615">
        <v>84.980947891562323</v>
      </c>
      <c r="AD89" s="3497">
        <v>0</v>
      </c>
      <c r="AE89" s="3498">
        <v>0</v>
      </c>
      <c r="AF89" s="3630">
        <v>0</v>
      </c>
      <c r="AG89" s="3614">
        <v>84.980947891562323</v>
      </c>
      <c r="AH89" s="4028">
        <v>0</v>
      </c>
      <c r="AI89" s="3638">
        <v>84.980947891562323</v>
      </c>
      <c r="AJ89" s="4029">
        <f t="shared" si="344"/>
        <v>8.498094789156232</v>
      </c>
      <c r="AK89" s="2346"/>
      <c r="AL89" s="3634">
        <v>5341.6931576446586</v>
      </c>
      <c r="AM89" s="3635">
        <v>6160.2194525361319</v>
      </c>
      <c r="AN89" s="3497">
        <v>89.79385491427503</v>
      </c>
      <c r="AO89" s="3608">
        <v>0</v>
      </c>
      <c r="AP89" s="2270"/>
      <c r="AQ89" s="2270"/>
      <c r="AR89" s="2282"/>
      <c r="AS89" s="1291"/>
      <c r="AT89" s="3521" t="s">
        <v>1791</v>
      </c>
      <c r="AU89" s="3649">
        <v>30</v>
      </c>
      <c r="AV89" s="3523">
        <v>322.46924069556462</v>
      </c>
      <c r="AW89" s="3524">
        <v>45.037613592471715</v>
      </c>
      <c r="AX89" s="3524">
        <v>40.189748225283623</v>
      </c>
      <c r="AY89" s="3524">
        <v>117.03062815230199</v>
      </c>
      <c r="AZ89" s="3524">
        <v>-4.9872363495080663</v>
      </c>
      <c r="BA89" s="3652">
        <v>519.73999431611389</v>
      </c>
      <c r="BB89" s="3523">
        <v>0</v>
      </c>
      <c r="BC89" s="3524">
        <v>0</v>
      </c>
      <c r="BD89" s="3653">
        <v>0</v>
      </c>
      <c r="BE89" s="3695">
        <v>519.73999431611389</v>
      </c>
      <c r="BF89" s="3545">
        <v>0</v>
      </c>
      <c r="BG89" s="3638">
        <v>519.73999431611389</v>
      </c>
      <c r="BH89" s="2362"/>
      <c r="BI89" s="1291"/>
      <c r="BJ89" s="3521" t="s">
        <v>1791</v>
      </c>
      <c r="BK89" s="3522">
        <v>30</v>
      </c>
      <c r="BL89" s="3523">
        <v>52.725866856253639</v>
      </c>
      <c r="BM89" s="3524">
        <v>7.3639495434602065</v>
      </c>
      <c r="BN89" s="3524">
        <v>6.5712912938359711</v>
      </c>
      <c r="BO89" s="3524">
        <v>19.135286530746853</v>
      </c>
      <c r="BP89" s="3524">
        <v>-0.81544633273435663</v>
      </c>
      <c r="BQ89" s="3665">
        <v>84.980947891562323</v>
      </c>
      <c r="BR89" s="3523">
        <v>0</v>
      </c>
      <c r="BS89" s="3524">
        <v>0</v>
      </c>
      <c r="BT89" s="3652">
        <v>0</v>
      </c>
      <c r="BU89" s="3654">
        <v>84.980947891562323</v>
      </c>
      <c r="BV89" s="3642">
        <v>0</v>
      </c>
      <c r="BW89" s="3638">
        <v>84.980947891562323</v>
      </c>
      <c r="BX89" s="3638">
        <f t="shared" si="345"/>
        <v>8.498094789156232</v>
      </c>
      <c r="BY89" s="1291"/>
      <c r="BZ89" s="3670">
        <v>5341.6931576446586</v>
      </c>
      <c r="CA89" s="3671">
        <v>6160.2194525361319</v>
      </c>
      <c r="CB89" s="3523">
        <v>89.79385491427503</v>
      </c>
      <c r="CC89" s="3526">
        <v>0</v>
      </c>
      <c r="CD89" s="2349"/>
      <c r="CE89" s="2349"/>
      <c r="CF89" s="2349"/>
      <c r="CG89" s="2346"/>
      <c r="CH89" s="2410" t="str">
        <f t="shared" si="279"/>
        <v>Geothermal  Binary 30 MW</v>
      </c>
      <c r="CI89" s="2411">
        <f t="shared" si="280"/>
        <v>30</v>
      </c>
      <c r="CJ89" s="2412">
        <f t="shared" si="281"/>
        <v>0</v>
      </c>
      <c r="CK89" s="3674">
        <f t="shared" si="282"/>
        <v>0</v>
      </c>
      <c r="CL89" s="3674">
        <f t="shared" si="283"/>
        <v>0</v>
      </c>
      <c r="CM89" s="3674">
        <f t="shared" si="284"/>
        <v>0</v>
      </c>
      <c r="CN89" s="3674">
        <f t="shared" si="285"/>
        <v>0</v>
      </c>
      <c r="CO89" s="3675">
        <f t="shared" si="286"/>
        <v>0</v>
      </c>
      <c r="CP89" s="3676">
        <f t="shared" si="287"/>
        <v>0</v>
      </c>
      <c r="CQ89" s="3674">
        <f t="shared" si="288"/>
        <v>0</v>
      </c>
      <c r="CR89" s="3675">
        <f t="shared" si="289"/>
        <v>0</v>
      </c>
      <c r="CS89" s="3677">
        <f t="shared" si="290"/>
        <v>0</v>
      </c>
      <c r="CT89" s="3545">
        <f t="shared" si="290"/>
        <v>0</v>
      </c>
      <c r="CU89" s="3638">
        <f t="shared" si="290"/>
        <v>0</v>
      </c>
      <c r="CV89" s="2362"/>
      <c r="CW89" s="2341"/>
      <c r="CX89" s="2410" t="str">
        <f t="shared" si="291"/>
        <v>Geothermal  Binary 30 MW</v>
      </c>
      <c r="CY89" s="2411">
        <f t="shared" si="292"/>
        <v>30</v>
      </c>
      <c r="CZ89" s="2412">
        <f t="shared" si="293"/>
        <v>0</v>
      </c>
      <c r="DA89" s="3674">
        <f t="shared" si="294"/>
        <v>0</v>
      </c>
      <c r="DB89" s="3674">
        <f t="shared" si="295"/>
        <v>0</v>
      </c>
      <c r="DC89" s="3674">
        <f t="shared" si="296"/>
        <v>0</v>
      </c>
      <c r="DD89" s="3674">
        <f t="shared" si="297"/>
        <v>0</v>
      </c>
      <c r="DE89" s="3675">
        <f t="shared" si="298"/>
        <v>0</v>
      </c>
      <c r="DF89" s="3676">
        <f t="shared" si="299"/>
        <v>0</v>
      </c>
      <c r="DG89" s="3674">
        <f t="shared" si="300"/>
        <v>0</v>
      </c>
      <c r="DH89" s="3675">
        <f t="shared" si="301"/>
        <v>0</v>
      </c>
      <c r="DI89" s="3677">
        <f t="shared" si="302"/>
        <v>0</v>
      </c>
      <c r="DJ89" s="3545">
        <f t="shared" si="302"/>
        <v>0</v>
      </c>
      <c r="DK89" s="3638">
        <f t="shared" si="302"/>
        <v>0</v>
      </c>
      <c r="DL89" s="3638">
        <f t="shared" si="302"/>
        <v>0</v>
      </c>
      <c r="DM89" s="2341"/>
      <c r="DN89" s="3687">
        <f t="shared" si="303"/>
        <v>0</v>
      </c>
      <c r="DO89" s="3688">
        <f t="shared" si="304"/>
        <v>0</v>
      </c>
      <c r="DP89" s="3687">
        <f t="shared" si="305"/>
        <v>0</v>
      </c>
      <c r="DQ89" s="3689">
        <f t="shared" si="306"/>
        <v>0</v>
      </c>
      <c r="DT89" s="2288" t="str">
        <f t="shared" si="307"/>
        <v>Geothermal  Binary 30 MW</v>
      </c>
      <c r="DU89" s="2289">
        <f t="shared" si="308"/>
        <v>30</v>
      </c>
      <c r="DV89" s="2373">
        <f t="shared" si="309"/>
        <v>0</v>
      </c>
      <c r="DW89" s="2373">
        <f t="shared" si="310"/>
        <v>0</v>
      </c>
      <c r="DX89" s="2788">
        <f t="shared" si="346"/>
        <v>0</v>
      </c>
      <c r="DY89" s="3693">
        <f t="shared" si="311"/>
        <v>0</v>
      </c>
      <c r="DZ89" s="3693">
        <f t="shared" si="312"/>
        <v>0</v>
      </c>
      <c r="EA89" s="3369">
        <f t="shared" si="313"/>
        <v>0</v>
      </c>
      <c r="EB89" s="2374" t="str">
        <f t="shared" si="347"/>
        <v>0.00%</v>
      </c>
      <c r="EC89" s="3950" t="str">
        <f t="shared" si="348"/>
        <v>0.00%</v>
      </c>
      <c r="ED89" s="3369" t="str">
        <f t="shared" si="349"/>
        <v>0.00%</v>
      </c>
      <c r="EE89" s="2374">
        <f t="shared" si="314"/>
        <v>0</v>
      </c>
      <c r="EF89" s="3641" t="e">
        <f t="shared" si="314"/>
        <v>#DIV/0!</v>
      </c>
      <c r="EG89" s="3641">
        <f t="shared" si="314"/>
        <v>0</v>
      </c>
      <c r="EH89" s="2329"/>
      <c r="EJ89" s="2288" t="str">
        <f t="shared" si="350"/>
        <v>Geothermal  Binary 30 MW</v>
      </c>
      <c r="EK89" s="2289">
        <f t="shared" si="350"/>
        <v>30</v>
      </c>
      <c r="EL89" s="2788">
        <f t="shared" si="315"/>
        <v>0</v>
      </c>
      <c r="EM89" s="3693">
        <f t="shared" si="316"/>
        <v>0</v>
      </c>
      <c r="EN89" s="3370">
        <f t="shared" si="317"/>
        <v>0</v>
      </c>
      <c r="EO89" s="3693">
        <f t="shared" si="318"/>
        <v>0</v>
      </c>
      <c r="EP89" s="3693">
        <f t="shared" si="319"/>
        <v>0</v>
      </c>
      <c r="EQ89" s="3369">
        <f t="shared" si="320"/>
        <v>0</v>
      </c>
      <c r="ER89" s="2788" t="str">
        <f t="shared" si="321"/>
        <v>0.00%</v>
      </c>
      <c r="ES89" s="3693" t="str">
        <f t="shared" si="322"/>
        <v>0.00%</v>
      </c>
      <c r="ET89" s="3369" t="str">
        <f t="shared" si="323"/>
        <v>0.00%</v>
      </c>
      <c r="EU89" s="2374">
        <f t="shared" si="324"/>
        <v>0</v>
      </c>
      <c r="EV89" s="3641" t="e">
        <f t="shared" si="324"/>
        <v>#DIV/0!</v>
      </c>
      <c r="EW89" s="3641">
        <f t="shared" si="324"/>
        <v>0</v>
      </c>
      <c r="EY89" s="2288" t="str">
        <f t="shared" si="351"/>
        <v>Geothermal  Binary 30 MW</v>
      </c>
      <c r="EZ89" s="2288">
        <f t="shared" si="352"/>
        <v>30</v>
      </c>
      <c r="FA89" s="2373">
        <f t="shared" si="353"/>
        <v>0</v>
      </c>
      <c r="FB89" s="2373">
        <f t="shared" si="325"/>
        <v>0</v>
      </c>
      <c r="FC89" s="2788">
        <f t="shared" si="326"/>
        <v>0</v>
      </c>
      <c r="FD89" s="3693">
        <f t="shared" si="327"/>
        <v>0</v>
      </c>
      <c r="FE89" s="3693">
        <f t="shared" si="328"/>
        <v>0</v>
      </c>
      <c r="FF89" s="3369">
        <f t="shared" si="329"/>
        <v>0</v>
      </c>
      <c r="FG89" s="2374" t="e">
        <f t="shared" si="330"/>
        <v>#DIV/0!</v>
      </c>
      <c r="FH89" s="3950" t="e">
        <f t="shared" si="331"/>
        <v>#DIV/0!</v>
      </c>
      <c r="FI89" s="3369" t="e">
        <f t="shared" si="332"/>
        <v>#DIV/0!</v>
      </c>
      <c r="FJ89" s="2374">
        <f t="shared" si="333"/>
        <v>0</v>
      </c>
      <c r="FK89" s="3641" t="e">
        <f t="shared" si="354"/>
        <v>#DIV/0!</v>
      </c>
      <c r="FL89" s="3641">
        <f t="shared" si="334"/>
        <v>0</v>
      </c>
      <c r="FO89" s="2288" t="str">
        <f t="shared" si="355"/>
        <v>Geothermal  Binary 30 MW</v>
      </c>
      <c r="FP89" s="2288">
        <f t="shared" si="356"/>
        <v>30</v>
      </c>
      <c r="FQ89" s="2788">
        <f t="shared" si="357"/>
        <v>0</v>
      </c>
      <c r="FR89" s="3693">
        <f t="shared" si="335"/>
        <v>0</v>
      </c>
      <c r="FS89" s="3370">
        <f t="shared" si="336"/>
        <v>0</v>
      </c>
      <c r="FT89" s="3693">
        <f t="shared" si="337"/>
        <v>0</v>
      </c>
      <c r="FU89" s="3693">
        <f t="shared" si="338"/>
        <v>0</v>
      </c>
      <c r="FV89" s="3369">
        <f t="shared" si="339"/>
        <v>0</v>
      </c>
      <c r="FW89" s="2788" t="e">
        <f t="shared" si="340"/>
        <v>#DIV/0!</v>
      </c>
      <c r="FX89" s="3693" t="e">
        <f t="shared" si="341"/>
        <v>#DIV/0!</v>
      </c>
      <c r="FY89" s="3369" t="e">
        <f t="shared" si="342"/>
        <v>#DIV/0!</v>
      </c>
      <c r="FZ89" s="2374">
        <f t="shared" si="343"/>
        <v>0</v>
      </c>
      <c r="GA89" s="3641" t="e">
        <f t="shared" si="358"/>
        <v>#DIV/0!</v>
      </c>
      <c r="GB89" s="3641">
        <f t="shared" si="359"/>
        <v>0</v>
      </c>
    </row>
    <row r="90" spans="1:184">
      <c r="A90" s="1817"/>
      <c r="B90" s="1817"/>
      <c r="C90" s="1817"/>
      <c r="D90" s="1291"/>
      <c r="E90" s="1817"/>
      <c r="F90" s="3501" t="s">
        <v>1792</v>
      </c>
      <c r="G90" s="3502">
        <v>30</v>
      </c>
      <c r="H90" s="3497">
        <v>358.97801451108518</v>
      </c>
      <c r="I90" s="3498">
        <v>50.136605497224231</v>
      </c>
      <c r="J90" s="3498">
        <v>44.739882757478654</v>
      </c>
      <c r="K90" s="3498">
        <v>117.03062815230199</v>
      </c>
      <c r="L90" s="3498">
        <v>-5.5518727888037649</v>
      </c>
      <c r="M90" s="3615">
        <v>565.33325812928638</v>
      </c>
      <c r="N90" s="3497">
        <v>62.576278275295415</v>
      </c>
      <c r="O90" s="3498">
        <v>0</v>
      </c>
      <c r="P90" s="3615">
        <v>62.576278275295415</v>
      </c>
      <c r="Q90" s="3616">
        <v>627.90953640458179</v>
      </c>
      <c r="R90" s="3545">
        <v>0</v>
      </c>
      <c r="S90" s="3638">
        <v>627.90953640458179</v>
      </c>
      <c r="T90" s="2362"/>
      <c r="U90" s="1291"/>
      <c r="V90" s="3501" t="s">
        <v>1792</v>
      </c>
      <c r="W90" s="3502">
        <v>30</v>
      </c>
      <c r="X90" s="3497">
        <v>62.584741552693274</v>
      </c>
      <c r="Y90" s="3498">
        <v>8.7408876603395029</v>
      </c>
      <c r="Z90" s="3498">
        <v>7.8000152830756022</v>
      </c>
      <c r="AA90" s="3498">
        <v>20.403287445434895</v>
      </c>
      <c r="AB90" s="3498">
        <v>-0.96792145918447192</v>
      </c>
      <c r="AC90" s="3615">
        <v>98.56101048235881</v>
      </c>
      <c r="AD90" s="3497">
        <v>10.909638041545977</v>
      </c>
      <c r="AE90" s="3498">
        <v>0</v>
      </c>
      <c r="AF90" s="3630">
        <v>10.909638041545977</v>
      </c>
      <c r="AG90" s="3614">
        <v>109.47064852390479</v>
      </c>
      <c r="AH90" s="4028">
        <v>0</v>
      </c>
      <c r="AI90" s="3638">
        <v>109.47064852390479</v>
      </c>
      <c r="AJ90" s="4029">
        <f t="shared" si="344"/>
        <v>10.947064852390479</v>
      </c>
      <c r="AK90" s="2346"/>
      <c r="AL90" s="3634">
        <v>6042.82067625126</v>
      </c>
      <c r="AM90" s="3635">
        <v>6857.6566969737696</v>
      </c>
      <c r="AN90" s="3497">
        <v>89.79385491427503</v>
      </c>
      <c r="AO90" s="3608">
        <v>0</v>
      </c>
      <c r="AP90" s="2270"/>
      <c r="AQ90" s="2270"/>
      <c r="AR90" s="2282"/>
      <c r="AS90" s="1291"/>
      <c r="AT90" s="3521" t="s">
        <v>1792</v>
      </c>
      <c r="AU90" s="3649">
        <v>30</v>
      </c>
      <c r="AV90" s="3523">
        <v>358.97801451108518</v>
      </c>
      <c r="AW90" s="3524">
        <v>50.136605497224231</v>
      </c>
      <c r="AX90" s="3524">
        <v>44.739882757478654</v>
      </c>
      <c r="AY90" s="3524">
        <v>117.03062815230199</v>
      </c>
      <c r="AZ90" s="3524">
        <v>-5.5518727888037649</v>
      </c>
      <c r="BA90" s="3652">
        <v>565.33325812928638</v>
      </c>
      <c r="BB90" s="3523">
        <v>62.576278275295415</v>
      </c>
      <c r="BC90" s="3524">
        <v>0</v>
      </c>
      <c r="BD90" s="3653">
        <v>62.576278275295415</v>
      </c>
      <c r="BE90" s="3695">
        <v>627.90953640458179</v>
      </c>
      <c r="BF90" s="3545">
        <v>0</v>
      </c>
      <c r="BG90" s="3638">
        <v>627.90953640458179</v>
      </c>
      <c r="BH90" s="2362"/>
      <c r="BI90" s="1291"/>
      <c r="BJ90" s="3521" t="s">
        <v>1792</v>
      </c>
      <c r="BK90" s="3522">
        <v>30</v>
      </c>
      <c r="BL90" s="3523">
        <v>62.584741552693274</v>
      </c>
      <c r="BM90" s="3524">
        <v>8.7408876603395029</v>
      </c>
      <c r="BN90" s="3524">
        <v>7.8000152830756022</v>
      </c>
      <c r="BO90" s="3524">
        <v>20.403287445434895</v>
      </c>
      <c r="BP90" s="3524">
        <v>-0.96792145918447192</v>
      </c>
      <c r="BQ90" s="3665">
        <v>98.56101048235881</v>
      </c>
      <c r="BR90" s="3523">
        <v>10.909638041545977</v>
      </c>
      <c r="BS90" s="3524">
        <v>0</v>
      </c>
      <c r="BT90" s="3652">
        <v>10.909638041545977</v>
      </c>
      <c r="BU90" s="3654">
        <v>109.47064852390479</v>
      </c>
      <c r="BV90" s="3642">
        <v>0</v>
      </c>
      <c r="BW90" s="3638">
        <v>109.47064852390479</v>
      </c>
      <c r="BX90" s="3638">
        <f t="shared" si="345"/>
        <v>10.947064852390479</v>
      </c>
      <c r="BY90" s="1291"/>
      <c r="BZ90" s="3670">
        <v>6042.82067625126</v>
      </c>
      <c r="CA90" s="3671">
        <v>6857.6566969737696</v>
      </c>
      <c r="CB90" s="3523">
        <v>89.79385491427503</v>
      </c>
      <c r="CC90" s="3526">
        <v>0</v>
      </c>
      <c r="CD90" s="2349"/>
      <c r="CE90" s="2349"/>
      <c r="CF90" s="2349"/>
      <c r="CG90" s="2346"/>
      <c r="CH90" s="2410" t="str">
        <f t="shared" si="279"/>
        <v>Geothermal  Flash 30 MW</v>
      </c>
      <c r="CI90" s="2411">
        <f t="shared" si="280"/>
        <v>30</v>
      </c>
      <c r="CJ90" s="2412">
        <f t="shared" si="281"/>
        <v>0</v>
      </c>
      <c r="CK90" s="3674">
        <f t="shared" si="282"/>
        <v>0</v>
      </c>
      <c r="CL90" s="3674">
        <f t="shared" si="283"/>
        <v>0</v>
      </c>
      <c r="CM90" s="3674">
        <f t="shared" si="284"/>
        <v>0</v>
      </c>
      <c r="CN90" s="3674">
        <f t="shared" si="285"/>
        <v>0</v>
      </c>
      <c r="CO90" s="3675">
        <f t="shared" si="286"/>
        <v>0</v>
      </c>
      <c r="CP90" s="3676">
        <f t="shared" si="287"/>
        <v>0</v>
      </c>
      <c r="CQ90" s="3674">
        <f t="shared" si="288"/>
        <v>0</v>
      </c>
      <c r="CR90" s="3675">
        <f t="shared" si="289"/>
        <v>0</v>
      </c>
      <c r="CS90" s="3677">
        <f t="shared" si="290"/>
        <v>0</v>
      </c>
      <c r="CT90" s="3545">
        <f t="shared" si="290"/>
        <v>0</v>
      </c>
      <c r="CU90" s="3638">
        <f t="shared" si="290"/>
        <v>0</v>
      </c>
      <c r="CV90" s="2362"/>
      <c r="CW90" s="2341"/>
      <c r="CX90" s="2410" t="str">
        <f t="shared" si="291"/>
        <v>Geothermal  Flash 30 MW</v>
      </c>
      <c r="CY90" s="2411">
        <f t="shared" si="292"/>
        <v>30</v>
      </c>
      <c r="CZ90" s="2412">
        <f t="shared" si="293"/>
        <v>0</v>
      </c>
      <c r="DA90" s="3674">
        <f t="shared" si="294"/>
        <v>0</v>
      </c>
      <c r="DB90" s="3674">
        <f t="shared" si="295"/>
        <v>0</v>
      </c>
      <c r="DC90" s="3674">
        <f t="shared" si="296"/>
        <v>0</v>
      </c>
      <c r="DD90" s="3674">
        <f t="shared" si="297"/>
        <v>0</v>
      </c>
      <c r="DE90" s="3675">
        <f t="shared" si="298"/>
        <v>0</v>
      </c>
      <c r="DF90" s="3676">
        <f t="shared" si="299"/>
        <v>0</v>
      </c>
      <c r="DG90" s="3674">
        <f t="shared" si="300"/>
        <v>0</v>
      </c>
      <c r="DH90" s="3675">
        <f t="shared" si="301"/>
        <v>0</v>
      </c>
      <c r="DI90" s="3677">
        <f t="shared" si="302"/>
        <v>0</v>
      </c>
      <c r="DJ90" s="3545">
        <f t="shared" si="302"/>
        <v>0</v>
      </c>
      <c r="DK90" s="3638">
        <f t="shared" si="302"/>
        <v>0</v>
      </c>
      <c r="DL90" s="3638">
        <f t="shared" si="302"/>
        <v>0</v>
      </c>
      <c r="DM90" s="2341"/>
      <c r="DN90" s="3687">
        <f t="shared" si="303"/>
        <v>0</v>
      </c>
      <c r="DO90" s="3688">
        <f t="shared" si="304"/>
        <v>0</v>
      </c>
      <c r="DP90" s="3687">
        <f t="shared" si="305"/>
        <v>0</v>
      </c>
      <c r="DQ90" s="3689">
        <f t="shared" si="306"/>
        <v>0</v>
      </c>
      <c r="DT90" s="2288" t="str">
        <f t="shared" si="307"/>
        <v>Geothermal  Flash 30 MW</v>
      </c>
      <c r="DU90" s="2289">
        <f t="shared" si="308"/>
        <v>30</v>
      </c>
      <c r="DV90" s="2373">
        <f t="shared" si="309"/>
        <v>0</v>
      </c>
      <c r="DW90" s="2373">
        <f t="shared" si="310"/>
        <v>0</v>
      </c>
      <c r="DX90" s="2788">
        <f t="shared" si="346"/>
        <v>0</v>
      </c>
      <c r="DY90" s="3693">
        <f t="shared" si="311"/>
        <v>0</v>
      </c>
      <c r="DZ90" s="3693">
        <f t="shared" si="312"/>
        <v>0</v>
      </c>
      <c r="EA90" s="3369">
        <f t="shared" si="313"/>
        <v>0</v>
      </c>
      <c r="EB90" s="2374">
        <f t="shared" si="347"/>
        <v>0</v>
      </c>
      <c r="EC90" s="3950" t="str">
        <f t="shared" si="348"/>
        <v>0.00%</v>
      </c>
      <c r="ED90" s="3369">
        <f t="shared" si="349"/>
        <v>0</v>
      </c>
      <c r="EE90" s="2374">
        <f t="shared" si="314"/>
        <v>0</v>
      </c>
      <c r="EF90" s="3641" t="e">
        <f t="shared" si="314"/>
        <v>#DIV/0!</v>
      </c>
      <c r="EG90" s="3641">
        <f t="shared" si="314"/>
        <v>0</v>
      </c>
      <c r="EH90" s="2329"/>
      <c r="EJ90" s="2288" t="str">
        <f t="shared" si="350"/>
        <v>Geothermal  Flash 30 MW</v>
      </c>
      <c r="EK90" s="2289">
        <f t="shared" si="350"/>
        <v>30</v>
      </c>
      <c r="EL90" s="2788">
        <f t="shared" si="315"/>
        <v>0</v>
      </c>
      <c r="EM90" s="3693">
        <f t="shared" si="316"/>
        <v>0</v>
      </c>
      <c r="EN90" s="3370">
        <f t="shared" si="317"/>
        <v>0</v>
      </c>
      <c r="EO90" s="3693">
        <f t="shared" si="318"/>
        <v>0</v>
      </c>
      <c r="EP90" s="3693">
        <f t="shared" si="319"/>
        <v>0</v>
      </c>
      <c r="EQ90" s="3369">
        <f t="shared" si="320"/>
        <v>0</v>
      </c>
      <c r="ER90" s="2788">
        <f t="shared" si="321"/>
        <v>0</v>
      </c>
      <c r="ES90" s="3693" t="str">
        <f t="shared" si="322"/>
        <v>0.00%</v>
      </c>
      <c r="ET90" s="3369">
        <f t="shared" si="323"/>
        <v>0</v>
      </c>
      <c r="EU90" s="2374">
        <f t="shared" si="324"/>
        <v>0</v>
      </c>
      <c r="EV90" s="3641" t="e">
        <f t="shared" si="324"/>
        <v>#DIV/0!</v>
      </c>
      <c r="EW90" s="3641">
        <f t="shared" si="324"/>
        <v>0</v>
      </c>
      <c r="EY90" s="2288" t="str">
        <f t="shared" si="351"/>
        <v>Geothermal  Flash 30 MW</v>
      </c>
      <c r="EZ90" s="2288">
        <f t="shared" si="352"/>
        <v>30</v>
      </c>
      <c r="FA90" s="2373">
        <f t="shared" si="353"/>
        <v>0</v>
      </c>
      <c r="FB90" s="2373">
        <f t="shared" si="325"/>
        <v>0</v>
      </c>
      <c r="FC90" s="2788">
        <f t="shared" si="326"/>
        <v>0</v>
      </c>
      <c r="FD90" s="3693">
        <f t="shared" si="327"/>
        <v>0</v>
      </c>
      <c r="FE90" s="3693">
        <f t="shared" si="328"/>
        <v>0</v>
      </c>
      <c r="FF90" s="3369">
        <f t="shared" si="329"/>
        <v>0</v>
      </c>
      <c r="FG90" s="2374">
        <f t="shared" si="330"/>
        <v>0</v>
      </c>
      <c r="FH90" s="3950" t="e">
        <f t="shared" si="331"/>
        <v>#DIV/0!</v>
      </c>
      <c r="FI90" s="3369">
        <f t="shared" si="332"/>
        <v>0</v>
      </c>
      <c r="FJ90" s="2374">
        <f t="shared" si="333"/>
        <v>0</v>
      </c>
      <c r="FK90" s="3641" t="e">
        <f t="shared" si="354"/>
        <v>#DIV/0!</v>
      </c>
      <c r="FL90" s="3641">
        <f t="shared" si="334"/>
        <v>0</v>
      </c>
      <c r="FO90" s="2288" t="str">
        <f t="shared" si="355"/>
        <v>Geothermal  Flash 30 MW</v>
      </c>
      <c r="FP90" s="2288">
        <f t="shared" si="356"/>
        <v>30</v>
      </c>
      <c r="FQ90" s="2788">
        <f t="shared" si="357"/>
        <v>0</v>
      </c>
      <c r="FR90" s="3693">
        <f t="shared" si="335"/>
        <v>0</v>
      </c>
      <c r="FS90" s="3370">
        <f t="shared" si="336"/>
        <v>0</v>
      </c>
      <c r="FT90" s="3693">
        <f t="shared" si="337"/>
        <v>0</v>
      </c>
      <c r="FU90" s="3693">
        <f t="shared" si="338"/>
        <v>0</v>
      </c>
      <c r="FV90" s="3369">
        <f t="shared" si="339"/>
        <v>0</v>
      </c>
      <c r="FW90" s="2788">
        <f t="shared" si="340"/>
        <v>0</v>
      </c>
      <c r="FX90" s="3693" t="e">
        <f t="shared" si="341"/>
        <v>#DIV/0!</v>
      </c>
      <c r="FY90" s="3369">
        <f t="shared" si="342"/>
        <v>0</v>
      </c>
      <c r="FZ90" s="2374">
        <f t="shared" si="343"/>
        <v>0</v>
      </c>
      <c r="GA90" s="3641" t="e">
        <f t="shared" si="358"/>
        <v>#DIV/0!</v>
      </c>
      <c r="GB90" s="3641">
        <f t="shared" si="359"/>
        <v>0</v>
      </c>
    </row>
    <row r="91" spans="1:184">
      <c r="A91" s="1817"/>
      <c r="B91" s="1817"/>
      <c r="C91" s="1817"/>
      <c r="D91" s="1291"/>
      <c r="E91" s="1817"/>
      <c r="F91" s="3501" t="s">
        <v>1806</v>
      </c>
      <c r="G91" s="3502">
        <v>250</v>
      </c>
      <c r="H91" s="3497">
        <v>217.08885519195215</v>
      </c>
      <c r="I91" s="3498">
        <v>15.159839670720059</v>
      </c>
      <c r="J91" s="3498">
        <v>4.058408678232551</v>
      </c>
      <c r="K91" s="3498">
        <v>92.475279115753949</v>
      </c>
      <c r="L91" s="3498">
        <v>-3.3574471393025753</v>
      </c>
      <c r="M91" s="3615">
        <v>325.42493551735612</v>
      </c>
      <c r="N91" s="3497">
        <v>0</v>
      </c>
      <c r="O91" s="3498">
        <v>0</v>
      </c>
      <c r="P91" s="3615">
        <v>0</v>
      </c>
      <c r="Q91" s="3616">
        <v>325.42493551735612</v>
      </c>
      <c r="R91" s="3545">
        <v>0</v>
      </c>
      <c r="S91" s="3638">
        <v>325.42493551735612</v>
      </c>
      <c r="T91" s="2362"/>
      <c r="U91" s="1291"/>
      <c r="V91" s="3501" t="s">
        <v>1806</v>
      </c>
      <c r="W91" s="3502">
        <v>250</v>
      </c>
      <c r="X91" s="3497">
        <v>112.02656344046834</v>
      </c>
      <c r="Y91" s="3498">
        <v>7.8230858010540958</v>
      </c>
      <c r="Z91" s="3498">
        <v>2.0943017865074669</v>
      </c>
      <c r="AA91" s="3498">
        <v>47.720956072921787</v>
      </c>
      <c r="AB91" s="3498">
        <v>-1.7325774951299409</v>
      </c>
      <c r="AC91" s="3615">
        <v>167.93232960582176</v>
      </c>
      <c r="AD91" s="3497">
        <v>0</v>
      </c>
      <c r="AE91" s="3498">
        <v>0</v>
      </c>
      <c r="AF91" s="3630">
        <v>0</v>
      </c>
      <c r="AG91" s="3614">
        <v>167.93232960582176</v>
      </c>
      <c r="AH91" s="4028">
        <v>0</v>
      </c>
      <c r="AI91" s="3638">
        <v>167.93232960582176</v>
      </c>
      <c r="AJ91" s="4029">
        <f t="shared" si="344"/>
        <v>16.793232960582177</v>
      </c>
      <c r="AK91" s="2346"/>
      <c r="AL91" s="3634">
        <v>3818.9349557772589</v>
      </c>
      <c r="AM91" s="3635">
        <v>4147.1086848397726</v>
      </c>
      <c r="AN91" s="3497">
        <v>70.953321597751042</v>
      </c>
      <c r="AO91" s="3608">
        <v>0</v>
      </c>
      <c r="AP91" s="2282"/>
      <c r="AQ91" s="2282"/>
      <c r="AR91" s="2282"/>
      <c r="AS91" s="1291"/>
      <c r="AT91" s="3521" t="s">
        <v>1806</v>
      </c>
      <c r="AU91" s="3649">
        <v>250</v>
      </c>
      <c r="AV91" s="3523">
        <v>217.08885519195215</v>
      </c>
      <c r="AW91" s="3524">
        <v>15.159839670720059</v>
      </c>
      <c r="AX91" s="3524">
        <v>4.058408678232551</v>
      </c>
      <c r="AY91" s="3524">
        <v>92.475279115753949</v>
      </c>
      <c r="AZ91" s="3524">
        <v>-3.3574471393025753</v>
      </c>
      <c r="BA91" s="3652">
        <v>325.42493551735612</v>
      </c>
      <c r="BB91" s="3523">
        <v>0</v>
      </c>
      <c r="BC91" s="3524">
        <v>0</v>
      </c>
      <c r="BD91" s="3653">
        <v>0</v>
      </c>
      <c r="BE91" s="3695">
        <v>325.42493551735612</v>
      </c>
      <c r="BF91" s="3545">
        <v>0</v>
      </c>
      <c r="BG91" s="3638">
        <v>325.42493551735612</v>
      </c>
      <c r="BH91" s="2362"/>
      <c r="BI91" s="1291"/>
      <c r="BJ91" s="3521" t="s">
        <v>1806</v>
      </c>
      <c r="BK91" s="3522">
        <v>250</v>
      </c>
      <c r="BL91" s="3523">
        <v>112.02656344046834</v>
      </c>
      <c r="BM91" s="3524">
        <v>7.8230858010540958</v>
      </c>
      <c r="BN91" s="3524">
        <v>2.0943017865074669</v>
      </c>
      <c r="BO91" s="3524">
        <v>47.720956072921787</v>
      </c>
      <c r="BP91" s="3524">
        <v>-1.7325774951299409</v>
      </c>
      <c r="BQ91" s="3665">
        <v>167.93232960582176</v>
      </c>
      <c r="BR91" s="3523">
        <v>0</v>
      </c>
      <c r="BS91" s="3524">
        <v>0</v>
      </c>
      <c r="BT91" s="3652">
        <v>0</v>
      </c>
      <c r="BU91" s="3654">
        <v>167.93232960582176</v>
      </c>
      <c r="BV91" s="3642">
        <v>0</v>
      </c>
      <c r="BW91" s="3638">
        <v>167.93232960582176</v>
      </c>
      <c r="BX91" s="3638">
        <f t="shared" si="345"/>
        <v>16.793232960582177</v>
      </c>
      <c r="BY91" s="1291"/>
      <c r="BZ91" s="3670">
        <v>3818.9349557772589</v>
      </c>
      <c r="CA91" s="3671">
        <v>4147.1086848397726</v>
      </c>
      <c r="CB91" s="3523">
        <v>70.953321597751042</v>
      </c>
      <c r="CC91" s="3526">
        <v>0</v>
      </c>
      <c r="CD91" s="2362"/>
      <c r="CE91" s="2362"/>
      <c r="CF91" s="2362"/>
      <c r="CG91" s="2346"/>
      <c r="CH91" s="2410" t="str">
        <f t="shared" si="279"/>
        <v>Solar Parabolic Trough W/O Storage 250 MW</v>
      </c>
      <c r="CI91" s="2411">
        <f t="shared" si="280"/>
        <v>250</v>
      </c>
      <c r="CJ91" s="2412">
        <f t="shared" si="281"/>
        <v>0</v>
      </c>
      <c r="CK91" s="3674">
        <f t="shared" si="282"/>
        <v>0</v>
      </c>
      <c r="CL91" s="3674">
        <f t="shared" si="283"/>
        <v>0</v>
      </c>
      <c r="CM91" s="3674">
        <f t="shared" si="284"/>
        <v>0</v>
      </c>
      <c r="CN91" s="3674">
        <f t="shared" si="285"/>
        <v>0</v>
      </c>
      <c r="CO91" s="3675">
        <f t="shared" si="286"/>
        <v>0</v>
      </c>
      <c r="CP91" s="3676">
        <f t="shared" si="287"/>
        <v>0</v>
      </c>
      <c r="CQ91" s="3674">
        <f t="shared" si="288"/>
        <v>0</v>
      </c>
      <c r="CR91" s="3675">
        <f t="shared" si="289"/>
        <v>0</v>
      </c>
      <c r="CS91" s="3677">
        <f t="shared" si="290"/>
        <v>0</v>
      </c>
      <c r="CT91" s="3545">
        <f t="shared" si="290"/>
        <v>0</v>
      </c>
      <c r="CU91" s="3638">
        <f t="shared" si="290"/>
        <v>0</v>
      </c>
      <c r="CV91" s="2362"/>
      <c r="CW91" s="2341"/>
      <c r="CX91" s="2410" t="str">
        <f t="shared" si="291"/>
        <v>Solar Parabolic Trough W/O Storage 250 MW</v>
      </c>
      <c r="CY91" s="2411">
        <f t="shared" si="292"/>
        <v>250</v>
      </c>
      <c r="CZ91" s="2412">
        <f t="shared" si="293"/>
        <v>0</v>
      </c>
      <c r="DA91" s="3674">
        <f t="shared" si="294"/>
        <v>0</v>
      </c>
      <c r="DB91" s="3674">
        <f t="shared" si="295"/>
        <v>0</v>
      </c>
      <c r="DC91" s="3674">
        <f t="shared" si="296"/>
        <v>0</v>
      </c>
      <c r="DD91" s="3674">
        <f t="shared" si="297"/>
        <v>0</v>
      </c>
      <c r="DE91" s="3675">
        <f t="shared" si="298"/>
        <v>0</v>
      </c>
      <c r="DF91" s="3676">
        <f t="shared" si="299"/>
        <v>0</v>
      </c>
      <c r="DG91" s="3674">
        <f t="shared" si="300"/>
        <v>0</v>
      </c>
      <c r="DH91" s="3675">
        <f t="shared" si="301"/>
        <v>0</v>
      </c>
      <c r="DI91" s="3677">
        <f t="shared" si="302"/>
        <v>0</v>
      </c>
      <c r="DJ91" s="3545">
        <f t="shared" si="302"/>
        <v>0</v>
      </c>
      <c r="DK91" s="3638">
        <f t="shared" si="302"/>
        <v>0</v>
      </c>
      <c r="DL91" s="3638">
        <f t="shared" si="302"/>
        <v>0</v>
      </c>
      <c r="DM91" s="2341"/>
      <c r="DN91" s="3687">
        <f t="shared" si="303"/>
        <v>0</v>
      </c>
      <c r="DO91" s="3688">
        <f t="shared" si="304"/>
        <v>0</v>
      </c>
      <c r="DP91" s="3687">
        <f t="shared" si="305"/>
        <v>0</v>
      </c>
      <c r="DQ91" s="3689">
        <f t="shared" si="306"/>
        <v>0</v>
      </c>
      <c r="DT91" s="2288" t="str">
        <f t="shared" si="307"/>
        <v>Solar Parabolic Trough W/O Storage 250 MW</v>
      </c>
      <c r="DU91" s="2289">
        <f t="shared" si="308"/>
        <v>250</v>
      </c>
      <c r="DV91" s="2373">
        <f t="shared" si="309"/>
        <v>0</v>
      </c>
      <c r="DW91" s="2373">
        <f t="shared" si="310"/>
        <v>0</v>
      </c>
      <c r="DX91" s="2788">
        <f t="shared" si="346"/>
        <v>0</v>
      </c>
      <c r="DY91" s="3693">
        <f t="shared" si="311"/>
        <v>0</v>
      </c>
      <c r="DZ91" s="3693">
        <f t="shared" si="312"/>
        <v>0</v>
      </c>
      <c r="EA91" s="3369">
        <f t="shared" si="313"/>
        <v>0</v>
      </c>
      <c r="EB91" s="2374" t="str">
        <f t="shared" si="347"/>
        <v>0.00%</v>
      </c>
      <c r="EC91" s="3950" t="str">
        <f t="shared" si="348"/>
        <v>0.00%</v>
      </c>
      <c r="ED91" s="3369" t="str">
        <f t="shared" si="349"/>
        <v>0.00%</v>
      </c>
      <c r="EE91" s="2374">
        <f t="shared" si="314"/>
        <v>0</v>
      </c>
      <c r="EF91" s="3641" t="e">
        <f t="shared" si="314"/>
        <v>#DIV/0!</v>
      </c>
      <c r="EG91" s="3641">
        <f t="shared" si="314"/>
        <v>0</v>
      </c>
      <c r="EH91" s="2329"/>
      <c r="EJ91" s="2288" t="str">
        <f t="shared" si="350"/>
        <v>Solar Parabolic Trough W/O Storage 250 MW</v>
      </c>
      <c r="EK91" s="2289">
        <f t="shared" si="350"/>
        <v>250</v>
      </c>
      <c r="EL91" s="2788">
        <f t="shared" si="315"/>
        <v>0</v>
      </c>
      <c r="EM91" s="3693">
        <f t="shared" si="316"/>
        <v>0</v>
      </c>
      <c r="EN91" s="3370">
        <f t="shared" si="317"/>
        <v>0</v>
      </c>
      <c r="EO91" s="3693">
        <f t="shared" si="318"/>
        <v>0</v>
      </c>
      <c r="EP91" s="3693">
        <f t="shared" si="319"/>
        <v>0</v>
      </c>
      <c r="EQ91" s="3369">
        <f t="shared" si="320"/>
        <v>0</v>
      </c>
      <c r="ER91" s="2788" t="str">
        <f t="shared" si="321"/>
        <v>0.00%</v>
      </c>
      <c r="ES91" s="3693" t="str">
        <f t="shared" si="322"/>
        <v>0.00%</v>
      </c>
      <c r="ET91" s="3369" t="str">
        <f t="shared" si="323"/>
        <v>0.00%</v>
      </c>
      <c r="EU91" s="2374">
        <f t="shared" si="324"/>
        <v>0</v>
      </c>
      <c r="EV91" s="3641" t="e">
        <f t="shared" si="324"/>
        <v>#DIV/0!</v>
      </c>
      <c r="EW91" s="3641">
        <f t="shared" si="324"/>
        <v>0</v>
      </c>
      <c r="EY91" s="2288" t="str">
        <f t="shared" si="351"/>
        <v>Solar Parabolic Trough W/O Storage 250 MW</v>
      </c>
      <c r="EZ91" s="2288">
        <f t="shared" si="352"/>
        <v>250</v>
      </c>
      <c r="FA91" s="2373">
        <f t="shared" si="353"/>
        <v>0</v>
      </c>
      <c r="FB91" s="2373">
        <f t="shared" si="325"/>
        <v>0</v>
      </c>
      <c r="FC91" s="2788">
        <f t="shared" si="326"/>
        <v>0</v>
      </c>
      <c r="FD91" s="3693">
        <f t="shared" si="327"/>
        <v>0</v>
      </c>
      <c r="FE91" s="3693">
        <f t="shared" si="328"/>
        <v>0</v>
      </c>
      <c r="FF91" s="3369">
        <f t="shared" si="329"/>
        <v>0</v>
      </c>
      <c r="FG91" s="2374" t="e">
        <f t="shared" si="330"/>
        <v>#DIV/0!</v>
      </c>
      <c r="FH91" s="3950" t="e">
        <f t="shared" si="331"/>
        <v>#DIV/0!</v>
      </c>
      <c r="FI91" s="3369" t="e">
        <f t="shared" si="332"/>
        <v>#DIV/0!</v>
      </c>
      <c r="FJ91" s="2374">
        <f t="shared" si="333"/>
        <v>0</v>
      </c>
      <c r="FK91" s="3641" t="e">
        <f t="shared" si="354"/>
        <v>#DIV/0!</v>
      </c>
      <c r="FL91" s="3641">
        <f t="shared" si="334"/>
        <v>0</v>
      </c>
      <c r="FO91" s="2288" t="str">
        <f t="shared" si="355"/>
        <v>Solar Parabolic Trough W/O Storage 250 MW</v>
      </c>
      <c r="FP91" s="2288">
        <f t="shared" si="356"/>
        <v>250</v>
      </c>
      <c r="FQ91" s="2788">
        <f t="shared" si="357"/>
        <v>0</v>
      </c>
      <c r="FR91" s="3693">
        <f t="shared" si="335"/>
        <v>0</v>
      </c>
      <c r="FS91" s="3370">
        <f t="shared" si="336"/>
        <v>0</v>
      </c>
      <c r="FT91" s="3693">
        <f t="shared" si="337"/>
        <v>0</v>
      </c>
      <c r="FU91" s="3693">
        <f t="shared" si="338"/>
        <v>0</v>
      </c>
      <c r="FV91" s="3369">
        <f t="shared" si="339"/>
        <v>0</v>
      </c>
      <c r="FW91" s="2788" t="e">
        <f t="shared" si="340"/>
        <v>#DIV/0!</v>
      </c>
      <c r="FX91" s="3693" t="e">
        <f t="shared" si="341"/>
        <v>#DIV/0!</v>
      </c>
      <c r="FY91" s="3369" t="e">
        <f t="shared" si="342"/>
        <v>#DIV/0!</v>
      </c>
      <c r="FZ91" s="2374">
        <f t="shared" si="343"/>
        <v>0</v>
      </c>
      <c r="GA91" s="3641" t="e">
        <f t="shared" si="358"/>
        <v>#DIV/0!</v>
      </c>
      <c r="GB91" s="3641">
        <f t="shared" si="359"/>
        <v>0</v>
      </c>
    </row>
    <row r="92" spans="1:184">
      <c r="A92" s="1817"/>
      <c r="B92" s="1817"/>
      <c r="C92" s="1817"/>
      <c r="D92" s="1291"/>
      <c r="E92" s="1817"/>
      <c r="F92" s="3617" t="s">
        <v>1807</v>
      </c>
      <c r="G92" s="3502">
        <v>250</v>
      </c>
      <c r="H92" s="3497">
        <v>310.66723324624115</v>
      </c>
      <c r="I92" s="3498">
        <v>21.694644079240611</v>
      </c>
      <c r="J92" s="3498">
        <v>3.8718849150016368</v>
      </c>
      <c r="K92" s="3498">
        <v>92.475279115753949</v>
      </c>
      <c r="L92" s="3498">
        <v>-4.8047091713453653</v>
      </c>
      <c r="M92" s="3615">
        <v>423.90433218489204</v>
      </c>
      <c r="N92" s="3497">
        <v>0</v>
      </c>
      <c r="O92" s="3498">
        <v>0</v>
      </c>
      <c r="P92" s="3615">
        <v>0</v>
      </c>
      <c r="Q92" s="3616">
        <v>423.90433218489204</v>
      </c>
      <c r="R92" s="3545">
        <v>0</v>
      </c>
      <c r="S92" s="3638">
        <v>423.90433218489204</v>
      </c>
      <c r="T92" s="2362"/>
      <c r="U92" s="1291"/>
      <c r="V92" s="3617" t="s">
        <v>1807</v>
      </c>
      <c r="W92" s="3502">
        <v>250</v>
      </c>
      <c r="X92" s="3497">
        <v>98.799865474340962</v>
      </c>
      <c r="Y92" s="3498">
        <v>6.8994335004224769</v>
      </c>
      <c r="Z92" s="3498">
        <v>1.2313551858592098</v>
      </c>
      <c r="AA92" s="3498">
        <v>29.409426417033206</v>
      </c>
      <c r="AB92" s="3498">
        <v>-1.5280163756310721</v>
      </c>
      <c r="AC92" s="3615">
        <v>134.8120642020248</v>
      </c>
      <c r="AD92" s="3497">
        <v>0</v>
      </c>
      <c r="AE92" s="3498">
        <v>0</v>
      </c>
      <c r="AF92" s="3630">
        <v>0</v>
      </c>
      <c r="AG92" s="3614">
        <v>134.8120642020248</v>
      </c>
      <c r="AH92" s="4028">
        <v>0</v>
      </c>
      <c r="AI92" s="3638">
        <v>134.8120642020248</v>
      </c>
      <c r="AJ92" s="4029">
        <f t="shared" si="344"/>
        <v>13.481206420202479</v>
      </c>
      <c r="AK92" s="2346"/>
      <c r="AL92" s="3634">
        <v>5465.1260453220157</v>
      </c>
      <c r="AM92" s="3635">
        <v>5934.762426893999</v>
      </c>
      <c r="AN92" s="3497">
        <v>70.953321597751042</v>
      </c>
      <c r="AO92" s="3608">
        <v>0</v>
      </c>
      <c r="AP92" s="2282"/>
      <c r="AQ92" s="2282"/>
      <c r="AR92" s="2282"/>
      <c r="AS92" s="1291"/>
      <c r="AT92" s="3647" t="s">
        <v>1807</v>
      </c>
      <c r="AU92" s="3649">
        <v>250</v>
      </c>
      <c r="AV92" s="3523">
        <v>310.66723324624115</v>
      </c>
      <c r="AW92" s="3524">
        <v>21.694644079240611</v>
      </c>
      <c r="AX92" s="3524">
        <v>3.8718849150016368</v>
      </c>
      <c r="AY92" s="3524">
        <v>92.475279115753949</v>
      </c>
      <c r="AZ92" s="3524">
        <v>-4.8047091713453653</v>
      </c>
      <c r="BA92" s="3652">
        <v>423.90433218489204</v>
      </c>
      <c r="BB92" s="3523">
        <v>0</v>
      </c>
      <c r="BC92" s="3524">
        <v>0</v>
      </c>
      <c r="BD92" s="3653">
        <v>0</v>
      </c>
      <c r="BE92" s="3695">
        <v>423.90433218489204</v>
      </c>
      <c r="BF92" s="3545">
        <v>0</v>
      </c>
      <c r="BG92" s="3638">
        <v>423.90433218489204</v>
      </c>
      <c r="BH92" s="2362"/>
      <c r="BI92" s="1291"/>
      <c r="BJ92" s="3647" t="s">
        <v>1807</v>
      </c>
      <c r="BK92" s="3522">
        <v>250</v>
      </c>
      <c r="BL92" s="3523">
        <v>98.799865474340962</v>
      </c>
      <c r="BM92" s="3524">
        <v>6.8994335004224769</v>
      </c>
      <c r="BN92" s="3524">
        <v>1.2313551858592098</v>
      </c>
      <c r="BO92" s="3524">
        <v>29.409426417033206</v>
      </c>
      <c r="BP92" s="3524">
        <v>-1.5280163756310721</v>
      </c>
      <c r="BQ92" s="3665">
        <v>134.8120642020248</v>
      </c>
      <c r="BR92" s="3523">
        <v>0</v>
      </c>
      <c r="BS92" s="3524">
        <v>0</v>
      </c>
      <c r="BT92" s="3652">
        <v>0</v>
      </c>
      <c r="BU92" s="3654">
        <v>134.8120642020248</v>
      </c>
      <c r="BV92" s="3642">
        <v>0</v>
      </c>
      <c r="BW92" s="3638">
        <v>134.8120642020248</v>
      </c>
      <c r="BX92" s="3638">
        <f t="shared" si="345"/>
        <v>13.481206420202479</v>
      </c>
      <c r="BY92" s="1291"/>
      <c r="BZ92" s="3670">
        <v>5465.1260453220157</v>
      </c>
      <c r="CA92" s="3671">
        <v>5934.762426893999</v>
      </c>
      <c r="CB92" s="3523">
        <v>70.953321597751042</v>
      </c>
      <c r="CC92" s="3526">
        <v>0</v>
      </c>
      <c r="CD92" s="2362"/>
      <c r="CE92" s="2362"/>
      <c r="CF92" s="2362"/>
      <c r="CG92" s="2346"/>
      <c r="CH92" s="2410" t="str">
        <f t="shared" si="279"/>
        <v>Solar Parabolic Trough With Storage 250 MW</v>
      </c>
      <c r="CI92" s="2411">
        <f t="shared" si="280"/>
        <v>250</v>
      </c>
      <c r="CJ92" s="2412">
        <f t="shared" si="281"/>
        <v>0</v>
      </c>
      <c r="CK92" s="3674">
        <f t="shared" si="282"/>
        <v>0</v>
      </c>
      <c r="CL92" s="3674">
        <f t="shared" si="283"/>
        <v>0</v>
      </c>
      <c r="CM92" s="3674">
        <f t="shared" si="284"/>
        <v>0</v>
      </c>
      <c r="CN92" s="3674">
        <f t="shared" si="285"/>
        <v>0</v>
      </c>
      <c r="CO92" s="3675">
        <f t="shared" si="286"/>
        <v>0</v>
      </c>
      <c r="CP92" s="3676">
        <f t="shared" si="287"/>
        <v>0</v>
      </c>
      <c r="CQ92" s="3674">
        <f t="shared" si="288"/>
        <v>0</v>
      </c>
      <c r="CR92" s="3675">
        <f t="shared" si="289"/>
        <v>0</v>
      </c>
      <c r="CS92" s="3677">
        <f t="shared" si="290"/>
        <v>0</v>
      </c>
      <c r="CT92" s="3545">
        <f t="shared" si="290"/>
        <v>0</v>
      </c>
      <c r="CU92" s="3638">
        <f t="shared" si="290"/>
        <v>0</v>
      </c>
      <c r="CV92" s="2362"/>
      <c r="CW92" s="2341"/>
      <c r="CX92" s="2410" t="str">
        <f t="shared" si="291"/>
        <v>Solar Parabolic Trough With Storage 250 MW</v>
      </c>
      <c r="CY92" s="2411">
        <f t="shared" si="292"/>
        <v>250</v>
      </c>
      <c r="CZ92" s="2412">
        <f t="shared" si="293"/>
        <v>0</v>
      </c>
      <c r="DA92" s="3674">
        <f t="shared" si="294"/>
        <v>0</v>
      </c>
      <c r="DB92" s="3674">
        <f t="shared" si="295"/>
        <v>0</v>
      </c>
      <c r="DC92" s="3674">
        <f t="shared" si="296"/>
        <v>0</v>
      </c>
      <c r="DD92" s="3674">
        <f t="shared" si="297"/>
        <v>0</v>
      </c>
      <c r="DE92" s="3675">
        <f t="shared" si="298"/>
        <v>0</v>
      </c>
      <c r="DF92" s="3676">
        <f t="shared" si="299"/>
        <v>0</v>
      </c>
      <c r="DG92" s="3674">
        <f t="shared" si="300"/>
        <v>0</v>
      </c>
      <c r="DH92" s="3675">
        <f t="shared" si="301"/>
        <v>0</v>
      </c>
      <c r="DI92" s="3677">
        <f t="shared" si="302"/>
        <v>0</v>
      </c>
      <c r="DJ92" s="3545">
        <f t="shared" si="302"/>
        <v>0</v>
      </c>
      <c r="DK92" s="3638">
        <f t="shared" si="302"/>
        <v>0</v>
      </c>
      <c r="DL92" s="3638">
        <f t="shared" si="302"/>
        <v>0</v>
      </c>
      <c r="DM92" s="2341"/>
      <c r="DN92" s="3687">
        <f t="shared" si="303"/>
        <v>0</v>
      </c>
      <c r="DO92" s="3688">
        <f t="shared" si="304"/>
        <v>0</v>
      </c>
      <c r="DP92" s="3687">
        <f t="shared" si="305"/>
        <v>0</v>
      </c>
      <c r="DQ92" s="3689">
        <f t="shared" si="306"/>
        <v>0</v>
      </c>
      <c r="DT92" s="2288" t="str">
        <f t="shared" si="307"/>
        <v>Solar Parabolic Trough With Storage 250 MW</v>
      </c>
      <c r="DU92" s="2289">
        <f t="shared" si="308"/>
        <v>250</v>
      </c>
      <c r="DV92" s="2373">
        <f t="shared" si="309"/>
        <v>0</v>
      </c>
      <c r="DW92" s="2373">
        <f t="shared" si="310"/>
        <v>0</v>
      </c>
      <c r="DX92" s="2788">
        <f t="shared" si="346"/>
        <v>0</v>
      </c>
      <c r="DY92" s="3693">
        <f t="shared" si="311"/>
        <v>0</v>
      </c>
      <c r="DZ92" s="3693">
        <f t="shared" si="312"/>
        <v>0</v>
      </c>
      <c r="EA92" s="3369">
        <f t="shared" si="313"/>
        <v>0</v>
      </c>
      <c r="EB92" s="2374" t="str">
        <f t="shared" si="347"/>
        <v>0.00%</v>
      </c>
      <c r="EC92" s="3950" t="str">
        <f t="shared" si="348"/>
        <v>0.00%</v>
      </c>
      <c r="ED92" s="3369" t="str">
        <f t="shared" si="349"/>
        <v>0.00%</v>
      </c>
      <c r="EE92" s="2374">
        <f t="shared" si="314"/>
        <v>0</v>
      </c>
      <c r="EF92" s="3641" t="e">
        <f t="shared" si="314"/>
        <v>#DIV/0!</v>
      </c>
      <c r="EG92" s="3641">
        <f t="shared" si="314"/>
        <v>0</v>
      </c>
      <c r="EH92" s="2329"/>
      <c r="EJ92" s="2288" t="str">
        <f t="shared" si="350"/>
        <v>Solar Parabolic Trough With Storage 250 MW</v>
      </c>
      <c r="EK92" s="2289">
        <f t="shared" si="350"/>
        <v>250</v>
      </c>
      <c r="EL92" s="2788">
        <f t="shared" si="315"/>
        <v>0</v>
      </c>
      <c r="EM92" s="3693">
        <f t="shared" si="316"/>
        <v>0</v>
      </c>
      <c r="EN92" s="3370">
        <f>IF(DX92="0.00%","0.00%",DB92/Z92)</f>
        <v>0</v>
      </c>
      <c r="EO92" s="3693">
        <f t="shared" si="318"/>
        <v>0</v>
      </c>
      <c r="EP92" s="3693">
        <f t="shared" si="319"/>
        <v>0</v>
      </c>
      <c r="EQ92" s="3369">
        <f t="shared" si="320"/>
        <v>0</v>
      </c>
      <c r="ER92" s="2788" t="str">
        <f t="shared" si="321"/>
        <v>0.00%</v>
      </c>
      <c r="ES92" s="3693" t="str">
        <f t="shared" si="322"/>
        <v>0.00%</v>
      </c>
      <c r="ET92" s="3369" t="str">
        <f t="shared" si="323"/>
        <v>0.00%</v>
      </c>
      <c r="EU92" s="2374">
        <f t="shared" si="324"/>
        <v>0</v>
      </c>
      <c r="EV92" s="3641" t="e">
        <f t="shared" si="324"/>
        <v>#DIV/0!</v>
      </c>
      <c r="EW92" s="3641">
        <f t="shared" si="324"/>
        <v>0</v>
      </c>
      <c r="EY92" s="2288" t="str">
        <f t="shared" si="351"/>
        <v>Solar Parabolic Trough With Storage 250 MW</v>
      </c>
      <c r="EZ92" s="2288">
        <f t="shared" si="352"/>
        <v>250</v>
      </c>
      <c r="FA92" s="2373">
        <f t="shared" si="353"/>
        <v>0</v>
      </c>
      <c r="FB92" s="2373">
        <f t="shared" si="325"/>
        <v>0</v>
      </c>
      <c r="FC92" s="2788">
        <f t="shared" si="326"/>
        <v>0</v>
      </c>
      <c r="FD92" s="3693">
        <f t="shared" si="327"/>
        <v>0</v>
      </c>
      <c r="FE92" s="3693">
        <f t="shared" si="328"/>
        <v>0</v>
      </c>
      <c r="FF92" s="3369">
        <f t="shared" si="329"/>
        <v>0</v>
      </c>
      <c r="FG92" s="2374" t="e">
        <f t="shared" si="330"/>
        <v>#DIV/0!</v>
      </c>
      <c r="FH92" s="3950" t="e">
        <f t="shared" si="331"/>
        <v>#DIV/0!</v>
      </c>
      <c r="FI92" s="3369" t="e">
        <f t="shared" si="332"/>
        <v>#DIV/0!</v>
      </c>
      <c r="FJ92" s="2374">
        <f t="shared" si="333"/>
        <v>0</v>
      </c>
      <c r="FK92" s="3641" t="e">
        <f t="shared" si="354"/>
        <v>#DIV/0!</v>
      </c>
      <c r="FL92" s="3641">
        <f t="shared" si="334"/>
        <v>0</v>
      </c>
      <c r="FO92" s="2288" t="str">
        <f t="shared" si="355"/>
        <v>Solar Parabolic Trough With Storage 250 MW</v>
      </c>
      <c r="FP92" s="2288">
        <f t="shared" si="356"/>
        <v>250</v>
      </c>
      <c r="FQ92" s="2788">
        <f t="shared" si="357"/>
        <v>0</v>
      </c>
      <c r="FR92" s="3693">
        <f t="shared" si="335"/>
        <v>0</v>
      </c>
      <c r="FS92" s="3370">
        <f t="shared" si="336"/>
        <v>0</v>
      </c>
      <c r="FT92" s="3693">
        <f t="shared" si="337"/>
        <v>0</v>
      </c>
      <c r="FU92" s="3693">
        <f t="shared" si="338"/>
        <v>0</v>
      </c>
      <c r="FV92" s="3369">
        <f t="shared" si="339"/>
        <v>0</v>
      </c>
      <c r="FW92" s="2788" t="e">
        <f t="shared" si="340"/>
        <v>#DIV/0!</v>
      </c>
      <c r="FX92" s="3693" t="e">
        <f t="shared" si="341"/>
        <v>#DIV/0!</v>
      </c>
      <c r="FY92" s="3369" t="e">
        <f t="shared" si="342"/>
        <v>#DIV/0!</v>
      </c>
      <c r="FZ92" s="2374">
        <f t="shared" si="343"/>
        <v>0</v>
      </c>
      <c r="GA92" s="3641" t="e">
        <f t="shared" si="358"/>
        <v>#DIV/0!</v>
      </c>
      <c r="GB92" s="3641">
        <f t="shared" si="359"/>
        <v>0</v>
      </c>
    </row>
    <row r="93" spans="1:184">
      <c r="A93" s="1817"/>
      <c r="B93" s="1817"/>
      <c r="C93" s="1817"/>
      <c r="D93" s="1291"/>
      <c r="E93" s="1817"/>
      <c r="F93" s="3501" t="s">
        <v>1917</v>
      </c>
      <c r="G93" s="3502">
        <v>100</v>
      </c>
      <c r="H93" s="3497">
        <v>236.8331608431352</v>
      </c>
      <c r="I93" s="3498">
        <v>16.538632275328734</v>
      </c>
      <c r="J93" s="3498">
        <v>4.4275223359999467</v>
      </c>
      <c r="K93" s="3498">
        <v>81.864943112307287</v>
      </c>
      <c r="L93" s="3498">
        <v>-3.6628081052879793</v>
      </c>
      <c r="M93" s="3615">
        <v>336.00145046148316</v>
      </c>
      <c r="N93" s="3497">
        <v>0</v>
      </c>
      <c r="O93" s="3498">
        <v>0</v>
      </c>
      <c r="P93" s="3615">
        <v>0</v>
      </c>
      <c r="Q93" s="3616">
        <v>336.00145046148316</v>
      </c>
      <c r="R93" s="3545">
        <v>0</v>
      </c>
      <c r="S93" s="3638">
        <v>336.00145046148316</v>
      </c>
      <c r="T93" s="2362"/>
      <c r="U93" s="1291"/>
      <c r="V93" s="3501" t="s">
        <v>1917</v>
      </c>
      <c r="W93" s="3502">
        <v>100</v>
      </c>
      <c r="X93" s="3497">
        <v>106.81011423810496</v>
      </c>
      <c r="Y93" s="3498">
        <v>7.4588085400755872</v>
      </c>
      <c r="Z93" s="3498">
        <v>1.9967818899024046</v>
      </c>
      <c r="AA93" s="3498">
        <v>36.920522002883857</v>
      </c>
      <c r="AB93" s="3498">
        <v>-1.6519010714770259</v>
      </c>
      <c r="AC93" s="3615">
        <v>151.53432559948979</v>
      </c>
      <c r="AD93" s="3497">
        <v>0</v>
      </c>
      <c r="AE93" s="3498">
        <v>0</v>
      </c>
      <c r="AF93" s="3630">
        <v>0</v>
      </c>
      <c r="AG93" s="3614">
        <v>151.53432559948979</v>
      </c>
      <c r="AH93" s="4028">
        <v>0</v>
      </c>
      <c r="AI93" s="3638">
        <v>151.53432559948979</v>
      </c>
      <c r="AJ93" s="4029">
        <f t="shared" si="344"/>
        <v>15.153432559948978</v>
      </c>
      <c r="AK93" s="2346"/>
      <c r="AL93" s="3634">
        <v>4166.2683965574515</v>
      </c>
      <c r="AM93" s="3635">
        <v>4524.2896385545628</v>
      </c>
      <c r="AN93" s="3497">
        <v>62.812350411598707</v>
      </c>
      <c r="AO93" s="3608">
        <v>0</v>
      </c>
      <c r="AP93" s="2282"/>
      <c r="AQ93" s="2282"/>
      <c r="AR93" s="2282"/>
      <c r="AS93" s="1291"/>
      <c r="AT93" s="3521" t="s">
        <v>1917</v>
      </c>
      <c r="AU93" s="3649">
        <v>100</v>
      </c>
      <c r="AV93" s="3523">
        <v>236.8331608431352</v>
      </c>
      <c r="AW93" s="3524">
        <v>16.538632275328734</v>
      </c>
      <c r="AX93" s="3524">
        <v>4.4275223359999467</v>
      </c>
      <c r="AY93" s="3524">
        <v>81.864943112307287</v>
      </c>
      <c r="AZ93" s="3524">
        <v>-3.6628081052879793</v>
      </c>
      <c r="BA93" s="3652">
        <v>336.00145046148316</v>
      </c>
      <c r="BB93" s="3523">
        <v>0</v>
      </c>
      <c r="BC93" s="3524">
        <v>0</v>
      </c>
      <c r="BD93" s="3653">
        <v>0</v>
      </c>
      <c r="BE93" s="3695">
        <v>336.00145046148316</v>
      </c>
      <c r="BF93" s="3545">
        <v>0</v>
      </c>
      <c r="BG93" s="3638">
        <v>336.00145046148316</v>
      </c>
      <c r="BH93" s="2362"/>
      <c r="BI93" s="1291"/>
      <c r="BJ93" s="3521" t="s">
        <v>1917</v>
      </c>
      <c r="BK93" s="3522">
        <v>100</v>
      </c>
      <c r="BL93" s="3523">
        <v>106.81011423810496</v>
      </c>
      <c r="BM93" s="3524">
        <v>7.4588085400755872</v>
      </c>
      <c r="BN93" s="3524">
        <v>1.9967818899024046</v>
      </c>
      <c r="BO93" s="3524">
        <v>36.920522002883857</v>
      </c>
      <c r="BP93" s="3524">
        <v>-1.6519010714770259</v>
      </c>
      <c r="BQ93" s="3665">
        <v>151.53432559948979</v>
      </c>
      <c r="BR93" s="3523">
        <v>0</v>
      </c>
      <c r="BS93" s="3524">
        <v>0</v>
      </c>
      <c r="BT93" s="3652">
        <v>0</v>
      </c>
      <c r="BU93" s="3654">
        <v>151.53432559948979</v>
      </c>
      <c r="BV93" s="3642">
        <v>0</v>
      </c>
      <c r="BW93" s="3638">
        <v>151.53432559948979</v>
      </c>
      <c r="BX93" s="3638">
        <f t="shared" si="345"/>
        <v>15.153432559948978</v>
      </c>
      <c r="BY93" s="1291"/>
      <c r="BZ93" s="3670">
        <v>4166.2683965574515</v>
      </c>
      <c r="CA93" s="3671">
        <v>4524.2896385545628</v>
      </c>
      <c r="CB93" s="3523">
        <v>62.812350411598707</v>
      </c>
      <c r="CC93" s="3526">
        <v>0</v>
      </c>
      <c r="CD93" s="2362"/>
      <c r="CE93" s="2362"/>
      <c r="CF93" s="2362"/>
      <c r="CG93" s="2346"/>
      <c r="CH93" s="2410" t="str">
        <f t="shared" si="279"/>
        <v>Solar Power Tower W/O Storage 100 MW</v>
      </c>
      <c r="CI93" s="2411">
        <f t="shared" si="280"/>
        <v>100</v>
      </c>
      <c r="CJ93" s="2412">
        <f t="shared" si="281"/>
        <v>0</v>
      </c>
      <c r="CK93" s="3674">
        <f t="shared" si="282"/>
        <v>0</v>
      </c>
      <c r="CL93" s="3674">
        <f t="shared" si="283"/>
        <v>0</v>
      </c>
      <c r="CM93" s="3674">
        <f t="shared" si="284"/>
        <v>0</v>
      </c>
      <c r="CN93" s="3674">
        <f t="shared" si="285"/>
        <v>0</v>
      </c>
      <c r="CO93" s="3675">
        <f t="shared" si="286"/>
        <v>0</v>
      </c>
      <c r="CP93" s="3676">
        <f t="shared" si="287"/>
        <v>0</v>
      </c>
      <c r="CQ93" s="3674">
        <f t="shared" si="288"/>
        <v>0</v>
      </c>
      <c r="CR93" s="3675">
        <f t="shared" si="289"/>
        <v>0</v>
      </c>
      <c r="CS93" s="3677">
        <f t="shared" si="290"/>
        <v>0</v>
      </c>
      <c r="CT93" s="3545">
        <f t="shared" si="290"/>
        <v>0</v>
      </c>
      <c r="CU93" s="3638">
        <f t="shared" si="290"/>
        <v>0</v>
      </c>
      <c r="CV93" s="2362"/>
      <c r="CW93" s="2341"/>
      <c r="CX93" s="2410" t="str">
        <f t="shared" si="291"/>
        <v>Solar Power Tower W/O Storage 100 MW</v>
      </c>
      <c r="CY93" s="2411">
        <f t="shared" si="292"/>
        <v>100</v>
      </c>
      <c r="CZ93" s="2412">
        <f t="shared" si="293"/>
        <v>0</v>
      </c>
      <c r="DA93" s="3674">
        <f t="shared" si="294"/>
        <v>0</v>
      </c>
      <c r="DB93" s="3674">
        <f t="shared" si="295"/>
        <v>0</v>
      </c>
      <c r="DC93" s="3674">
        <f t="shared" si="296"/>
        <v>0</v>
      </c>
      <c r="DD93" s="3674">
        <f t="shared" si="297"/>
        <v>0</v>
      </c>
      <c r="DE93" s="3675">
        <f t="shared" si="298"/>
        <v>0</v>
      </c>
      <c r="DF93" s="3676">
        <f t="shared" si="299"/>
        <v>0</v>
      </c>
      <c r="DG93" s="3674">
        <f t="shared" si="300"/>
        <v>0</v>
      </c>
      <c r="DH93" s="3675">
        <f t="shared" si="301"/>
        <v>0</v>
      </c>
      <c r="DI93" s="3677">
        <f t="shared" si="302"/>
        <v>0</v>
      </c>
      <c r="DJ93" s="3545">
        <f t="shared" si="302"/>
        <v>0</v>
      </c>
      <c r="DK93" s="3638">
        <f t="shared" si="302"/>
        <v>0</v>
      </c>
      <c r="DL93" s="3638">
        <f t="shared" si="302"/>
        <v>0</v>
      </c>
      <c r="DM93" s="2341"/>
      <c r="DN93" s="3687">
        <f t="shared" si="303"/>
        <v>0</v>
      </c>
      <c r="DO93" s="3688">
        <f t="shared" si="304"/>
        <v>0</v>
      </c>
      <c r="DP93" s="3687">
        <f t="shared" si="305"/>
        <v>0</v>
      </c>
      <c r="DQ93" s="3689">
        <f t="shared" si="306"/>
        <v>0</v>
      </c>
      <c r="DT93" s="2288" t="str">
        <f t="shared" si="307"/>
        <v>Solar Power Tower W/O Storage 100 MW</v>
      </c>
      <c r="DU93" s="2289">
        <f t="shared" si="308"/>
        <v>100</v>
      </c>
      <c r="DV93" s="2373">
        <f t="shared" si="309"/>
        <v>0</v>
      </c>
      <c r="DW93" s="2373">
        <f t="shared" si="310"/>
        <v>0</v>
      </c>
      <c r="DX93" s="2788">
        <f t="shared" si="346"/>
        <v>0</v>
      </c>
      <c r="DY93" s="3693">
        <f t="shared" si="311"/>
        <v>0</v>
      </c>
      <c r="DZ93" s="3693">
        <f t="shared" si="312"/>
        <v>0</v>
      </c>
      <c r="EA93" s="3369">
        <f t="shared" si="313"/>
        <v>0</v>
      </c>
      <c r="EB93" s="2374" t="str">
        <f t="shared" si="347"/>
        <v>0.00%</v>
      </c>
      <c r="EC93" s="3950" t="str">
        <f t="shared" si="348"/>
        <v>0.00%</v>
      </c>
      <c r="ED93" s="3369" t="str">
        <f t="shared" si="349"/>
        <v>0.00%</v>
      </c>
      <c r="EE93" s="2374">
        <f t="shared" si="314"/>
        <v>0</v>
      </c>
      <c r="EF93" s="3641" t="e">
        <f t="shared" si="314"/>
        <v>#DIV/0!</v>
      </c>
      <c r="EG93" s="3641">
        <f t="shared" si="314"/>
        <v>0</v>
      </c>
      <c r="EH93" s="2329"/>
      <c r="EJ93" s="2288" t="str">
        <f t="shared" si="350"/>
        <v>Solar Power Tower W/O Storage 100 MW</v>
      </c>
      <c r="EK93" s="2289">
        <f t="shared" si="350"/>
        <v>100</v>
      </c>
      <c r="EL93" s="2788">
        <f t="shared" si="315"/>
        <v>0</v>
      </c>
      <c r="EM93" s="3693">
        <f t="shared" si="316"/>
        <v>0</v>
      </c>
      <c r="EN93" s="3370">
        <f t="shared" ref="EN93:EN100" si="360">IF(DX93="0.00%","0.00%",DB93/Z93)</f>
        <v>0</v>
      </c>
      <c r="EO93" s="3693">
        <f t="shared" si="318"/>
        <v>0</v>
      </c>
      <c r="EP93" s="3693">
        <f t="shared" si="319"/>
        <v>0</v>
      </c>
      <c r="EQ93" s="3369">
        <f t="shared" si="320"/>
        <v>0</v>
      </c>
      <c r="ER93" s="2788" t="str">
        <f t="shared" si="321"/>
        <v>0.00%</v>
      </c>
      <c r="ES93" s="3693" t="str">
        <f t="shared" si="322"/>
        <v>0.00%</v>
      </c>
      <c r="ET93" s="3369" t="str">
        <f t="shared" si="323"/>
        <v>0.00%</v>
      </c>
      <c r="EU93" s="2374">
        <f t="shared" si="324"/>
        <v>0</v>
      </c>
      <c r="EV93" s="3641" t="e">
        <f t="shared" si="324"/>
        <v>#DIV/0!</v>
      </c>
      <c r="EW93" s="3641">
        <f t="shared" si="324"/>
        <v>0</v>
      </c>
      <c r="EY93" s="2288" t="str">
        <f t="shared" si="351"/>
        <v>Solar Power Tower W/O Storage 100 MW</v>
      </c>
      <c r="EZ93" s="2288">
        <f t="shared" si="352"/>
        <v>100</v>
      </c>
      <c r="FA93" s="2373">
        <f t="shared" si="353"/>
        <v>0</v>
      </c>
      <c r="FB93" s="2373">
        <f t="shared" si="325"/>
        <v>0</v>
      </c>
      <c r="FC93" s="2788">
        <f t="shared" si="326"/>
        <v>0</v>
      </c>
      <c r="FD93" s="3693">
        <f t="shared" si="327"/>
        <v>0</v>
      </c>
      <c r="FE93" s="3693">
        <f t="shared" si="328"/>
        <v>0</v>
      </c>
      <c r="FF93" s="3369">
        <f t="shared" si="329"/>
        <v>0</v>
      </c>
      <c r="FG93" s="2374" t="e">
        <f t="shared" si="330"/>
        <v>#DIV/0!</v>
      </c>
      <c r="FH93" s="3950" t="e">
        <f t="shared" si="331"/>
        <v>#DIV/0!</v>
      </c>
      <c r="FI93" s="3369" t="e">
        <f t="shared" si="332"/>
        <v>#DIV/0!</v>
      </c>
      <c r="FJ93" s="2374">
        <f t="shared" si="333"/>
        <v>0</v>
      </c>
      <c r="FK93" s="3641" t="e">
        <f t="shared" si="354"/>
        <v>#DIV/0!</v>
      </c>
      <c r="FL93" s="3641">
        <f t="shared" si="334"/>
        <v>0</v>
      </c>
      <c r="FO93" s="2288" t="str">
        <f t="shared" si="355"/>
        <v>Solar Power Tower W/O Storage 100 MW</v>
      </c>
      <c r="FP93" s="2288">
        <f t="shared" si="356"/>
        <v>100</v>
      </c>
      <c r="FQ93" s="2788">
        <f t="shared" si="357"/>
        <v>0</v>
      </c>
      <c r="FR93" s="3693">
        <f t="shared" si="335"/>
        <v>0</v>
      </c>
      <c r="FS93" s="3370">
        <f t="shared" si="336"/>
        <v>0</v>
      </c>
      <c r="FT93" s="3693">
        <f t="shared" si="337"/>
        <v>0</v>
      </c>
      <c r="FU93" s="3693">
        <f t="shared" si="338"/>
        <v>0</v>
      </c>
      <c r="FV93" s="3369">
        <f t="shared" si="339"/>
        <v>0</v>
      </c>
      <c r="FW93" s="2788" t="e">
        <f t="shared" si="340"/>
        <v>#DIV/0!</v>
      </c>
      <c r="FX93" s="3693" t="e">
        <f t="shared" si="341"/>
        <v>#DIV/0!</v>
      </c>
      <c r="FY93" s="3369" t="e">
        <f t="shared" si="342"/>
        <v>#DIV/0!</v>
      </c>
      <c r="FZ93" s="2374">
        <f t="shared" si="343"/>
        <v>0</v>
      </c>
      <c r="GA93" s="3641" t="e">
        <f t="shared" si="358"/>
        <v>#DIV/0!</v>
      </c>
      <c r="GB93" s="3641">
        <f t="shared" si="359"/>
        <v>0</v>
      </c>
    </row>
    <row r="94" spans="1:184">
      <c r="A94" s="1817"/>
      <c r="B94" s="1817"/>
      <c r="C94" s="1817"/>
      <c r="D94" s="1291"/>
      <c r="E94" s="1817"/>
      <c r="F94" s="3501" t="s">
        <v>1881</v>
      </c>
      <c r="G94" s="3502">
        <v>100</v>
      </c>
      <c r="H94" s="3497">
        <v>331.56923071834046</v>
      </c>
      <c r="I94" s="3498">
        <v>23.154281102959043</v>
      </c>
      <c r="J94" s="3498">
        <v>4.132389146039988</v>
      </c>
      <c r="K94" s="3498">
        <v>86.343331685190677</v>
      </c>
      <c r="L94" s="3498">
        <v>-5.1279747372186417</v>
      </c>
      <c r="M94" s="3615">
        <v>440.07125791531149</v>
      </c>
      <c r="N94" s="3497">
        <v>0</v>
      </c>
      <c r="O94" s="3498">
        <v>0</v>
      </c>
      <c r="P94" s="3615">
        <v>0</v>
      </c>
      <c r="Q94" s="3616">
        <v>440.07125791531149</v>
      </c>
      <c r="R94" s="3545">
        <v>0</v>
      </c>
      <c r="S94" s="3638">
        <v>440.07125791531149</v>
      </c>
      <c r="T94" s="2362"/>
      <c r="U94" s="1291"/>
      <c r="V94" s="3501" t="s">
        <v>1881</v>
      </c>
      <c r="W94" s="3502">
        <v>100</v>
      </c>
      <c r="X94" s="3497">
        <v>115.889954538928</v>
      </c>
      <c r="Y94" s="3498">
        <v>8.092875742993531</v>
      </c>
      <c r="Z94" s="3498">
        <v>1.4443511215868789</v>
      </c>
      <c r="AA94" s="3498">
        <v>30.178689265158152</v>
      </c>
      <c r="AB94" s="3498">
        <v>-1.792327828144783</v>
      </c>
      <c r="AC94" s="3615">
        <v>153.81354284052176</v>
      </c>
      <c r="AD94" s="3497">
        <v>0</v>
      </c>
      <c r="AE94" s="3498">
        <v>0</v>
      </c>
      <c r="AF94" s="3630">
        <v>0</v>
      </c>
      <c r="AG94" s="3614">
        <v>153.81354284052176</v>
      </c>
      <c r="AH94" s="4028">
        <v>0</v>
      </c>
      <c r="AI94" s="3638">
        <v>153.81354284052176</v>
      </c>
      <c r="AJ94" s="4029">
        <f t="shared" si="344"/>
        <v>15.381354284052176</v>
      </c>
      <c r="AK94" s="2346"/>
      <c r="AL94" s="3634">
        <v>5832.8251090127224</v>
      </c>
      <c r="AM94" s="3635">
        <v>6334.0590889469468</v>
      </c>
      <c r="AN94" s="3497">
        <v>66.248474613546122</v>
      </c>
      <c r="AO94" s="3608">
        <v>0</v>
      </c>
      <c r="AP94" s="2282"/>
      <c r="AQ94" s="2282"/>
      <c r="AR94" s="2282"/>
      <c r="AS94" s="1291"/>
      <c r="AT94" s="3521" t="s">
        <v>1881</v>
      </c>
      <c r="AU94" s="3649">
        <v>100</v>
      </c>
      <c r="AV94" s="3523">
        <v>331.56923071834046</v>
      </c>
      <c r="AW94" s="3524">
        <v>23.154281102959043</v>
      </c>
      <c r="AX94" s="3524">
        <v>4.132389146039988</v>
      </c>
      <c r="AY94" s="3524">
        <v>86.343331685190677</v>
      </c>
      <c r="AZ94" s="3524">
        <v>-5.1279747372186417</v>
      </c>
      <c r="BA94" s="3652">
        <v>440.07125791531149</v>
      </c>
      <c r="BB94" s="3523">
        <v>0</v>
      </c>
      <c r="BC94" s="3524">
        <v>0</v>
      </c>
      <c r="BD94" s="3653">
        <v>0</v>
      </c>
      <c r="BE94" s="3695">
        <v>440.07125791531149</v>
      </c>
      <c r="BF94" s="3545">
        <v>0</v>
      </c>
      <c r="BG94" s="3638">
        <v>440.07125791531149</v>
      </c>
      <c r="BH94" s="2362"/>
      <c r="BI94" s="1291"/>
      <c r="BJ94" s="3521" t="s">
        <v>1881</v>
      </c>
      <c r="BK94" s="3522">
        <v>100</v>
      </c>
      <c r="BL94" s="3523">
        <v>115.889954538928</v>
      </c>
      <c r="BM94" s="3524">
        <v>8.092875742993531</v>
      </c>
      <c r="BN94" s="3524">
        <v>1.4443511215868789</v>
      </c>
      <c r="BO94" s="3524">
        <v>30.178689265158152</v>
      </c>
      <c r="BP94" s="3524">
        <v>-1.792327828144783</v>
      </c>
      <c r="BQ94" s="3665">
        <v>153.81354284052176</v>
      </c>
      <c r="BR94" s="3523">
        <v>0</v>
      </c>
      <c r="BS94" s="3524">
        <v>0</v>
      </c>
      <c r="BT94" s="3652">
        <v>0</v>
      </c>
      <c r="BU94" s="3654">
        <v>153.81354284052176</v>
      </c>
      <c r="BV94" s="3642">
        <v>0</v>
      </c>
      <c r="BW94" s="3638">
        <v>153.81354284052176</v>
      </c>
      <c r="BX94" s="3638">
        <f t="shared" si="345"/>
        <v>15.381354284052176</v>
      </c>
      <c r="BY94" s="1291"/>
      <c r="BZ94" s="3670">
        <v>5832.8251090127224</v>
      </c>
      <c r="CA94" s="3671">
        <v>6334.0590889469468</v>
      </c>
      <c r="CB94" s="3523">
        <v>66.248474613546122</v>
      </c>
      <c r="CC94" s="3526">
        <v>0</v>
      </c>
      <c r="CD94" s="2362"/>
      <c r="CE94" s="2362"/>
      <c r="CF94" s="2362"/>
      <c r="CG94" s="2346"/>
      <c r="CH94" s="2410" t="str">
        <f t="shared" si="279"/>
        <v>Solar Power Tower With Storage 100 MW 6 HRs</v>
      </c>
      <c r="CI94" s="2411">
        <f t="shared" si="280"/>
        <v>100</v>
      </c>
      <c r="CJ94" s="2412">
        <f t="shared" si="281"/>
        <v>0</v>
      </c>
      <c r="CK94" s="3674">
        <f t="shared" si="282"/>
        <v>0</v>
      </c>
      <c r="CL94" s="3674">
        <f t="shared" si="283"/>
        <v>0</v>
      </c>
      <c r="CM94" s="3674">
        <f t="shared" si="284"/>
        <v>0</v>
      </c>
      <c r="CN94" s="3674">
        <f t="shared" si="285"/>
        <v>0</v>
      </c>
      <c r="CO94" s="3675">
        <f t="shared" si="286"/>
        <v>0</v>
      </c>
      <c r="CP94" s="3676">
        <f t="shared" si="287"/>
        <v>0</v>
      </c>
      <c r="CQ94" s="3674">
        <f t="shared" si="288"/>
        <v>0</v>
      </c>
      <c r="CR94" s="3675">
        <f t="shared" si="289"/>
        <v>0</v>
      </c>
      <c r="CS94" s="3677">
        <f t="shared" si="290"/>
        <v>0</v>
      </c>
      <c r="CT94" s="3545">
        <f t="shared" si="290"/>
        <v>0</v>
      </c>
      <c r="CU94" s="3638">
        <f t="shared" si="290"/>
        <v>0</v>
      </c>
      <c r="CV94" s="2362"/>
      <c r="CW94" s="2341"/>
      <c r="CX94" s="2410" t="str">
        <f t="shared" si="291"/>
        <v>Solar Power Tower With Storage 100 MW 6 HRs</v>
      </c>
      <c r="CY94" s="2411">
        <f t="shared" si="292"/>
        <v>100</v>
      </c>
      <c r="CZ94" s="2412">
        <f t="shared" si="293"/>
        <v>0</v>
      </c>
      <c r="DA94" s="3674">
        <f t="shared" si="294"/>
        <v>0</v>
      </c>
      <c r="DB94" s="3674">
        <f t="shared" si="295"/>
        <v>0</v>
      </c>
      <c r="DC94" s="3674">
        <f t="shared" si="296"/>
        <v>0</v>
      </c>
      <c r="DD94" s="3674">
        <f t="shared" si="297"/>
        <v>0</v>
      </c>
      <c r="DE94" s="3675">
        <f t="shared" si="298"/>
        <v>0</v>
      </c>
      <c r="DF94" s="3676">
        <f t="shared" si="299"/>
        <v>0</v>
      </c>
      <c r="DG94" s="3674">
        <f t="shared" si="300"/>
        <v>0</v>
      </c>
      <c r="DH94" s="3675">
        <f t="shared" si="301"/>
        <v>0</v>
      </c>
      <c r="DI94" s="3677">
        <f t="shared" si="302"/>
        <v>0</v>
      </c>
      <c r="DJ94" s="3545">
        <f t="shared" si="302"/>
        <v>0</v>
      </c>
      <c r="DK94" s="3638">
        <f t="shared" si="302"/>
        <v>0</v>
      </c>
      <c r="DL94" s="3638">
        <f t="shared" si="302"/>
        <v>0</v>
      </c>
      <c r="DM94" s="2341"/>
      <c r="DN94" s="3687">
        <f t="shared" si="303"/>
        <v>0</v>
      </c>
      <c r="DO94" s="3688">
        <f t="shared" si="304"/>
        <v>0</v>
      </c>
      <c r="DP94" s="3687">
        <f t="shared" si="305"/>
        <v>0</v>
      </c>
      <c r="DQ94" s="3689">
        <f t="shared" si="306"/>
        <v>0</v>
      </c>
      <c r="DT94" s="2288" t="str">
        <f t="shared" si="307"/>
        <v>Solar Power Tower With Storage 100 MW 6 HRs</v>
      </c>
      <c r="DU94" s="2289">
        <f t="shared" si="308"/>
        <v>100</v>
      </c>
      <c r="DV94" s="2373">
        <f t="shared" si="309"/>
        <v>0</v>
      </c>
      <c r="DW94" s="2373">
        <f t="shared" si="310"/>
        <v>0</v>
      </c>
      <c r="DX94" s="2788">
        <f t="shared" si="346"/>
        <v>0</v>
      </c>
      <c r="DY94" s="3693">
        <f t="shared" si="311"/>
        <v>0</v>
      </c>
      <c r="DZ94" s="3693">
        <f t="shared" si="312"/>
        <v>0</v>
      </c>
      <c r="EA94" s="3369">
        <f t="shared" si="313"/>
        <v>0</v>
      </c>
      <c r="EB94" s="2374" t="str">
        <f t="shared" si="347"/>
        <v>0.00%</v>
      </c>
      <c r="EC94" s="3950" t="str">
        <f t="shared" si="348"/>
        <v>0.00%</v>
      </c>
      <c r="ED94" s="3369" t="str">
        <f t="shared" si="349"/>
        <v>0.00%</v>
      </c>
      <c r="EE94" s="2374">
        <f t="shared" si="314"/>
        <v>0</v>
      </c>
      <c r="EF94" s="3641" t="e">
        <f t="shared" si="314"/>
        <v>#DIV/0!</v>
      </c>
      <c r="EG94" s="3641">
        <f t="shared" si="314"/>
        <v>0</v>
      </c>
      <c r="EH94" s="2329"/>
      <c r="EJ94" s="2288" t="str">
        <f t="shared" si="350"/>
        <v>Solar Power Tower With Storage 100 MW 6 HRs</v>
      </c>
      <c r="EK94" s="2289">
        <f t="shared" si="350"/>
        <v>100</v>
      </c>
      <c r="EL94" s="2788">
        <f t="shared" si="315"/>
        <v>0</v>
      </c>
      <c r="EM94" s="3693">
        <f t="shared" si="316"/>
        <v>0</v>
      </c>
      <c r="EN94" s="3370">
        <f t="shared" si="360"/>
        <v>0</v>
      </c>
      <c r="EO94" s="3693">
        <f t="shared" si="318"/>
        <v>0</v>
      </c>
      <c r="EP94" s="3693">
        <f t="shared" si="319"/>
        <v>0</v>
      </c>
      <c r="EQ94" s="3369">
        <f t="shared" si="320"/>
        <v>0</v>
      </c>
      <c r="ER94" s="2788" t="str">
        <f t="shared" si="321"/>
        <v>0.00%</v>
      </c>
      <c r="ES94" s="3693" t="str">
        <f t="shared" si="322"/>
        <v>0.00%</v>
      </c>
      <c r="ET94" s="3369" t="str">
        <f t="shared" si="323"/>
        <v>0.00%</v>
      </c>
      <c r="EU94" s="2374">
        <f t="shared" si="324"/>
        <v>0</v>
      </c>
      <c r="EV94" s="3641" t="e">
        <f t="shared" si="324"/>
        <v>#DIV/0!</v>
      </c>
      <c r="EW94" s="3641">
        <f t="shared" si="324"/>
        <v>0</v>
      </c>
      <c r="EY94" s="2288" t="str">
        <f t="shared" si="351"/>
        <v>Solar Power Tower With Storage 100 MW 6 HRs</v>
      </c>
      <c r="EZ94" s="2288">
        <f t="shared" si="352"/>
        <v>100</v>
      </c>
      <c r="FA94" s="2373">
        <f t="shared" si="353"/>
        <v>0</v>
      </c>
      <c r="FB94" s="2373">
        <f t="shared" si="325"/>
        <v>0</v>
      </c>
      <c r="FC94" s="2788">
        <f t="shared" si="326"/>
        <v>0</v>
      </c>
      <c r="FD94" s="3693">
        <f t="shared" si="327"/>
        <v>0</v>
      </c>
      <c r="FE94" s="3693">
        <f t="shared" si="328"/>
        <v>0</v>
      </c>
      <c r="FF94" s="3369">
        <f t="shared" si="329"/>
        <v>0</v>
      </c>
      <c r="FG94" s="2374" t="e">
        <f t="shared" si="330"/>
        <v>#DIV/0!</v>
      </c>
      <c r="FH94" s="3950" t="e">
        <f t="shared" si="331"/>
        <v>#DIV/0!</v>
      </c>
      <c r="FI94" s="3369" t="e">
        <f t="shared" si="332"/>
        <v>#DIV/0!</v>
      </c>
      <c r="FJ94" s="2374">
        <f t="shared" si="333"/>
        <v>0</v>
      </c>
      <c r="FK94" s="3641" t="e">
        <f t="shared" si="354"/>
        <v>#DIV/0!</v>
      </c>
      <c r="FL94" s="3641">
        <f t="shared" si="334"/>
        <v>0</v>
      </c>
      <c r="FO94" s="2288" t="str">
        <f t="shared" si="355"/>
        <v>Solar Power Tower With Storage 100 MW 6 HRs</v>
      </c>
      <c r="FP94" s="2288">
        <f t="shared" si="356"/>
        <v>100</v>
      </c>
      <c r="FQ94" s="2788">
        <f t="shared" si="357"/>
        <v>0</v>
      </c>
      <c r="FR94" s="3693">
        <f t="shared" si="335"/>
        <v>0</v>
      </c>
      <c r="FS94" s="3370">
        <f t="shared" si="336"/>
        <v>0</v>
      </c>
      <c r="FT94" s="3693">
        <f t="shared" si="337"/>
        <v>0</v>
      </c>
      <c r="FU94" s="3693">
        <f t="shared" si="338"/>
        <v>0</v>
      </c>
      <c r="FV94" s="3369">
        <f t="shared" si="339"/>
        <v>0</v>
      </c>
      <c r="FW94" s="2788" t="e">
        <f t="shared" si="340"/>
        <v>#DIV/0!</v>
      </c>
      <c r="FX94" s="3693" t="e">
        <f t="shared" si="341"/>
        <v>#DIV/0!</v>
      </c>
      <c r="FY94" s="3369" t="e">
        <f t="shared" si="342"/>
        <v>#DIV/0!</v>
      </c>
      <c r="FZ94" s="2374">
        <f t="shared" si="343"/>
        <v>0</v>
      </c>
      <c r="GA94" s="3641" t="e">
        <f t="shared" si="358"/>
        <v>#DIV/0!</v>
      </c>
      <c r="GB94" s="3641">
        <f t="shared" si="359"/>
        <v>0</v>
      </c>
    </row>
    <row r="95" spans="1:184">
      <c r="A95" s="1817"/>
      <c r="B95" s="1817"/>
      <c r="C95" s="1817"/>
      <c r="D95" s="1291"/>
      <c r="E95" s="1817"/>
      <c r="F95" s="3501" t="s">
        <v>1883</v>
      </c>
      <c r="G95" s="3502">
        <v>100</v>
      </c>
      <c r="H95" s="3497">
        <v>368.74612575863125</v>
      </c>
      <c r="I95" s="3498">
        <v>25.750433575952922</v>
      </c>
      <c r="J95" s="3498">
        <v>4.5957294783595151</v>
      </c>
      <c r="K95" s="3498">
        <v>86.343331685190677</v>
      </c>
      <c r="L95" s="3498">
        <v>-5.7029441882796394</v>
      </c>
      <c r="M95" s="3615">
        <v>479.7326763098547</v>
      </c>
      <c r="N95" s="3497">
        <v>0</v>
      </c>
      <c r="O95" s="3498">
        <v>0</v>
      </c>
      <c r="P95" s="3615">
        <v>0</v>
      </c>
      <c r="Q95" s="3616">
        <v>479.7326763098547</v>
      </c>
      <c r="R95" s="3545">
        <v>0</v>
      </c>
      <c r="S95" s="3638">
        <v>479.7326763098547</v>
      </c>
      <c r="T95" s="2362"/>
      <c r="U95" s="1291"/>
      <c r="V95" s="3501" t="s">
        <v>1883</v>
      </c>
      <c r="W95" s="3502">
        <v>100</v>
      </c>
      <c r="X95" s="3497">
        <v>92.586063683013734</v>
      </c>
      <c r="Y95" s="3498">
        <v>6.4655086965956734</v>
      </c>
      <c r="Z95" s="3498">
        <v>1.1539117903351634</v>
      </c>
      <c r="AA95" s="3498">
        <v>21.679384941501372</v>
      </c>
      <c r="AB95" s="3498">
        <v>-1.4319151223906046</v>
      </c>
      <c r="AC95" s="3615">
        <v>120.45295398905533</v>
      </c>
      <c r="AD95" s="3497">
        <v>0</v>
      </c>
      <c r="AE95" s="3498">
        <v>0</v>
      </c>
      <c r="AF95" s="3630">
        <v>0</v>
      </c>
      <c r="AG95" s="3614">
        <v>120.45295398905533</v>
      </c>
      <c r="AH95" s="4028">
        <v>0</v>
      </c>
      <c r="AI95" s="3638">
        <v>120.45295398905533</v>
      </c>
      <c r="AJ95" s="4029">
        <f t="shared" si="344"/>
        <v>12.045295398905534</v>
      </c>
      <c r="AK95" s="2346"/>
      <c r="AL95" s="3634">
        <v>6486.8252597394476</v>
      </c>
      <c r="AM95" s="3635">
        <v>7044.2596386741197</v>
      </c>
      <c r="AN95" s="3497">
        <v>66.248474613546122</v>
      </c>
      <c r="AO95" s="3608">
        <v>0</v>
      </c>
      <c r="AP95" s="2282"/>
      <c r="AQ95" s="2282"/>
      <c r="AR95" s="2282"/>
      <c r="AS95" s="1291"/>
      <c r="AT95" s="3521" t="s">
        <v>1883</v>
      </c>
      <c r="AU95" s="3649">
        <v>100</v>
      </c>
      <c r="AV95" s="3523">
        <v>368.74612575863125</v>
      </c>
      <c r="AW95" s="3524">
        <v>25.750433575952922</v>
      </c>
      <c r="AX95" s="3524">
        <v>4.5957294783595151</v>
      </c>
      <c r="AY95" s="3524">
        <v>86.343331685190677</v>
      </c>
      <c r="AZ95" s="3524">
        <v>-5.7029441882796394</v>
      </c>
      <c r="BA95" s="3652">
        <v>479.7326763098547</v>
      </c>
      <c r="BB95" s="3523">
        <v>0</v>
      </c>
      <c r="BC95" s="3524">
        <v>0</v>
      </c>
      <c r="BD95" s="3653">
        <v>0</v>
      </c>
      <c r="BE95" s="3695">
        <v>479.7326763098547</v>
      </c>
      <c r="BF95" s="3545">
        <v>0</v>
      </c>
      <c r="BG95" s="3638">
        <v>479.7326763098547</v>
      </c>
      <c r="BH95" s="2362"/>
      <c r="BI95" s="1291"/>
      <c r="BJ95" s="3521" t="s">
        <v>1883</v>
      </c>
      <c r="BK95" s="3522">
        <v>100</v>
      </c>
      <c r="BL95" s="3523">
        <v>92.586063683013734</v>
      </c>
      <c r="BM95" s="3524">
        <v>6.4655086965956734</v>
      </c>
      <c r="BN95" s="3524">
        <v>1.1539117903351634</v>
      </c>
      <c r="BO95" s="3524">
        <v>21.679384941501372</v>
      </c>
      <c r="BP95" s="3524">
        <v>-1.4319151223906046</v>
      </c>
      <c r="BQ95" s="3665">
        <v>120.45295398905533</v>
      </c>
      <c r="BR95" s="3523">
        <v>0</v>
      </c>
      <c r="BS95" s="3524">
        <v>0</v>
      </c>
      <c r="BT95" s="3652">
        <v>0</v>
      </c>
      <c r="BU95" s="3654">
        <v>120.45295398905533</v>
      </c>
      <c r="BV95" s="3642">
        <v>0</v>
      </c>
      <c r="BW95" s="3638">
        <v>120.45295398905533</v>
      </c>
      <c r="BX95" s="3638">
        <f t="shared" si="345"/>
        <v>12.045295398905534</v>
      </c>
      <c r="BY95" s="1291"/>
      <c r="BZ95" s="3670">
        <v>6486.8252597394476</v>
      </c>
      <c r="CA95" s="3671">
        <v>7044.2596386741197</v>
      </c>
      <c r="CB95" s="3523">
        <v>66.248474613546122</v>
      </c>
      <c r="CC95" s="3526">
        <v>0</v>
      </c>
      <c r="CD95" s="2362"/>
      <c r="CE95" s="2362"/>
      <c r="CF95" s="2362"/>
      <c r="CG95" s="2346"/>
      <c r="CH95" s="2410" t="str">
        <f t="shared" si="279"/>
        <v>Solar Power Tower With Storage 100 MW 11 HRs</v>
      </c>
      <c r="CI95" s="2411">
        <f t="shared" si="280"/>
        <v>100</v>
      </c>
      <c r="CJ95" s="2412">
        <f t="shared" si="281"/>
        <v>0</v>
      </c>
      <c r="CK95" s="3674">
        <f t="shared" si="282"/>
        <v>0</v>
      </c>
      <c r="CL95" s="3674">
        <f t="shared" si="283"/>
        <v>0</v>
      </c>
      <c r="CM95" s="3674">
        <f t="shared" si="284"/>
        <v>0</v>
      </c>
      <c r="CN95" s="3674">
        <f t="shared" si="285"/>
        <v>0</v>
      </c>
      <c r="CO95" s="3675">
        <f t="shared" si="286"/>
        <v>0</v>
      </c>
      <c r="CP95" s="3676">
        <f t="shared" si="287"/>
        <v>0</v>
      </c>
      <c r="CQ95" s="3674">
        <f t="shared" si="288"/>
        <v>0</v>
      </c>
      <c r="CR95" s="3675">
        <f t="shared" si="289"/>
        <v>0</v>
      </c>
      <c r="CS95" s="3677">
        <f t="shared" si="290"/>
        <v>0</v>
      </c>
      <c r="CT95" s="3545">
        <f t="shared" si="290"/>
        <v>0</v>
      </c>
      <c r="CU95" s="3638">
        <f t="shared" si="290"/>
        <v>0</v>
      </c>
      <c r="CV95" s="2362"/>
      <c r="CW95" s="2341"/>
      <c r="CX95" s="2410" t="str">
        <f t="shared" si="291"/>
        <v>Solar Power Tower With Storage 100 MW 11 HRs</v>
      </c>
      <c r="CY95" s="2411">
        <f t="shared" si="292"/>
        <v>100</v>
      </c>
      <c r="CZ95" s="2412">
        <f t="shared" si="293"/>
        <v>0</v>
      </c>
      <c r="DA95" s="3674">
        <f t="shared" si="294"/>
        <v>0</v>
      </c>
      <c r="DB95" s="3674">
        <f t="shared" si="295"/>
        <v>0</v>
      </c>
      <c r="DC95" s="3674">
        <f t="shared" si="296"/>
        <v>0</v>
      </c>
      <c r="DD95" s="3674">
        <f t="shared" si="297"/>
        <v>0</v>
      </c>
      <c r="DE95" s="3675">
        <f t="shared" si="298"/>
        <v>0</v>
      </c>
      <c r="DF95" s="3676">
        <f t="shared" si="299"/>
        <v>0</v>
      </c>
      <c r="DG95" s="3674">
        <f t="shared" si="300"/>
        <v>0</v>
      </c>
      <c r="DH95" s="3675">
        <f t="shared" si="301"/>
        <v>0</v>
      </c>
      <c r="DI95" s="3677">
        <f t="shared" si="302"/>
        <v>0</v>
      </c>
      <c r="DJ95" s="3545">
        <f t="shared" si="302"/>
        <v>0</v>
      </c>
      <c r="DK95" s="3638">
        <f t="shared" si="302"/>
        <v>0</v>
      </c>
      <c r="DL95" s="3638">
        <f t="shared" si="302"/>
        <v>0</v>
      </c>
      <c r="DM95" s="2341"/>
      <c r="DN95" s="3687">
        <f t="shared" si="303"/>
        <v>0</v>
      </c>
      <c r="DO95" s="3688">
        <f t="shared" si="304"/>
        <v>0</v>
      </c>
      <c r="DP95" s="3687">
        <f t="shared" si="305"/>
        <v>0</v>
      </c>
      <c r="DQ95" s="3689">
        <f t="shared" si="306"/>
        <v>0</v>
      </c>
      <c r="DT95" s="2288" t="str">
        <f t="shared" si="307"/>
        <v>Solar Power Tower With Storage 100 MW 11 HRs</v>
      </c>
      <c r="DU95" s="2289">
        <f t="shared" si="308"/>
        <v>100</v>
      </c>
      <c r="DV95" s="2373">
        <f t="shared" si="309"/>
        <v>0</v>
      </c>
      <c r="DW95" s="2373">
        <f t="shared" si="310"/>
        <v>0</v>
      </c>
      <c r="DX95" s="2788">
        <f t="shared" si="346"/>
        <v>0</v>
      </c>
      <c r="DY95" s="3693">
        <f t="shared" si="311"/>
        <v>0</v>
      </c>
      <c r="DZ95" s="3693">
        <f t="shared" si="312"/>
        <v>0</v>
      </c>
      <c r="EA95" s="3369">
        <f t="shared" si="313"/>
        <v>0</v>
      </c>
      <c r="EB95" s="2374" t="str">
        <f t="shared" si="347"/>
        <v>0.00%</v>
      </c>
      <c r="EC95" s="3950" t="str">
        <f t="shared" si="348"/>
        <v>0.00%</v>
      </c>
      <c r="ED95" s="3369" t="str">
        <f t="shared" si="349"/>
        <v>0.00%</v>
      </c>
      <c r="EE95" s="2374">
        <f t="shared" si="314"/>
        <v>0</v>
      </c>
      <c r="EF95" s="3641" t="e">
        <f t="shared" si="314"/>
        <v>#DIV/0!</v>
      </c>
      <c r="EG95" s="3641">
        <f t="shared" si="314"/>
        <v>0</v>
      </c>
      <c r="EH95" s="2329"/>
      <c r="EJ95" s="2288" t="str">
        <f t="shared" si="350"/>
        <v>Solar Power Tower With Storage 100 MW 11 HRs</v>
      </c>
      <c r="EK95" s="2289">
        <f t="shared" si="350"/>
        <v>100</v>
      </c>
      <c r="EL95" s="2788">
        <f t="shared" si="315"/>
        <v>0</v>
      </c>
      <c r="EM95" s="3693">
        <f t="shared" si="316"/>
        <v>0</v>
      </c>
      <c r="EN95" s="3370">
        <f t="shared" si="360"/>
        <v>0</v>
      </c>
      <c r="EO95" s="3693">
        <f t="shared" si="318"/>
        <v>0</v>
      </c>
      <c r="EP95" s="3693">
        <f t="shared" si="319"/>
        <v>0</v>
      </c>
      <c r="EQ95" s="3369">
        <f t="shared" si="320"/>
        <v>0</v>
      </c>
      <c r="ER95" s="2788" t="str">
        <f t="shared" si="321"/>
        <v>0.00%</v>
      </c>
      <c r="ES95" s="3693" t="str">
        <f t="shared" si="322"/>
        <v>0.00%</v>
      </c>
      <c r="ET95" s="3369" t="str">
        <f t="shared" si="323"/>
        <v>0.00%</v>
      </c>
      <c r="EU95" s="2374">
        <f t="shared" si="324"/>
        <v>0</v>
      </c>
      <c r="EV95" s="3641" t="e">
        <f t="shared" si="324"/>
        <v>#DIV/0!</v>
      </c>
      <c r="EW95" s="3641">
        <f t="shared" si="324"/>
        <v>0</v>
      </c>
      <c r="EY95" s="2288" t="str">
        <f t="shared" si="351"/>
        <v>Solar Power Tower With Storage 100 MW 11 HRs</v>
      </c>
      <c r="EZ95" s="2288">
        <f t="shared" si="352"/>
        <v>100</v>
      </c>
      <c r="FA95" s="2373">
        <f t="shared" si="353"/>
        <v>0</v>
      </c>
      <c r="FB95" s="2373">
        <f t="shared" si="325"/>
        <v>0</v>
      </c>
      <c r="FC95" s="2788">
        <f t="shared" si="326"/>
        <v>0</v>
      </c>
      <c r="FD95" s="3693">
        <f t="shared" si="327"/>
        <v>0</v>
      </c>
      <c r="FE95" s="3693">
        <f t="shared" si="328"/>
        <v>0</v>
      </c>
      <c r="FF95" s="3369">
        <f t="shared" si="329"/>
        <v>0</v>
      </c>
      <c r="FG95" s="2374" t="e">
        <f t="shared" si="330"/>
        <v>#DIV/0!</v>
      </c>
      <c r="FH95" s="3950" t="e">
        <f t="shared" si="331"/>
        <v>#DIV/0!</v>
      </c>
      <c r="FI95" s="3369" t="e">
        <f t="shared" si="332"/>
        <v>#DIV/0!</v>
      </c>
      <c r="FJ95" s="2374">
        <f t="shared" si="333"/>
        <v>0</v>
      </c>
      <c r="FK95" s="3641" t="e">
        <f t="shared" si="354"/>
        <v>#DIV/0!</v>
      </c>
      <c r="FL95" s="3641">
        <f t="shared" si="334"/>
        <v>0</v>
      </c>
      <c r="FO95" s="2288" t="str">
        <f t="shared" si="355"/>
        <v>Solar Power Tower With Storage 100 MW 11 HRs</v>
      </c>
      <c r="FP95" s="2288">
        <f t="shared" si="356"/>
        <v>100</v>
      </c>
      <c r="FQ95" s="2788">
        <f t="shared" si="357"/>
        <v>0</v>
      </c>
      <c r="FR95" s="3693">
        <f t="shared" si="335"/>
        <v>0</v>
      </c>
      <c r="FS95" s="3370">
        <f t="shared" si="336"/>
        <v>0</v>
      </c>
      <c r="FT95" s="3693">
        <f t="shared" si="337"/>
        <v>0</v>
      </c>
      <c r="FU95" s="3693">
        <f t="shared" si="338"/>
        <v>0</v>
      </c>
      <c r="FV95" s="3369">
        <f t="shared" si="339"/>
        <v>0</v>
      </c>
      <c r="FW95" s="2788" t="e">
        <f t="shared" si="340"/>
        <v>#DIV/0!</v>
      </c>
      <c r="FX95" s="3693" t="e">
        <f t="shared" si="341"/>
        <v>#DIV/0!</v>
      </c>
      <c r="FY95" s="3369" t="e">
        <f t="shared" si="342"/>
        <v>#DIV/0!</v>
      </c>
      <c r="FZ95" s="2374">
        <f t="shared" si="343"/>
        <v>0</v>
      </c>
      <c r="GA95" s="3641" t="e">
        <f t="shared" si="358"/>
        <v>#DIV/0!</v>
      </c>
      <c r="GB95" s="3641">
        <f t="shared" si="359"/>
        <v>0</v>
      </c>
    </row>
    <row r="96" spans="1:184">
      <c r="A96" s="1817"/>
      <c r="B96" s="1817"/>
      <c r="C96" s="1817"/>
      <c r="D96" s="1291"/>
      <c r="E96" s="1817"/>
      <c r="F96" s="3501" t="s">
        <v>2032</v>
      </c>
      <c r="G96" s="3502">
        <v>100</v>
      </c>
      <c r="H96" s="3497">
        <v>173.89697930912047</v>
      </c>
      <c r="I96" s="3498">
        <v>12.143646541494688</v>
      </c>
      <c r="J96" s="3498">
        <v>2.1672999882084669</v>
      </c>
      <c r="K96" s="3498">
        <v>34.449142868333325</v>
      </c>
      <c r="L96" s="3498">
        <v>-2.6894513548312711</v>
      </c>
      <c r="M96" s="3615">
        <v>219.96761735232568</v>
      </c>
      <c r="N96" s="3497">
        <v>0</v>
      </c>
      <c r="O96" s="3498">
        <v>0</v>
      </c>
      <c r="P96" s="3615">
        <v>0</v>
      </c>
      <c r="Q96" s="3616">
        <v>219.96761735232568</v>
      </c>
      <c r="R96" s="3545">
        <v>0</v>
      </c>
      <c r="S96" s="3638">
        <v>219.96761735232568</v>
      </c>
      <c r="T96" s="2362"/>
      <c r="U96" s="1291"/>
      <c r="V96" s="3501" t="s">
        <v>2032</v>
      </c>
      <c r="W96" s="3502">
        <v>100</v>
      </c>
      <c r="X96" s="3497">
        <v>95.895436981490846</v>
      </c>
      <c r="Y96" s="3498">
        <v>6.6966102359681816</v>
      </c>
      <c r="Z96" s="3498">
        <v>1.1951569271929874</v>
      </c>
      <c r="AA96" s="3498">
        <v>18.996969482283422</v>
      </c>
      <c r="AB96" s="3498">
        <v>-1.4830971414031964</v>
      </c>
      <c r="AC96" s="3615">
        <v>121.30107648553223</v>
      </c>
      <c r="AD96" s="3497">
        <v>0</v>
      </c>
      <c r="AE96" s="3498">
        <v>0</v>
      </c>
      <c r="AF96" s="3630">
        <v>0</v>
      </c>
      <c r="AG96" s="3614">
        <v>121.30107648553223</v>
      </c>
      <c r="AH96" s="4028">
        <v>0</v>
      </c>
      <c r="AI96" s="3638">
        <v>121.30107648553223</v>
      </c>
      <c r="AJ96" s="4029">
        <f t="shared" si="344"/>
        <v>12.130107648553224</v>
      </c>
      <c r="AK96" s="2346"/>
      <c r="AL96" s="3634">
        <v>3143.9300857037551</v>
      </c>
      <c r="AM96" s="3635">
        <v>3322.0022857580157</v>
      </c>
      <c r="AN96" s="3497">
        <v>26.431724630364716</v>
      </c>
      <c r="AO96" s="3608">
        <v>0</v>
      </c>
      <c r="AP96" s="2282"/>
      <c r="AQ96" s="2282"/>
      <c r="AR96" s="2282"/>
      <c r="AS96" s="1291"/>
      <c r="AT96" s="3521" t="s">
        <v>2032</v>
      </c>
      <c r="AU96" s="3649">
        <v>100</v>
      </c>
      <c r="AV96" s="3523">
        <v>173.89697930912047</v>
      </c>
      <c r="AW96" s="3524">
        <v>12.143646541494688</v>
      </c>
      <c r="AX96" s="3524">
        <v>2.1672999882084669</v>
      </c>
      <c r="AY96" s="3524">
        <v>34.449142868333325</v>
      </c>
      <c r="AZ96" s="3524">
        <v>-2.6894513548312711</v>
      </c>
      <c r="BA96" s="3652">
        <v>219.96761735232568</v>
      </c>
      <c r="BB96" s="3523">
        <v>0</v>
      </c>
      <c r="BC96" s="3524">
        <v>0</v>
      </c>
      <c r="BD96" s="3653">
        <v>0</v>
      </c>
      <c r="BE96" s="3695">
        <v>219.96761735232568</v>
      </c>
      <c r="BF96" s="3545">
        <v>0</v>
      </c>
      <c r="BG96" s="3638">
        <v>219.96761735232568</v>
      </c>
      <c r="BH96" s="2362"/>
      <c r="BI96" s="1291"/>
      <c r="BJ96" s="3521" t="s">
        <v>2032</v>
      </c>
      <c r="BK96" s="3522">
        <v>100</v>
      </c>
      <c r="BL96" s="3523">
        <v>95.895436981490846</v>
      </c>
      <c r="BM96" s="3524">
        <v>6.6966102359681816</v>
      </c>
      <c r="BN96" s="3524">
        <v>1.1951569271929874</v>
      </c>
      <c r="BO96" s="3524">
        <v>18.996969482283422</v>
      </c>
      <c r="BP96" s="3524">
        <v>-1.4830971414031964</v>
      </c>
      <c r="BQ96" s="3665">
        <v>121.30107648553223</v>
      </c>
      <c r="BR96" s="3523">
        <v>0</v>
      </c>
      <c r="BS96" s="3524">
        <v>0</v>
      </c>
      <c r="BT96" s="3652">
        <v>0</v>
      </c>
      <c r="BU96" s="3654">
        <v>121.30107648553223</v>
      </c>
      <c r="BV96" s="3642">
        <v>0</v>
      </c>
      <c r="BW96" s="3638">
        <v>121.30107648553223</v>
      </c>
      <c r="BX96" s="3638">
        <f t="shared" si="345"/>
        <v>12.130107648553224</v>
      </c>
      <c r="BY96" s="1291"/>
      <c r="BZ96" s="3670">
        <v>3143.9300857037551</v>
      </c>
      <c r="CA96" s="3671">
        <v>3322.0022857580157</v>
      </c>
      <c r="CB96" s="3523">
        <v>26.431724630364716</v>
      </c>
      <c r="CC96" s="3526">
        <v>0</v>
      </c>
      <c r="CD96" s="2362"/>
      <c r="CE96" s="2362"/>
      <c r="CF96" s="2362"/>
      <c r="CG96" s="2346"/>
      <c r="CH96" s="2410" t="str">
        <f t="shared" si="279"/>
        <v>Solar Photovoltaic (Thin-Film) 100 MW</v>
      </c>
      <c r="CI96" s="2411">
        <f t="shared" si="280"/>
        <v>100</v>
      </c>
      <c r="CJ96" s="2412">
        <f t="shared" si="281"/>
        <v>0</v>
      </c>
      <c r="CK96" s="3674">
        <f t="shared" si="282"/>
        <v>0</v>
      </c>
      <c r="CL96" s="3674">
        <f t="shared" si="283"/>
        <v>0</v>
      </c>
      <c r="CM96" s="3674">
        <f t="shared" si="284"/>
        <v>0</v>
      </c>
      <c r="CN96" s="3674">
        <f t="shared" si="285"/>
        <v>0</v>
      </c>
      <c r="CO96" s="3675">
        <f t="shared" si="286"/>
        <v>0</v>
      </c>
      <c r="CP96" s="3676">
        <f t="shared" si="287"/>
        <v>0</v>
      </c>
      <c r="CQ96" s="3674">
        <f t="shared" si="288"/>
        <v>0</v>
      </c>
      <c r="CR96" s="3675">
        <f t="shared" si="289"/>
        <v>0</v>
      </c>
      <c r="CS96" s="3677">
        <f t="shared" si="290"/>
        <v>0</v>
      </c>
      <c r="CT96" s="3545">
        <f t="shared" si="290"/>
        <v>0</v>
      </c>
      <c r="CU96" s="3638">
        <f t="shared" si="290"/>
        <v>0</v>
      </c>
      <c r="CV96" s="2362"/>
      <c r="CW96" s="2341"/>
      <c r="CX96" s="2410" t="str">
        <f t="shared" si="291"/>
        <v>Solar Photovoltaic (Thin-Film) 100 MW</v>
      </c>
      <c r="CY96" s="2411">
        <f t="shared" si="292"/>
        <v>100</v>
      </c>
      <c r="CZ96" s="2412">
        <f t="shared" si="293"/>
        <v>0</v>
      </c>
      <c r="DA96" s="3674">
        <f t="shared" si="294"/>
        <v>0</v>
      </c>
      <c r="DB96" s="3674">
        <f t="shared" si="295"/>
        <v>0</v>
      </c>
      <c r="DC96" s="3674">
        <f t="shared" si="296"/>
        <v>0</v>
      </c>
      <c r="DD96" s="3674">
        <f t="shared" si="297"/>
        <v>0</v>
      </c>
      <c r="DE96" s="3675">
        <f t="shared" si="298"/>
        <v>0</v>
      </c>
      <c r="DF96" s="3676">
        <f t="shared" si="299"/>
        <v>0</v>
      </c>
      <c r="DG96" s="3674">
        <f t="shared" si="300"/>
        <v>0</v>
      </c>
      <c r="DH96" s="3675">
        <f t="shared" si="301"/>
        <v>0</v>
      </c>
      <c r="DI96" s="3677">
        <f t="shared" si="302"/>
        <v>0</v>
      </c>
      <c r="DJ96" s="3545">
        <f t="shared" si="302"/>
        <v>0</v>
      </c>
      <c r="DK96" s="3638">
        <f t="shared" si="302"/>
        <v>0</v>
      </c>
      <c r="DL96" s="3638">
        <f t="shared" si="302"/>
        <v>0</v>
      </c>
      <c r="DM96" s="2341"/>
      <c r="DN96" s="3687">
        <f t="shared" si="303"/>
        <v>0</v>
      </c>
      <c r="DO96" s="3688">
        <f t="shared" si="304"/>
        <v>0</v>
      </c>
      <c r="DP96" s="3687">
        <f t="shared" si="305"/>
        <v>0</v>
      </c>
      <c r="DQ96" s="3689">
        <f t="shared" si="306"/>
        <v>0</v>
      </c>
      <c r="DT96" s="2288" t="str">
        <f t="shared" si="307"/>
        <v>Solar Photovoltaic (Thin-Film) 100 MW</v>
      </c>
      <c r="DU96" s="2289">
        <f t="shared" si="308"/>
        <v>100</v>
      </c>
      <c r="DV96" s="2373">
        <f t="shared" si="309"/>
        <v>0</v>
      </c>
      <c r="DW96" s="2373">
        <f t="shared" si="310"/>
        <v>0</v>
      </c>
      <c r="DX96" s="2788">
        <f t="shared" si="346"/>
        <v>0</v>
      </c>
      <c r="DY96" s="3693">
        <f t="shared" si="311"/>
        <v>0</v>
      </c>
      <c r="DZ96" s="3693">
        <f t="shared" si="312"/>
        <v>0</v>
      </c>
      <c r="EA96" s="3369">
        <f t="shared" si="313"/>
        <v>0</v>
      </c>
      <c r="EB96" s="2374" t="str">
        <f t="shared" si="347"/>
        <v>0.00%</v>
      </c>
      <c r="EC96" s="3950" t="str">
        <f t="shared" si="348"/>
        <v>0.00%</v>
      </c>
      <c r="ED96" s="3369" t="str">
        <f t="shared" si="349"/>
        <v>0.00%</v>
      </c>
      <c r="EE96" s="2374">
        <f t="shared" si="314"/>
        <v>0</v>
      </c>
      <c r="EF96" s="3641" t="e">
        <f t="shared" si="314"/>
        <v>#DIV/0!</v>
      </c>
      <c r="EG96" s="3641">
        <f t="shared" si="314"/>
        <v>0</v>
      </c>
      <c r="EH96" s="2329"/>
      <c r="EJ96" s="2288" t="str">
        <f t="shared" si="350"/>
        <v>Solar Photovoltaic (Thin-Film) 100 MW</v>
      </c>
      <c r="EK96" s="2289">
        <f t="shared" si="350"/>
        <v>100</v>
      </c>
      <c r="EL96" s="2788">
        <f t="shared" si="315"/>
        <v>0</v>
      </c>
      <c r="EM96" s="3693">
        <f t="shared" si="316"/>
        <v>0</v>
      </c>
      <c r="EN96" s="3370">
        <f t="shared" si="360"/>
        <v>0</v>
      </c>
      <c r="EO96" s="3693">
        <f t="shared" si="318"/>
        <v>0</v>
      </c>
      <c r="EP96" s="3693">
        <f t="shared" si="319"/>
        <v>0</v>
      </c>
      <c r="EQ96" s="3369">
        <f t="shared" si="320"/>
        <v>0</v>
      </c>
      <c r="ER96" s="2788" t="str">
        <f t="shared" si="321"/>
        <v>0.00%</v>
      </c>
      <c r="ES96" s="3693" t="str">
        <f t="shared" si="322"/>
        <v>0.00%</v>
      </c>
      <c r="ET96" s="3369" t="str">
        <f t="shared" si="323"/>
        <v>0.00%</v>
      </c>
      <c r="EU96" s="2374">
        <f t="shared" si="324"/>
        <v>0</v>
      </c>
      <c r="EV96" s="3641" t="e">
        <f t="shared" si="324"/>
        <v>#DIV/0!</v>
      </c>
      <c r="EW96" s="3641">
        <f t="shared" si="324"/>
        <v>0</v>
      </c>
      <c r="EY96" s="2288" t="str">
        <f t="shared" si="351"/>
        <v>Solar Photovoltaic (Thin-Film) 100 MW</v>
      </c>
      <c r="EZ96" s="2288">
        <f t="shared" si="352"/>
        <v>100</v>
      </c>
      <c r="FA96" s="2373">
        <f t="shared" si="353"/>
        <v>0</v>
      </c>
      <c r="FB96" s="2373">
        <f t="shared" si="325"/>
        <v>0</v>
      </c>
      <c r="FC96" s="2788">
        <f t="shared" si="326"/>
        <v>0</v>
      </c>
      <c r="FD96" s="3693">
        <f t="shared" si="327"/>
        <v>0</v>
      </c>
      <c r="FE96" s="3693">
        <f t="shared" si="328"/>
        <v>0</v>
      </c>
      <c r="FF96" s="3369">
        <f t="shared" si="329"/>
        <v>0</v>
      </c>
      <c r="FG96" s="2374" t="e">
        <f t="shared" si="330"/>
        <v>#DIV/0!</v>
      </c>
      <c r="FH96" s="3950" t="e">
        <f t="shared" si="331"/>
        <v>#DIV/0!</v>
      </c>
      <c r="FI96" s="3369" t="e">
        <f t="shared" si="332"/>
        <v>#DIV/0!</v>
      </c>
      <c r="FJ96" s="2374">
        <f t="shared" si="333"/>
        <v>0</v>
      </c>
      <c r="FK96" s="3641" t="e">
        <f t="shared" si="354"/>
        <v>#DIV/0!</v>
      </c>
      <c r="FL96" s="3641">
        <f t="shared" si="334"/>
        <v>0</v>
      </c>
      <c r="FO96" s="2288" t="str">
        <f t="shared" si="355"/>
        <v>Solar Photovoltaic (Thin-Film) 100 MW</v>
      </c>
      <c r="FP96" s="2288">
        <f t="shared" si="356"/>
        <v>100</v>
      </c>
      <c r="FQ96" s="2788">
        <f t="shared" si="357"/>
        <v>0</v>
      </c>
      <c r="FR96" s="3693">
        <f t="shared" si="335"/>
        <v>0</v>
      </c>
      <c r="FS96" s="3370">
        <f t="shared" si="336"/>
        <v>0</v>
      </c>
      <c r="FT96" s="3693">
        <f t="shared" si="337"/>
        <v>0</v>
      </c>
      <c r="FU96" s="3693">
        <f t="shared" si="338"/>
        <v>0</v>
      </c>
      <c r="FV96" s="3369">
        <f t="shared" si="339"/>
        <v>0</v>
      </c>
      <c r="FW96" s="2788" t="e">
        <f t="shared" si="340"/>
        <v>#DIV/0!</v>
      </c>
      <c r="FX96" s="3693" t="e">
        <f t="shared" si="341"/>
        <v>#DIV/0!</v>
      </c>
      <c r="FY96" s="3369" t="e">
        <f t="shared" si="342"/>
        <v>#DIV/0!</v>
      </c>
      <c r="FZ96" s="2374">
        <f t="shared" si="343"/>
        <v>0</v>
      </c>
      <c r="GA96" s="3641" t="e">
        <f t="shared" si="358"/>
        <v>#DIV/0!</v>
      </c>
      <c r="GB96" s="3641">
        <f t="shared" si="359"/>
        <v>0</v>
      </c>
    </row>
    <row r="97" spans="1:184">
      <c r="A97" s="1817"/>
      <c r="B97" s="1817"/>
      <c r="C97" s="1817"/>
      <c r="D97" s="1291"/>
      <c r="E97" s="1817"/>
      <c r="F97" s="3501" t="s">
        <v>1794</v>
      </c>
      <c r="G97" s="3502">
        <v>100</v>
      </c>
      <c r="H97" s="3497">
        <v>202.41448813481247</v>
      </c>
      <c r="I97" s="3498">
        <v>14.135093137053783</v>
      </c>
      <c r="J97" s="3498">
        <v>2.5227172978547165</v>
      </c>
      <c r="K97" s="3498">
        <v>38.583040012533317</v>
      </c>
      <c r="L97" s="3498">
        <v>-3.1304966970354862</v>
      </c>
      <c r="M97" s="3615">
        <v>254.52484188521879</v>
      </c>
      <c r="N97" s="3497">
        <v>0</v>
      </c>
      <c r="O97" s="3498">
        <v>0</v>
      </c>
      <c r="P97" s="3615">
        <v>0</v>
      </c>
      <c r="Q97" s="3616">
        <v>254.52484188521879</v>
      </c>
      <c r="R97" s="3545">
        <v>0</v>
      </c>
      <c r="S97" s="3638">
        <v>254.52484188521879</v>
      </c>
      <c r="T97" s="2362"/>
      <c r="U97" s="1291"/>
      <c r="V97" s="3501" t="s">
        <v>1794</v>
      </c>
      <c r="W97" s="3502">
        <v>100</v>
      </c>
      <c r="X97" s="3497">
        <v>92.702160061683529</v>
      </c>
      <c r="Y97" s="3498">
        <v>6.4736159874348509</v>
      </c>
      <c r="Z97" s="3498">
        <v>1.155358714146731</v>
      </c>
      <c r="AA97" s="3498">
        <v>17.670331723122615</v>
      </c>
      <c r="AB97" s="3498">
        <v>-1.4337106427276745</v>
      </c>
      <c r="AC97" s="3615">
        <v>116.56775584366005</v>
      </c>
      <c r="AD97" s="3497">
        <v>0</v>
      </c>
      <c r="AE97" s="3498">
        <v>0</v>
      </c>
      <c r="AF97" s="3630">
        <v>0</v>
      </c>
      <c r="AG97" s="3614">
        <v>116.56775584366005</v>
      </c>
      <c r="AH97" s="4028">
        <v>0</v>
      </c>
      <c r="AI97" s="3638">
        <v>116.56775584366005</v>
      </c>
      <c r="AJ97" s="4029">
        <f t="shared" si="344"/>
        <v>11.656775584366006</v>
      </c>
      <c r="AK97" s="2346"/>
      <c r="AL97" s="3634">
        <v>3659.5057692068049</v>
      </c>
      <c r="AM97" s="3635">
        <v>3866.7801759746776</v>
      </c>
      <c r="AN97" s="3497">
        <v>29.603531586008483</v>
      </c>
      <c r="AO97" s="3608">
        <v>0</v>
      </c>
      <c r="AP97" s="2282"/>
      <c r="AQ97" s="2282"/>
      <c r="AR97" s="2282"/>
      <c r="AS97" s="1291"/>
      <c r="AT97" s="3521" t="s">
        <v>1794</v>
      </c>
      <c r="AU97" s="3649">
        <v>100</v>
      </c>
      <c r="AV97" s="3523">
        <v>202.41448813481247</v>
      </c>
      <c r="AW97" s="3524">
        <v>14.135093137053783</v>
      </c>
      <c r="AX97" s="3524">
        <v>2.5227172978547165</v>
      </c>
      <c r="AY97" s="3524">
        <v>38.583040012533317</v>
      </c>
      <c r="AZ97" s="3524">
        <v>-3.1304966970354862</v>
      </c>
      <c r="BA97" s="3652">
        <v>254.52484188521879</v>
      </c>
      <c r="BB97" s="3523">
        <v>0</v>
      </c>
      <c r="BC97" s="3524">
        <v>0</v>
      </c>
      <c r="BD97" s="3653">
        <v>0</v>
      </c>
      <c r="BE97" s="3695">
        <v>254.52484188521879</v>
      </c>
      <c r="BF97" s="3545">
        <v>0</v>
      </c>
      <c r="BG97" s="3638">
        <v>254.52484188521879</v>
      </c>
      <c r="BH97" s="2362"/>
      <c r="BI97" s="1291"/>
      <c r="BJ97" s="3521" t="s">
        <v>1794</v>
      </c>
      <c r="BK97" s="3522">
        <v>100</v>
      </c>
      <c r="BL97" s="3523">
        <v>92.702160061683529</v>
      </c>
      <c r="BM97" s="3524">
        <v>6.4736159874348509</v>
      </c>
      <c r="BN97" s="3524">
        <v>1.155358714146731</v>
      </c>
      <c r="BO97" s="3524">
        <v>17.670331723122615</v>
      </c>
      <c r="BP97" s="3524">
        <v>-1.4337106427276745</v>
      </c>
      <c r="BQ97" s="3665">
        <v>116.56775584366005</v>
      </c>
      <c r="BR97" s="3523">
        <v>0</v>
      </c>
      <c r="BS97" s="3524">
        <v>0</v>
      </c>
      <c r="BT97" s="3652">
        <v>0</v>
      </c>
      <c r="BU97" s="3654">
        <v>116.56775584366005</v>
      </c>
      <c r="BV97" s="3642">
        <v>0</v>
      </c>
      <c r="BW97" s="3638">
        <v>116.56775584366005</v>
      </c>
      <c r="BX97" s="3638">
        <f t="shared" si="345"/>
        <v>11.656775584366006</v>
      </c>
      <c r="BY97" s="1291"/>
      <c r="BZ97" s="3670">
        <v>3659.5057692068049</v>
      </c>
      <c r="CA97" s="3671">
        <v>3866.7801759746776</v>
      </c>
      <c r="CB97" s="3523">
        <v>29.603531586008483</v>
      </c>
      <c r="CC97" s="3526">
        <v>0</v>
      </c>
      <c r="CD97" s="2362"/>
      <c r="CE97" s="2362"/>
      <c r="CF97" s="2362"/>
      <c r="CG97" s="2346"/>
      <c r="CH97" s="2410" t="str">
        <f t="shared" si="279"/>
        <v>Solar Photovoltaic (Single Axis) 100 MW</v>
      </c>
      <c r="CI97" s="2411">
        <f t="shared" si="280"/>
        <v>100</v>
      </c>
      <c r="CJ97" s="2412">
        <f t="shared" si="281"/>
        <v>0</v>
      </c>
      <c r="CK97" s="3674">
        <f t="shared" si="282"/>
        <v>0</v>
      </c>
      <c r="CL97" s="3674">
        <f t="shared" si="283"/>
        <v>0</v>
      </c>
      <c r="CM97" s="3674">
        <f t="shared" si="284"/>
        <v>0</v>
      </c>
      <c r="CN97" s="3674">
        <f t="shared" si="285"/>
        <v>0</v>
      </c>
      <c r="CO97" s="3675">
        <f t="shared" si="286"/>
        <v>0</v>
      </c>
      <c r="CP97" s="3676">
        <f t="shared" si="287"/>
        <v>0</v>
      </c>
      <c r="CQ97" s="3674">
        <f t="shared" si="288"/>
        <v>0</v>
      </c>
      <c r="CR97" s="3675">
        <f t="shared" si="289"/>
        <v>0</v>
      </c>
      <c r="CS97" s="3677">
        <f t="shared" si="290"/>
        <v>0</v>
      </c>
      <c r="CT97" s="3545">
        <f t="shared" si="290"/>
        <v>0</v>
      </c>
      <c r="CU97" s="3638">
        <f t="shared" si="290"/>
        <v>0</v>
      </c>
      <c r="CV97" s="2362"/>
      <c r="CW97" s="2341"/>
      <c r="CX97" s="2410" t="str">
        <f t="shared" si="291"/>
        <v>Solar Photovoltaic (Single Axis) 100 MW</v>
      </c>
      <c r="CY97" s="2411">
        <f t="shared" si="292"/>
        <v>100</v>
      </c>
      <c r="CZ97" s="2412">
        <f t="shared" si="293"/>
        <v>0</v>
      </c>
      <c r="DA97" s="3674">
        <f t="shared" si="294"/>
        <v>0</v>
      </c>
      <c r="DB97" s="3674">
        <f t="shared" si="295"/>
        <v>0</v>
      </c>
      <c r="DC97" s="3674">
        <f t="shared" si="296"/>
        <v>0</v>
      </c>
      <c r="DD97" s="3674">
        <f t="shared" si="297"/>
        <v>0</v>
      </c>
      <c r="DE97" s="3675">
        <f t="shared" si="298"/>
        <v>0</v>
      </c>
      <c r="DF97" s="3676">
        <f t="shared" si="299"/>
        <v>0</v>
      </c>
      <c r="DG97" s="3674">
        <f t="shared" si="300"/>
        <v>0</v>
      </c>
      <c r="DH97" s="3675">
        <f t="shared" si="301"/>
        <v>0</v>
      </c>
      <c r="DI97" s="3677">
        <f t="shared" si="302"/>
        <v>0</v>
      </c>
      <c r="DJ97" s="3545">
        <f t="shared" si="302"/>
        <v>0</v>
      </c>
      <c r="DK97" s="3638">
        <f t="shared" si="302"/>
        <v>0</v>
      </c>
      <c r="DL97" s="3638">
        <f t="shared" si="302"/>
        <v>0</v>
      </c>
      <c r="DM97" s="2341"/>
      <c r="DN97" s="3687">
        <f t="shared" si="303"/>
        <v>0</v>
      </c>
      <c r="DO97" s="3688">
        <f t="shared" si="304"/>
        <v>0</v>
      </c>
      <c r="DP97" s="3687">
        <f t="shared" si="305"/>
        <v>0</v>
      </c>
      <c r="DQ97" s="3689">
        <f t="shared" si="306"/>
        <v>0</v>
      </c>
      <c r="DT97" s="2288" t="str">
        <f t="shared" si="307"/>
        <v>Solar Photovoltaic (Single Axis) 100 MW</v>
      </c>
      <c r="DU97" s="2289">
        <f t="shared" si="308"/>
        <v>100</v>
      </c>
      <c r="DV97" s="2373">
        <f t="shared" si="309"/>
        <v>0</v>
      </c>
      <c r="DW97" s="2373">
        <f t="shared" si="310"/>
        <v>0</v>
      </c>
      <c r="DX97" s="2788">
        <f t="shared" si="346"/>
        <v>0</v>
      </c>
      <c r="DY97" s="3693">
        <f t="shared" si="311"/>
        <v>0</v>
      </c>
      <c r="DZ97" s="3693">
        <f t="shared" si="312"/>
        <v>0</v>
      </c>
      <c r="EA97" s="3369">
        <f t="shared" si="313"/>
        <v>0</v>
      </c>
      <c r="EB97" s="2374" t="str">
        <f t="shared" si="347"/>
        <v>0.00%</v>
      </c>
      <c r="EC97" s="3950" t="str">
        <f t="shared" si="348"/>
        <v>0.00%</v>
      </c>
      <c r="ED97" s="3369" t="str">
        <f t="shared" si="349"/>
        <v>0.00%</v>
      </c>
      <c r="EE97" s="2374">
        <f t="shared" si="314"/>
        <v>0</v>
      </c>
      <c r="EF97" s="3641" t="e">
        <f t="shared" si="314"/>
        <v>#DIV/0!</v>
      </c>
      <c r="EG97" s="3641">
        <f t="shared" si="314"/>
        <v>0</v>
      </c>
      <c r="EH97" s="2329"/>
      <c r="EJ97" s="2288" t="str">
        <f t="shared" si="350"/>
        <v>Solar Photovoltaic (Single Axis) 100 MW</v>
      </c>
      <c r="EK97" s="2289">
        <f t="shared" si="350"/>
        <v>100</v>
      </c>
      <c r="EL97" s="2788">
        <f t="shared" si="315"/>
        <v>0</v>
      </c>
      <c r="EM97" s="3693">
        <f t="shared" si="316"/>
        <v>0</v>
      </c>
      <c r="EN97" s="3370">
        <f t="shared" si="360"/>
        <v>0</v>
      </c>
      <c r="EO97" s="3693">
        <f t="shared" si="318"/>
        <v>0</v>
      </c>
      <c r="EP97" s="3693">
        <f t="shared" si="319"/>
        <v>0</v>
      </c>
      <c r="EQ97" s="3369">
        <f t="shared" si="320"/>
        <v>0</v>
      </c>
      <c r="ER97" s="2788" t="str">
        <f t="shared" si="321"/>
        <v>0.00%</v>
      </c>
      <c r="ES97" s="3693" t="str">
        <f t="shared" si="322"/>
        <v>0.00%</v>
      </c>
      <c r="ET97" s="3369" t="str">
        <f t="shared" si="323"/>
        <v>0.00%</v>
      </c>
      <c r="EU97" s="2374">
        <f t="shared" si="324"/>
        <v>0</v>
      </c>
      <c r="EV97" s="3641" t="e">
        <f t="shared" si="324"/>
        <v>#DIV/0!</v>
      </c>
      <c r="EW97" s="3641">
        <f t="shared" si="324"/>
        <v>0</v>
      </c>
      <c r="EY97" s="2288" t="str">
        <f t="shared" si="351"/>
        <v>Solar Photovoltaic (Single Axis) 100 MW</v>
      </c>
      <c r="EZ97" s="2288">
        <f t="shared" si="352"/>
        <v>100</v>
      </c>
      <c r="FA97" s="2373">
        <f t="shared" si="353"/>
        <v>0</v>
      </c>
      <c r="FB97" s="2373">
        <f t="shared" si="325"/>
        <v>0</v>
      </c>
      <c r="FC97" s="2788">
        <f t="shared" si="326"/>
        <v>0</v>
      </c>
      <c r="FD97" s="3693">
        <f t="shared" si="327"/>
        <v>0</v>
      </c>
      <c r="FE97" s="3693">
        <f t="shared" si="328"/>
        <v>0</v>
      </c>
      <c r="FF97" s="3369">
        <f t="shared" si="329"/>
        <v>0</v>
      </c>
      <c r="FG97" s="2374" t="e">
        <f t="shared" si="330"/>
        <v>#DIV/0!</v>
      </c>
      <c r="FH97" s="3950" t="e">
        <f t="shared" si="331"/>
        <v>#DIV/0!</v>
      </c>
      <c r="FI97" s="3369" t="e">
        <f t="shared" si="332"/>
        <v>#DIV/0!</v>
      </c>
      <c r="FJ97" s="2374">
        <f t="shared" si="333"/>
        <v>0</v>
      </c>
      <c r="FK97" s="3641" t="e">
        <f t="shared" si="354"/>
        <v>#DIV/0!</v>
      </c>
      <c r="FL97" s="3641">
        <f t="shared" si="334"/>
        <v>0</v>
      </c>
      <c r="FO97" s="2288" t="str">
        <f t="shared" si="355"/>
        <v>Solar Photovoltaic (Single Axis) 100 MW</v>
      </c>
      <c r="FP97" s="2288">
        <f t="shared" si="356"/>
        <v>100</v>
      </c>
      <c r="FQ97" s="2788">
        <f t="shared" si="357"/>
        <v>0</v>
      </c>
      <c r="FR97" s="3693">
        <f t="shared" si="335"/>
        <v>0</v>
      </c>
      <c r="FS97" s="3370">
        <f t="shared" si="336"/>
        <v>0</v>
      </c>
      <c r="FT97" s="3693">
        <f t="shared" si="337"/>
        <v>0</v>
      </c>
      <c r="FU97" s="3693">
        <f t="shared" si="338"/>
        <v>0</v>
      </c>
      <c r="FV97" s="3369">
        <f t="shared" si="339"/>
        <v>0</v>
      </c>
      <c r="FW97" s="2788" t="e">
        <f t="shared" si="340"/>
        <v>#DIV/0!</v>
      </c>
      <c r="FX97" s="3693" t="e">
        <f t="shared" si="341"/>
        <v>#DIV/0!</v>
      </c>
      <c r="FY97" s="3369" t="e">
        <f t="shared" si="342"/>
        <v>#DIV/0!</v>
      </c>
      <c r="FZ97" s="2374">
        <f t="shared" si="343"/>
        <v>0</v>
      </c>
      <c r="GA97" s="3641" t="e">
        <f t="shared" si="358"/>
        <v>#DIV/0!</v>
      </c>
      <c r="GB97" s="3641">
        <f t="shared" si="359"/>
        <v>0</v>
      </c>
    </row>
    <row r="98" spans="1:184" s="89" customFormat="1">
      <c r="A98" s="1926"/>
      <c r="B98" s="1926"/>
      <c r="C98" s="1926"/>
      <c r="D98" s="2341"/>
      <c r="E98" s="1926"/>
      <c r="F98" s="3501" t="s">
        <v>2031</v>
      </c>
      <c r="G98" s="3502">
        <v>20</v>
      </c>
      <c r="H98" s="3497">
        <v>191.8894437316078</v>
      </c>
      <c r="I98" s="3498">
        <v>13.4001038372175</v>
      </c>
      <c r="J98" s="3498">
        <v>2.3915423418457915</v>
      </c>
      <c r="K98" s="3498">
        <v>34.449142868333325</v>
      </c>
      <c r="L98" s="3498">
        <v>-2.967718740556208</v>
      </c>
      <c r="M98" s="3615">
        <v>239.16251403844819</v>
      </c>
      <c r="N98" s="3497">
        <v>0</v>
      </c>
      <c r="O98" s="3498">
        <v>0</v>
      </c>
      <c r="P98" s="3615">
        <v>0</v>
      </c>
      <c r="Q98" s="3616">
        <v>239.16251403844819</v>
      </c>
      <c r="R98" s="3545">
        <v>0</v>
      </c>
      <c r="S98" s="3638">
        <v>239.16251403844819</v>
      </c>
      <c r="T98" s="2362"/>
      <c r="U98" s="2341"/>
      <c r="V98" s="3501" t="s">
        <v>2031</v>
      </c>
      <c r="W98" s="3502">
        <v>20</v>
      </c>
      <c r="X98" s="3497">
        <v>106.24450805399077</v>
      </c>
      <c r="Y98" s="3498">
        <v>7.4193108926244662</v>
      </c>
      <c r="Z98" s="3498">
        <v>1.3241387053843547</v>
      </c>
      <c r="AA98" s="3498">
        <v>19.073650773864028</v>
      </c>
      <c r="AB98" s="3498">
        <v>-1.6431535341465318</v>
      </c>
      <c r="AC98" s="3615">
        <v>132.41845489171709</v>
      </c>
      <c r="AD98" s="3497">
        <v>0</v>
      </c>
      <c r="AE98" s="3498">
        <v>0</v>
      </c>
      <c r="AF98" s="3630">
        <v>0</v>
      </c>
      <c r="AG98" s="3614">
        <v>132.41845489171709</v>
      </c>
      <c r="AH98" s="3642">
        <v>0</v>
      </c>
      <c r="AI98" s="3638">
        <v>132.41845489171709</v>
      </c>
      <c r="AJ98" s="4029">
        <f t="shared" si="344"/>
        <v>13.241845489171709</v>
      </c>
      <c r="AK98" s="2341"/>
      <c r="AL98" s="3634">
        <v>3469.2206711903382</v>
      </c>
      <c r="AM98" s="3635">
        <v>3665.7173300065601</v>
      </c>
      <c r="AN98" s="3497">
        <v>26.431724630364716</v>
      </c>
      <c r="AO98" s="3608">
        <v>0</v>
      </c>
      <c r="AP98" s="2362"/>
      <c r="AQ98" s="2362"/>
      <c r="AR98" s="2362"/>
      <c r="AS98" s="2341"/>
      <c r="AT98" s="3521" t="s">
        <v>2031</v>
      </c>
      <c r="AU98" s="3649">
        <v>20</v>
      </c>
      <c r="AV98" s="3523">
        <v>191.8894437316078</v>
      </c>
      <c r="AW98" s="3524">
        <v>13.4001038372175</v>
      </c>
      <c r="AX98" s="3524">
        <v>2.3915423418457915</v>
      </c>
      <c r="AY98" s="3524">
        <v>34.449142868333325</v>
      </c>
      <c r="AZ98" s="3524">
        <v>-2.967718740556208</v>
      </c>
      <c r="BA98" s="3652">
        <v>239.16251403844819</v>
      </c>
      <c r="BB98" s="3523">
        <v>0</v>
      </c>
      <c r="BC98" s="3524">
        <v>0</v>
      </c>
      <c r="BD98" s="3653">
        <v>0</v>
      </c>
      <c r="BE98" s="3695">
        <v>239.16251403844819</v>
      </c>
      <c r="BF98" s="3545">
        <v>0</v>
      </c>
      <c r="BG98" s="3638">
        <v>239.16251403844819</v>
      </c>
      <c r="BH98" s="2362"/>
      <c r="BI98" s="2340"/>
      <c r="BJ98" s="3521" t="s">
        <v>2031</v>
      </c>
      <c r="BK98" s="3522">
        <v>20</v>
      </c>
      <c r="BL98" s="3523">
        <v>106.24450805399077</v>
      </c>
      <c r="BM98" s="3524">
        <v>7.4193108926244662</v>
      </c>
      <c r="BN98" s="3524">
        <v>1.3241387053843547</v>
      </c>
      <c r="BO98" s="3524">
        <v>19.073650773864028</v>
      </c>
      <c r="BP98" s="3524">
        <v>-1.6431535341465318</v>
      </c>
      <c r="BQ98" s="3665">
        <v>132.41845489171709</v>
      </c>
      <c r="BR98" s="3523">
        <v>0</v>
      </c>
      <c r="BS98" s="3524">
        <v>0</v>
      </c>
      <c r="BT98" s="3652">
        <v>0</v>
      </c>
      <c r="BU98" s="3654">
        <v>132.41845489171709</v>
      </c>
      <c r="BV98" s="3545">
        <v>0</v>
      </c>
      <c r="BW98" s="3638">
        <v>132.41845489171709</v>
      </c>
      <c r="BX98" s="3638">
        <f t="shared" si="345"/>
        <v>13.241845489171709</v>
      </c>
      <c r="BY98" s="2341"/>
      <c r="BZ98" s="3670">
        <v>3469.2206711903382</v>
      </c>
      <c r="CA98" s="3671">
        <v>3665.7173300065601</v>
      </c>
      <c r="CB98" s="3523">
        <v>26.431724630364716</v>
      </c>
      <c r="CC98" s="3526">
        <v>0</v>
      </c>
      <c r="CD98" s="2362"/>
      <c r="CE98" s="2362"/>
      <c r="CF98" s="2362"/>
      <c r="CG98" s="2341"/>
      <c r="CH98" s="2410" t="str">
        <f t="shared" si="279"/>
        <v>Solar Photovoltaic (Thin-Film) 20 MW</v>
      </c>
      <c r="CI98" s="2411">
        <f t="shared" si="280"/>
        <v>20</v>
      </c>
      <c r="CJ98" s="2412">
        <f t="shared" si="281"/>
        <v>0</v>
      </c>
      <c r="CK98" s="3674">
        <f t="shared" si="282"/>
        <v>0</v>
      </c>
      <c r="CL98" s="3674">
        <f t="shared" si="283"/>
        <v>0</v>
      </c>
      <c r="CM98" s="3674">
        <f t="shared" si="284"/>
        <v>0</v>
      </c>
      <c r="CN98" s="3674">
        <f t="shared" si="285"/>
        <v>0</v>
      </c>
      <c r="CO98" s="3675">
        <f t="shared" si="286"/>
        <v>0</v>
      </c>
      <c r="CP98" s="3676">
        <f t="shared" si="287"/>
        <v>0</v>
      </c>
      <c r="CQ98" s="3674">
        <f t="shared" si="288"/>
        <v>0</v>
      </c>
      <c r="CR98" s="3675">
        <f t="shared" si="289"/>
        <v>0</v>
      </c>
      <c r="CS98" s="3677">
        <f t="shared" si="290"/>
        <v>0</v>
      </c>
      <c r="CT98" s="3545">
        <f t="shared" si="290"/>
        <v>0</v>
      </c>
      <c r="CU98" s="3638">
        <f t="shared" si="290"/>
        <v>0</v>
      </c>
      <c r="CV98" s="2362"/>
      <c r="CW98" s="2341"/>
      <c r="CX98" s="2410" t="str">
        <f t="shared" si="291"/>
        <v>Solar Photovoltaic (Thin-Film) 20 MW</v>
      </c>
      <c r="CY98" s="2411">
        <f t="shared" si="292"/>
        <v>20</v>
      </c>
      <c r="CZ98" s="2412">
        <f t="shared" si="293"/>
        <v>0</v>
      </c>
      <c r="DA98" s="3674">
        <f t="shared" si="294"/>
        <v>0</v>
      </c>
      <c r="DB98" s="3674">
        <f t="shared" si="295"/>
        <v>0</v>
      </c>
      <c r="DC98" s="3674">
        <f t="shared" si="296"/>
        <v>0</v>
      </c>
      <c r="DD98" s="3674">
        <f t="shared" si="297"/>
        <v>0</v>
      </c>
      <c r="DE98" s="3675">
        <f t="shared" si="298"/>
        <v>0</v>
      </c>
      <c r="DF98" s="3676">
        <f t="shared" si="299"/>
        <v>0</v>
      </c>
      <c r="DG98" s="3674">
        <f t="shared" si="300"/>
        <v>0</v>
      </c>
      <c r="DH98" s="3675">
        <f t="shared" si="301"/>
        <v>0</v>
      </c>
      <c r="DI98" s="3677">
        <f t="shared" si="302"/>
        <v>0</v>
      </c>
      <c r="DJ98" s="3545">
        <f t="shared" si="302"/>
        <v>0</v>
      </c>
      <c r="DK98" s="3638">
        <f t="shared" si="302"/>
        <v>0</v>
      </c>
      <c r="DL98" s="3638">
        <f t="shared" si="302"/>
        <v>0</v>
      </c>
      <c r="DM98" s="2341"/>
      <c r="DN98" s="3687">
        <f t="shared" si="303"/>
        <v>0</v>
      </c>
      <c r="DO98" s="3688">
        <f t="shared" si="304"/>
        <v>0</v>
      </c>
      <c r="DP98" s="3687">
        <f t="shared" si="305"/>
        <v>0</v>
      </c>
      <c r="DQ98" s="3689">
        <f t="shared" si="306"/>
        <v>0</v>
      </c>
      <c r="DT98" s="2288" t="str">
        <f t="shared" si="307"/>
        <v>Solar Photovoltaic (Thin-Film) 20 MW</v>
      </c>
      <c r="DU98" s="2289">
        <f t="shared" si="308"/>
        <v>20</v>
      </c>
      <c r="DV98" s="2373">
        <f t="shared" si="309"/>
        <v>0</v>
      </c>
      <c r="DW98" s="2373">
        <f t="shared" si="310"/>
        <v>0</v>
      </c>
      <c r="DX98" s="2788">
        <f t="shared" si="346"/>
        <v>0</v>
      </c>
      <c r="DY98" s="3693">
        <f t="shared" si="311"/>
        <v>0</v>
      </c>
      <c r="DZ98" s="3693">
        <f t="shared" si="312"/>
        <v>0</v>
      </c>
      <c r="EA98" s="3369">
        <f t="shared" si="313"/>
        <v>0</v>
      </c>
      <c r="EB98" s="2374" t="str">
        <f t="shared" si="347"/>
        <v>0.00%</v>
      </c>
      <c r="EC98" s="3950" t="str">
        <f t="shared" si="348"/>
        <v>0.00%</v>
      </c>
      <c r="ED98" s="3369" t="str">
        <f t="shared" si="349"/>
        <v>0.00%</v>
      </c>
      <c r="EE98" s="2374">
        <f t="shared" si="314"/>
        <v>0</v>
      </c>
      <c r="EF98" s="3641" t="e">
        <f t="shared" si="314"/>
        <v>#DIV/0!</v>
      </c>
      <c r="EG98" s="3641">
        <f t="shared" si="314"/>
        <v>0</v>
      </c>
      <c r="EJ98" s="2288" t="str">
        <f t="shared" si="350"/>
        <v>Solar Photovoltaic (Thin-Film) 20 MW</v>
      </c>
      <c r="EK98" s="2289">
        <f t="shared" si="350"/>
        <v>20</v>
      </c>
      <c r="EL98" s="2788">
        <f t="shared" si="315"/>
        <v>0</v>
      </c>
      <c r="EM98" s="3693">
        <f t="shared" si="316"/>
        <v>0</v>
      </c>
      <c r="EN98" s="3370">
        <f t="shared" si="360"/>
        <v>0</v>
      </c>
      <c r="EO98" s="3693">
        <f t="shared" si="318"/>
        <v>0</v>
      </c>
      <c r="EP98" s="3693">
        <f t="shared" si="319"/>
        <v>0</v>
      </c>
      <c r="EQ98" s="3369">
        <f t="shared" si="320"/>
        <v>0</v>
      </c>
      <c r="ER98" s="2788" t="str">
        <f t="shared" si="321"/>
        <v>0.00%</v>
      </c>
      <c r="ES98" s="3693" t="str">
        <f t="shared" si="322"/>
        <v>0.00%</v>
      </c>
      <c r="ET98" s="3369" t="str">
        <f t="shared" si="323"/>
        <v>0.00%</v>
      </c>
      <c r="EU98" s="2374">
        <f t="shared" si="324"/>
        <v>0</v>
      </c>
      <c r="EV98" s="3641" t="e">
        <f t="shared" si="324"/>
        <v>#DIV/0!</v>
      </c>
      <c r="EW98" s="3641">
        <f t="shared" si="324"/>
        <v>0</v>
      </c>
      <c r="EY98" s="2288" t="str">
        <f t="shared" si="351"/>
        <v>Solar Photovoltaic (Thin-Film) 20 MW</v>
      </c>
      <c r="EZ98" s="2288">
        <f t="shared" si="352"/>
        <v>20</v>
      </c>
      <c r="FA98" s="2373">
        <f t="shared" si="353"/>
        <v>0</v>
      </c>
      <c r="FB98" s="2373">
        <f t="shared" si="325"/>
        <v>0</v>
      </c>
      <c r="FC98" s="2788">
        <f t="shared" si="326"/>
        <v>0</v>
      </c>
      <c r="FD98" s="3693">
        <f t="shared" si="327"/>
        <v>0</v>
      </c>
      <c r="FE98" s="3693">
        <f t="shared" si="328"/>
        <v>0</v>
      </c>
      <c r="FF98" s="3369">
        <f t="shared" si="329"/>
        <v>0</v>
      </c>
      <c r="FG98" s="2374" t="e">
        <f t="shared" si="330"/>
        <v>#DIV/0!</v>
      </c>
      <c r="FH98" s="3950" t="e">
        <f t="shared" si="331"/>
        <v>#DIV/0!</v>
      </c>
      <c r="FI98" s="3369" t="e">
        <f t="shared" si="332"/>
        <v>#DIV/0!</v>
      </c>
      <c r="FJ98" s="2374">
        <f t="shared" si="333"/>
        <v>0</v>
      </c>
      <c r="FK98" s="3641" t="e">
        <f t="shared" si="354"/>
        <v>#DIV/0!</v>
      </c>
      <c r="FL98" s="3641">
        <f t="shared" si="334"/>
        <v>0</v>
      </c>
      <c r="FO98" s="2288" t="str">
        <f t="shared" si="355"/>
        <v>Solar Photovoltaic (Thin-Film) 20 MW</v>
      </c>
      <c r="FP98" s="2288">
        <f t="shared" si="356"/>
        <v>20</v>
      </c>
      <c r="FQ98" s="2788">
        <f t="shared" si="357"/>
        <v>0</v>
      </c>
      <c r="FR98" s="3693">
        <f t="shared" si="335"/>
        <v>0</v>
      </c>
      <c r="FS98" s="3370">
        <f t="shared" si="336"/>
        <v>0</v>
      </c>
      <c r="FT98" s="3693">
        <f t="shared" si="337"/>
        <v>0</v>
      </c>
      <c r="FU98" s="3693">
        <f t="shared" si="338"/>
        <v>0</v>
      </c>
      <c r="FV98" s="3369">
        <f t="shared" si="339"/>
        <v>0</v>
      </c>
      <c r="FW98" s="2788" t="e">
        <f t="shared" si="340"/>
        <v>#DIV/0!</v>
      </c>
      <c r="FX98" s="3693" t="e">
        <f t="shared" si="341"/>
        <v>#DIV/0!</v>
      </c>
      <c r="FY98" s="3369" t="e">
        <f t="shared" si="342"/>
        <v>#DIV/0!</v>
      </c>
      <c r="FZ98" s="2374">
        <f t="shared" si="343"/>
        <v>0</v>
      </c>
      <c r="GA98" s="3641" t="e">
        <f t="shared" si="358"/>
        <v>#DIV/0!</v>
      </c>
      <c r="GB98" s="3641">
        <f t="shared" si="359"/>
        <v>0</v>
      </c>
    </row>
    <row r="99" spans="1:184">
      <c r="A99" s="1817"/>
      <c r="B99" s="1817"/>
      <c r="C99" s="1817"/>
      <c r="D99" s="1291"/>
      <c r="E99" s="1817"/>
      <c r="F99" s="3501" t="s">
        <v>1892</v>
      </c>
      <c r="G99" s="3502">
        <v>20</v>
      </c>
      <c r="H99" s="3618">
        <v>220.40695253993007</v>
      </c>
      <c r="I99" s="3498">
        <v>15.391550431563626</v>
      </c>
      <c r="J99" s="3498">
        <v>2.746959651275557</v>
      </c>
      <c r="K99" s="3498">
        <v>38.583040012533317</v>
      </c>
      <c r="L99" s="3498">
        <v>-3.4087640824917838</v>
      </c>
      <c r="M99" s="3619">
        <v>273.71973855281078</v>
      </c>
      <c r="N99" s="3618">
        <v>0</v>
      </c>
      <c r="O99" s="3620">
        <v>0</v>
      </c>
      <c r="P99" s="3619">
        <v>0</v>
      </c>
      <c r="Q99" s="3621">
        <v>273.71973855281078</v>
      </c>
      <c r="R99" s="3545">
        <v>0</v>
      </c>
      <c r="S99" s="3638">
        <v>273.71973855281078</v>
      </c>
      <c r="T99" s="2362"/>
      <c r="U99" s="1291"/>
      <c r="V99" s="3501" t="s">
        <v>1892</v>
      </c>
      <c r="W99" s="3502">
        <v>20</v>
      </c>
      <c r="X99" s="3618">
        <v>101.34983610063422</v>
      </c>
      <c r="Y99" s="3498">
        <v>7.0775041149893596</v>
      </c>
      <c r="Z99" s="3498">
        <v>1.2631357914238024</v>
      </c>
      <c r="AA99" s="3498">
        <v>17.741658039693817</v>
      </c>
      <c r="AB99" s="3498">
        <v>-1.567453644656162</v>
      </c>
      <c r="AC99" s="3619">
        <v>125.86468040208504</v>
      </c>
      <c r="AD99" s="3618">
        <v>0</v>
      </c>
      <c r="AE99" s="3620">
        <v>0</v>
      </c>
      <c r="AF99" s="3631">
        <v>0</v>
      </c>
      <c r="AG99" s="3629">
        <v>125.86468040208504</v>
      </c>
      <c r="AH99" s="4028">
        <v>0</v>
      </c>
      <c r="AI99" s="3638">
        <v>125.86468040208504</v>
      </c>
      <c r="AJ99" s="4029">
        <f t="shared" si="344"/>
        <v>12.586468040208505</v>
      </c>
      <c r="AK99" s="2346"/>
      <c r="AL99" s="3634">
        <v>3984.7963543793553</v>
      </c>
      <c r="AM99" s="3635">
        <v>4210.4952198914025</v>
      </c>
      <c r="AN99" s="3497">
        <v>29.603531586008483</v>
      </c>
      <c r="AO99" s="3608">
        <v>0</v>
      </c>
      <c r="AP99" s="2282"/>
      <c r="AQ99" s="2282"/>
      <c r="AR99" s="2282"/>
      <c r="AS99" s="1291"/>
      <c r="AT99" s="3521" t="s">
        <v>1892</v>
      </c>
      <c r="AU99" s="3649">
        <v>20</v>
      </c>
      <c r="AV99" s="3655">
        <v>220.40695253993007</v>
      </c>
      <c r="AW99" s="3524">
        <v>15.391550431563626</v>
      </c>
      <c r="AX99" s="3524">
        <v>2.746959651275557</v>
      </c>
      <c r="AY99" s="3524">
        <v>38.583040012533317</v>
      </c>
      <c r="AZ99" s="3524">
        <v>-3.4087640824917838</v>
      </c>
      <c r="BA99" s="3656">
        <v>273.71973855281078</v>
      </c>
      <c r="BB99" s="3655">
        <v>0</v>
      </c>
      <c r="BC99" s="3657">
        <v>0</v>
      </c>
      <c r="BD99" s="3658">
        <v>0</v>
      </c>
      <c r="BE99" s="3695">
        <v>273.71973855281078</v>
      </c>
      <c r="BF99" s="3545">
        <v>0</v>
      </c>
      <c r="BG99" s="3638">
        <v>273.71973855281078</v>
      </c>
      <c r="BH99" s="2362"/>
      <c r="BI99" s="1291"/>
      <c r="BJ99" s="3521" t="s">
        <v>1892</v>
      </c>
      <c r="BK99" s="3522">
        <v>20</v>
      </c>
      <c r="BL99" s="3655">
        <v>101.34983610063422</v>
      </c>
      <c r="BM99" s="3524">
        <v>7.0775041149893596</v>
      </c>
      <c r="BN99" s="3524">
        <v>1.2631357914238024</v>
      </c>
      <c r="BO99" s="3524">
        <v>17.741658039693817</v>
      </c>
      <c r="BP99" s="3524">
        <v>-1.567453644656162</v>
      </c>
      <c r="BQ99" s="3666">
        <v>125.86468040208504</v>
      </c>
      <c r="BR99" s="3655">
        <v>0</v>
      </c>
      <c r="BS99" s="3657">
        <v>0</v>
      </c>
      <c r="BT99" s="3656">
        <v>0</v>
      </c>
      <c r="BU99" s="3667">
        <v>125.86468040208504</v>
      </c>
      <c r="BV99" s="3642">
        <v>0</v>
      </c>
      <c r="BW99" s="3638">
        <v>125.86468040208504</v>
      </c>
      <c r="BX99" s="3638">
        <f t="shared" si="345"/>
        <v>12.586468040208505</v>
      </c>
      <c r="BY99" s="1291"/>
      <c r="BZ99" s="3670">
        <v>3984.7963543793553</v>
      </c>
      <c r="CA99" s="3671">
        <v>4210.4952198914025</v>
      </c>
      <c r="CB99" s="3523">
        <v>29.603531586008483</v>
      </c>
      <c r="CC99" s="3526">
        <v>0</v>
      </c>
      <c r="CD99" s="2362"/>
      <c r="CE99" s="2362"/>
      <c r="CF99" s="2362"/>
      <c r="CG99" s="2346"/>
      <c r="CH99" s="2410" t="str">
        <f t="shared" si="279"/>
        <v>Solar Photovoltaic (Single Axis) 20 MW</v>
      </c>
      <c r="CI99" s="2411">
        <f t="shared" si="280"/>
        <v>20</v>
      </c>
      <c r="CJ99" s="2412">
        <f t="shared" si="281"/>
        <v>0</v>
      </c>
      <c r="CK99" s="3674">
        <f t="shared" si="282"/>
        <v>0</v>
      </c>
      <c r="CL99" s="3674">
        <f t="shared" si="283"/>
        <v>0</v>
      </c>
      <c r="CM99" s="3674">
        <f t="shared" si="284"/>
        <v>0</v>
      </c>
      <c r="CN99" s="3674">
        <f t="shared" si="285"/>
        <v>0</v>
      </c>
      <c r="CO99" s="3678">
        <f t="shared" si="286"/>
        <v>0</v>
      </c>
      <c r="CP99" s="3679">
        <f t="shared" si="287"/>
        <v>0</v>
      </c>
      <c r="CQ99" s="3680">
        <f t="shared" si="288"/>
        <v>0</v>
      </c>
      <c r="CR99" s="3678">
        <f t="shared" si="289"/>
        <v>0</v>
      </c>
      <c r="CS99" s="3681">
        <f t="shared" ref="CS99:CU104" si="361">IF($G99=0,"",BE99-Q99)</f>
        <v>0</v>
      </c>
      <c r="CT99" s="3646">
        <f t="shared" si="361"/>
        <v>0</v>
      </c>
      <c r="CU99" s="3638">
        <f t="shared" si="361"/>
        <v>0</v>
      </c>
      <c r="CV99" s="2362"/>
      <c r="CW99" s="2341"/>
      <c r="CX99" s="2410" t="str">
        <f t="shared" si="291"/>
        <v>Solar Photovoltaic (Single Axis) 20 MW</v>
      </c>
      <c r="CY99" s="2411">
        <f t="shared" si="292"/>
        <v>20</v>
      </c>
      <c r="CZ99" s="2412">
        <f t="shared" si="293"/>
        <v>0</v>
      </c>
      <c r="DA99" s="3674">
        <f t="shared" si="294"/>
        <v>0</v>
      </c>
      <c r="DB99" s="3674">
        <f t="shared" si="295"/>
        <v>0</v>
      </c>
      <c r="DC99" s="3674">
        <f t="shared" si="296"/>
        <v>0</v>
      </c>
      <c r="DD99" s="3674">
        <f t="shared" si="297"/>
        <v>0</v>
      </c>
      <c r="DE99" s="3678">
        <f t="shared" si="298"/>
        <v>0</v>
      </c>
      <c r="DF99" s="3679">
        <f t="shared" si="299"/>
        <v>0</v>
      </c>
      <c r="DG99" s="3680">
        <f t="shared" si="300"/>
        <v>0</v>
      </c>
      <c r="DH99" s="3678">
        <f t="shared" si="301"/>
        <v>0</v>
      </c>
      <c r="DI99" s="3681">
        <f t="shared" ref="DI99:DL104" si="362">IF($G99=0,"",BU99-AG99)</f>
        <v>0</v>
      </c>
      <c r="DJ99" s="3646">
        <f t="shared" si="362"/>
        <v>0</v>
      </c>
      <c r="DK99" s="3638">
        <f t="shared" si="362"/>
        <v>0</v>
      </c>
      <c r="DL99" s="3638">
        <f t="shared" si="362"/>
        <v>0</v>
      </c>
      <c r="DM99" s="2341"/>
      <c r="DN99" s="3687">
        <f t="shared" si="303"/>
        <v>0</v>
      </c>
      <c r="DO99" s="3688">
        <f t="shared" si="304"/>
        <v>0</v>
      </c>
      <c r="DP99" s="3687">
        <f t="shared" si="305"/>
        <v>0</v>
      </c>
      <c r="DQ99" s="3689">
        <f t="shared" si="306"/>
        <v>0</v>
      </c>
      <c r="DT99" s="2288" t="str">
        <f t="shared" si="307"/>
        <v>Solar Photovoltaic (Single Axis) 20 MW</v>
      </c>
      <c r="DU99" s="2289">
        <f t="shared" si="308"/>
        <v>20</v>
      </c>
      <c r="DV99" s="2373">
        <f t="shared" si="309"/>
        <v>0</v>
      </c>
      <c r="DW99" s="2373">
        <f t="shared" si="310"/>
        <v>0</v>
      </c>
      <c r="DX99" s="2788">
        <f t="shared" si="346"/>
        <v>0</v>
      </c>
      <c r="DY99" s="3693">
        <f t="shared" si="311"/>
        <v>0</v>
      </c>
      <c r="DZ99" s="3693">
        <f t="shared" si="312"/>
        <v>0</v>
      </c>
      <c r="EA99" s="3369">
        <f t="shared" si="313"/>
        <v>0</v>
      </c>
      <c r="EB99" s="2374" t="str">
        <f t="shared" si="347"/>
        <v>0.00%</v>
      </c>
      <c r="EC99" s="3950" t="str">
        <f t="shared" si="348"/>
        <v>0.00%</v>
      </c>
      <c r="ED99" s="3369" t="str">
        <f t="shared" si="349"/>
        <v>0.00%</v>
      </c>
      <c r="EE99" s="2374">
        <f t="shared" ref="EE99:EG104" si="363">IF($H99=0,"",CS99/Q99)</f>
        <v>0</v>
      </c>
      <c r="EF99" s="3641" t="e">
        <f t="shared" si="363"/>
        <v>#DIV/0!</v>
      </c>
      <c r="EG99" s="3641">
        <f t="shared" si="363"/>
        <v>0</v>
      </c>
      <c r="EH99" s="2329"/>
      <c r="EJ99" s="2288" t="str">
        <f t="shared" si="350"/>
        <v>Solar Photovoltaic (Single Axis) 20 MW</v>
      </c>
      <c r="EK99" s="2289">
        <f t="shared" si="350"/>
        <v>20</v>
      </c>
      <c r="EL99" s="2788">
        <f t="shared" si="315"/>
        <v>0</v>
      </c>
      <c r="EM99" s="3693">
        <f t="shared" si="316"/>
        <v>0</v>
      </c>
      <c r="EN99" s="3370">
        <f t="shared" si="360"/>
        <v>0</v>
      </c>
      <c r="EO99" s="3693">
        <f t="shared" si="318"/>
        <v>0</v>
      </c>
      <c r="EP99" s="3693">
        <f t="shared" si="319"/>
        <v>0</v>
      </c>
      <c r="EQ99" s="3369">
        <f t="shared" si="320"/>
        <v>0</v>
      </c>
      <c r="ER99" s="2788" t="str">
        <f t="shared" si="321"/>
        <v>0.00%</v>
      </c>
      <c r="ES99" s="3693" t="str">
        <f t="shared" si="322"/>
        <v>0.00%</v>
      </c>
      <c r="ET99" s="3369" t="str">
        <f t="shared" si="323"/>
        <v>0.00%</v>
      </c>
      <c r="EU99" s="2374">
        <f t="shared" ref="EU99:EW104" si="364">IF($H99=0,"",DI99/AG99)</f>
        <v>0</v>
      </c>
      <c r="EV99" s="3641" t="e">
        <f t="shared" si="364"/>
        <v>#DIV/0!</v>
      </c>
      <c r="EW99" s="3641">
        <f t="shared" si="364"/>
        <v>0</v>
      </c>
      <c r="EY99" s="2288" t="str">
        <f t="shared" si="351"/>
        <v>Solar Photovoltaic (Single Axis) 20 MW</v>
      </c>
      <c r="EZ99" s="2288">
        <f t="shared" si="352"/>
        <v>20</v>
      </c>
      <c r="FA99" s="2373">
        <f t="shared" si="353"/>
        <v>0</v>
      </c>
      <c r="FB99" s="2373">
        <f t="shared" si="325"/>
        <v>0</v>
      </c>
      <c r="FC99" s="2788">
        <f t="shared" si="326"/>
        <v>0</v>
      </c>
      <c r="FD99" s="3693">
        <f t="shared" si="327"/>
        <v>0</v>
      </c>
      <c r="FE99" s="3693">
        <f t="shared" si="328"/>
        <v>0</v>
      </c>
      <c r="FF99" s="3369">
        <f t="shared" si="329"/>
        <v>0</v>
      </c>
      <c r="FG99" s="2374" t="e">
        <f t="shared" si="330"/>
        <v>#DIV/0!</v>
      </c>
      <c r="FH99" s="3950" t="e">
        <f t="shared" si="331"/>
        <v>#DIV/0!</v>
      </c>
      <c r="FI99" s="3369" t="e">
        <f t="shared" si="332"/>
        <v>#DIV/0!</v>
      </c>
      <c r="FJ99" s="2374">
        <f t="shared" si="333"/>
        <v>0</v>
      </c>
      <c r="FK99" s="3641" t="e">
        <f t="shared" si="354"/>
        <v>#DIV/0!</v>
      </c>
      <c r="FL99" s="3641">
        <f t="shared" si="334"/>
        <v>0</v>
      </c>
      <c r="FO99" s="2288" t="str">
        <f t="shared" si="355"/>
        <v>Solar Photovoltaic (Single Axis) 20 MW</v>
      </c>
      <c r="FP99" s="2288">
        <f t="shared" si="356"/>
        <v>20</v>
      </c>
      <c r="FQ99" s="2788">
        <f t="shared" si="357"/>
        <v>0</v>
      </c>
      <c r="FR99" s="3693">
        <f t="shared" si="335"/>
        <v>0</v>
      </c>
      <c r="FS99" s="3370">
        <f t="shared" si="336"/>
        <v>0</v>
      </c>
      <c r="FT99" s="3693">
        <f t="shared" si="337"/>
        <v>0</v>
      </c>
      <c r="FU99" s="3693">
        <f t="shared" si="338"/>
        <v>0</v>
      </c>
      <c r="FV99" s="3369">
        <f t="shared" si="339"/>
        <v>0</v>
      </c>
      <c r="FW99" s="2788" t="e">
        <f t="shared" si="340"/>
        <v>#DIV/0!</v>
      </c>
      <c r="FX99" s="3693" t="e">
        <f t="shared" si="341"/>
        <v>#DIV/0!</v>
      </c>
      <c r="FY99" s="3369" t="e">
        <f t="shared" si="342"/>
        <v>#DIV/0!</v>
      </c>
      <c r="FZ99" s="2374">
        <f t="shared" si="343"/>
        <v>0</v>
      </c>
      <c r="GA99" s="3641" t="e">
        <f t="shared" si="358"/>
        <v>#DIV/0!</v>
      </c>
      <c r="GB99" s="3641">
        <f t="shared" si="359"/>
        <v>0</v>
      </c>
    </row>
    <row r="100" spans="1:184">
      <c r="A100" s="1817"/>
      <c r="B100" s="1817"/>
      <c r="C100" s="1817"/>
      <c r="D100" s="1291"/>
      <c r="E100" s="1817"/>
      <c r="F100" s="3501" t="s">
        <v>1795</v>
      </c>
      <c r="G100" s="3502">
        <v>100</v>
      </c>
      <c r="H100" s="3497">
        <v>107.02171546560238</v>
      </c>
      <c r="I100" s="3498">
        <v>14.947170330871041</v>
      </c>
      <c r="J100" s="3498">
        <v>13.338251393909342</v>
      </c>
      <c r="K100" s="3498">
        <v>0</v>
      </c>
      <c r="L100" s="3498">
        <v>-1.6551736482074442</v>
      </c>
      <c r="M100" s="3615">
        <v>133.65196354217534</v>
      </c>
      <c r="N100" s="3497">
        <v>0</v>
      </c>
      <c r="O100" s="3498">
        <v>27.11796227840096</v>
      </c>
      <c r="P100" s="3615">
        <v>27.11796227840096</v>
      </c>
      <c r="Q100" s="3616">
        <v>160.7699258205763</v>
      </c>
      <c r="R100" s="3545">
        <v>0</v>
      </c>
      <c r="S100" s="3638">
        <v>160.7699258205763</v>
      </c>
      <c r="T100" s="2362"/>
      <c r="U100" s="1291"/>
      <c r="V100" s="3501" t="s">
        <v>1795</v>
      </c>
      <c r="W100" s="3502">
        <v>100</v>
      </c>
      <c r="X100" s="3497">
        <v>50.456670923355738</v>
      </c>
      <c r="Y100" s="3498">
        <v>7.0470226658112862</v>
      </c>
      <c r="Z100" s="3498">
        <v>6.2884785423924852</v>
      </c>
      <c r="AA100" s="3498">
        <v>0</v>
      </c>
      <c r="AB100" s="3498">
        <v>-0.78035146161953839</v>
      </c>
      <c r="AC100" s="3615">
        <v>63.011820669939965</v>
      </c>
      <c r="AD100" s="3497">
        <v>0</v>
      </c>
      <c r="AE100" s="3498">
        <v>12.785088454623285</v>
      </c>
      <c r="AF100" s="3630">
        <v>12.785088454623285</v>
      </c>
      <c r="AG100" s="3614">
        <v>75.796909124563257</v>
      </c>
      <c r="AH100" s="4028">
        <v>0</v>
      </c>
      <c r="AI100" s="3638">
        <v>75.796909124563257</v>
      </c>
      <c r="AJ100" s="4029">
        <f t="shared" si="344"/>
        <v>7.5796909124563259</v>
      </c>
      <c r="AK100" s="2346"/>
      <c r="AL100" s="3634">
        <v>1910.5228692064391</v>
      </c>
      <c r="AM100" s="3635">
        <v>2044.4655497464905</v>
      </c>
      <c r="AN100" s="3497">
        <v>0</v>
      </c>
      <c r="AO100" s="3608">
        <v>9.5154208669312972</v>
      </c>
      <c r="AP100" s="2282"/>
      <c r="AQ100" s="2282"/>
      <c r="AR100" s="2282"/>
      <c r="AS100" s="1291"/>
      <c r="AT100" s="3521" t="s">
        <v>1795</v>
      </c>
      <c r="AU100" s="3649">
        <v>100</v>
      </c>
      <c r="AV100" s="3523">
        <v>107.02171546560238</v>
      </c>
      <c r="AW100" s="3524">
        <v>14.947170330871041</v>
      </c>
      <c r="AX100" s="3524">
        <v>13.338251393909342</v>
      </c>
      <c r="AY100" s="3524">
        <v>0</v>
      </c>
      <c r="AZ100" s="3524">
        <v>-1.6551736482074442</v>
      </c>
      <c r="BA100" s="3652">
        <v>133.65196354217534</v>
      </c>
      <c r="BB100" s="3523">
        <v>0</v>
      </c>
      <c r="BC100" s="3524">
        <v>27.11796227840096</v>
      </c>
      <c r="BD100" s="3653">
        <v>27.11796227840096</v>
      </c>
      <c r="BE100" s="3695">
        <v>160.7699258205763</v>
      </c>
      <c r="BF100" s="3545">
        <v>0</v>
      </c>
      <c r="BG100" s="3638">
        <v>160.7699258205763</v>
      </c>
      <c r="BH100" s="2362"/>
      <c r="BI100" s="1291"/>
      <c r="BJ100" s="3521" t="s">
        <v>1795</v>
      </c>
      <c r="BK100" s="3522">
        <v>100</v>
      </c>
      <c r="BL100" s="3523">
        <v>50.456670923355738</v>
      </c>
      <c r="BM100" s="3524">
        <v>7.0470226658112862</v>
      </c>
      <c r="BN100" s="3524">
        <v>6.2884785423924852</v>
      </c>
      <c r="BO100" s="3524">
        <v>0</v>
      </c>
      <c r="BP100" s="3524">
        <v>-0.78035146161953839</v>
      </c>
      <c r="BQ100" s="3665">
        <v>63.011820669939965</v>
      </c>
      <c r="BR100" s="3523">
        <v>0</v>
      </c>
      <c r="BS100" s="3524">
        <v>12.785088454623285</v>
      </c>
      <c r="BT100" s="3652">
        <v>12.785088454623285</v>
      </c>
      <c r="BU100" s="3654">
        <v>75.796909124563257</v>
      </c>
      <c r="BV100" s="3642">
        <v>0</v>
      </c>
      <c r="BW100" s="3638">
        <v>75.796909124563257</v>
      </c>
      <c r="BX100" s="3638">
        <f t="shared" si="345"/>
        <v>7.5796909124563259</v>
      </c>
      <c r="BY100" s="1291"/>
      <c r="BZ100" s="3670">
        <v>1910.5228692064391</v>
      </c>
      <c r="CA100" s="3671">
        <v>2044.4655497464905</v>
      </c>
      <c r="CB100" s="3523">
        <v>0</v>
      </c>
      <c r="CC100" s="3526">
        <v>9.5154208669312972</v>
      </c>
      <c r="CD100" s="2362"/>
      <c r="CE100" s="2362"/>
      <c r="CF100" s="2362"/>
      <c r="CG100" s="2346"/>
      <c r="CH100" s="2410" t="str">
        <f t="shared" si="279"/>
        <v>Wind - Class 3 100 MW</v>
      </c>
      <c r="CI100" s="2411">
        <f t="shared" si="280"/>
        <v>100</v>
      </c>
      <c r="CJ100" s="2412">
        <f t="shared" si="281"/>
        <v>0</v>
      </c>
      <c r="CK100" s="3674">
        <f t="shared" si="282"/>
        <v>0</v>
      </c>
      <c r="CL100" s="3674">
        <f t="shared" si="283"/>
        <v>0</v>
      </c>
      <c r="CM100" s="3674">
        <f t="shared" si="284"/>
        <v>0</v>
      </c>
      <c r="CN100" s="3674">
        <f t="shared" si="285"/>
        <v>0</v>
      </c>
      <c r="CO100" s="3675">
        <f t="shared" si="286"/>
        <v>0</v>
      </c>
      <c r="CP100" s="3676">
        <f t="shared" si="287"/>
        <v>0</v>
      </c>
      <c r="CQ100" s="3674">
        <f t="shared" si="288"/>
        <v>0</v>
      </c>
      <c r="CR100" s="3675">
        <f t="shared" si="289"/>
        <v>0</v>
      </c>
      <c r="CS100" s="3677">
        <f t="shared" si="361"/>
        <v>0</v>
      </c>
      <c r="CT100" s="3545">
        <f t="shared" si="361"/>
        <v>0</v>
      </c>
      <c r="CU100" s="3638">
        <f t="shared" si="361"/>
        <v>0</v>
      </c>
      <c r="CV100" s="2362"/>
      <c r="CW100" s="2341"/>
      <c r="CX100" s="2410" t="str">
        <f t="shared" si="291"/>
        <v>Wind - Class 3 100 MW</v>
      </c>
      <c r="CY100" s="2411">
        <f t="shared" si="292"/>
        <v>100</v>
      </c>
      <c r="CZ100" s="2412">
        <f t="shared" si="293"/>
        <v>0</v>
      </c>
      <c r="DA100" s="3674">
        <f t="shared" si="294"/>
        <v>0</v>
      </c>
      <c r="DB100" s="3674">
        <f t="shared" si="295"/>
        <v>0</v>
      </c>
      <c r="DC100" s="3674">
        <f t="shared" si="296"/>
        <v>0</v>
      </c>
      <c r="DD100" s="3674">
        <f t="shared" si="297"/>
        <v>0</v>
      </c>
      <c r="DE100" s="3675">
        <f t="shared" si="298"/>
        <v>0</v>
      </c>
      <c r="DF100" s="3676">
        <f t="shared" si="299"/>
        <v>0</v>
      </c>
      <c r="DG100" s="3674">
        <f t="shared" si="300"/>
        <v>0</v>
      </c>
      <c r="DH100" s="3675">
        <f t="shared" si="301"/>
        <v>0</v>
      </c>
      <c r="DI100" s="3677">
        <f t="shared" si="362"/>
        <v>0</v>
      </c>
      <c r="DJ100" s="3545">
        <f t="shared" si="362"/>
        <v>0</v>
      </c>
      <c r="DK100" s="3638">
        <f t="shared" si="362"/>
        <v>0</v>
      </c>
      <c r="DL100" s="3638">
        <f t="shared" si="362"/>
        <v>0</v>
      </c>
      <c r="DM100" s="2341"/>
      <c r="DN100" s="3687">
        <f t="shared" si="303"/>
        <v>0</v>
      </c>
      <c r="DO100" s="3688">
        <f t="shared" si="304"/>
        <v>0</v>
      </c>
      <c r="DP100" s="3687">
        <f t="shared" si="305"/>
        <v>0</v>
      </c>
      <c r="DQ100" s="3689">
        <f t="shared" si="306"/>
        <v>0</v>
      </c>
      <c r="DT100" s="2288" t="str">
        <f t="shared" si="307"/>
        <v>Wind - Class 3 100 MW</v>
      </c>
      <c r="DU100" s="2289">
        <f t="shared" si="308"/>
        <v>100</v>
      </c>
      <c r="DV100" s="2373">
        <f t="shared" si="309"/>
        <v>0</v>
      </c>
      <c r="DW100" s="2373">
        <f t="shared" si="310"/>
        <v>0</v>
      </c>
      <c r="DX100" s="2788">
        <f>IF(J100=0,"0.00%",CL100/J100)</f>
        <v>0</v>
      </c>
      <c r="DY100" s="3693" t="e">
        <f t="shared" si="311"/>
        <v>#DIV/0!</v>
      </c>
      <c r="DZ100" s="3693">
        <f t="shared" si="312"/>
        <v>0</v>
      </c>
      <c r="EA100" s="3369">
        <f t="shared" si="313"/>
        <v>0</v>
      </c>
      <c r="EB100" s="2374" t="str">
        <f>IF(N100=0,"0.00%",CP100/N100)</f>
        <v>0.00%</v>
      </c>
      <c r="EC100" s="3950">
        <f>IF(O100=0,"0.00%",CQ100/O100)</f>
        <v>0</v>
      </c>
      <c r="ED100" s="3369">
        <f>IF(P100=0,"0.00%",CR100/P100)</f>
        <v>0</v>
      </c>
      <c r="EE100" s="2374">
        <f t="shared" si="363"/>
        <v>0</v>
      </c>
      <c r="EF100" s="3641" t="e">
        <f t="shared" si="363"/>
        <v>#DIV/0!</v>
      </c>
      <c r="EG100" s="3641">
        <f t="shared" si="363"/>
        <v>0</v>
      </c>
      <c r="EH100" s="2329"/>
      <c r="EJ100" s="2288" t="str">
        <f t="shared" si="350"/>
        <v>Wind - Class 3 100 MW</v>
      </c>
      <c r="EK100" s="2289">
        <f t="shared" si="350"/>
        <v>100</v>
      </c>
      <c r="EL100" s="2788">
        <f t="shared" si="315"/>
        <v>0</v>
      </c>
      <c r="EM100" s="3693">
        <f t="shared" si="316"/>
        <v>0</v>
      </c>
      <c r="EN100" s="3370">
        <f t="shared" si="360"/>
        <v>0</v>
      </c>
      <c r="EO100" s="3693" t="e">
        <f t="shared" si="318"/>
        <v>#DIV/0!</v>
      </c>
      <c r="EP100" s="3693">
        <f t="shared" si="319"/>
        <v>0</v>
      </c>
      <c r="EQ100" s="3369">
        <f t="shared" si="320"/>
        <v>0</v>
      </c>
      <c r="ER100" s="2788" t="str">
        <f t="shared" si="321"/>
        <v>0.00%</v>
      </c>
      <c r="ES100" s="3693">
        <f t="shared" si="322"/>
        <v>0</v>
      </c>
      <c r="ET100" s="3369">
        <f t="shared" si="323"/>
        <v>0</v>
      </c>
      <c r="EU100" s="2374">
        <f t="shared" si="364"/>
        <v>0</v>
      </c>
      <c r="EV100" s="3641" t="e">
        <f t="shared" si="364"/>
        <v>#DIV/0!</v>
      </c>
      <c r="EW100" s="3641">
        <f t="shared" si="364"/>
        <v>0</v>
      </c>
      <c r="EY100" s="2288" t="str">
        <f t="shared" si="351"/>
        <v>Wind - Class 3 100 MW</v>
      </c>
      <c r="EZ100" s="2288">
        <f t="shared" si="352"/>
        <v>100</v>
      </c>
      <c r="FA100" s="2373">
        <f t="shared" si="353"/>
        <v>0</v>
      </c>
      <c r="FB100" s="2373">
        <f t="shared" si="325"/>
        <v>0</v>
      </c>
      <c r="FC100" s="2788">
        <f t="shared" si="326"/>
        <v>0</v>
      </c>
      <c r="FD100" s="3693" t="e">
        <f t="shared" si="327"/>
        <v>#DIV/0!</v>
      </c>
      <c r="FE100" s="3693">
        <f t="shared" si="328"/>
        <v>0</v>
      </c>
      <c r="FF100" s="3369">
        <f t="shared" si="329"/>
        <v>0</v>
      </c>
      <c r="FG100" s="2374" t="e">
        <f t="shared" si="330"/>
        <v>#DIV/0!</v>
      </c>
      <c r="FH100" s="3950">
        <f t="shared" si="331"/>
        <v>0</v>
      </c>
      <c r="FI100" s="3369">
        <f t="shared" si="332"/>
        <v>0</v>
      </c>
      <c r="FJ100" s="2374">
        <f t="shared" si="333"/>
        <v>0</v>
      </c>
      <c r="FK100" s="3641" t="e">
        <f t="shared" si="354"/>
        <v>#DIV/0!</v>
      </c>
      <c r="FL100" s="3641">
        <f t="shared" si="334"/>
        <v>0</v>
      </c>
      <c r="FO100" s="2288" t="str">
        <f t="shared" si="355"/>
        <v>Wind - Class 3 100 MW</v>
      </c>
      <c r="FP100" s="2288">
        <f t="shared" si="356"/>
        <v>100</v>
      </c>
      <c r="FQ100" s="2788">
        <f t="shared" si="357"/>
        <v>0</v>
      </c>
      <c r="FR100" s="3693">
        <f t="shared" si="335"/>
        <v>0</v>
      </c>
      <c r="FS100" s="3370">
        <f t="shared" si="336"/>
        <v>0</v>
      </c>
      <c r="FT100" s="3693" t="e">
        <f t="shared" si="337"/>
        <v>#DIV/0!</v>
      </c>
      <c r="FU100" s="3693">
        <f t="shared" si="338"/>
        <v>0</v>
      </c>
      <c r="FV100" s="3369">
        <f t="shared" si="339"/>
        <v>0</v>
      </c>
      <c r="FW100" s="2788" t="e">
        <f t="shared" si="340"/>
        <v>#DIV/0!</v>
      </c>
      <c r="FX100" s="3693">
        <f t="shared" si="341"/>
        <v>0</v>
      </c>
      <c r="FY100" s="3369">
        <f t="shared" si="342"/>
        <v>0</v>
      </c>
      <c r="FZ100" s="2374">
        <f t="shared" si="343"/>
        <v>0</v>
      </c>
      <c r="GA100" s="3641" t="e">
        <f t="shared" si="358"/>
        <v>#DIV/0!</v>
      </c>
      <c r="GB100" s="3641">
        <f t="shared" si="359"/>
        <v>0</v>
      </c>
    </row>
    <row r="101" spans="1:184" ht="13.5" thickBot="1">
      <c r="A101" s="1817"/>
      <c r="B101" s="1817"/>
      <c r="C101" s="1817"/>
      <c r="D101" s="1291"/>
      <c r="E101" s="1817"/>
      <c r="F101" s="3622" t="s">
        <v>1796</v>
      </c>
      <c r="G101" s="3623">
        <v>100</v>
      </c>
      <c r="H101" s="3624">
        <v>102.07470334466792</v>
      </c>
      <c r="I101" s="3625">
        <v>14.256246694683794</v>
      </c>
      <c r="J101" s="3625">
        <v>12.721699033197574</v>
      </c>
      <c r="K101" s="3625">
        <v>0</v>
      </c>
      <c r="L101" s="3625">
        <v>-1.5786642775221518</v>
      </c>
      <c r="M101" s="3626">
        <v>127.47398479502714</v>
      </c>
      <c r="N101" s="3624">
        <v>0</v>
      </c>
      <c r="O101" s="3625">
        <v>26.074963729231708</v>
      </c>
      <c r="P101" s="3626">
        <v>26.074963729231708</v>
      </c>
      <c r="Q101" s="3627">
        <v>153.54894852425883</v>
      </c>
      <c r="R101" s="3545">
        <v>0</v>
      </c>
      <c r="S101" s="3638">
        <v>153.54894852425883</v>
      </c>
      <c r="T101" s="2362"/>
      <c r="U101" s="1291"/>
      <c r="V101" s="3622" t="s">
        <v>1796</v>
      </c>
      <c r="W101" s="3623">
        <v>100</v>
      </c>
      <c r="X101" s="3624">
        <v>50.0493164551552</v>
      </c>
      <c r="Y101" s="3625">
        <v>6.9901295708469124</v>
      </c>
      <c r="Z101" s="3625">
        <v>6.2377094411904288</v>
      </c>
      <c r="AA101" s="3625">
        <v>0</v>
      </c>
      <c r="AB101" s="3625">
        <v>-0.77405140953840867</v>
      </c>
      <c r="AC101" s="3626">
        <v>62.503104057654134</v>
      </c>
      <c r="AD101" s="3624">
        <v>0</v>
      </c>
      <c r="AE101" s="3625">
        <v>12.785088454623294</v>
      </c>
      <c r="AF101" s="3632">
        <v>12.785088454623294</v>
      </c>
      <c r="AG101" s="3628">
        <v>75.288192512277433</v>
      </c>
      <c r="AH101" s="4028">
        <v>0</v>
      </c>
      <c r="AI101" s="3638">
        <v>75.288192512277433</v>
      </c>
      <c r="AJ101" s="4029">
        <f t="shared" si="344"/>
        <v>7.528819251227743</v>
      </c>
      <c r="AK101" s="2346"/>
      <c r="AL101" s="3636">
        <v>1822.2101398676496</v>
      </c>
      <c r="AM101" s="3637">
        <v>1949.9614034484475</v>
      </c>
      <c r="AN101" s="3624">
        <v>0</v>
      </c>
      <c r="AO101" s="3610">
        <v>9.5154208669312972</v>
      </c>
      <c r="AP101" s="2282"/>
      <c r="AQ101" s="2282"/>
      <c r="AR101" s="2282"/>
      <c r="AS101" s="1291"/>
      <c r="AT101" s="3659" t="s">
        <v>1796</v>
      </c>
      <c r="AU101" s="3650">
        <v>100</v>
      </c>
      <c r="AV101" s="3660">
        <v>102.07470334466792</v>
      </c>
      <c r="AW101" s="3661">
        <v>14.256246694683794</v>
      </c>
      <c r="AX101" s="3661">
        <v>12.721699033197574</v>
      </c>
      <c r="AY101" s="3661">
        <v>0</v>
      </c>
      <c r="AZ101" s="3661">
        <v>-1.5786642775221518</v>
      </c>
      <c r="BA101" s="3662">
        <v>127.47398479502714</v>
      </c>
      <c r="BB101" s="3660">
        <v>0</v>
      </c>
      <c r="BC101" s="3661">
        <v>26.074963729231708</v>
      </c>
      <c r="BD101" s="3663">
        <v>26.074963729231708</v>
      </c>
      <c r="BE101" s="3696">
        <v>153.54894852425883</v>
      </c>
      <c r="BF101" s="3545">
        <v>0</v>
      </c>
      <c r="BG101" s="3638">
        <v>153.54894852425883</v>
      </c>
      <c r="BH101" s="2362"/>
      <c r="BI101" s="1291"/>
      <c r="BJ101" s="3659" t="s">
        <v>1796</v>
      </c>
      <c r="BK101" s="3668">
        <v>100</v>
      </c>
      <c r="BL101" s="3660">
        <v>50.0493164551552</v>
      </c>
      <c r="BM101" s="3661">
        <v>6.9901295708469124</v>
      </c>
      <c r="BN101" s="3661">
        <v>6.2377094411904288</v>
      </c>
      <c r="BO101" s="3661">
        <v>0</v>
      </c>
      <c r="BP101" s="3661">
        <v>-0.77405140953840867</v>
      </c>
      <c r="BQ101" s="3669">
        <v>62.503104057654134</v>
      </c>
      <c r="BR101" s="3660">
        <v>0</v>
      </c>
      <c r="BS101" s="3661">
        <v>12.785088454623294</v>
      </c>
      <c r="BT101" s="3662">
        <v>12.785088454623294</v>
      </c>
      <c r="BU101" s="3664">
        <v>75.288192512277433</v>
      </c>
      <c r="BV101" s="3642">
        <v>0</v>
      </c>
      <c r="BW101" s="3638">
        <v>75.288192512277433</v>
      </c>
      <c r="BX101" s="3638">
        <f t="shared" si="345"/>
        <v>7.528819251227743</v>
      </c>
      <c r="BY101" s="2341"/>
      <c r="BZ101" s="3672">
        <v>1822.2101398676496</v>
      </c>
      <c r="CA101" s="3673">
        <v>1949.9614034484475</v>
      </c>
      <c r="CB101" s="3660">
        <v>0</v>
      </c>
      <c r="CC101" s="3557">
        <v>9.5154208669312972</v>
      </c>
      <c r="CD101" s="2362"/>
      <c r="CE101" s="2362"/>
      <c r="CF101" s="2362"/>
      <c r="CG101" s="2346"/>
      <c r="CH101" s="2416" t="str">
        <f t="shared" si="279"/>
        <v>Wind - Class 4 100 MW</v>
      </c>
      <c r="CI101" s="2417">
        <f t="shared" si="280"/>
        <v>100</v>
      </c>
      <c r="CJ101" s="2418">
        <f t="shared" si="281"/>
        <v>0</v>
      </c>
      <c r="CK101" s="3682">
        <f t="shared" si="282"/>
        <v>0</v>
      </c>
      <c r="CL101" s="3682">
        <f t="shared" si="283"/>
        <v>0</v>
      </c>
      <c r="CM101" s="3682">
        <f t="shared" si="284"/>
        <v>0</v>
      </c>
      <c r="CN101" s="3682">
        <f t="shared" si="285"/>
        <v>0</v>
      </c>
      <c r="CO101" s="3683">
        <f t="shared" si="286"/>
        <v>0</v>
      </c>
      <c r="CP101" s="3684">
        <f t="shared" si="287"/>
        <v>0</v>
      </c>
      <c r="CQ101" s="3682">
        <f t="shared" si="288"/>
        <v>0</v>
      </c>
      <c r="CR101" s="3683">
        <f t="shared" si="289"/>
        <v>0</v>
      </c>
      <c r="CS101" s="3685">
        <f t="shared" si="361"/>
        <v>0</v>
      </c>
      <c r="CT101" s="3545">
        <f t="shared" si="361"/>
        <v>0</v>
      </c>
      <c r="CU101" s="3638">
        <f t="shared" si="361"/>
        <v>0</v>
      </c>
      <c r="CV101" s="2362"/>
      <c r="CW101" s="2341"/>
      <c r="CX101" s="2416" t="str">
        <f t="shared" si="291"/>
        <v>Wind - Class 4 100 MW</v>
      </c>
      <c r="CY101" s="2417">
        <f t="shared" si="292"/>
        <v>100</v>
      </c>
      <c r="CZ101" s="2418">
        <f t="shared" si="293"/>
        <v>0</v>
      </c>
      <c r="DA101" s="3682">
        <f t="shared" si="294"/>
        <v>0</v>
      </c>
      <c r="DB101" s="3682">
        <f t="shared" si="295"/>
        <v>0</v>
      </c>
      <c r="DC101" s="3682">
        <f t="shared" si="296"/>
        <v>0</v>
      </c>
      <c r="DD101" s="3682">
        <f t="shared" si="297"/>
        <v>0</v>
      </c>
      <c r="DE101" s="3683">
        <f t="shared" si="298"/>
        <v>0</v>
      </c>
      <c r="DF101" s="3684">
        <f t="shared" si="299"/>
        <v>0</v>
      </c>
      <c r="DG101" s="3682">
        <f t="shared" si="300"/>
        <v>0</v>
      </c>
      <c r="DH101" s="3683">
        <f t="shared" si="301"/>
        <v>0</v>
      </c>
      <c r="DI101" s="3685">
        <f t="shared" si="362"/>
        <v>0</v>
      </c>
      <c r="DJ101" s="3545">
        <f t="shared" si="362"/>
        <v>0</v>
      </c>
      <c r="DK101" s="3638">
        <f t="shared" si="362"/>
        <v>0</v>
      </c>
      <c r="DL101" s="3638">
        <f t="shared" si="362"/>
        <v>0</v>
      </c>
      <c r="DM101" s="2341"/>
      <c r="DN101" s="3947">
        <f t="shared" si="303"/>
        <v>0</v>
      </c>
      <c r="DO101" s="3948">
        <f t="shared" si="304"/>
        <v>0</v>
      </c>
      <c r="DP101" s="3947">
        <f t="shared" si="305"/>
        <v>0</v>
      </c>
      <c r="DQ101" s="3949">
        <f t="shared" si="306"/>
        <v>0</v>
      </c>
      <c r="DT101" s="2350" t="str">
        <f t="shared" si="307"/>
        <v>Wind - Class 4 100 MW</v>
      </c>
      <c r="DU101" s="2371">
        <f t="shared" si="308"/>
        <v>100</v>
      </c>
      <c r="DV101" s="2375">
        <f t="shared" si="309"/>
        <v>0</v>
      </c>
      <c r="DW101" s="2375">
        <f t="shared" si="310"/>
        <v>0</v>
      </c>
      <c r="DX101" s="2789">
        <f t="shared" ref="DX101" si="365">IF($J101=0,"",CL101/J101)</f>
        <v>0</v>
      </c>
      <c r="DY101" s="3694" t="e">
        <f t="shared" ref="DY101:DY102" si="366">IF($H101=0,"",CM101/K101)</f>
        <v>#DIV/0!</v>
      </c>
      <c r="DZ101" s="3694">
        <f t="shared" ref="DZ101:DZ102" si="367">IF($H101=0,"",CN101/L101)</f>
        <v>0</v>
      </c>
      <c r="EA101" s="2790">
        <f t="shared" si="313"/>
        <v>0</v>
      </c>
      <c r="EB101" s="2376" t="str">
        <f t="shared" ref="EB101" si="368">IF(N101=0,"0.00%",CP101/N101)</f>
        <v>0.00%</v>
      </c>
      <c r="EC101" s="3951">
        <f t="shared" ref="EC101:EC113" si="369">IF($P101=0,"",CQ101/O101)</f>
        <v>0</v>
      </c>
      <c r="ED101" s="2790">
        <f t="shared" ref="ED101:ED113" si="370">IF($P101=0,"",CR101/P101)</f>
        <v>0</v>
      </c>
      <c r="EE101" s="2376">
        <f t="shared" si="363"/>
        <v>0</v>
      </c>
      <c r="EF101" s="3641" t="e">
        <f t="shared" si="363"/>
        <v>#DIV/0!</v>
      </c>
      <c r="EG101" s="3641">
        <f t="shared" si="363"/>
        <v>0</v>
      </c>
      <c r="EH101" s="2329"/>
      <c r="EJ101" s="2350" t="str">
        <f t="shared" si="350"/>
        <v>Wind - Class 4 100 MW</v>
      </c>
      <c r="EK101" s="2371">
        <f t="shared" si="350"/>
        <v>100</v>
      </c>
      <c r="EL101" s="2789">
        <f t="shared" si="315"/>
        <v>0</v>
      </c>
      <c r="EM101" s="3694">
        <f t="shared" si="316"/>
        <v>0</v>
      </c>
      <c r="EN101" s="2791">
        <f t="shared" ref="EN101" si="371">IF($DX101="","",DB101/Z101)</f>
        <v>0</v>
      </c>
      <c r="EO101" s="3694" t="e">
        <f t="shared" ref="EO101:EO113" si="372">IF($H101=0,"",DC101/AA101)</f>
        <v>#DIV/0!</v>
      </c>
      <c r="EP101" s="3694">
        <f t="shared" ref="EP101:EP113" si="373">IF($H101=0,"",DD101/AB101)</f>
        <v>0</v>
      </c>
      <c r="EQ101" s="2790">
        <f t="shared" ref="EQ101:EQ113" si="374">IF($H101=0,"",DE101/AC101)</f>
        <v>0</v>
      </c>
      <c r="ER101" s="2789" t="str">
        <f t="shared" si="321"/>
        <v>0.00%</v>
      </c>
      <c r="ES101" s="3694">
        <f t="shared" ref="ES101:ES113" si="375">IF(EC101="","",DG101/AE101)</f>
        <v>0</v>
      </c>
      <c r="ET101" s="2790">
        <f t="shared" ref="ET101:ET113" si="376">IF(ED101="","",DH101/AF101)</f>
        <v>0</v>
      </c>
      <c r="EU101" s="2376">
        <f t="shared" si="364"/>
        <v>0</v>
      </c>
      <c r="EV101" s="3641" t="e">
        <f t="shared" si="364"/>
        <v>#DIV/0!</v>
      </c>
      <c r="EW101" s="3641">
        <f t="shared" si="364"/>
        <v>0</v>
      </c>
      <c r="EY101" s="2350" t="str">
        <f t="shared" si="351"/>
        <v>Wind - Class 4 100 MW</v>
      </c>
      <c r="EZ101" s="2350">
        <f t="shared" si="352"/>
        <v>100</v>
      </c>
      <c r="FA101" s="2375">
        <f t="shared" si="353"/>
        <v>0</v>
      </c>
      <c r="FB101" s="2375">
        <f t="shared" si="325"/>
        <v>0</v>
      </c>
      <c r="FC101" s="2789">
        <f t="shared" si="326"/>
        <v>0</v>
      </c>
      <c r="FD101" s="3694" t="e">
        <f t="shared" si="327"/>
        <v>#DIV/0!</v>
      </c>
      <c r="FE101" s="3694">
        <f t="shared" si="328"/>
        <v>0</v>
      </c>
      <c r="FF101" s="2790">
        <f t="shared" si="329"/>
        <v>0</v>
      </c>
      <c r="FG101" s="2376" t="e">
        <f t="shared" si="330"/>
        <v>#DIV/0!</v>
      </c>
      <c r="FH101" s="3951">
        <f t="shared" si="331"/>
        <v>0</v>
      </c>
      <c r="FI101" s="2790">
        <f t="shared" si="332"/>
        <v>0</v>
      </c>
      <c r="FJ101" s="2376">
        <f t="shared" si="333"/>
        <v>0</v>
      </c>
      <c r="FK101" s="3641" t="e">
        <f t="shared" si="354"/>
        <v>#DIV/0!</v>
      </c>
      <c r="FL101" s="3641">
        <f t="shared" si="334"/>
        <v>0</v>
      </c>
      <c r="FO101" s="2288" t="str">
        <f t="shared" si="355"/>
        <v>Wind - Class 4 100 MW</v>
      </c>
      <c r="FP101" s="2288">
        <f t="shared" si="356"/>
        <v>100</v>
      </c>
      <c r="FQ101" s="2789">
        <f t="shared" si="357"/>
        <v>0</v>
      </c>
      <c r="FR101" s="3694">
        <f t="shared" si="335"/>
        <v>0</v>
      </c>
      <c r="FS101" s="2791">
        <f t="shared" si="336"/>
        <v>0</v>
      </c>
      <c r="FT101" s="3694" t="e">
        <f t="shared" si="337"/>
        <v>#DIV/0!</v>
      </c>
      <c r="FU101" s="3694">
        <f t="shared" si="338"/>
        <v>0</v>
      </c>
      <c r="FV101" s="2790">
        <f t="shared" si="339"/>
        <v>0</v>
      </c>
      <c r="FW101" s="2789" t="e">
        <f t="shared" si="340"/>
        <v>#DIV/0!</v>
      </c>
      <c r="FX101" s="3694">
        <f t="shared" si="341"/>
        <v>0</v>
      </c>
      <c r="FY101" s="2790">
        <f t="shared" si="342"/>
        <v>0</v>
      </c>
      <c r="FZ101" s="2376">
        <f t="shared" si="343"/>
        <v>0</v>
      </c>
      <c r="GA101" s="3641" t="e">
        <f t="shared" si="358"/>
        <v>#DIV/0!</v>
      </c>
      <c r="GB101" s="3641">
        <f t="shared" si="359"/>
        <v>0</v>
      </c>
    </row>
    <row r="102" spans="1:184" s="3533" customFormat="1">
      <c r="A102" s="3639"/>
      <c r="B102" s="3639"/>
      <c r="C102" s="3639"/>
      <c r="D102" s="3639"/>
      <c r="E102" s="3639"/>
      <c r="F102" s="2349"/>
      <c r="G102" s="2271"/>
      <c r="H102" s="2366"/>
      <c r="I102" s="2366"/>
      <c r="J102" s="2366"/>
      <c r="K102" s="2366"/>
      <c r="L102" s="2366"/>
      <c r="M102" s="2362"/>
      <c r="N102" s="2366"/>
      <c r="O102" s="2366"/>
      <c r="P102" s="2362"/>
      <c r="Q102" s="2362"/>
      <c r="R102" s="2366"/>
      <c r="S102" s="2362"/>
      <c r="T102" s="3638"/>
      <c r="U102" s="3639"/>
      <c r="V102" s="2349"/>
      <c r="W102" s="2271"/>
      <c r="X102" s="2366"/>
      <c r="Y102" s="2366"/>
      <c r="Z102" s="2366"/>
      <c r="AA102" s="2366"/>
      <c r="AB102" s="2366"/>
      <c r="AC102" s="2362"/>
      <c r="AD102" s="2366"/>
      <c r="AE102" s="2366"/>
      <c r="AF102" s="2362"/>
      <c r="AG102" s="2362"/>
      <c r="AH102" s="2332"/>
      <c r="AI102" s="2362"/>
      <c r="AJ102" s="2362"/>
      <c r="AK102" s="2349"/>
      <c r="AL102" s="3362"/>
      <c r="AM102" s="3362"/>
      <c r="AN102" s="2366"/>
      <c r="AO102" s="2366"/>
      <c r="AP102" s="2362"/>
      <c r="AQ102" s="2362"/>
      <c r="AR102" s="2362"/>
      <c r="AS102" s="2349"/>
      <c r="AT102" s="2349"/>
      <c r="AU102" s="2271"/>
      <c r="AV102" s="2366"/>
      <c r="AW102" s="2366"/>
      <c r="AX102" s="2366"/>
      <c r="AY102" s="2366"/>
      <c r="AZ102" s="2366"/>
      <c r="BA102" s="2362"/>
      <c r="BB102" s="2366"/>
      <c r="BC102" s="2366"/>
      <c r="BD102" s="3363"/>
      <c r="BE102" s="251"/>
      <c r="BF102" s="3545"/>
      <c r="BG102" s="3638"/>
      <c r="BH102" s="3638"/>
      <c r="BI102" s="3639"/>
      <c r="BJ102" s="2349"/>
      <c r="BK102" s="2271"/>
      <c r="BL102" s="2366"/>
      <c r="BM102" s="2366"/>
      <c r="BN102" s="2366"/>
      <c r="BO102" s="2366"/>
      <c r="BP102" s="2366"/>
      <c r="BQ102" s="3363"/>
      <c r="BR102" s="2366"/>
      <c r="BS102" s="2366"/>
      <c r="BT102" s="2362"/>
      <c r="BU102" s="2362"/>
      <c r="BV102" s="2168"/>
      <c r="BW102" s="2362"/>
      <c r="BX102" s="2362" t="str">
        <f t="shared" si="345"/>
        <v/>
      </c>
      <c r="BY102" s="2341"/>
      <c r="BZ102" s="2366"/>
      <c r="CA102" s="2366"/>
      <c r="CB102" s="2366"/>
      <c r="CC102" s="2366"/>
      <c r="CD102" s="2362"/>
      <c r="CE102" s="2362"/>
      <c r="CF102" s="2362"/>
      <c r="CG102" s="2349"/>
      <c r="CH102" s="2349" t="str">
        <f t="shared" si="279"/>
        <v/>
      </c>
      <c r="CI102" s="2271" t="str">
        <f t="shared" si="280"/>
        <v/>
      </c>
      <c r="CJ102" s="3364" t="str">
        <f t="shared" si="281"/>
        <v/>
      </c>
      <c r="CK102" s="2366" t="str">
        <f t="shared" si="282"/>
        <v/>
      </c>
      <c r="CL102" s="2366" t="str">
        <f t="shared" si="283"/>
        <v/>
      </c>
      <c r="CM102" s="2366" t="str">
        <f t="shared" si="284"/>
        <v/>
      </c>
      <c r="CN102" s="2366" t="str">
        <f t="shared" si="285"/>
        <v/>
      </c>
      <c r="CO102" s="2362" t="str">
        <f t="shared" si="286"/>
        <v/>
      </c>
      <c r="CP102" s="2366" t="str">
        <f t="shared" si="287"/>
        <v/>
      </c>
      <c r="CQ102" s="2366" t="str">
        <f t="shared" si="288"/>
        <v/>
      </c>
      <c r="CR102" s="2362" t="str">
        <f t="shared" si="289"/>
        <v/>
      </c>
      <c r="CS102" s="2362" t="str">
        <f t="shared" si="361"/>
        <v/>
      </c>
      <c r="CT102" s="2366" t="str">
        <f t="shared" si="361"/>
        <v/>
      </c>
      <c r="CU102" s="2362" t="str">
        <f t="shared" si="361"/>
        <v/>
      </c>
      <c r="CV102" s="2362"/>
      <c r="CW102" s="2349"/>
      <c r="CX102" s="2349" t="str">
        <f t="shared" si="291"/>
        <v/>
      </c>
      <c r="CY102" s="2271" t="str">
        <f t="shared" si="292"/>
        <v/>
      </c>
      <c r="CZ102" s="3364" t="str">
        <f t="shared" si="293"/>
        <v/>
      </c>
      <c r="DA102" s="2366" t="str">
        <f t="shared" si="294"/>
        <v/>
      </c>
      <c r="DB102" s="2366" t="str">
        <f t="shared" si="295"/>
        <v/>
      </c>
      <c r="DC102" s="2366" t="str">
        <f t="shared" si="296"/>
        <v/>
      </c>
      <c r="DD102" s="2366" t="str">
        <f t="shared" si="297"/>
        <v/>
      </c>
      <c r="DE102" s="2362" t="str">
        <f t="shared" si="298"/>
        <v/>
      </c>
      <c r="DF102" s="2366" t="str">
        <f t="shared" si="299"/>
        <v/>
      </c>
      <c r="DG102" s="2366" t="str">
        <f t="shared" si="300"/>
        <v/>
      </c>
      <c r="DH102" s="2362" t="str">
        <f t="shared" si="301"/>
        <v/>
      </c>
      <c r="DI102" s="2362" t="str">
        <f t="shared" si="362"/>
        <v/>
      </c>
      <c r="DJ102" s="2366" t="str">
        <f t="shared" si="362"/>
        <v/>
      </c>
      <c r="DK102" s="2362" t="str">
        <f t="shared" si="362"/>
        <v/>
      </c>
      <c r="DL102" s="2362" t="str">
        <f t="shared" si="362"/>
        <v/>
      </c>
      <c r="DM102" s="2335"/>
      <c r="DN102" s="3365" t="str">
        <f t="shared" si="303"/>
        <v/>
      </c>
      <c r="DO102" s="3365" t="str">
        <f t="shared" si="304"/>
        <v/>
      </c>
      <c r="DP102" s="3365" t="str">
        <f t="shared" si="305"/>
        <v/>
      </c>
      <c r="DQ102" s="3365" t="str">
        <f t="shared" si="306"/>
        <v/>
      </c>
      <c r="DR102" s="2335"/>
      <c r="DS102" s="2335"/>
      <c r="DT102" s="2349" t="str">
        <f t="shared" ref="DT102" si="377">IF(CH102=0, "",CH102)</f>
        <v/>
      </c>
      <c r="DU102" s="2271" t="str">
        <f t="shared" ref="DU102" si="378">IF(CI102=0, "",CI102)</f>
        <v/>
      </c>
      <c r="DV102" s="2622" t="str">
        <f t="shared" ref="DV102" si="379">IF($H102=0,"",CJ102/H102)</f>
        <v/>
      </c>
      <c r="DW102" s="2622" t="str">
        <f t="shared" ref="DW102" si="380">IF($H102=0,"",CK102/I102)</f>
        <v/>
      </c>
      <c r="DX102" s="2622" t="str">
        <f t="shared" ref="DX102" si="381">IF($J102=0,"",CL102/J102)</f>
        <v/>
      </c>
      <c r="DY102" s="2622" t="str">
        <f t="shared" si="366"/>
        <v/>
      </c>
      <c r="DZ102" s="2622" t="str">
        <f t="shared" si="367"/>
        <v/>
      </c>
      <c r="EA102" s="2622" t="str">
        <f t="shared" ref="EA102" si="382">IF($H102=0,"",CO102/M102)</f>
        <v/>
      </c>
      <c r="EB102" s="2622"/>
      <c r="EC102" s="2622" t="str">
        <f t="shared" ref="EC102" si="383">IF($P102=0,"",CQ102/O102)</f>
        <v/>
      </c>
      <c r="ED102" s="2622" t="str">
        <f t="shared" ref="ED102" si="384">IF($P102=0,"",CR102/P102)</f>
        <v/>
      </c>
      <c r="EE102" s="2622" t="str">
        <f t="shared" ref="EE102" si="385">IF($H102=0,"",CS102/Q102)</f>
        <v/>
      </c>
      <c r="EF102" s="2622" t="str">
        <f t="shared" si="363"/>
        <v/>
      </c>
      <c r="EG102" s="2622" t="str">
        <f t="shared" si="363"/>
        <v/>
      </c>
      <c r="EH102" s="2335"/>
      <c r="EI102" s="2335"/>
      <c r="EJ102" s="2349" t="str">
        <f t="shared" si="350"/>
        <v/>
      </c>
      <c r="EK102" s="2271" t="str">
        <f t="shared" si="350"/>
        <v/>
      </c>
      <c r="EL102" s="2622" t="str">
        <f t="shared" si="315"/>
        <v/>
      </c>
      <c r="EM102" s="2622" t="str">
        <f t="shared" ref="EM102" si="386">IF($H102=0,"",DA102/Y102)</f>
        <v/>
      </c>
      <c r="EN102" s="2622" t="str">
        <f t="shared" ref="EN102" si="387">IF($DX102="","",DB102/Z102)</f>
        <v/>
      </c>
      <c r="EO102" s="2622" t="str">
        <f t="shared" si="372"/>
        <v/>
      </c>
      <c r="EP102" s="2622" t="str">
        <f t="shared" si="373"/>
        <v/>
      </c>
      <c r="EQ102" s="2622" t="str">
        <f t="shared" si="374"/>
        <v/>
      </c>
      <c r="ER102" s="2622" t="str">
        <f t="shared" ref="ER102:ER113" si="388">IF(EB102="","",DF102/AD102)</f>
        <v/>
      </c>
      <c r="ES102" s="2622" t="str">
        <f t="shared" si="375"/>
        <v/>
      </c>
      <c r="ET102" s="2622" t="str">
        <f t="shared" si="376"/>
        <v/>
      </c>
      <c r="EU102" s="2622" t="str">
        <f t="shared" si="364"/>
        <v/>
      </c>
      <c r="EV102" s="3641" t="str">
        <f t="shared" si="364"/>
        <v/>
      </c>
      <c r="EW102" s="3641" t="str">
        <f t="shared" si="364"/>
        <v/>
      </c>
      <c r="EY102" s="2349" t="str">
        <f t="shared" si="351"/>
        <v/>
      </c>
      <c r="EZ102" s="2271" t="str">
        <f t="shared" si="352"/>
        <v/>
      </c>
      <c r="FA102" s="2622" t="str">
        <f t="shared" ref="FA102:FA113" si="389">IF($H102=0,"",DO102/AM102)</f>
        <v/>
      </c>
      <c r="FB102" s="2622"/>
      <c r="FC102" s="2622"/>
      <c r="FD102" s="2622"/>
      <c r="FE102" s="2622"/>
      <c r="FF102" s="2622"/>
      <c r="FG102" s="2622"/>
      <c r="FH102" s="2622"/>
      <c r="FI102" s="2622"/>
      <c r="FJ102" s="2622"/>
      <c r="FK102" s="2622"/>
      <c r="FL102" s="2622"/>
      <c r="FM102" s="2335"/>
      <c r="FN102" s="2335"/>
      <c r="FO102" s="2349" t="str">
        <f t="shared" ref="FO102" si="390">EY102</f>
        <v/>
      </c>
      <c r="FP102" s="2271" t="str">
        <f t="shared" ref="FP102" si="391">EZ102</f>
        <v/>
      </c>
      <c r="FQ102" s="2622"/>
      <c r="FR102" s="2622"/>
      <c r="FS102" s="2622"/>
      <c r="FT102" s="2622"/>
      <c r="FU102" s="2622"/>
      <c r="FV102" s="2622"/>
      <c r="FW102" s="2622"/>
      <c r="FX102" s="2622"/>
      <c r="FY102" s="2622"/>
      <c r="FZ102" s="2622"/>
      <c r="GA102" s="3641" t="str">
        <f t="shared" ref="GA102:GA104" si="392">IF($H102=0,"",EO102/BM102)</f>
        <v/>
      </c>
      <c r="GB102" s="3641" t="str">
        <f t="shared" ref="GB102:GB113" si="393">IF($H102=0,"",EP102/BN102)</f>
        <v/>
      </c>
    </row>
    <row r="103" spans="1:184" s="2332" customFormat="1">
      <c r="A103" s="2328"/>
      <c r="B103" s="2328"/>
      <c r="C103" s="2328"/>
      <c r="D103" s="2349"/>
      <c r="E103" s="2328"/>
      <c r="F103" s="2349"/>
      <c r="G103" s="2271"/>
      <c r="H103" s="2366"/>
      <c r="I103" s="2366"/>
      <c r="J103" s="2366"/>
      <c r="K103" s="2366"/>
      <c r="L103" s="2366"/>
      <c r="M103" s="2362"/>
      <c r="N103" s="2366"/>
      <c r="O103" s="2366"/>
      <c r="P103" s="2362"/>
      <c r="Q103" s="2362"/>
      <c r="R103" s="2366"/>
      <c r="S103" s="2362"/>
      <c r="T103" s="2362"/>
      <c r="U103" s="2349"/>
      <c r="V103" s="2349"/>
      <c r="W103" s="2271"/>
      <c r="X103" s="2366"/>
      <c r="Y103" s="2366"/>
      <c r="Z103" s="2366"/>
      <c r="AA103" s="2366"/>
      <c r="AB103" s="2366"/>
      <c r="AC103" s="2362"/>
      <c r="AD103" s="2366"/>
      <c r="AE103" s="2366"/>
      <c r="AF103" s="2362"/>
      <c r="AG103" s="2362"/>
      <c r="AI103" s="2362"/>
      <c r="AJ103" s="2362" t="str">
        <f>IF(W103=0,"",AI103/10)</f>
        <v/>
      </c>
      <c r="AK103" s="2349"/>
      <c r="AL103" s="3362"/>
      <c r="AM103" s="3362"/>
      <c r="AN103" s="2366"/>
      <c r="AO103" s="2366"/>
      <c r="AP103" s="2362"/>
      <c r="AQ103" s="2362"/>
      <c r="AR103" s="2362"/>
      <c r="AS103" s="2349"/>
      <c r="AT103" s="2349"/>
      <c r="AU103" s="2271"/>
      <c r="AV103" s="2366"/>
      <c r="AW103" s="2366"/>
      <c r="AX103" s="2366"/>
      <c r="AY103" s="2366"/>
      <c r="AZ103" s="2366"/>
      <c r="BA103" s="2362"/>
      <c r="BB103" s="2366"/>
      <c r="BC103" s="2366"/>
      <c r="BD103" s="3363"/>
      <c r="BE103" s="251"/>
      <c r="BF103" s="2366"/>
      <c r="BG103" s="2362"/>
      <c r="BH103" s="2362"/>
      <c r="BI103" s="2349"/>
      <c r="BJ103" s="2349"/>
      <c r="BK103" s="2271"/>
      <c r="BL103" s="2366"/>
      <c r="BM103" s="2366"/>
      <c r="BN103" s="2366"/>
      <c r="BO103" s="2366"/>
      <c r="BP103" s="2366"/>
      <c r="BQ103" s="3363"/>
      <c r="BR103" s="2366"/>
      <c r="BS103" s="2366"/>
      <c r="BT103" s="2362"/>
      <c r="BU103" s="2362"/>
      <c r="BV103" s="2168"/>
      <c r="BW103" s="2362"/>
      <c r="BX103" s="2362" t="str">
        <f t="shared" si="345"/>
        <v/>
      </c>
      <c r="BY103" s="2349"/>
      <c r="BZ103" s="2366"/>
      <c r="CA103" s="2366"/>
      <c r="CB103" s="2366"/>
      <c r="CC103" s="2366"/>
      <c r="CD103" s="2362"/>
      <c r="CE103" s="2362"/>
      <c r="CF103" s="2362"/>
      <c r="CG103" s="2349"/>
      <c r="CH103" s="2349" t="str">
        <f t="shared" si="279"/>
        <v/>
      </c>
      <c r="CI103" s="2271" t="str">
        <f t="shared" si="280"/>
        <v/>
      </c>
      <c r="CJ103" s="3364" t="str">
        <f t="shared" si="281"/>
        <v/>
      </c>
      <c r="CK103" s="2366" t="str">
        <f t="shared" si="282"/>
        <v/>
      </c>
      <c r="CL103" s="2366" t="str">
        <f t="shared" si="283"/>
        <v/>
      </c>
      <c r="CM103" s="2366" t="str">
        <f t="shared" si="284"/>
        <v/>
      </c>
      <c r="CN103" s="2366" t="str">
        <f t="shared" si="285"/>
        <v/>
      </c>
      <c r="CO103" s="2362" t="str">
        <f t="shared" si="286"/>
        <v/>
      </c>
      <c r="CP103" s="2366" t="str">
        <f t="shared" si="287"/>
        <v/>
      </c>
      <c r="CQ103" s="2366" t="str">
        <f t="shared" si="288"/>
        <v/>
      </c>
      <c r="CR103" s="2362" t="str">
        <f t="shared" si="289"/>
        <v/>
      </c>
      <c r="CS103" s="2362" t="str">
        <f t="shared" si="361"/>
        <v/>
      </c>
      <c r="CT103" s="2366" t="str">
        <f t="shared" si="361"/>
        <v/>
      </c>
      <c r="CU103" s="2362" t="str">
        <f t="shared" si="361"/>
        <v/>
      </c>
      <c r="CV103" s="2362"/>
      <c r="CW103" s="2349"/>
      <c r="CX103" s="2349" t="str">
        <f t="shared" si="291"/>
        <v/>
      </c>
      <c r="CY103" s="2271" t="str">
        <f t="shared" si="292"/>
        <v/>
      </c>
      <c r="CZ103" s="3364" t="str">
        <f t="shared" si="293"/>
        <v/>
      </c>
      <c r="DA103" s="2366" t="str">
        <f t="shared" si="294"/>
        <v/>
      </c>
      <c r="DB103" s="2366" t="str">
        <f t="shared" si="295"/>
        <v/>
      </c>
      <c r="DC103" s="2366" t="str">
        <f t="shared" si="296"/>
        <v/>
      </c>
      <c r="DD103" s="2366" t="str">
        <f t="shared" si="297"/>
        <v/>
      </c>
      <c r="DE103" s="2362" t="str">
        <f t="shared" si="298"/>
        <v/>
      </c>
      <c r="DF103" s="2366" t="str">
        <f t="shared" si="299"/>
        <v/>
      </c>
      <c r="DG103" s="2366" t="str">
        <f t="shared" si="300"/>
        <v/>
      </c>
      <c r="DH103" s="2362" t="str">
        <f t="shared" si="301"/>
        <v/>
      </c>
      <c r="DI103" s="2362" t="str">
        <f t="shared" si="362"/>
        <v/>
      </c>
      <c r="DJ103" s="2366" t="str">
        <f t="shared" si="362"/>
        <v/>
      </c>
      <c r="DK103" s="2362" t="str">
        <f t="shared" si="362"/>
        <v/>
      </c>
      <c r="DL103" s="2362" t="str">
        <f t="shared" si="362"/>
        <v/>
      </c>
      <c r="DN103" s="3365" t="str">
        <f t="shared" si="303"/>
        <v/>
      </c>
      <c r="DO103" s="3365" t="str">
        <f t="shared" si="304"/>
        <v/>
      </c>
      <c r="DP103" s="3365" t="str">
        <f t="shared" si="305"/>
        <v/>
      </c>
      <c r="DQ103" s="3365" t="str">
        <f t="shared" si="306"/>
        <v/>
      </c>
      <c r="DT103" s="2349" t="str">
        <f t="shared" si="307"/>
        <v/>
      </c>
      <c r="DU103" s="2271" t="str">
        <f t="shared" si="308"/>
        <v/>
      </c>
      <c r="DV103" s="2622" t="str">
        <f t="shared" si="309"/>
        <v/>
      </c>
      <c r="DW103" s="2622"/>
      <c r="DX103" s="2622"/>
      <c r="DY103" s="2622" t="str">
        <f t="shared" si="311"/>
        <v/>
      </c>
      <c r="DZ103" s="2622" t="str">
        <f t="shared" si="312"/>
        <v/>
      </c>
      <c r="EA103" s="2622" t="str">
        <f t="shared" si="313"/>
        <v/>
      </c>
      <c r="EB103" s="2622" t="str">
        <f t="shared" ref="EB103:EB113" si="394">IF($N103=0,"",CP103/N103)</f>
        <v/>
      </c>
      <c r="EC103" s="2622" t="str">
        <f t="shared" si="369"/>
        <v/>
      </c>
      <c r="ED103" s="2622" t="str">
        <f t="shared" si="370"/>
        <v/>
      </c>
      <c r="EE103" s="2622" t="str">
        <f t="shared" si="363"/>
        <v/>
      </c>
      <c r="EF103" s="2622" t="str">
        <f t="shared" si="363"/>
        <v/>
      </c>
      <c r="EG103" s="2622" t="str">
        <f t="shared" si="363"/>
        <v/>
      </c>
      <c r="EJ103" s="2349" t="str">
        <f t="shared" si="350"/>
        <v/>
      </c>
      <c r="EK103" s="2271" t="str">
        <f t="shared" si="350"/>
        <v/>
      </c>
      <c r="EL103" s="2622" t="str">
        <f t="shared" si="315"/>
        <v/>
      </c>
      <c r="EM103" s="2622"/>
      <c r="EN103" s="2622"/>
      <c r="EO103" s="2622" t="str">
        <f t="shared" si="372"/>
        <v/>
      </c>
      <c r="EP103" s="2622" t="str">
        <f t="shared" si="373"/>
        <v/>
      </c>
      <c r="EQ103" s="2622" t="str">
        <f t="shared" si="374"/>
        <v/>
      </c>
      <c r="ER103" s="2622" t="str">
        <f t="shared" si="388"/>
        <v/>
      </c>
      <c r="ES103" s="2622" t="str">
        <f t="shared" si="375"/>
        <v/>
      </c>
      <c r="ET103" s="2622" t="str">
        <f t="shared" si="376"/>
        <v/>
      </c>
      <c r="EU103" s="2622" t="str">
        <f t="shared" si="364"/>
        <v/>
      </c>
      <c r="EV103" s="2622" t="str">
        <f t="shared" si="364"/>
        <v/>
      </c>
      <c r="EW103" s="2622" t="str">
        <f t="shared" si="364"/>
        <v/>
      </c>
      <c r="EY103" s="2349" t="str">
        <f t="shared" ref="EY103:EY113" si="395">IF(DM103=0, "",DM103)</f>
        <v/>
      </c>
      <c r="EZ103" s="2271" t="str">
        <f t="shared" ref="EZ103:EZ113" si="396">IF(DN103=0, "",DN103)</f>
        <v/>
      </c>
      <c r="FA103" s="2622" t="str">
        <f t="shared" si="389"/>
        <v/>
      </c>
      <c r="FB103" s="2622"/>
      <c r="FC103" s="2622"/>
      <c r="FD103" s="2622" t="str">
        <f t="shared" ref="FD103:FD113" si="397">IF($H103=0,"",DR103/AP103)</f>
        <v/>
      </c>
      <c r="FE103" s="2622" t="str">
        <f t="shared" ref="FE103:FE113" si="398">IF($H103=0,"",DS103/AQ103)</f>
        <v/>
      </c>
      <c r="FF103" s="2622" t="str">
        <f t="shared" ref="FF103:FF113" si="399">IF($H103=0,"",DT103/AR103)</f>
        <v/>
      </c>
      <c r="FG103" s="2622" t="str">
        <f t="shared" ref="FG103:FG113" si="400">IF($N103=0,"",DU103/AS103)</f>
        <v/>
      </c>
      <c r="FH103" s="2622" t="str">
        <f t="shared" ref="FH103:FH113" si="401">IF($P103=0,"",DV103/AT103)</f>
        <v/>
      </c>
      <c r="FI103" s="2622" t="str">
        <f t="shared" ref="FI103:FI113" si="402">IF($P103=0,"",DW103/AU103)</f>
        <v/>
      </c>
      <c r="FJ103" s="2622" t="str">
        <f t="shared" ref="FJ103:FJ104" si="403">IF($H103=0,"",DX103/AV103)</f>
        <v/>
      </c>
      <c r="FK103" s="2622" t="str">
        <f t="shared" ref="FK103:FK104" si="404">IF($H103=0,"",DY103/AW103)</f>
        <v/>
      </c>
      <c r="FL103" s="2622" t="str">
        <f t="shared" ref="FL103:FL104" si="405">IF($H103=0,"",DZ103/AX103)</f>
        <v/>
      </c>
      <c r="FO103" s="2349" t="str">
        <f t="shared" ref="FO103:FO113" si="406">IF(EC103=0, "",EC103)</f>
        <v/>
      </c>
      <c r="FP103" s="2271" t="str">
        <f t="shared" ref="FP103:FP113" si="407">IF(ED103=0, "",ED103)</f>
        <v/>
      </c>
      <c r="FQ103" s="2622" t="str">
        <f t="shared" ref="FQ103:FQ113" si="408">IF($H103=0,"",EE103/BC103)</f>
        <v/>
      </c>
      <c r="FR103" s="2622"/>
      <c r="FS103" s="2622"/>
      <c r="FT103" s="2622" t="str">
        <f t="shared" ref="FT103:FT113" si="409">IF($H103=0,"",EH103/BF103)</f>
        <v/>
      </c>
      <c r="FU103" s="2622" t="str">
        <f t="shared" ref="FU103:FU113" si="410">IF($H103=0,"",EI103/BG103)</f>
        <v/>
      </c>
      <c r="FV103" s="2622" t="str">
        <f t="shared" ref="FV103:FV113" si="411">IF($H103=0,"",EJ103/BH103)</f>
        <v/>
      </c>
      <c r="FW103" s="2622" t="str">
        <f t="shared" ref="FW103:FW113" si="412">IF(FG103="","",EK103/BI103)</f>
        <v/>
      </c>
      <c r="FX103" s="2622" t="str">
        <f t="shared" ref="FX103:FX113" si="413">IF(FH103="","",EL103/BJ103)</f>
        <v/>
      </c>
      <c r="FY103" s="2622" t="str">
        <f t="shared" ref="FY103:FY113" si="414">IF(FI103="","",EM103/BK103)</f>
        <v/>
      </c>
      <c r="FZ103" s="2622" t="str">
        <f t="shared" ref="FZ103:FZ104" si="415">IF($H103=0,"",EN103/BL103)</f>
        <v/>
      </c>
      <c r="GA103" s="2622" t="str">
        <f t="shared" si="392"/>
        <v/>
      </c>
      <c r="GB103" s="2622" t="str">
        <f t="shared" si="393"/>
        <v/>
      </c>
    </row>
    <row r="104" spans="1:184" s="2332" customFormat="1">
      <c r="A104" s="2328"/>
      <c r="B104" s="2328"/>
      <c r="C104" s="2328"/>
      <c r="D104" s="2349"/>
      <c r="E104" s="2328"/>
      <c r="F104" s="2349"/>
      <c r="G104" s="2271"/>
      <c r="H104" s="2366"/>
      <c r="I104" s="2366"/>
      <c r="J104" s="2366"/>
      <c r="K104" s="2366"/>
      <c r="L104" s="2366"/>
      <c r="M104" s="2362"/>
      <c r="N104" s="2366"/>
      <c r="O104" s="2366"/>
      <c r="P104" s="2362"/>
      <c r="Q104" s="2362"/>
      <c r="R104" s="2366"/>
      <c r="S104" s="2362"/>
      <c r="T104" s="2362"/>
      <c r="U104" s="2349"/>
      <c r="V104" s="2349"/>
      <c r="W104" s="2271"/>
      <c r="X104" s="2366"/>
      <c r="Y104" s="2366"/>
      <c r="Z104" s="2366"/>
      <c r="AA104" s="2366"/>
      <c r="AB104" s="2366"/>
      <c r="AC104" s="2362"/>
      <c r="AD104" s="2366"/>
      <c r="AE104" s="2366"/>
      <c r="AF104" s="2362"/>
      <c r="AG104" s="2362"/>
      <c r="AI104" s="2362"/>
      <c r="AJ104" s="2362" t="str">
        <f>IF(W104=0,"",AI104/10)</f>
        <v/>
      </c>
      <c r="AK104" s="2349"/>
      <c r="AL104" s="3362"/>
      <c r="AM104" s="3362"/>
      <c r="AN104" s="2366"/>
      <c r="AO104" s="2366"/>
      <c r="AP104" s="2362"/>
      <c r="AQ104" s="2362"/>
      <c r="AR104" s="2362"/>
      <c r="AS104" s="2349"/>
      <c r="AT104" s="2349"/>
      <c r="AU104" s="2271"/>
      <c r="AV104" s="2366"/>
      <c r="AW104" s="2366"/>
      <c r="AX104" s="2366"/>
      <c r="AY104" s="2366"/>
      <c r="AZ104" s="2366"/>
      <c r="BA104" s="2362"/>
      <c r="BB104" s="2366"/>
      <c r="BC104" s="2366"/>
      <c r="BD104" s="3363"/>
      <c r="BE104" s="251"/>
      <c r="BF104" s="2366"/>
      <c r="BG104" s="2362"/>
      <c r="BH104" s="2362"/>
      <c r="BI104" s="2349"/>
      <c r="BJ104" s="2349"/>
      <c r="BK104" s="2271"/>
      <c r="BL104" s="2366"/>
      <c r="BM104" s="2366"/>
      <c r="BN104" s="2366"/>
      <c r="BO104" s="2366"/>
      <c r="BP104" s="2366"/>
      <c r="BQ104" s="3363"/>
      <c r="BR104" s="2366"/>
      <c r="BS104" s="2366"/>
      <c r="BT104" s="2362"/>
      <c r="BU104" s="2362"/>
      <c r="BV104" s="2168"/>
      <c r="BW104" s="2362"/>
      <c r="BX104" s="2362" t="str">
        <f t="shared" si="345"/>
        <v/>
      </c>
      <c r="BY104" s="2349"/>
      <c r="BZ104" s="2366"/>
      <c r="CA104" s="2366"/>
      <c r="CB104" s="2366"/>
      <c r="CC104" s="2366"/>
      <c r="CD104" s="2362"/>
      <c r="CE104" s="2362"/>
      <c r="CF104" s="2362"/>
      <c r="CG104" s="2349"/>
      <c r="CH104" s="2349" t="str">
        <f t="shared" si="279"/>
        <v/>
      </c>
      <c r="CI104" s="2271" t="str">
        <f t="shared" si="280"/>
        <v/>
      </c>
      <c r="CJ104" s="3364" t="str">
        <f t="shared" si="281"/>
        <v/>
      </c>
      <c r="CK104" s="2366" t="str">
        <f t="shared" si="282"/>
        <v/>
      </c>
      <c r="CL104" s="2366" t="str">
        <f t="shared" si="283"/>
        <v/>
      </c>
      <c r="CM104" s="2366" t="str">
        <f t="shared" si="284"/>
        <v/>
      </c>
      <c r="CN104" s="2366" t="str">
        <f t="shared" si="285"/>
        <v/>
      </c>
      <c r="CO104" s="2362" t="str">
        <f t="shared" si="286"/>
        <v/>
      </c>
      <c r="CP104" s="2366" t="str">
        <f t="shared" si="287"/>
        <v/>
      </c>
      <c r="CQ104" s="2366" t="str">
        <f t="shared" si="288"/>
        <v/>
      </c>
      <c r="CR104" s="2362" t="str">
        <f t="shared" si="289"/>
        <v/>
      </c>
      <c r="CS104" s="2362" t="str">
        <f t="shared" si="361"/>
        <v/>
      </c>
      <c r="CT104" s="2366" t="str">
        <f t="shared" si="361"/>
        <v/>
      </c>
      <c r="CU104" s="2362" t="str">
        <f t="shared" si="361"/>
        <v/>
      </c>
      <c r="CV104" s="2362"/>
      <c r="CW104" s="2349"/>
      <c r="CX104" s="2349" t="str">
        <f t="shared" si="291"/>
        <v/>
      </c>
      <c r="CY104" s="2271" t="str">
        <f t="shared" si="292"/>
        <v/>
      </c>
      <c r="CZ104" s="3364" t="str">
        <f t="shared" si="293"/>
        <v/>
      </c>
      <c r="DA104" s="2366" t="str">
        <f t="shared" si="294"/>
        <v/>
      </c>
      <c r="DB104" s="2366" t="str">
        <f t="shared" si="295"/>
        <v/>
      </c>
      <c r="DC104" s="2366" t="str">
        <f t="shared" si="296"/>
        <v/>
      </c>
      <c r="DD104" s="2366" t="str">
        <f t="shared" si="297"/>
        <v/>
      </c>
      <c r="DE104" s="2362" t="str">
        <f t="shared" si="298"/>
        <v/>
      </c>
      <c r="DF104" s="2366" t="str">
        <f t="shared" si="299"/>
        <v/>
      </c>
      <c r="DG104" s="2366" t="str">
        <f t="shared" si="300"/>
        <v/>
      </c>
      <c r="DH104" s="2362" t="str">
        <f t="shared" si="301"/>
        <v/>
      </c>
      <c r="DI104" s="2362" t="str">
        <f t="shared" si="362"/>
        <v/>
      </c>
      <c r="DJ104" s="2366" t="str">
        <f t="shared" si="362"/>
        <v/>
      </c>
      <c r="DK104" s="2362" t="str">
        <f t="shared" si="362"/>
        <v/>
      </c>
      <c r="DL104" s="2362" t="str">
        <f t="shared" si="362"/>
        <v/>
      </c>
      <c r="DN104" s="3365" t="str">
        <f t="shared" si="303"/>
        <v/>
      </c>
      <c r="DO104" s="3365" t="str">
        <f t="shared" si="304"/>
        <v/>
      </c>
      <c r="DP104" s="3365" t="str">
        <f t="shared" si="305"/>
        <v/>
      </c>
      <c r="DQ104" s="3365" t="str">
        <f t="shared" si="306"/>
        <v/>
      </c>
      <c r="DT104" s="2349" t="str">
        <f t="shared" si="307"/>
        <v/>
      </c>
      <c r="DU104" s="2271" t="str">
        <f t="shared" si="308"/>
        <v/>
      </c>
      <c r="DV104" s="2622" t="str">
        <f t="shared" si="309"/>
        <v/>
      </c>
      <c r="DW104" s="2622"/>
      <c r="DX104" s="2622"/>
      <c r="DY104" s="2622" t="str">
        <f t="shared" si="311"/>
        <v/>
      </c>
      <c r="DZ104" s="2622" t="str">
        <f t="shared" si="312"/>
        <v/>
      </c>
      <c r="EA104" s="2622" t="str">
        <f t="shared" si="313"/>
        <v/>
      </c>
      <c r="EB104" s="2622" t="str">
        <f t="shared" si="394"/>
        <v/>
      </c>
      <c r="EC104" s="2622" t="str">
        <f t="shared" si="369"/>
        <v/>
      </c>
      <c r="ED104" s="2622" t="str">
        <f t="shared" si="370"/>
        <v/>
      </c>
      <c r="EE104" s="2622" t="str">
        <f t="shared" si="363"/>
        <v/>
      </c>
      <c r="EF104" s="2622" t="str">
        <f t="shared" si="363"/>
        <v/>
      </c>
      <c r="EG104" s="2622" t="str">
        <f t="shared" si="363"/>
        <v/>
      </c>
      <c r="EJ104" s="2349" t="str">
        <f t="shared" si="350"/>
        <v/>
      </c>
      <c r="EK104" s="2271" t="str">
        <f t="shared" si="350"/>
        <v/>
      </c>
      <c r="EL104" s="2622" t="str">
        <f t="shared" si="315"/>
        <v/>
      </c>
      <c r="EM104" s="2622"/>
      <c r="EN104" s="2622"/>
      <c r="EO104" s="2622" t="str">
        <f t="shared" si="372"/>
        <v/>
      </c>
      <c r="EP104" s="2622" t="str">
        <f t="shared" si="373"/>
        <v/>
      </c>
      <c r="EQ104" s="2622" t="str">
        <f t="shared" si="374"/>
        <v/>
      </c>
      <c r="ER104" s="2622" t="str">
        <f t="shared" si="388"/>
        <v/>
      </c>
      <c r="ES104" s="2622" t="str">
        <f t="shared" si="375"/>
        <v/>
      </c>
      <c r="ET104" s="2622" t="str">
        <f t="shared" si="376"/>
        <v/>
      </c>
      <c r="EU104" s="2622" t="str">
        <f t="shared" si="364"/>
        <v/>
      </c>
      <c r="EV104" s="2622" t="str">
        <f t="shared" si="364"/>
        <v/>
      </c>
      <c r="EW104" s="2622" t="str">
        <f t="shared" si="364"/>
        <v/>
      </c>
      <c r="EY104" s="2349" t="str">
        <f t="shared" si="395"/>
        <v/>
      </c>
      <c r="EZ104" s="2271" t="str">
        <f t="shared" si="396"/>
        <v/>
      </c>
      <c r="FA104" s="2622" t="str">
        <f t="shared" si="389"/>
        <v/>
      </c>
      <c r="FB104" s="2622"/>
      <c r="FC104" s="2622"/>
      <c r="FD104" s="2622" t="str">
        <f t="shared" si="397"/>
        <v/>
      </c>
      <c r="FE104" s="2622" t="str">
        <f t="shared" si="398"/>
        <v/>
      </c>
      <c r="FF104" s="2622" t="str">
        <f t="shared" si="399"/>
        <v/>
      </c>
      <c r="FG104" s="2622" t="str">
        <f t="shared" si="400"/>
        <v/>
      </c>
      <c r="FH104" s="2622" t="str">
        <f t="shared" si="401"/>
        <v/>
      </c>
      <c r="FI104" s="2622" t="str">
        <f t="shared" si="402"/>
        <v/>
      </c>
      <c r="FJ104" s="2622" t="str">
        <f t="shared" si="403"/>
        <v/>
      </c>
      <c r="FK104" s="2622" t="str">
        <f t="shared" si="404"/>
        <v/>
      </c>
      <c r="FL104" s="2622" t="str">
        <f t="shared" si="405"/>
        <v/>
      </c>
      <c r="FO104" s="2349" t="str">
        <f t="shared" si="406"/>
        <v/>
      </c>
      <c r="FP104" s="2271" t="str">
        <f t="shared" si="407"/>
        <v/>
      </c>
      <c r="FQ104" s="2622" t="str">
        <f t="shared" si="408"/>
        <v/>
      </c>
      <c r="FR104" s="2622"/>
      <c r="FS104" s="2622"/>
      <c r="FT104" s="2622" t="str">
        <f t="shared" si="409"/>
        <v/>
      </c>
      <c r="FU104" s="2622" t="str">
        <f t="shared" si="410"/>
        <v/>
      </c>
      <c r="FV104" s="2622" t="str">
        <f t="shared" si="411"/>
        <v/>
      </c>
      <c r="FW104" s="2622" t="str">
        <f t="shared" si="412"/>
        <v/>
      </c>
      <c r="FX104" s="2622" t="str">
        <f t="shared" si="413"/>
        <v/>
      </c>
      <c r="FY104" s="2622" t="str">
        <f t="shared" si="414"/>
        <v/>
      </c>
      <c r="FZ104" s="2622" t="str">
        <f t="shared" si="415"/>
        <v/>
      </c>
      <c r="GA104" s="2622" t="str">
        <f t="shared" si="392"/>
        <v/>
      </c>
      <c r="GB104" s="2622" t="str">
        <f t="shared" si="393"/>
        <v/>
      </c>
    </row>
    <row r="105" spans="1:184" s="2332" customFormat="1">
      <c r="A105" s="2328"/>
      <c r="B105" s="2328"/>
      <c r="C105" s="2328"/>
      <c r="D105" s="2349"/>
      <c r="E105" s="2328"/>
      <c r="F105" s="2349"/>
      <c r="G105" s="2271"/>
      <c r="H105" s="2366"/>
      <c r="I105" s="2366"/>
      <c r="J105" s="2366"/>
      <c r="K105" s="2366"/>
      <c r="L105" s="2366"/>
      <c r="M105" s="2362"/>
      <c r="N105" s="2366"/>
      <c r="O105" s="2366"/>
      <c r="P105" s="2362"/>
      <c r="Q105" s="2362"/>
      <c r="R105" s="2366"/>
      <c r="S105" s="2362"/>
      <c r="T105" s="2362"/>
      <c r="U105" s="2349"/>
      <c r="V105" s="2349"/>
      <c r="W105" s="2271"/>
      <c r="X105" s="2366"/>
      <c r="Y105" s="2366"/>
      <c r="Z105" s="2366"/>
      <c r="AA105" s="2366"/>
      <c r="AB105" s="2366"/>
      <c r="AC105" s="2362"/>
      <c r="AD105" s="2366"/>
      <c r="AE105" s="2366"/>
      <c r="AF105" s="2362"/>
      <c r="AG105" s="2362"/>
      <c r="AI105" s="2362"/>
      <c r="AJ105" s="2362"/>
      <c r="AK105" s="2349"/>
      <c r="AL105" s="3362"/>
      <c r="AM105" s="3362"/>
      <c r="AN105" s="2366"/>
      <c r="AO105" s="2366"/>
      <c r="AP105" s="2362"/>
      <c r="AQ105" s="2362"/>
      <c r="AR105" s="2362"/>
      <c r="AS105" s="2349"/>
      <c r="AT105" s="2349"/>
      <c r="AU105" s="2271"/>
      <c r="AV105" s="2366"/>
      <c r="AW105" s="2366"/>
      <c r="AX105" s="2366"/>
      <c r="AY105" s="2366"/>
      <c r="AZ105" s="2366"/>
      <c r="BA105" s="2362"/>
      <c r="BB105" s="2366"/>
      <c r="BC105" s="2366"/>
      <c r="BD105" s="3363"/>
      <c r="BE105" s="251"/>
      <c r="BF105" s="2362"/>
      <c r="BG105" s="2362"/>
      <c r="BH105" s="2362"/>
      <c r="BI105" s="2349"/>
      <c r="BJ105" s="2349"/>
      <c r="BK105" s="2271"/>
      <c r="BL105" s="2366"/>
      <c r="BM105" s="2366"/>
      <c r="BN105" s="2366"/>
      <c r="BO105" s="2366"/>
      <c r="BP105" s="2366"/>
      <c r="BQ105" s="3363"/>
      <c r="BR105" s="2366"/>
      <c r="BS105" s="2366"/>
      <c r="BT105" s="2362"/>
      <c r="BU105" s="2362"/>
      <c r="BV105" s="2168"/>
      <c r="BW105" s="2362"/>
      <c r="BX105" s="2362"/>
      <c r="BY105" s="2349"/>
      <c r="BZ105" s="2366"/>
      <c r="CA105" s="2366"/>
      <c r="CB105" s="2366"/>
      <c r="CC105" s="2366"/>
      <c r="CD105" s="2362"/>
      <c r="CE105" s="2362"/>
      <c r="CF105" s="2362"/>
      <c r="CG105" s="2349"/>
      <c r="CH105" s="2349" t="str">
        <f t="shared" si="279"/>
        <v/>
      </c>
      <c r="CI105" s="2271" t="str">
        <f t="shared" si="280"/>
        <v/>
      </c>
      <c r="CJ105" s="3364" t="str">
        <f t="shared" si="281"/>
        <v/>
      </c>
      <c r="CK105" s="2366" t="str">
        <f t="shared" si="282"/>
        <v/>
      </c>
      <c r="CL105" s="2366" t="str">
        <f t="shared" si="283"/>
        <v/>
      </c>
      <c r="CM105" s="2366" t="str">
        <f t="shared" si="284"/>
        <v/>
      </c>
      <c r="CN105" s="2366" t="str">
        <f t="shared" si="285"/>
        <v/>
      </c>
      <c r="CO105" s="2362" t="str">
        <f t="shared" si="286"/>
        <v/>
      </c>
      <c r="CP105" s="2366" t="str">
        <f t="shared" si="287"/>
        <v/>
      </c>
      <c r="CQ105" s="2366" t="str">
        <f t="shared" si="288"/>
        <v/>
      </c>
      <c r="CR105" s="2362" t="str">
        <f t="shared" si="289"/>
        <v/>
      </c>
      <c r="CS105" s="2362"/>
      <c r="CT105" s="2362" t="str">
        <f t="shared" ref="CT105:CT113" si="416">IF($G105=0,"",BF105-Q105)</f>
        <v/>
      </c>
      <c r="CU105" s="2362" t="str">
        <f t="shared" ref="CU105:CU113" si="417">IF($G105=0,"",BG105-R105)</f>
        <v/>
      </c>
      <c r="CV105" s="2362"/>
      <c r="CW105" s="2349"/>
      <c r="CX105" s="2349" t="str">
        <f t="shared" si="291"/>
        <v/>
      </c>
      <c r="CY105" s="2271" t="str">
        <f t="shared" si="292"/>
        <v/>
      </c>
      <c r="CZ105" s="3364" t="str">
        <f t="shared" si="293"/>
        <v/>
      </c>
      <c r="DA105" s="2366" t="str">
        <f t="shared" si="294"/>
        <v/>
      </c>
      <c r="DB105" s="2366" t="str">
        <f t="shared" si="295"/>
        <v/>
      </c>
      <c r="DC105" s="2366" t="str">
        <f t="shared" si="296"/>
        <v/>
      </c>
      <c r="DD105" s="2366" t="str">
        <f t="shared" si="297"/>
        <v/>
      </c>
      <c r="DE105" s="2362" t="str">
        <f t="shared" si="298"/>
        <v/>
      </c>
      <c r="DF105" s="2366" t="str">
        <f t="shared" si="299"/>
        <v/>
      </c>
      <c r="DG105" s="2366" t="str">
        <f t="shared" si="300"/>
        <v/>
      </c>
      <c r="DH105" s="2362" t="str">
        <f t="shared" si="301"/>
        <v/>
      </c>
      <c r="DI105" s="2362"/>
      <c r="DJ105" s="2362" t="str">
        <f t="shared" ref="DJ105:DJ113" si="418">IF($G105=0,"",BU105-AG105)</f>
        <v/>
      </c>
      <c r="DK105" s="2362" t="str">
        <f t="shared" ref="DK105:DK113" si="419">IF($G105=0,"",BW105-AI105)</f>
        <v/>
      </c>
      <c r="DL105" s="2362" t="str">
        <f t="shared" ref="DL105:DL113" si="420">IF($G105=0,"",DK105/10)</f>
        <v/>
      </c>
      <c r="DN105" s="3365" t="str">
        <f t="shared" si="303"/>
        <v/>
      </c>
      <c r="DO105" s="3365" t="str">
        <f t="shared" si="304"/>
        <v/>
      </c>
      <c r="DP105" s="3365" t="str">
        <f t="shared" si="305"/>
        <v/>
      </c>
      <c r="DQ105" s="3365" t="str">
        <f t="shared" si="306"/>
        <v/>
      </c>
      <c r="DT105" s="2349" t="str">
        <f t="shared" si="307"/>
        <v/>
      </c>
      <c r="DU105" s="2271" t="str">
        <f t="shared" si="308"/>
        <v/>
      </c>
      <c r="DV105" s="2622" t="str">
        <f t="shared" si="309"/>
        <v/>
      </c>
      <c r="DW105" s="2622"/>
      <c r="DX105" s="2622"/>
      <c r="DY105" s="2622" t="str">
        <f t="shared" si="311"/>
        <v/>
      </c>
      <c r="DZ105" s="2622" t="str">
        <f t="shared" si="312"/>
        <v/>
      </c>
      <c r="EA105" s="2622" t="str">
        <f t="shared" si="313"/>
        <v/>
      </c>
      <c r="EB105" s="2622" t="str">
        <f t="shared" si="394"/>
        <v/>
      </c>
      <c r="EC105" s="2622" t="str">
        <f t="shared" si="369"/>
        <v/>
      </c>
      <c r="ED105" s="2622" t="str">
        <f t="shared" si="370"/>
        <v/>
      </c>
      <c r="EE105" s="2622"/>
      <c r="EF105" s="2622" t="str">
        <f t="shared" ref="EF105:EF113" si="421">IF($H105=0,"",CT105/Q105)</f>
        <v/>
      </c>
      <c r="EG105" s="2622" t="str">
        <f t="shared" ref="EG105:EG113" si="422">IF($H105=0,"",CU105/R105)</f>
        <v/>
      </c>
      <c r="EJ105" s="2349" t="str">
        <f t="shared" si="350"/>
        <v/>
      </c>
      <c r="EK105" s="2271" t="str">
        <f t="shared" si="350"/>
        <v/>
      </c>
      <c r="EL105" s="2622" t="str">
        <f t="shared" si="315"/>
        <v/>
      </c>
      <c r="EM105" s="2622"/>
      <c r="EN105" s="2622"/>
      <c r="EO105" s="2622" t="str">
        <f t="shared" si="372"/>
        <v/>
      </c>
      <c r="EP105" s="2622" t="str">
        <f t="shared" si="373"/>
        <v/>
      </c>
      <c r="EQ105" s="2622" t="str">
        <f t="shared" si="374"/>
        <v/>
      </c>
      <c r="ER105" s="2622" t="str">
        <f t="shared" si="388"/>
        <v/>
      </c>
      <c r="ES105" s="2622" t="str">
        <f t="shared" si="375"/>
        <v/>
      </c>
      <c r="ET105" s="2622" t="str">
        <f t="shared" si="376"/>
        <v/>
      </c>
      <c r="EU105" s="2622"/>
      <c r="EV105" s="2622" t="str">
        <f t="shared" ref="EV105:EV113" si="423">IF($H105=0,"",DJ105/AG105)</f>
        <v/>
      </c>
      <c r="EW105" s="2622" t="str">
        <f t="shared" ref="EW105:EW113" si="424">IF($H105=0,"",DK105/AI105)</f>
        <v/>
      </c>
      <c r="EY105" s="2349" t="str">
        <f t="shared" si="395"/>
        <v/>
      </c>
      <c r="EZ105" s="2271" t="str">
        <f t="shared" si="396"/>
        <v/>
      </c>
      <c r="FA105" s="2622" t="str">
        <f t="shared" si="389"/>
        <v/>
      </c>
      <c r="FB105" s="2622"/>
      <c r="FC105" s="2622"/>
      <c r="FD105" s="2622" t="str">
        <f t="shared" si="397"/>
        <v/>
      </c>
      <c r="FE105" s="2622" t="str">
        <f t="shared" si="398"/>
        <v/>
      </c>
      <c r="FF105" s="2622" t="str">
        <f t="shared" si="399"/>
        <v/>
      </c>
      <c r="FG105" s="2622" t="str">
        <f t="shared" si="400"/>
        <v/>
      </c>
      <c r="FH105" s="2622" t="str">
        <f t="shared" si="401"/>
        <v/>
      </c>
      <c r="FI105" s="2622" t="str">
        <f t="shared" si="402"/>
        <v/>
      </c>
      <c r="FJ105" s="2622"/>
      <c r="FK105" s="2622" t="str">
        <f t="shared" ref="FK105:FK113" si="425">IF($H105=0,"",DY105/AV105)</f>
        <v/>
      </c>
      <c r="FL105" s="2622" t="str">
        <f t="shared" ref="FL105:FL113" si="426">IF($H105=0,"",DZ105/AW105)</f>
        <v/>
      </c>
      <c r="FO105" s="2349" t="str">
        <f t="shared" si="406"/>
        <v/>
      </c>
      <c r="FP105" s="2271" t="str">
        <f t="shared" si="407"/>
        <v/>
      </c>
      <c r="FQ105" s="2622" t="str">
        <f t="shared" si="408"/>
        <v/>
      </c>
      <c r="FR105" s="2622"/>
      <c r="FS105" s="2622"/>
      <c r="FT105" s="2622" t="str">
        <f t="shared" si="409"/>
        <v/>
      </c>
      <c r="FU105" s="2622" t="str">
        <f t="shared" si="410"/>
        <v/>
      </c>
      <c r="FV105" s="2622" t="str">
        <f t="shared" si="411"/>
        <v/>
      </c>
      <c r="FW105" s="2622" t="str">
        <f t="shared" si="412"/>
        <v/>
      </c>
      <c r="FX105" s="2622" t="str">
        <f t="shared" si="413"/>
        <v/>
      </c>
      <c r="FY105" s="2622" t="str">
        <f t="shared" si="414"/>
        <v/>
      </c>
      <c r="FZ105" s="2622"/>
      <c r="GA105" s="2622" t="str">
        <f t="shared" ref="GA105:GA113" si="427">IF($H105=0,"",EO105/BL105)</f>
        <v/>
      </c>
      <c r="GB105" s="2622" t="str">
        <f t="shared" si="393"/>
        <v/>
      </c>
    </row>
    <row r="106" spans="1:184" s="2332" customFormat="1">
      <c r="A106" s="2328"/>
      <c r="B106" s="2328"/>
      <c r="C106" s="2328"/>
      <c r="D106" s="2349"/>
      <c r="E106" s="2328"/>
      <c r="F106" s="2349"/>
      <c r="G106" s="2271"/>
      <c r="H106" s="2366"/>
      <c r="I106" s="2366"/>
      <c r="J106" s="2366"/>
      <c r="K106" s="2366"/>
      <c r="L106" s="2366"/>
      <c r="M106" s="2362"/>
      <c r="N106" s="2366"/>
      <c r="O106" s="2366"/>
      <c r="P106" s="2362"/>
      <c r="Q106" s="2362"/>
      <c r="R106" s="2366"/>
      <c r="S106" s="2362"/>
      <c r="T106" s="2362"/>
      <c r="U106" s="2349"/>
      <c r="V106" s="2349"/>
      <c r="W106" s="2271"/>
      <c r="X106" s="2366"/>
      <c r="Y106" s="2366"/>
      <c r="Z106" s="2366"/>
      <c r="AA106" s="2366"/>
      <c r="AB106" s="2366"/>
      <c r="AC106" s="2362"/>
      <c r="AD106" s="2366"/>
      <c r="AE106" s="2366"/>
      <c r="AF106" s="2362"/>
      <c r="AG106" s="2362"/>
      <c r="AI106" s="2362"/>
      <c r="AJ106" s="2362" t="str">
        <f t="shared" ref="AJ106:AJ113" si="428">IF(W106=0,"",AI106/10)</f>
        <v/>
      </c>
      <c r="AK106" s="2349"/>
      <c r="AL106" s="3362"/>
      <c r="AM106" s="3362"/>
      <c r="AN106" s="2366"/>
      <c r="AO106" s="2366"/>
      <c r="AP106" s="2362"/>
      <c r="AQ106" s="2362"/>
      <c r="AR106" s="2362"/>
      <c r="AS106" s="2349"/>
      <c r="AT106" s="2349"/>
      <c r="AU106" s="2271"/>
      <c r="AV106" s="2366"/>
      <c r="AW106" s="2366"/>
      <c r="AX106" s="2366"/>
      <c r="AY106" s="2366"/>
      <c r="AZ106" s="2366"/>
      <c r="BA106" s="2362"/>
      <c r="BB106" s="2366"/>
      <c r="BC106" s="2366"/>
      <c r="BD106" s="3363"/>
      <c r="BE106" s="251"/>
      <c r="BF106" s="2362"/>
      <c r="BG106" s="2362"/>
      <c r="BH106" s="2362"/>
      <c r="BI106" s="2349"/>
      <c r="BJ106" s="2349"/>
      <c r="BK106" s="2271"/>
      <c r="BL106" s="2366"/>
      <c r="BM106" s="2366"/>
      <c r="BN106" s="2366"/>
      <c r="BO106" s="2366"/>
      <c r="BP106" s="2366"/>
      <c r="BQ106" s="3363"/>
      <c r="BR106" s="2366"/>
      <c r="BS106" s="2366"/>
      <c r="BT106" s="2362"/>
      <c r="BU106" s="2362"/>
      <c r="BV106" s="2168"/>
      <c r="BW106" s="2362"/>
      <c r="BX106" s="2362"/>
      <c r="BY106" s="2349"/>
      <c r="BZ106" s="2366"/>
      <c r="CA106" s="2366"/>
      <c r="CB106" s="2366"/>
      <c r="CC106" s="2366"/>
      <c r="CD106" s="2362"/>
      <c r="CE106" s="2362"/>
      <c r="CF106" s="2362"/>
      <c r="CG106" s="2349"/>
      <c r="CH106" s="2349" t="str">
        <f t="shared" si="279"/>
        <v/>
      </c>
      <c r="CI106" s="2271" t="str">
        <f t="shared" si="280"/>
        <v/>
      </c>
      <c r="CJ106" s="3364" t="str">
        <f t="shared" si="281"/>
        <v/>
      </c>
      <c r="CK106" s="2366" t="str">
        <f t="shared" si="282"/>
        <v/>
      </c>
      <c r="CL106" s="2366" t="str">
        <f t="shared" si="283"/>
        <v/>
      </c>
      <c r="CM106" s="2366" t="str">
        <f t="shared" si="284"/>
        <v/>
      </c>
      <c r="CN106" s="2366" t="str">
        <f t="shared" si="285"/>
        <v/>
      </c>
      <c r="CO106" s="2362" t="str">
        <f t="shared" si="286"/>
        <v/>
      </c>
      <c r="CP106" s="2366" t="str">
        <f t="shared" si="287"/>
        <v/>
      </c>
      <c r="CQ106" s="2366" t="str">
        <f t="shared" si="288"/>
        <v/>
      </c>
      <c r="CR106" s="2362" t="str">
        <f t="shared" si="289"/>
        <v/>
      </c>
      <c r="CS106" s="2362"/>
      <c r="CT106" s="2362" t="str">
        <f t="shared" si="416"/>
        <v/>
      </c>
      <c r="CU106" s="2362" t="str">
        <f t="shared" si="417"/>
        <v/>
      </c>
      <c r="CV106" s="2362"/>
      <c r="CW106" s="2349"/>
      <c r="CX106" s="2349" t="str">
        <f t="shared" si="291"/>
        <v/>
      </c>
      <c r="CY106" s="2271" t="str">
        <f t="shared" si="292"/>
        <v/>
      </c>
      <c r="CZ106" s="3364" t="str">
        <f t="shared" si="293"/>
        <v/>
      </c>
      <c r="DA106" s="2366" t="str">
        <f t="shared" si="294"/>
        <v/>
      </c>
      <c r="DB106" s="2366" t="str">
        <f t="shared" si="295"/>
        <v/>
      </c>
      <c r="DC106" s="2366" t="str">
        <f t="shared" si="296"/>
        <v/>
      </c>
      <c r="DD106" s="2366" t="str">
        <f t="shared" si="297"/>
        <v/>
      </c>
      <c r="DE106" s="2362" t="str">
        <f t="shared" si="298"/>
        <v/>
      </c>
      <c r="DF106" s="2366" t="str">
        <f t="shared" si="299"/>
        <v/>
      </c>
      <c r="DG106" s="2366" t="str">
        <f t="shared" si="300"/>
        <v/>
      </c>
      <c r="DH106" s="2362" t="str">
        <f t="shared" si="301"/>
        <v/>
      </c>
      <c r="DI106" s="2362"/>
      <c r="DJ106" s="2362" t="str">
        <f t="shared" si="418"/>
        <v/>
      </c>
      <c r="DK106" s="2362" t="str">
        <f t="shared" si="419"/>
        <v/>
      </c>
      <c r="DL106" s="2362" t="str">
        <f t="shared" si="420"/>
        <v/>
      </c>
      <c r="DN106" s="3365" t="str">
        <f t="shared" si="303"/>
        <v/>
      </c>
      <c r="DO106" s="3365" t="str">
        <f t="shared" si="304"/>
        <v/>
      </c>
      <c r="DP106" s="3365" t="str">
        <f t="shared" si="305"/>
        <v/>
      </c>
      <c r="DQ106" s="3365" t="str">
        <f t="shared" si="306"/>
        <v/>
      </c>
      <c r="DT106" s="2349" t="str">
        <f t="shared" si="307"/>
        <v/>
      </c>
      <c r="DU106" s="2271" t="str">
        <f t="shared" si="308"/>
        <v/>
      </c>
      <c r="DV106" s="2622" t="str">
        <f t="shared" si="309"/>
        <v/>
      </c>
      <c r="DW106" s="2622"/>
      <c r="DX106" s="2622"/>
      <c r="DY106" s="2622" t="str">
        <f t="shared" si="311"/>
        <v/>
      </c>
      <c r="DZ106" s="2622" t="str">
        <f t="shared" si="312"/>
        <v/>
      </c>
      <c r="EA106" s="2622" t="str">
        <f t="shared" si="313"/>
        <v/>
      </c>
      <c r="EB106" s="2622" t="str">
        <f t="shared" si="394"/>
        <v/>
      </c>
      <c r="EC106" s="2622" t="str">
        <f t="shared" si="369"/>
        <v/>
      </c>
      <c r="ED106" s="2622" t="str">
        <f t="shared" si="370"/>
        <v/>
      </c>
      <c r="EE106" s="2622"/>
      <c r="EF106" s="2622" t="str">
        <f t="shared" si="421"/>
        <v/>
      </c>
      <c r="EG106" s="2622" t="str">
        <f t="shared" si="422"/>
        <v/>
      </c>
      <c r="EJ106" s="2349" t="str">
        <f t="shared" si="350"/>
        <v/>
      </c>
      <c r="EK106" s="2271" t="str">
        <f t="shared" si="350"/>
        <v/>
      </c>
      <c r="EL106" s="2622" t="str">
        <f t="shared" si="315"/>
        <v/>
      </c>
      <c r="EM106" s="2622"/>
      <c r="EN106" s="2622"/>
      <c r="EO106" s="2622" t="str">
        <f t="shared" si="372"/>
        <v/>
      </c>
      <c r="EP106" s="2622" t="str">
        <f t="shared" si="373"/>
        <v/>
      </c>
      <c r="EQ106" s="2622" t="str">
        <f t="shared" si="374"/>
        <v/>
      </c>
      <c r="ER106" s="2622" t="str">
        <f t="shared" si="388"/>
        <v/>
      </c>
      <c r="ES106" s="2622" t="str">
        <f t="shared" si="375"/>
        <v/>
      </c>
      <c r="ET106" s="2622" t="str">
        <f t="shared" si="376"/>
        <v/>
      </c>
      <c r="EU106" s="2622"/>
      <c r="EV106" s="2622" t="str">
        <f t="shared" si="423"/>
        <v/>
      </c>
      <c r="EW106" s="2622" t="str">
        <f t="shared" si="424"/>
        <v/>
      </c>
      <c r="EY106" s="2349" t="str">
        <f t="shared" si="395"/>
        <v/>
      </c>
      <c r="EZ106" s="2271" t="str">
        <f t="shared" si="396"/>
        <v/>
      </c>
      <c r="FA106" s="2622" t="str">
        <f t="shared" si="389"/>
        <v/>
      </c>
      <c r="FB106" s="2622"/>
      <c r="FC106" s="2622"/>
      <c r="FD106" s="2622" t="str">
        <f t="shared" si="397"/>
        <v/>
      </c>
      <c r="FE106" s="2622" t="str">
        <f t="shared" si="398"/>
        <v/>
      </c>
      <c r="FF106" s="2622" t="str">
        <f t="shared" si="399"/>
        <v/>
      </c>
      <c r="FG106" s="2622" t="str">
        <f t="shared" si="400"/>
        <v/>
      </c>
      <c r="FH106" s="2622" t="str">
        <f t="shared" si="401"/>
        <v/>
      </c>
      <c r="FI106" s="2622" t="str">
        <f t="shared" si="402"/>
        <v/>
      </c>
      <c r="FJ106" s="2622"/>
      <c r="FK106" s="2622" t="str">
        <f t="shared" si="425"/>
        <v/>
      </c>
      <c r="FL106" s="2622" t="str">
        <f t="shared" si="426"/>
        <v/>
      </c>
      <c r="FO106" s="2349" t="str">
        <f t="shared" si="406"/>
        <v/>
      </c>
      <c r="FP106" s="2271" t="str">
        <f t="shared" si="407"/>
        <v/>
      </c>
      <c r="FQ106" s="2622" t="str">
        <f t="shared" si="408"/>
        <v/>
      </c>
      <c r="FR106" s="2622"/>
      <c r="FS106" s="2622"/>
      <c r="FT106" s="2622" t="str">
        <f t="shared" si="409"/>
        <v/>
      </c>
      <c r="FU106" s="2622" t="str">
        <f t="shared" si="410"/>
        <v/>
      </c>
      <c r="FV106" s="2622" t="str">
        <f t="shared" si="411"/>
        <v/>
      </c>
      <c r="FW106" s="2622" t="str">
        <f t="shared" si="412"/>
        <v/>
      </c>
      <c r="FX106" s="2622" t="str">
        <f t="shared" si="413"/>
        <v/>
      </c>
      <c r="FY106" s="2622" t="str">
        <f t="shared" si="414"/>
        <v/>
      </c>
      <c r="FZ106" s="2622"/>
      <c r="GA106" s="2622" t="str">
        <f t="shared" si="427"/>
        <v/>
      </c>
      <c r="GB106" s="2622" t="str">
        <f t="shared" si="393"/>
        <v/>
      </c>
    </row>
    <row r="107" spans="1:184" s="2332" customFormat="1">
      <c r="A107" s="2328"/>
      <c r="B107" s="2328"/>
      <c r="C107" s="2328"/>
      <c r="D107" s="2349"/>
      <c r="E107" s="2328"/>
      <c r="F107" s="2349"/>
      <c r="G107" s="2271"/>
      <c r="H107" s="2366"/>
      <c r="I107" s="2366"/>
      <c r="J107" s="2366"/>
      <c r="K107" s="2366"/>
      <c r="L107" s="2366"/>
      <c r="M107" s="2362"/>
      <c r="N107" s="2366"/>
      <c r="O107" s="2366"/>
      <c r="P107" s="2362"/>
      <c r="Q107" s="2362"/>
      <c r="R107" s="2366"/>
      <c r="S107" s="2362"/>
      <c r="T107" s="2362"/>
      <c r="U107" s="2349"/>
      <c r="V107" s="2349"/>
      <c r="W107" s="2271"/>
      <c r="X107" s="2366"/>
      <c r="Y107" s="2366"/>
      <c r="Z107" s="2366"/>
      <c r="AA107" s="2366"/>
      <c r="AB107" s="2366"/>
      <c r="AC107" s="2362"/>
      <c r="AD107" s="2366"/>
      <c r="AE107" s="2366"/>
      <c r="AF107" s="2362"/>
      <c r="AG107" s="2362"/>
      <c r="AI107" s="2362"/>
      <c r="AJ107" s="2362" t="str">
        <f t="shared" si="428"/>
        <v/>
      </c>
      <c r="AK107" s="2349"/>
      <c r="AL107" s="3362"/>
      <c r="AM107" s="3362"/>
      <c r="AN107" s="2366"/>
      <c r="AO107" s="2366"/>
      <c r="AP107" s="2362"/>
      <c r="AQ107" s="2362"/>
      <c r="AR107" s="2362"/>
      <c r="AS107" s="2349"/>
      <c r="AT107" s="2349"/>
      <c r="AU107" s="2271"/>
      <c r="AV107" s="2366"/>
      <c r="AW107" s="2366"/>
      <c r="AX107" s="2366"/>
      <c r="AY107" s="2366"/>
      <c r="AZ107" s="2366"/>
      <c r="BA107" s="2362"/>
      <c r="BB107" s="2366"/>
      <c r="BC107" s="2366"/>
      <c r="BD107" s="3363"/>
      <c r="BE107" s="251"/>
      <c r="BF107" s="2362"/>
      <c r="BG107" s="2362"/>
      <c r="BH107" s="2362"/>
      <c r="BI107" s="2349"/>
      <c r="BJ107" s="2349"/>
      <c r="BK107" s="2271"/>
      <c r="BL107" s="2366"/>
      <c r="BM107" s="2366"/>
      <c r="BN107" s="2366"/>
      <c r="BO107" s="2366"/>
      <c r="BP107" s="2366"/>
      <c r="BQ107" s="3363"/>
      <c r="BR107" s="2366"/>
      <c r="BS107" s="2366"/>
      <c r="BT107" s="2362"/>
      <c r="BU107" s="2362"/>
      <c r="BV107" s="2168"/>
      <c r="BW107" s="2362"/>
      <c r="BX107" s="2362"/>
      <c r="BY107" s="2349"/>
      <c r="BZ107" s="2366"/>
      <c r="CA107" s="2366"/>
      <c r="CB107" s="2366"/>
      <c r="CC107" s="2366"/>
      <c r="CD107" s="2362"/>
      <c r="CE107" s="2362"/>
      <c r="CF107" s="2362"/>
      <c r="CG107" s="2349"/>
      <c r="CH107" s="2349" t="str">
        <f t="shared" si="279"/>
        <v/>
      </c>
      <c r="CI107" s="2271" t="str">
        <f t="shared" si="280"/>
        <v/>
      </c>
      <c r="CJ107" s="3364" t="str">
        <f t="shared" si="281"/>
        <v/>
      </c>
      <c r="CK107" s="2366" t="str">
        <f t="shared" si="282"/>
        <v/>
      </c>
      <c r="CL107" s="2366" t="str">
        <f t="shared" si="283"/>
        <v/>
      </c>
      <c r="CM107" s="2366" t="str">
        <f t="shared" si="284"/>
        <v/>
      </c>
      <c r="CN107" s="2366" t="str">
        <f t="shared" si="285"/>
        <v/>
      </c>
      <c r="CO107" s="2362" t="str">
        <f t="shared" si="286"/>
        <v/>
      </c>
      <c r="CP107" s="2366" t="str">
        <f t="shared" si="287"/>
        <v/>
      </c>
      <c r="CQ107" s="2366" t="str">
        <f t="shared" si="288"/>
        <v/>
      </c>
      <c r="CR107" s="2362" t="str">
        <f t="shared" si="289"/>
        <v/>
      </c>
      <c r="CS107" s="2362"/>
      <c r="CT107" s="2362" t="str">
        <f t="shared" si="416"/>
        <v/>
      </c>
      <c r="CU107" s="2362" t="str">
        <f t="shared" si="417"/>
        <v/>
      </c>
      <c r="CV107" s="2362"/>
      <c r="CW107" s="2349"/>
      <c r="CX107" s="2349" t="str">
        <f t="shared" si="291"/>
        <v/>
      </c>
      <c r="CY107" s="2271" t="str">
        <f t="shared" si="292"/>
        <v/>
      </c>
      <c r="CZ107" s="3364" t="str">
        <f t="shared" si="293"/>
        <v/>
      </c>
      <c r="DA107" s="2366" t="str">
        <f t="shared" si="294"/>
        <v/>
      </c>
      <c r="DB107" s="2366" t="str">
        <f t="shared" si="295"/>
        <v/>
      </c>
      <c r="DC107" s="2366" t="str">
        <f t="shared" si="296"/>
        <v/>
      </c>
      <c r="DD107" s="2366" t="str">
        <f t="shared" si="297"/>
        <v/>
      </c>
      <c r="DE107" s="2362" t="str">
        <f t="shared" si="298"/>
        <v/>
      </c>
      <c r="DF107" s="2366" t="str">
        <f t="shared" si="299"/>
        <v/>
      </c>
      <c r="DG107" s="2366" t="str">
        <f t="shared" si="300"/>
        <v/>
      </c>
      <c r="DH107" s="2362" t="str">
        <f t="shared" si="301"/>
        <v/>
      </c>
      <c r="DI107" s="2362"/>
      <c r="DJ107" s="2362" t="str">
        <f t="shared" si="418"/>
        <v/>
      </c>
      <c r="DK107" s="2362" t="str">
        <f t="shared" si="419"/>
        <v/>
      </c>
      <c r="DL107" s="2362" t="str">
        <f t="shared" si="420"/>
        <v/>
      </c>
      <c r="DN107" s="3365" t="str">
        <f t="shared" si="303"/>
        <v/>
      </c>
      <c r="DO107" s="3365" t="str">
        <f t="shared" si="304"/>
        <v/>
      </c>
      <c r="DP107" s="3365" t="str">
        <f t="shared" si="305"/>
        <v/>
      </c>
      <c r="DQ107" s="3365" t="str">
        <f t="shared" si="306"/>
        <v/>
      </c>
      <c r="DT107" s="2349" t="str">
        <f t="shared" si="307"/>
        <v/>
      </c>
      <c r="DU107" s="2271" t="str">
        <f t="shared" si="308"/>
        <v/>
      </c>
      <c r="DV107" s="2622" t="str">
        <f t="shared" si="309"/>
        <v/>
      </c>
      <c r="DW107" s="2622"/>
      <c r="DX107" s="2622"/>
      <c r="DY107" s="2622" t="str">
        <f t="shared" si="311"/>
        <v/>
      </c>
      <c r="DZ107" s="2622" t="str">
        <f t="shared" si="312"/>
        <v/>
      </c>
      <c r="EA107" s="2622" t="str">
        <f t="shared" si="313"/>
        <v/>
      </c>
      <c r="EB107" s="2622" t="str">
        <f t="shared" si="394"/>
        <v/>
      </c>
      <c r="EC107" s="2622" t="str">
        <f t="shared" si="369"/>
        <v/>
      </c>
      <c r="ED107" s="2622" t="str">
        <f t="shared" si="370"/>
        <v/>
      </c>
      <c r="EE107" s="2622"/>
      <c r="EF107" s="2622" t="str">
        <f t="shared" si="421"/>
        <v/>
      </c>
      <c r="EG107" s="2622" t="str">
        <f t="shared" si="422"/>
        <v/>
      </c>
      <c r="EJ107" s="2349" t="str">
        <f t="shared" si="350"/>
        <v/>
      </c>
      <c r="EK107" s="2271" t="str">
        <f t="shared" si="350"/>
        <v/>
      </c>
      <c r="EL107" s="2622" t="str">
        <f t="shared" si="315"/>
        <v/>
      </c>
      <c r="EM107" s="2622"/>
      <c r="EN107" s="2622"/>
      <c r="EO107" s="2622" t="str">
        <f t="shared" si="372"/>
        <v/>
      </c>
      <c r="EP107" s="2622" t="str">
        <f t="shared" si="373"/>
        <v/>
      </c>
      <c r="EQ107" s="2622" t="str">
        <f t="shared" si="374"/>
        <v/>
      </c>
      <c r="ER107" s="2622" t="str">
        <f t="shared" si="388"/>
        <v/>
      </c>
      <c r="ES107" s="2622" t="str">
        <f t="shared" si="375"/>
        <v/>
      </c>
      <c r="ET107" s="2622" t="str">
        <f t="shared" si="376"/>
        <v/>
      </c>
      <c r="EU107" s="2622"/>
      <c r="EV107" s="2622" t="str">
        <f t="shared" si="423"/>
        <v/>
      </c>
      <c r="EW107" s="2622" t="str">
        <f t="shared" si="424"/>
        <v/>
      </c>
      <c r="EY107" s="2349" t="str">
        <f t="shared" si="395"/>
        <v/>
      </c>
      <c r="EZ107" s="2271" t="str">
        <f t="shared" si="396"/>
        <v/>
      </c>
      <c r="FA107" s="2622" t="str">
        <f t="shared" si="389"/>
        <v/>
      </c>
      <c r="FB107" s="2622"/>
      <c r="FC107" s="2622"/>
      <c r="FD107" s="2622" t="str">
        <f t="shared" si="397"/>
        <v/>
      </c>
      <c r="FE107" s="2622" t="str">
        <f t="shared" si="398"/>
        <v/>
      </c>
      <c r="FF107" s="2622" t="str">
        <f t="shared" si="399"/>
        <v/>
      </c>
      <c r="FG107" s="2622" t="str">
        <f t="shared" si="400"/>
        <v/>
      </c>
      <c r="FH107" s="2622" t="str">
        <f t="shared" si="401"/>
        <v/>
      </c>
      <c r="FI107" s="2622" t="str">
        <f t="shared" si="402"/>
        <v/>
      </c>
      <c r="FJ107" s="2622"/>
      <c r="FK107" s="2622" t="str">
        <f t="shared" si="425"/>
        <v/>
      </c>
      <c r="FL107" s="2622" t="str">
        <f t="shared" si="426"/>
        <v/>
      </c>
      <c r="FO107" s="2349" t="str">
        <f t="shared" si="406"/>
        <v/>
      </c>
      <c r="FP107" s="2271" t="str">
        <f t="shared" si="407"/>
        <v/>
      </c>
      <c r="FQ107" s="2622" t="str">
        <f t="shared" si="408"/>
        <v/>
      </c>
      <c r="FR107" s="2622"/>
      <c r="FS107" s="2622"/>
      <c r="FT107" s="2622" t="str">
        <f t="shared" si="409"/>
        <v/>
      </c>
      <c r="FU107" s="2622" t="str">
        <f t="shared" si="410"/>
        <v/>
      </c>
      <c r="FV107" s="2622" t="str">
        <f t="shared" si="411"/>
        <v/>
      </c>
      <c r="FW107" s="2622" t="str">
        <f t="shared" si="412"/>
        <v/>
      </c>
      <c r="FX107" s="2622" t="str">
        <f t="shared" si="413"/>
        <v/>
      </c>
      <c r="FY107" s="2622" t="str">
        <f t="shared" si="414"/>
        <v/>
      </c>
      <c r="FZ107" s="2622"/>
      <c r="GA107" s="2622" t="str">
        <f t="shared" si="427"/>
        <v/>
      </c>
      <c r="GB107" s="2622" t="str">
        <f t="shared" si="393"/>
        <v/>
      </c>
    </row>
    <row r="108" spans="1:184" s="2332" customFormat="1">
      <c r="A108" s="2328"/>
      <c r="B108" s="2328"/>
      <c r="C108" s="2328"/>
      <c r="D108" s="2349"/>
      <c r="E108" s="2328"/>
      <c r="F108" s="2349"/>
      <c r="G108" s="2271"/>
      <c r="H108" s="3366"/>
      <c r="I108" s="3366"/>
      <c r="J108" s="3366"/>
      <c r="K108" s="3366"/>
      <c r="L108" s="3366"/>
      <c r="M108" s="2362"/>
      <c r="N108" s="3366"/>
      <c r="O108" s="3366"/>
      <c r="P108" s="2362"/>
      <c r="Q108" s="2362"/>
      <c r="R108" s="2366"/>
      <c r="S108" s="2362"/>
      <c r="T108" s="2362"/>
      <c r="U108" s="2349"/>
      <c r="V108" s="2349"/>
      <c r="W108" s="2271"/>
      <c r="X108" s="3366"/>
      <c r="Y108" s="3366"/>
      <c r="Z108" s="3366"/>
      <c r="AA108" s="3366"/>
      <c r="AB108" s="3366"/>
      <c r="AC108" s="2362"/>
      <c r="AD108" s="3366"/>
      <c r="AE108" s="3366"/>
      <c r="AF108" s="2362"/>
      <c r="AG108" s="2362"/>
      <c r="AI108" s="2362"/>
      <c r="AJ108" s="2362" t="str">
        <f t="shared" si="428"/>
        <v/>
      </c>
      <c r="AK108" s="2349"/>
      <c r="AL108" s="3362"/>
      <c r="AM108" s="3362"/>
      <c r="AN108" s="2366"/>
      <c r="AO108" s="2366"/>
      <c r="AP108" s="2362"/>
      <c r="AQ108" s="2362"/>
      <c r="AR108" s="2362"/>
      <c r="AS108" s="2349"/>
      <c r="AT108" s="2349"/>
      <c r="AU108" s="2271"/>
      <c r="AV108" s="3366"/>
      <c r="AW108" s="3366"/>
      <c r="AX108" s="3366"/>
      <c r="AY108" s="3366"/>
      <c r="AZ108" s="3366"/>
      <c r="BA108" s="2362"/>
      <c r="BB108" s="3366"/>
      <c r="BC108" s="3366"/>
      <c r="BD108" s="3363"/>
      <c r="BE108" s="251"/>
      <c r="BF108" s="2362"/>
      <c r="BG108" s="2362"/>
      <c r="BH108" s="2362"/>
      <c r="BI108" s="2349"/>
      <c r="BJ108" s="2349"/>
      <c r="BK108" s="2271"/>
      <c r="BL108" s="3366"/>
      <c r="BM108" s="3366"/>
      <c r="BN108" s="3366"/>
      <c r="BO108" s="3366"/>
      <c r="BP108" s="3366"/>
      <c r="BQ108" s="3363"/>
      <c r="BR108" s="3366"/>
      <c r="BS108" s="3366"/>
      <c r="BT108" s="2362"/>
      <c r="BU108" s="2362"/>
      <c r="BV108" s="2168"/>
      <c r="BW108" s="2362"/>
      <c r="BX108" s="2362"/>
      <c r="BY108" s="2349"/>
      <c r="BZ108" s="2366"/>
      <c r="CA108" s="2366"/>
      <c r="CB108" s="2366"/>
      <c r="CC108" s="2366"/>
      <c r="CD108" s="2362"/>
      <c r="CE108" s="2362"/>
      <c r="CF108" s="2362"/>
      <c r="CG108" s="2349"/>
      <c r="CH108" s="2349" t="str">
        <f t="shared" si="279"/>
        <v/>
      </c>
      <c r="CI108" s="2271" t="str">
        <f t="shared" si="280"/>
        <v/>
      </c>
      <c r="CJ108" s="3364" t="str">
        <f t="shared" si="281"/>
        <v/>
      </c>
      <c r="CK108" s="3366" t="str">
        <f t="shared" si="282"/>
        <v/>
      </c>
      <c r="CL108" s="3366" t="str">
        <f t="shared" si="283"/>
        <v/>
      </c>
      <c r="CM108" s="3366" t="str">
        <f t="shared" si="284"/>
        <v/>
      </c>
      <c r="CN108" s="3366" t="str">
        <f t="shared" si="285"/>
        <v/>
      </c>
      <c r="CO108" s="2362" t="str">
        <f t="shared" si="286"/>
        <v/>
      </c>
      <c r="CP108" s="3366" t="str">
        <f t="shared" si="287"/>
        <v/>
      </c>
      <c r="CQ108" s="3366" t="str">
        <f t="shared" si="288"/>
        <v/>
      </c>
      <c r="CR108" s="2362" t="str">
        <f t="shared" si="289"/>
        <v/>
      </c>
      <c r="CS108" s="2362"/>
      <c r="CT108" s="2362" t="str">
        <f t="shared" si="416"/>
        <v/>
      </c>
      <c r="CU108" s="2362" t="str">
        <f t="shared" si="417"/>
        <v/>
      </c>
      <c r="CV108" s="2362"/>
      <c r="CW108" s="2349"/>
      <c r="CX108" s="2349" t="str">
        <f t="shared" si="291"/>
        <v/>
      </c>
      <c r="CY108" s="2271" t="str">
        <f t="shared" si="292"/>
        <v/>
      </c>
      <c r="CZ108" s="3364" t="str">
        <f t="shared" si="293"/>
        <v/>
      </c>
      <c r="DA108" s="3366" t="str">
        <f t="shared" si="294"/>
        <v/>
      </c>
      <c r="DB108" s="3366" t="str">
        <f t="shared" si="295"/>
        <v/>
      </c>
      <c r="DC108" s="3366" t="str">
        <f t="shared" si="296"/>
        <v/>
      </c>
      <c r="DD108" s="3366" t="str">
        <f t="shared" si="297"/>
        <v/>
      </c>
      <c r="DE108" s="2362" t="str">
        <f t="shared" si="298"/>
        <v/>
      </c>
      <c r="DF108" s="3366" t="str">
        <f t="shared" si="299"/>
        <v/>
      </c>
      <c r="DG108" s="3366" t="str">
        <f t="shared" si="300"/>
        <v/>
      </c>
      <c r="DH108" s="2362" t="str">
        <f t="shared" si="301"/>
        <v/>
      </c>
      <c r="DI108" s="2362"/>
      <c r="DJ108" s="2362" t="str">
        <f t="shared" si="418"/>
        <v/>
      </c>
      <c r="DK108" s="2362" t="str">
        <f t="shared" si="419"/>
        <v/>
      </c>
      <c r="DL108" s="2362" t="str">
        <f t="shared" si="420"/>
        <v/>
      </c>
      <c r="DN108" s="3365" t="str">
        <f t="shared" si="303"/>
        <v/>
      </c>
      <c r="DO108" s="3365" t="str">
        <f t="shared" si="304"/>
        <v/>
      </c>
      <c r="DP108" s="3365" t="str">
        <f t="shared" si="305"/>
        <v/>
      </c>
      <c r="DQ108" s="3365" t="str">
        <f t="shared" si="306"/>
        <v/>
      </c>
      <c r="DT108" s="2349" t="str">
        <f t="shared" si="307"/>
        <v/>
      </c>
      <c r="DU108" s="2271" t="str">
        <f t="shared" si="308"/>
        <v/>
      </c>
      <c r="DV108" s="2622" t="str">
        <f t="shared" si="309"/>
        <v/>
      </c>
      <c r="DW108" s="2622"/>
      <c r="DX108" s="2622"/>
      <c r="DY108" s="2622" t="str">
        <f t="shared" si="311"/>
        <v/>
      </c>
      <c r="DZ108" s="2622" t="str">
        <f t="shared" si="312"/>
        <v/>
      </c>
      <c r="EA108" s="2622" t="str">
        <f t="shared" si="313"/>
        <v/>
      </c>
      <c r="EB108" s="2622" t="str">
        <f t="shared" si="394"/>
        <v/>
      </c>
      <c r="EC108" s="2622" t="str">
        <f t="shared" si="369"/>
        <v/>
      </c>
      <c r="ED108" s="2622" t="str">
        <f t="shared" si="370"/>
        <v/>
      </c>
      <c r="EE108" s="2622"/>
      <c r="EF108" s="2622" t="str">
        <f t="shared" si="421"/>
        <v/>
      </c>
      <c r="EG108" s="2622" t="str">
        <f t="shared" si="422"/>
        <v/>
      </c>
      <c r="EJ108" s="2349" t="str">
        <f t="shared" si="350"/>
        <v/>
      </c>
      <c r="EK108" s="2271" t="str">
        <f t="shared" si="350"/>
        <v/>
      </c>
      <c r="EL108" s="2622" t="str">
        <f t="shared" si="315"/>
        <v/>
      </c>
      <c r="EM108" s="2622"/>
      <c r="EN108" s="2622"/>
      <c r="EO108" s="2622" t="str">
        <f t="shared" si="372"/>
        <v/>
      </c>
      <c r="EP108" s="2622" t="str">
        <f t="shared" si="373"/>
        <v/>
      </c>
      <c r="EQ108" s="2622" t="str">
        <f t="shared" si="374"/>
        <v/>
      </c>
      <c r="ER108" s="2622" t="str">
        <f t="shared" si="388"/>
        <v/>
      </c>
      <c r="ES108" s="2622" t="str">
        <f t="shared" si="375"/>
        <v/>
      </c>
      <c r="ET108" s="2622" t="str">
        <f t="shared" si="376"/>
        <v/>
      </c>
      <c r="EU108" s="2622"/>
      <c r="EV108" s="2622" t="str">
        <f t="shared" si="423"/>
        <v/>
      </c>
      <c r="EW108" s="2622" t="str">
        <f t="shared" si="424"/>
        <v/>
      </c>
      <c r="EY108" s="2349" t="str">
        <f t="shared" si="395"/>
        <v/>
      </c>
      <c r="EZ108" s="2271" t="str">
        <f t="shared" si="396"/>
        <v/>
      </c>
      <c r="FA108" s="2622" t="str">
        <f t="shared" si="389"/>
        <v/>
      </c>
      <c r="FB108" s="2622"/>
      <c r="FC108" s="2622"/>
      <c r="FD108" s="2622" t="str">
        <f t="shared" si="397"/>
        <v/>
      </c>
      <c r="FE108" s="2622" t="str">
        <f t="shared" si="398"/>
        <v/>
      </c>
      <c r="FF108" s="2622" t="str">
        <f t="shared" si="399"/>
        <v/>
      </c>
      <c r="FG108" s="2622" t="str">
        <f t="shared" si="400"/>
        <v/>
      </c>
      <c r="FH108" s="2622" t="str">
        <f t="shared" si="401"/>
        <v/>
      </c>
      <c r="FI108" s="2622" t="str">
        <f t="shared" si="402"/>
        <v/>
      </c>
      <c r="FJ108" s="2622"/>
      <c r="FK108" s="2622" t="str">
        <f t="shared" si="425"/>
        <v/>
      </c>
      <c r="FL108" s="2622" t="str">
        <f t="shared" si="426"/>
        <v/>
      </c>
      <c r="FO108" s="2349" t="str">
        <f t="shared" si="406"/>
        <v/>
      </c>
      <c r="FP108" s="2271" t="str">
        <f t="shared" si="407"/>
        <v/>
      </c>
      <c r="FQ108" s="2622" t="str">
        <f t="shared" si="408"/>
        <v/>
      </c>
      <c r="FR108" s="2622"/>
      <c r="FS108" s="2622"/>
      <c r="FT108" s="2622" t="str">
        <f t="shared" si="409"/>
        <v/>
      </c>
      <c r="FU108" s="2622" t="str">
        <f t="shared" si="410"/>
        <v/>
      </c>
      <c r="FV108" s="2622" t="str">
        <f t="shared" si="411"/>
        <v/>
      </c>
      <c r="FW108" s="2622" t="str">
        <f t="shared" si="412"/>
        <v/>
      </c>
      <c r="FX108" s="2622" t="str">
        <f t="shared" si="413"/>
        <v/>
      </c>
      <c r="FY108" s="2622" t="str">
        <f t="shared" si="414"/>
        <v/>
      </c>
      <c r="FZ108" s="2622"/>
      <c r="GA108" s="2622" t="str">
        <f t="shared" si="427"/>
        <v/>
      </c>
      <c r="GB108" s="2622" t="str">
        <f t="shared" si="393"/>
        <v/>
      </c>
    </row>
    <row r="109" spans="1:184" s="2332" customFormat="1">
      <c r="A109" s="2328"/>
      <c r="B109" s="2328"/>
      <c r="C109" s="2328"/>
      <c r="D109" s="2349"/>
      <c r="E109" s="2328"/>
      <c r="F109" s="2349"/>
      <c r="G109" s="2271"/>
      <c r="H109" s="2366"/>
      <c r="I109" s="2366"/>
      <c r="J109" s="2366"/>
      <c r="K109" s="2366"/>
      <c r="L109" s="2366"/>
      <c r="M109" s="2362"/>
      <c r="N109" s="2366"/>
      <c r="O109" s="2366"/>
      <c r="P109" s="2362"/>
      <c r="Q109" s="2362"/>
      <c r="R109" s="2366"/>
      <c r="S109" s="2362"/>
      <c r="T109" s="2362"/>
      <c r="U109" s="2349"/>
      <c r="V109" s="2349"/>
      <c r="W109" s="2271"/>
      <c r="X109" s="2366"/>
      <c r="Y109" s="2366"/>
      <c r="Z109" s="2366"/>
      <c r="AA109" s="2366"/>
      <c r="AB109" s="2366"/>
      <c r="AC109" s="2362"/>
      <c r="AD109" s="2366"/>
      <c r="AE109" s="2366"/>
      <c r="AF109" s="2362"/>
      <c r="AG109" s="2362"/>
      <c r="AI109" s="2362"/>
      <c r="AJ109" s="2362" t="str">
        <f t="shared" si="428"/>
        <v/>
      </c>
      <c r="AK109" s="2349"/>
      <c r="AL109" s="3362"/>
      <c r="AM109" s="3362"/>
      <c r="AN109" s="2366"/>
      <c r="AO109" s="2366"/>
      <c r="AP109" s="2362"/>
      <c r="AQ109" s="2362"/>
      <c r="AR109" s="2362"/>
      <c r="AS109" s="2349"/>
      <c r="AT109" s="2349"/>
      <c r="AU109" s="2271"/>
      <c r="AV109" s="2366"/>
      <c r="AW109" s="2366"/>
      <c r="AX109" s="2366"/>
      <c r="AY109" s="2366"/>
      <c r="AZ109" s="2366"/>
      <c r="BA109" s="2362"/>
      <c r="BB109" s="2366"/>
      <c r="BC109" s="2366"/>
      <c r="BD109" s="3363"/>
      <c r="BE109" s="251"/>
      <c r="BF109" s="2362"/>
      <c r="BG109" s="2362"/>
      <c r="BH109" s="2362"/>
      <c r="BI109" s="2349"/>
      <c r="BJ109" s="2349"/>
      <c r="BK109" s="2271"/>
      <c r="BL109" s="2366"/>
      <c r="BM109" s="2366"/>
      <c r="BN109" s="2366"/>
      <c r="BO109" s="2366"/>
      <c r="BP109" s="2366"/>
      <c r="BQ109" s="3363"/>
      <c r="BR109" s="2366"/>
      <c r="BS109" s="2366"/>
      <c r="BT109" s="2362"/>
      <c r="BU109" s="2362"/>
      <c r="BV109" s="2168"/>
      <c r="BW109" s="2362"/>
      <c r="BX109" s="2362"/>
      <c r="BY109" s="2349"/>
      <c r="BZ109" s="2366"/>
      <c r="CA109" s="2366"/>
      <c r="CB109" s="2366"/>
      <c r="CC109" s="2366"/>
      <c r="CD109" s="2362"/>
      <c r="CE109" s="2362"/>
      <c r="CF109" s="2362"/>
      <c r="CG109" s="2349"/>
      <c r="CH109" s="2349" t="str">
        <f t="shared" si="279"/>
        <v/>
      </c>
      <c r="CI109" s="2271" t="str">
        <f t="shared" si="280"/>
        <v/>
      </c>
      <c r="CJ109" s="3364" t="str">
        <f t="shared" si="281"/>
        <v/>
      </c>
      <c r="CK109" s="2366" t="str">
        <f t="shared" si="282"/>
        <v/>
      </c>
      <c r="CL109" s="2366" t="str">
        <f t="shared" si="283"/>
        <v/>
      </c>
      <c r="CM109" s="2366" t="str">
        <f t="shared" si="284"/>
        <v/>
      </c>
      <c r="CN109" s="2366" t="str">
        <f t="shared" si="285"/>
        <v/>
      </c>
      <c r="CO109" s="2362" t="str">
        <f t="shared" si="286"/>
        <v/>
      </c>
      <c r="CP109" s="2366" t="str">
        <f t="shared" si="287"/>
        <v/>
      </c>
      <c r="CQ109" s="2366" t="str">
        <f t="shared" si="288"/>
        <v/>
      </c>
      <c r="CR109" s="2362" t="str">
        <f t="shared" si="289"/>
        <v/>
      </c>
      <c r="CS109" s="2362"/>
      <c r="CT109" s="2362" t="str">
        <f t="shared" si="416"/>
        <v/>
      </c>
      <c r="CU109" s="2362" t="str">
        <f t="shared" si="417"/>
        <v/>
      </c>
      <c r="CV109" s="2362"/>
      <c r="CW109" s="2349"/>
      <c r="CX109" s="2349" t="str">
        <f t="shared" si="291"/>
        <v/>
      </c>
      <c r="CY109" s="2271" t="str">
        <f t="shared" si="292"/>
        <v/>
      </c>
      <c r="CZ109" s="3364" t="str">
        <f t="shared" si="293"/>
        <v/>
      </c>
      <c r="DA109" s="2366" t="str">
        <f t="shared" si="294"/>
        <v/>
      </c>
      <c r="DB109" s="2366" t="str">
        <f t="shared" si="295"/>
        <v/>
      </c>
      <c r="DC109" s="2366" t="str">
        <f t="shared" si="296"/>
        <v/>
      </c>
      <c r="DD109" s="2366" t="str">
        <f t="shared" si="297"/>
        <v/>
      </c>
      <c r="DE109" s="2362" t="str">
        <f t="shared" si="298"/>
        <v/>
      </c>
      <c r="DF109" s="2366" t="str">
        <f t="shared" si="299"/>
        <v/>
      </c>
      <c r="DG109" s="2366" t="str">
        <f t="shared" si="300"/>
        <v/>
      </c>
      <c r="DH109" s="2362" t="str">
        <f t="shared" si="301"/>
        <v/>
      </c>
      <c r="DI109" s="2362"/>
      <c r="DJ109" s="2362" t="str">
        <f t="shared" si="418"/>
        <v/>
      </c>
      <c r="DK109" s="2362" t="str">
        <f t="shared" si="419"/>
        <v/>
      </c>
      <c r="DL109" s="2362" t="str">
        <f t="shared" si="420"/>
        <v/>
      </c>
      <c r="DN109" s="3365" t="str">
        <f t="shared" si="303"/>
        <v/>
      </c>
      <c r="DO109" s="3365" t="str">
        <f t="shared" si="304"/>
        <v/>
      </c>
      <c r="DP109" s="3365" t="str">
        <f t="shared" si="305"/>
        <v/>
      </c>
      <c r="DQ109" s="3365" t="str">
        <f t="shared" si="306"/>
        <v/>
      </c>
      <c r="DT109" s="2349" t="str">
        <f t="shared" si="307"/>
        <v/>
      </c>
      <c r="DU109" s="2271" t="str">
        <f t="shared" si="308"/>
        <v/>
      </c>
      <c r="DV109" s="2622" t="str">
        <f t="shared" si="309"/>
        <v/>
      </c>
      <c r="DW109" s="2622"/>
      <c r="DX109" s="2622"/>
      <c r="DY109" s="2622" t="str">
        <f t="shared" si="311"/>
        <v/>
      </c>
      <c r="DZ109" s="2622" t="str">
        <f t="shared" si="312"/>
        <v/>
      </c>
      <c r="EA109" s="2622" t="str">
        <f t="shared" si="313"/>
        <v/>
      </c>
      <c r="EB109" s="2622" t="str">
        <f t="shared" si="394"/>
        <v/>
      </c>
      <c r="EC109" s="2622" t="str">
        <f t="shared" si="369"/>
        <v/>
      </c>
      <c r="ED109" s="2622" t="str">
        <f t="shared" si="370"/>
        <v/>
      </c>
      <c r="EE109" s="2622"/>
      <c r="EF109" s="2622" t="str">
        <f t="shared" si="421"/>
        <v/>
      </c>
      <c r="EG109" s="2622" t="str">
        <f t="shared" si="422"/>
        <v/>
      </c>
      <c r="EJ109" s="2349" t="str">
        <f t="shared" si="350"/>
        <v/>
      </c>
      <c r="EK109" s="2271" t="str">
        <f t="shared" si="350"/>
        <v/>
      </c>
      <c r="EL109" s="2622" t="str">
        <f t="shared" si="315"/>
        <v/>
      </c>
      <c r="EM109" s="2622"/>
      <c r="EN109" s="2622"/>
      <c r="EO109" s="2622" t="str">
        <f t="shared" si="372"/>
        <v/>
      </c>
      <c r="EP109" s="2622" t="str">
        <f t="shared" si="373"/>
        <v/>
      </c>
      <c r="EQ109" s="2622" t="str">
        <f t="shared" si="374"/>
        <v/>
      </c>
      <c r="ER109" s="2622" t="str">
        <f t="shared" si="388"/>
        <v/>
      </c>
      <c r="ES109" s="2622" t="str">
        <f t="shared" si="375"/>
        <v/>
      </c>
      <c r="ET109" s="2622" t="str">
        <f t="shared" si="376"/>
        <v/>
      </c>
      <c r="EU109" s="2622"/>
      <c r="EV109" s="2622" t="str">
        <f t="shared" si="423"/>
        <v/>
      </c>
      <c r="EW109" s="2622" t="str">
        <f t="shared" si="424"/>
        <v/>
      </c>
      <c r="EY109" s="2349" t="str">
        <f t="shared" si="395"/>
        <v/>
      </c>
      <c r="EZ109" s="2271" t="str">
        <f t="shared" si="396"/>
        <v/>
      </c>
      <c r="FA109" s="2622" t="str">
        <f t="shared" si="389"/>
        <v/>
      </c>
      <c r="FB109" s="2622"/>
      <c r="FC109" s="2622"/>
      <c r="FD109" s="2622" t="str">
        <f t="shared" si="397"/>
        <v/>
      </c>
      <c r="FE109" s="2622" t="str">
        <f t="shared" si="398"/>
        <v/>
      </c>
      <c r="FF109" s="2622" t="str">
        <f t="shared" si="399"/>
        <v/>
      </c>
      <c r="FG109" s="2622" t="str">
        <f t="shared" si="400"/>
        <v/>
      </c>
      <c r="FH109" s="2622" t="str">
        <f t="shared" si="401"/>
        <v/>
      </c>
      <c r="FI109" s="2622" t="str">
        <f t="shared" si="402"/>
        <v/>
      </c>
      <c r="FJ109" s="2622"/>
      <c r="FK109" s="2622" t="str">
        <f t="shared" si="425"/>
        <v/>
      </c>
      <c r="FL109" s="2622" t="str">
        <f t="shared" si="426"/>
        <v/>
      </c>
      <c r="FO109" s="2349" t="str">
        <f t="shared" si="406"/>
        <v/>
      </c>
      <c r="FP109" s="2271" t="str">
        <f t="shared" si="407"/>
        <v/>
      </c>
      <c r="FQ109" s="2622" t="str">
        <f t="shared" si="408"/>
        <v/>
      </c>
      <c r="FR109" s="2622"/>
      <c r="FS109" s="2622"/>
      <c r="FT109" s="2622" t="str">
        <f t="shared" si="409"/>
        <v/>
      </c>
      <c r="FU109" s="2622" t="str">
        <f t="shared" si="410"/>
        <v/>
      </c>
      <c r="FV109" s="2622" t="str">
        <f t="shared" si="411"/>
        <v/>
      </c>
      <c r="FW109" s="2622" t="str">
        <f t="shared" si="412"/>
        <v/>
      </c>
      <c r="FX109" s="2622" t="str">
        <f t="shared" si="413"/>
        <v/>
      </c>
      <c r="FY109" s="2622" t="str">
        <f t="shared" si="414"/>
        <v/>
      </c>
      <c r="FZ109" s="2622"/>
      <c r="GA109" s="2622" t="str">
        <f t="shared" si="427"/>
        <v/>
      </c>
      <c r="GB109" s="2622" t="str">
        <f t="shared" si="393"/>
        <v/>
      </c>
    </row>
    <row r="110" spans="1:184" s="2332" customFormat="1">
      <c r="A110" s="2328"/>
      <c r="B110" s="2328"/>
      <c r="C110" s="2328"/>
      <c r="D110" s="2349"/>
      <c r="E110" s="2328"/>
      <c r="F110" s="2349"/>
      <c r="G110" s="2271"/>
      <c r="H110" s="2366"/>
      <c r="I110" s="2366"/>
      <c r="J110" s="2366"/>
      <c r="K110" s="2366"/>
      <c r="L110" s="2366"/>
      <c r="M110" s="2362"/>
      <c r="N110" s="2366"/>
      <c r="O110" s="2366"/>
      <c r="P110" s="2362"/>
      <c r="Q110" s="2362"/>
      <c r="R110" s="2366"/>
      <c r="S110" s="2362"/>
      <c r="T110" s="2362"/>
      <c r="U110" s="2349"/>
      <c r="V110" s="2349"/>
      <c r="W110" s="2271"/>
      <c r="X110" s="2366"/>
      <c r="Y110" s="2366"/>
      <c r="Z110" s="2366"/>
      <c r="AA110" s="2366"/>
      <c r="AB110" s="2366"/>
      <c r="AC110" s="2362"/>
      <c r="AD110" s="2366"/>
      <c r="AE110" s="2366"/>
      <c r="AF110" s="2362"/>
      <c r="AG110" s="2362"/>
      <c r="AI110" s="2362"/>
      <c r="AJ110" s="2362" t="str">
        <f t="shared" si="428"/>
        <v/>
      </c>
      <c r="AK110" s="2349"/>
      <c r="AL110" s="3362"/>
      <c r="AM110" s="3362"/>
      <c r="AN110" s="2366"/>
      <c r="AO110" s="2366"/>
      <c r="AP110" s="2362"/>
      <c r="AQ110" s="2362"/>
      <c r="AR110" s="2362"/>
      <c r="AS110" s="2349"/>
      <c r="AT110" s="2349"/>
      <c r="AU110" s="2271"/>
      <c r="AV110" s="2366"/>
      <c r="AW110" s="2366"/>
      <c r="AX110" s="2366"/>
      <c r="AY110" s="2366"/>
      <c r="AZ110" s="2366"/>
      <c r="BA110" s="2362"/>
      <c r="BB110" s="2366"/>
      <c r="BC110" s="2366"/>
      <c r="BD110" s="3363"/>
      <c r="BE110" s="251"/>
      <c r="BF110" s="2362"/>
      <c r="BG110" s="2362"/>
      <c r="BH110" s="2362"/>
      <c r="BI110" s="2349"/>
      <c r="BJ110" s="2349"/>
      <c r="BK110" s="2271"/>
      <c r="BL110" s="2366"/>
      <c r="BM110" s="2366"/>
      <c r="BN110" s="2366"/>
      <c r="BO110" s="2366"/>
      <c r="BP110" s="2366"/>
      <c r="BQ110" s="3363"/>
      <c r="BR110" s="2366"/>
      <c r="BS110" s="2366"/>
      <c r="BT110" s="2362"/>
      <c r="BU110" s="2362"/>
      <c r="BV110" s="2168"/>
      <c r="BW110" s="2362"/>
      <c r="BX110" s="2362"/>
      <c r="BY110" s="2349"/>
      <c r="BZ110" s="2366"/>
      <c r="CA110" s="2366"/>
      <c r="CB110" s="2366"/>
      <c r="CC110" s="2366"/>
      <c r="CD110" s="2362"/>
      <c r="CE110" s="2362"/>
      <c r="CF110" s="2362"/>
      <c r="CG110" s="2349"/>
      <c r="CH110" s="2349" t="str">
        <f t="shared" si="279"/>
        <v/>
      </c>
      <c r="CI110" s="2271" t="str">
        <f t="shared" si="280"/>
        <v/>
      </c>
      <c r="CJ110" s="3364" t="str">
        <f t="shared" si="281"/>
        <v/>
      </c>
      <c r="CK110" s="2366" t="str">
        <f t="shared" si="282"/>
        <v/>
      </c>
      <c r="CL110" s="2366" t="str">
        <f t="shared" si="283"/>
        <v/>
      </c>
      <c r="CM110" s="2366" t="str">
        <f t="shared" si="284"/>
        <v/>
      </c>
      <c r="CN110" s="2366" t="str">
        <f t="shared" si="285"/>
        <v/>
      </c>
      <c r="CO110" s="2362" t="str">
        <f t="shared" si="286"/>
        <v/>
      </c>
      <c r="CP110" s="2366" t="str">
        <f t="shared" si="287"/>
        <v/>
      </c>
      <c r="CQ110" s="2366" t="str">
        <f t="shared" si="288"/>
        <v/>
      </c>
      <c r="CR110" s="2362" t="str">
        <f t="shared" si="289"/>
        <v/>
      </c>
      <c r="CS110" s="2362"/>
      <c r="CT110" s="2362" t="str">
        <f t="shared" si="416"/>
        <v/>
      </c>
      <c r="CU110" s="2362" t="str">
        <f t="shared" si="417"/>
        <v/>
      </c>
      <c r="CV110" s="2362"/>
      <c r="CW110" s="2349"/>
      <c r="CX110" s="2349" t="str">
        <f t="shared" si="291"/>
        <v/>
      </c>
      <c r="CY110" s="2271" t="str">
        <f t="shared" si="292"/>
        <v/>
      </c>
      <c r="CZ110" s="3364" t="str">
        <f t="shared" si="293"/>
        <v/>
      </c>
      <c r="DA110" s="2366" t="str">
        <f t="shared" si="294"/>
        <v/>
      </c>
      <c r="DB110" s="2366" t="str">
        <f t="shared" si="295"/>
        <v/>
      </c>
      <c r="DC110" s="2366" t="str">
        <f t="shared" si="296"/>
        <v/>
      </c>
      <c r="DD110" s="2366" t="str">
        <f t="shared" si="297"/>
        <v/>
      </c>
      <c r="DE110" s="2362" t="str">
        <f t="shared" si="298"/>
        <v/>
      </c>
      <c r="DF110" s="2366" t="str">
        <f t="shared" si="299"/>
        <v/>
      </c>
      <c r="DG110" s="2366" t="str">
        <f t="shared" si="300"/>
        <v/>
      </c>
      <c r="DH110" s="2362" t="str">
        <f t="shared" si="301"/>
        <v/>
      </c>
      <c r="DI110" s="2362"/>
      <c r="DJ110" s="2362" t="str">
        <f t="shared" si="418"/>
        <v/>
      </c>
      <c r="DK110" s="2362" t="str">
        <f t="shared" si="419"/>
        <v/>
      </c>
      <c r="DL110" s="2362" t="str">
        <f t="shared" si="420"/>
        <v/>
      </c>
      <c r="DN110" s="3365" t="str">
        <f t="shared" si="303"/>
        <v/>
      </c>
      <c r="DO110" s="3365" t="str">
        <f t="shared" si="304"/>
        <v/>
      </c>
      <c r="DP110" s="3365" t="str">
        <f t="shared" si="305"/>
        <v/>
      </c>
      <c r="DQ110" s="3365" t="str">
        <f t="shared" si="306"/>
        <v/>
      </c>
      <c r="DT110" s="2349" t="str">
        <f t="shared" si="307"/>
        <v/>
      </c>
      <c r="DU110" s="2271" t="str">
        <f t="shared" si="308"/>
        <v/>
      </c>
      <c r="DV110" s="2622" t="str">
        <f t="shared" si="309"/>
        <v/>
      </c>
      <c r="DW110" s="2622"/>
      <c r="DX110" s="2622"/>
      <c r="DY110" s="2622" t="str">
        <f t="shared" si="311"/>
        <v/>
      </c>
      <c r="DZ110" s="2622" t="str">
        <f t="shared" si="312"/>
        <v/>
      </c>
      <c r="EA110" s="2622" t="str">
        <f t="shared" si="313"/>
        <v/>
      </c>
      <c r="EB110" s="2622" t="str">
        <f t="shared" si="394"/>
        <v/>
      </c>
      <c r="EC110" s="2622" t="str">
        <f t="shared" si="369"/>
        <v/>
      </c>
      <c r="ED110" s="2622" t="str">
        <f t="shared" si="370"/>
        <v/>
      </c>
      <c r="EE110" s="2622"/>
      <c r="EF110" s="2622" t="str">
        <f t="shared" si="421"/>
        <v/>
      </c>
      <c r="EG110" s="2622" t="str">
        <f t="shared" si="422"/>
        <v/>
      </c>
      <c r="EJ110" s="2349" t="str">
        <f t="shared" si="350"/>
        <v/>
      </c>
      <c r="EK110" s="2271" t="str">
        <f t="shared" si="350"/>
        <v/>
      </c>
      <c r="EL110" s="2622" t="str">
        <f t="shared" si="315"/>
        <v/>
      </c>
      <c r="EM110" s="2622"/>
      <c r="EN110" s="2622"/>
      <c r="EO110" s="2622" t="str">
        <f t="shared" si="372"/>
        <v/>
      </c>
      <c r="EP110" s="2622" t="str">
        <f t="shared" si="373"/>
        <v/>
      </c>
      <c r="EQ110" s="2622" t="str">
        <f t="shared" si="374"/>
        <v/>
      </c>
      <c r="ER110" s="2622" t="str">
        <f t="shared" si="388"/>
        <v/>
      </c>
      <c r="ES110" s="2622" t="str">
        <f t="shared" si="375"/>
        <v/>
      </c>
      <c r="ET110" s="2622" t="str">
        <f t="shared" si="376"/>
        <v/>
      </c>
      <c r="EU110" s="2622"/>
      <c r="EV110" s="2622" t="str">
        <f t="shared" si="423"/>
        <v/>
      </c>
      <c r="EW110" s="2622" t="str">
        <f t="shared" si="424"/>
        <v/>
      </c>
      <c r="EY110" s="2349" t="str">
        <f t="shared" si="395"/>
        <v/>
      </c>
      <c r="EZ110" s="2271" t="str">
        <f t="shared" si="396"/>
        <v/>
      </c>
      <c r="FA110" s="2622" t="str">
        <f t="shared" si="389"/>
        <v/>
      </c>
      <c r="FB110" s="2622"/>
      <c r="FC110" s="2622"/>
      <c r="FD110" s="2622" t="str">
        <f t="shared" si="397"/>
        <v/>
      </c>
      <c r="FE110" s="2622" t="str">
        <f t="shared" si="398"/>
        <v/>
      </c>
      <c r="FF110" s="2622" t="str">
        <f t="shared" si="399"/>
        <v/>
      </c>
      <c r="FG110" s="2622" t="str">
        <f t="shared" si="400"/>
        <v/>
      </c>
      <c r="FH110" s="2622" t="str">
        <f t="shared" si="401"/>
        <v/>
      </c>
      <c r="FI110" s="2622" t="str">
        <f t="shared" si="402"/>
        <v/>
      </c>
      <c r="FJ110" s="2622"/>
      <c r="FK110" s="2622" t="str">
        <f t="shared" si="425"/>
        <v/>
      </c>
      <c r="FL110" s="2622" t="str">
        <f t="shared" si="426"/>
        <v/>
      </c>
      <c r="FO110" s="2349" t="str">
        <f t="shared" si="406"/>
        <v/>
      </c>
      <c r="FP110" s="2271" t="str">
        <f t="shared" si="407"/>
        <v/>
      </c>
      <c r="FQ110" s="2622" t="str">
        <f t="shared" si="408"/>
        <v/>
      </c>
      <c r="FR110" s="2622"/>
      <c r="FS110" s="2622"/>
      <c r="FT110" s="2622" t="str">
        <f t="shared" si="409"/>
        <v/>
      </c>
      <c r="FU110" s="2622" t="str">
        <f t="shared" si="410"/>
        <v/>
      </c>
      <c r="FV110" s="2622" t="str">
        <f t="shared" si="411"/>
        <v/>
      </c>
      <c r="FW110" s="2622" t="str">
        <f t="shared" si="412"/>
        <v/>
      </c>
      <c r="FX110" s="2622" t="str">
        <f t="shared" si="413"/>
        <v/>
      </c>
      <c r="FY110" s="2622" t="str">
        <f t="shared" si="414"/>
        <v/>
      </c>
      <c r="FZ110" s="2622"/>
      <c r="GA110" s="2622" t="str">
        <f t="shared" si="427"/>
        <v/>
      </c>
      <c r="GB110" s="2622" t="str">
        <f t="shared" si="393"/>
        <v/>
      </c>
    </row>
    <row r="111" spans="1:184" s="2332" customFormat="1">
      <c r="A111" s="2328"/>
      <c r="B111" s="2328"/>
      <c r="C111" s="2328"/>
      <c r="D111" s="2349"/>
      <c r="E111" s="2328"/>
      <c r="F111" s="2349"/>
      <c r="G111" s="2271"/>
      <c r="H111" s="2366"/>
      <c r="I111" s="2366"/>
      <c r="J111" s="2366"/>
      <c r="K111" s="2366"/>
      <c r="L111" s="2366"/>
      <c r="M111" s="2362"/>
      <c r="N111" s="2366"/>
      <c r="O111" s="2366"/>
      <c r="P111" s="2362"/>
      <c r="Q111" s="2362"/>
      <c r="R111" s="2366"/>
      <c r="S111" s="2362"/>
      <c r="T111" s="2362"/>
      <c r="U111" s="2349"/>
      <c r="V111" s="2349"/>
      <c r="W111" s="2271"/>
      <c r="X111" s="2366"/>
      <c r="Y111" s="2366"/>
      <c r="Z111" s="2366"/>
      <c r="AA111" s="2366"/>
      <c r="AB111" s="2366"/>
      <c r="AC111" s="2362"/>
      <c r="AD111" s="2366"/>
      <c r="AE111" s="2366"/>
      <c r="AF111" s="2362"/>
      <c r="AG111" s="2362"/>
      <c r="AI111" s="2362"/>
      <c r="AJ111" s="2362" t="str">
        <f t="shared" si="428"/>
        <v/>
      </c>
      <c r="AK111" s="2349"/>
      <c r="AL111" s="3362"/>
      <c r="AM111" s="3362"/>
      <c r="AN111" s="2366"/>
      <c r="AO111" s="2366"/>
      <c r="AP111" s="2362"/>
      <c r="AQ111" s="2362"/>
      <c r="AR111" s="2362"/>
      <c r="AS111" s="2349"/>
      <c r="AT111" s="2349"/>
      <c r="AU111" s="2271"/>
      <c r="AV111" s="2366"/>
      <c r="AW111" s="2366"/>
      <c r="AX111" s="2366"/>
      <c r="AY111" s="2366"/>
      <c r="AZ111" s="2366"/>
      <c r="BA111" s="2362"/>
      <c r="BB111" s="2366"/>
      <c r="BC111" s="2366"/>
      <c r="BD111" s="3363"/>
      <c r="BE111" s="251"/>
      <c r="BF111" s="2362"/>
      <c r="BG111" s="2362"/>
      <c r="BH111" s="2362"/>
      <c r="BI111" s="2349"/>
      <c r="BJ111" s="2349"/>
      <c r="BK111" s="2271"/>
      <c r="BL111" s="2366"/>
      <c r="BM111" s="2366"/>
      <c r="BN111" s="2366"/>
      <c r="BO111" s="2366"/>
      <c r="BP111" s="2366"/>
      <c r="BQ111" s="3363"/>
      <c r="BR111" s="2366"/>
      <c r="BS111" s="2366"/>
      <c r="BT111" s="2362"/>
      <c r="BU111" s="2362"/>
      <c r="BV111" s="2168"/>
      <c r="BW111" s="2362"/>
      <c r="BX111" s="2362"/>
      <c r="BY111" s="2349"/>
      <c r="BZ111" s="2366"/>
      <c r="CA111" s="2366"/>
      <c r="CB111" s="2366"/>
      <c r="CC111" s="2366"/>
      <c r="CD111" s="2362"/>
      <c r="CE111" s="2362"/>
      <c r="CF111" s="2362"/>
      <c r="CG111" s="2349"/>
      <c r="CH111" s="2349" t="str">
        <f t="shared" si="279"/>
        <v/>
      </c>
      <c r="CI111" s="2271" t="str">
        <f t="shared" si="280"/>
        <v/>
      </c>
      <c r="CJ111" s="3364" t="str">
        <f t="shared" si="281"/>
        <v/>
      </c>
      <c r="CK111" s="2366" t="str">
        <f t="shared" si="282"/>
        <v/>
      </c>
      <c r="CL111" s="2366" t="str">
        <f t="shared" si="283"/>
        <v/>
      </c>
      <c r="CM111" s="2366" t="str">
        <f t="shared" si="284"/>
        <v/>
      </c>
      <c r="CN111" s="2366" t="str">
        <f t="shared" si="285"/>
        <v/>
      </c>
      <c r="CO111" s="2362" t="str">
        <f t="shared" si="286"/>
        <v/>
      </c>
      <c r="CP111" s="2366" t="str">
        <f t="shared" si="287"/>
        <v/>
      </c>
      <c r="CQ111" s="2366" t="str">
        <f t="shared" si="288"/>
        <v/>
      </c>
      <c r="CR111" s="2362" t="str">
        <f t="shared" si="289"/>
        <v/>
      </c>
      <c r="CS111" s="2362"/>
      <c r="CT111" s="2362" t="str">
        <f t="shared" si="416"/>
        <v/>
      </c>
      <c r="CU111" s="2362" t="str">
        <f t="shared" si="417"/>
        <v/>
      </c>
      <c r="CV111" s="2362"/>
      <c r="CW111" s="2349"/>
      <c r="CX111" s="2349" t="str">
        <f t="shared" si="291"/>
        <v/>
      </c>
      <c r="CY111" s="2271" t="str">
        <f t="shared" si="292"/>
        <v/>
      </c>
      <c r="CZ111" s="3364" t="str">
        <f t="shared" si="293"/>
        <v/>
      </c>
      <c r="DA111" s="2366" t="str">
        <f t="shared" si="294"/>
        <v/>
      </c>
      <c r="DB111" s="2366" t="str">
        <f t="shared" si="295"/>
        <v/>
      </c>
      <c r="DC111" s="2366" t="str">
        <f t="shared" si="296"/>
        <v/>
      </c>
      <c r="DD111" s="2366" t="str">
        <f t="shared" si="297"/>
        <v/>
      </c>
      <c r="DE111" s="2362" t="str">
        <f t="shared" si="298"/>
        <v/>
      </c>
      <c r="DF111" s="2366" t="str">
        <f t="shared" si="299"/>
        <v/>
      </c>
      <c r="DG111" s="2366" t="str">
        <f t="shared" si="300"/>
        <v/>
      </c>
      <c r="DH111" s="2362" t="str">
        <f t="shared" si="301"/>
        <v/>
      </c>
      <c r="DI111" s="2362"/>
      <c r="DJ111" s="2362" t="str">
        <f t="shared" si="418"/>
        <v/>
      </c>
      <c r="DK111" s="2362" t="str">
        <f t="shared" si="419"/>
        <v/>
      </c>
      <c r="DL111" s="2362" t="str">
        <f t="shared" si="420"/>
        <v/>
      </c>
      <c r="DN111" s="3365" t="str">
        <f t="shared" si="303"/>
        <v/>
      </c>
      <c r="DO111" s="3365" t="str">
        <f t="shared" si="304"/>
        <v/>
      </c>
      <c r="DP111" s="3365" t="str">
        <f t="shared" si="305"/>
        <v/>
      </c>
      <c r="DQ111" s="3365" t="str">
        <f t="shared" si="306"/>
        <v/>
      </c>
      <c r="DT111" s="2349" t="str">
        <f t="shared" si="307"/>
        <v/>
      </c>
      <c r="DU111" s="2271" t="str">
        <f t="shared" si="308"/>
        <v/>
      </c>
      <c r="DV111" s="2622" t="str">
        <f t="shared" si="309"/>
        <v/>
      </c>
      <c r="DW111" s="2622"/>
      <c r="DX111" s="2622"/>
      <c r="DY111" s="2622" t="str">
        <f t="shared" si="311"/>
        <v/>
      </c>
      <c r="DZ111" s="2622" t="str">
        <f t="shared" si="312"/>
        <v/>
      </c>
      <c r="EA111" s="2622" t="str">
        <f t="shared" si="313"/>
        <v/>
      </c>
      <c r="EB111" s="2622" t="str">
        <f t="shared" si="394"/>
        <v/>
      </c>
      <c r="EC111" s="2622" t="str">
        <f t="shared" si="369"/>
        <v/>
      </c>
      <c r="ED111" s="2622" t="str">
        <f t="shared" si="370"/>
        <v/>
      </c>
      <c r="EE111" s="2622"/>
      <c r="EF111" s="2622" t="str">
        <f t="shared" si="421"/>
        <v/>
      </c>
      <c r="EG111" s="2622" t="str">
        <f t="shared" si="422"/>
        <v/>
      </c>
      <c r="EJ111" s="2349" t="str">
        <f t="shared" si="350"/>
        <v/>
      </c>
      <c r="EK111" s="2271" t="str">
        <f t="shared" si="350"/>
        <v/>
      </c>
      <c r="EL111" s="2622" t="str">
        <f t="shared" si="315"/>
        <v/>
      </c>
      <c r="EM111" s="2622"/>
      <c r="EN111" s="2622"/>
      <c r="EO111" s="2622" t="str">
        <f t="shared" si="372"/>
        <v/>
      </c>
      <c r="EP111" s="2622" t="str">
        <f t="shared" si="373"/>
        <v/>
      </c>
      <c r="EQ111" s="2622" t="str">
        <f t="shared" si="374"/>
        <v/>
      </c>
      <c r="ER111" s="2622" t="str">
        <f t="shared" si="388"/>
        <v/>
      </c>
      <c r="ES111" s="2622" t="str">
        <f t="shared" si="375"/>
        <v/>
      </c>
      <c r="ET111" s="2622" t="str">
        <f t="shared" si="376"/>
        <v/>
      </c>
      <c r="EU111" s="2622"/>
      <c r="EV111" s="2622" t="str">
        <f t="shared" si="423"/>
        <v/>
      </c>
      <c r="EW111" s="2622" t="str">
        <f t="shared" si="424"/>
        <v/>
      </c>
      <c r="EY111" s="2349" t="str">
        <f t="shared" si="395"/>
        <v/>
      </c>
      <c r="EZ111" s="2271" t="str">
        <f t="shared" si="396"/>
        <v/>
      </c>
      <c r="FA111" s="2622" t="str">
        <f t="shared" si="389"/>
        <v/>
      </c>
      <c r="FB111" s="2622"/>
      <c r="FC111" s="2622"/>
      <c r="FD111" s="2622" t="str">
        <f t="shared" si="397"/>
        <v/>
      </c>
      <c r="FE111" s="2622" t="str">
        <f t="shared" si="398"/>
        <v/>
      </c>
      <c r="FF111" s="2622" t="str">
        <f t="shared" si="399"/>
        <v/>
      </c>
      <c r="FG111" s="2622" t="str">
        <f t="shared" si="400"/>
        <v/>
      </c>
      <c r="FH111" s="2622" t="str">
        <f t="shared" si="401"/>
        <v/>
      </c>
      <c r="FI111" s="2622" t="str">
        <f t="shared" si="402"/>
        <v/>
      </c>
      <c r="FJ111" s="2622"/>
      <c r="FK111" s="2622" t="str">
        <f t="shared" si="425"/>
        <v/>
      </c>
      <c r="FL111" s="2622" t="str">
        <f t="shared" si="426"/>
        <v/>
      </c>
      <c r="FO111" s="2349" t="str">
        <f t="shared" si="406"/>
        <v/>
      </c>
      <c r="FP111" s="2271" t="str">
        <f t="shared" si="407"/>
        <v/>
      </c>
      <c r="FQ111" s="2622" t="str">
        <f t="shared" si="408"/>
        <v/>
      </c>
      <c r="FR111" s="2622"/>
      <c r="FS111" s="2622"/>
      <c r="FT111" s="2622" t="str">
        <f t="shared" si="409"/>
        <v/>
      </c>
      <c r="FU111" s="2622" t="str">
        <f t="shared" si="410"/>
        <v/>
      </c>
      <c r="FV111" s="2622" t="str">
        <f t="shared" si="411"/>
        <v/>
      </c>
      <c r="FW111" s="2622" t="str">
        <f t="shared" si="412"/>
        <v/>
      </c>
      <c r="FX111" s="2622" t="str">
        <f t="shared" si="413"/>
        <v/>
      </c>
      <c r="FY111" s="2622" t="str">
        <f t="shared" si="414"/>
        <v/>
      </c>
      <c r="FZ111" s="2622"/>
      <c r="GA111" s="2622" t="str">
        <f t="shared" si="427"/>
        <v/>
      </c>
      <c r="GB111" s="2622" t="str">
        <f t="shared" si="393"/>
        <v/>
      </c>
    </row>
    <row r="112" spans="1:184" s="2332" customFormat="1">
      <c r="A112" s="2328"/>
      <c r="B112" s="2328"/>
      <c r="C112" s="2328"/>
      <c r="D112" s="2349"/>
      <c r="E112" s="2328"/>
      <c r="F112" s="2349"/>
      <c r="G112" s="2271"/>
      <c r="H112" s="2366"/>
      <c r="I112" s="2366"/>
      <c r="J112" s="2366"/>
      <c r="K112" s="2366"/>
      <c r="L112" s="2366"/>
      <c r="M112" s="2362"/>
      <c r="N112" s="2366"/>
      <c r="O112" s="2366"/>
      <c r="P112" s="2362"/>
      <c r="Q112" s="2362"/>
      <c r="R112" s="2366"/>
      <c r="S112" s="2362"/>
      <c r="T112" s="2362"/>
      <c r="U112" s="2349"/>
      <c r="V112" s="2349"/>
      <c r="W112" s="2271"/>
      <c r="X112" s="2366"/>
      <c r="Y112" s="2366"/>
      <c r="Z112" s="2366"/>
      <c r="AA112" s="2366"/>
      <c r="AB112" s="2366"/>
      <c r="AC112" s="2362"/>
      <c r="AD112" s="2366"/>
      <c r="AE112" s="2366"/>
      <c r="AF112" s="2362"/>
      <c r="AG112" s="2362"/>
      <c r="AI112" s="2362"/>
      <c r="AJ112" s="2362" t="str">
        <f t="shared" si="428"/>
        <v/>
      </c>
      <c r="AK112" s="2349"/>
      <c r="AL112" s="3362"/>
      <c r="AM112" s="3362"/>
      <c r="AN112" s="2366"/>
      <c r="AO112" s="2366"/>
      <c r="AP112" s="2362"/>
      <c r="AQ112" s="2362"/>
      <c r="AR112" s="2362"/>
      <c r="AS112" s="2349"/>
      <c r="AT112" s="2349"/>
      <c r="AU112" s="2271"/>
      <c r="AV112" s="2366"/>
      <c r="AW112" s="2366"/>
      <c r="AX112" s="2366"/>
      <c r="AY112" s="2366"/>
      <c r="AZ112" s="2366"/>
      <c r="BA112" s="2362"/>
      <c r="BB112" s="2366"/>
      <c r="BC112" s="2366"/>
      <c r="BD112" s="3363"/>
      <c r="BE112" s="251"/>
      <c r="BF112" s="2362"/>
      <c r="BG112" s="2362"/>
      <c r="BH112" s="2362"/>
      <c r="BI112" s="2349"/>
      <c r="BJ112" s="2349"/>
      <c r="BK112" s="2271"/>
      <c r="BL112" s="2366"/>
      <c r="BM112" s="2366"/>
      <c r="BN112" s="2366"/>
      <c r="BO112" s="2366"/>
      <c r="BP112" s="2366"/>
      <c r="BQ112" s="3363"/>
      <c r="BR112" s="2366"/>
      <c r="BS112" s="2366"/>
      <c r="BT112" s="2362"/>
      <c r="BU112" s="2362"/>
      <c r="BV112" s="2168"/>
      <c r="BW112" s="2362"/>
      <c r="BX112" s="2362"/>
      <c r="BY112" s="2349"/>
      <c r="BZ112" s="2366"/>
      <c r="CA112" s="2366"/>
      <c r="CB112" s="2366"/>
      <c r="CC112" s="2366"/>
      <c r="CD112" s="2362"/>
      <c r="CE112" s="2362"/>
      <c r="CF112" s="2362"/>
      <c r="CG112" s="2349"/>
      <c r="CH112" s="2349" t="str">
        <f t="shared" si="279"/>
        <v/>
      </c>
      <c r="CI112" s="2271" t="str">
        <f t="shared" si="280"/>
        <v/>
      </c>
      <c r="CJ112" s="3364" t="str">
        <f t="shared" si="281"/>
        <v/>
      </c>
      <c r="CK112" s="2366" t="str">
        <f t="shared" si="282"/>
        <v/>
      </c>
      <c r="CL112" s="2366" t="str">
        <f t="shared" si="283"/>
        <v/>
      </c>
      <c r="CM112" s="2366" t="str">
        <f t="shared" si="284"/>
        <v/>
      </c>
      <c r="CN112" s="2366" t="str">
        <f t="shared" si="285"/>
        <v/>
      </c>
      <c r="CO112" s="2362" t="str">
        <f t="shared" si="286"/>
        <v/>
      </c>
      <c r="CP112" s="2366" t="str">
        <f t="shared" si="287"/>
        <v/>
      </c>
      <c r="CQ112" s="2366" t="str">
        <f t="shared" si="288"/>
        <v/>
      </c>
      <c r="CR112" s="2362" t="str">
        <f t="shared" si="289"/>
        <v/>
      </c>
      <c r="CS112" s="2362"/>
      <c r="CT112" s="2362" t="str">
        <f t="shared" si="416"/>
        <v/>
      </c>
      <c r="CU112" s="2362" t="str">
        <f t="shared" si="417"/>
        <v/>
      </c>
      <c r="CV112" s="2362"/>
      <c r="CW112" s="2349"/>
      <c r="CX112" s="2349" t="str">
        <f t="shared" si="291"/>
        <v/>
      </c>
      <c r="CY112" s="2271" t="str">
        <f t="shared" si="292"/>
        <v/>
      </c>
      <c r="CZ112" s="3364" t="str">
        <f t="shared" si="293"/>
        <v/>
      </c>
      <c r="DA112" s="2366" t="str">
        <f t="shared" si="294"/>
        <v/>
      </c>
      <c r="DB112" s="2366" t="str">
        <f t="shared" si="295"/>
        <v/>
      </c>
      <c r="DC112" s="2366" t="str">
        <f t="shared" si="296"/>
        <v/>
      </c>
      <c r="DD112" s="2366" t="str">
        <f t="shared" si="297"/>
        <v/>
      </c>
      <c r="DE112" s="2362" t="str">
        <f t="shared" si="298"/>
        <v/>
      </c>
      <c r="DF112" s="2366" t="str">
        <f t="shared" si="299"/>
        <v/>
      </c>
      <c r="DG112" s="2366" t="str">
        <f t="shared" si="300"/>
        <v/>
      </c>
      <c r="DH112" s="2362" t="str">
        <f t="shared" si="301"/>
        <v/>
      </c>
      <c r="DI112" s="2362"/>
      <c r="DJ112" s="2362" t="str">
        <f t="shared" si="418"/>
        <v/>
      </c>
      <c r="DK112" s="2362" t="str">
        <f t="shared" si="419"/>
        <v/>
      </c>
      <c r="DL112" s="2362" t="str">
        <f t="shared" si="420"/>
        <v/>
      </c>
      <c r="DN112" s="3365" t="str">
        <f t="shared" si="303"/>
        <v/>
      </c>
      <c r="DO112" s="3365" t="str">
        <f t="shared" si="304"/>
        <v/>
      </c>
      <c r="DP112" s="3365" t="str">
        <f t="shared" si="305"/>
        <v/>
      </c>
      <c r="DQ112" s="3365" t="str">
        <f t="shared" si="306"/>
        <v/>
      </c>
      <c r="DT112" s="2349" t="str">
        <f t="shared" si="307"/>
        <v/>
      </c>
      <c r="DU112" s="2271" t="str">
        <f t="shared" si="308"/>
        <v/>
      </c>
      <c r="DV112" s="2622" t="str">
        <f t="shared" si="309"/>
        <v/>
      </c>
      <c r="DW112" s="2622"/>
      <c r="DX112" s="2622"/>
      <c r="DY112" s="2622" t="str">
        <f t="shared" si="311"/>
        <v/>
      </c>
      <c r="DZ112" s="2622" t="str">
        <f t="shared" si="312"/>
        <v/>
      </c>
      <c r="EA112" s="2622" t="str">
        <f t="shared" si="313"/>
        <v/>
      </c>
      <c r="EB112" s="2622" t="str">
        <f t="shared" si="394"/>
        <v/>
      </c>
      <c r="EC112" s="2622" t="str">
        <f t="shared" si="369"/>
        <v/>
      </c>
      <c r="ED112" s="2622" t="str">
        <f t="shared" si="370"/>
        <v/>
      </c>
      <c r="EE112" s="2622"/>
      <c r="EF112" s="2622" t="str">
        <f t="shared" si="421"/>
        <v/>
      </c>
      <c r="EG112" s="2622" t="str">
        <f t="shared" si="422"/>
        <v/>
      </c>
      <c r="EJ112" s="2349" t="str">
        <f t="shared" si="350"/>
        <v/>
      </c>
      <c r="EK112" s="2271" t="str">
        <f t="shared" si="350"/>
        <v/>
      </c>
      <c r="EL112" s="2622" t="str">
        <f t="shared" si="315"/>
        <v/>
      </c>
      <c r="EM112" s="2622"/>
      <c r="EN112" s="2622"/>
      <c r="EO112" s="2622" t="str">
        <f t="shared" si="372"/>
        <v/>
      </c>
      <c r="EP112" s="2622" t="str">
        <f t="shared" si="373"/>
        <v/>
      </c>
      <c r="EQ112" s="2622" t="str">
        <f t="shared" si="374"/>
        <v/>
      </c>
      <c r="ER112" s="2622" t="str">
        <f t="shared" si="388"/>
        <v/>
      </c>
      <c r="ES112" s="2622" t="str">
        <f t="shared" si="375"/>
        <v/>
      </c>
      <c r="ET112" s="2622" t="str">
        <f t="shared" si="376"/>
        <v/>
      </c>
      <c r="EU112" s="2622"/>
      <c r="EV112" s="2622" t="str">
        <f t="shared" si="423"/>
        <v/>
      </c>
      <c r="EW112" s="2622" t="str">
        <f t="shared" si="424"/>
        <v/>
      </c>
      <c r="EY112" s="2349" t="str">
        <f t="shared" si="395"/>
        <v/>
      </c>
      <c r="EZ112" s="2271" t="str">
        <f t="shared" si="396"/>
        <v/>
      </c>
      <c r="FA112" s="2622" t="str">
        <f t="shared" si="389"/>
        <v/>
      </c>
      <c r="FB112" s="2622"/>
      <c r="FC112" s="2622"/>
      <c r="FD112" s="2622" t="str">
        <f t="shared" si="397"/>
        <v/>
      </c>
      <c r="FE112" s="2622" t="str">
        <f t="shared" si="398"/>
        <v/>
      </c>
      <c r="FF112" s="2622" t="str">
        <f t="shared" si="399"/>
        <v/>
      </c>
      <c r="FG112" s="2622" t="str">
        <f t="shared" si="400"/>
        <v/>
      </c>
      <c r="FH112" s="2622" t="str">
        <f t="shared" si="401"/>
        <v/>
      </c>
      <c r="FI112" s="2622" t="str">
        <f t="shared" si="402"/>
        <v/>
      </c>
      <c r="FJ112" s="2622"/>
      <c r="FK112" s="2622" t="str">
        <f t="shared" si="425"/>
        <v/>
      </c>
      <c r="FL112" s="2622" t="str">
        <f t="shared" si="426"/>
        <v/>
      </c>
      <c r="FO112" s="2349" t="str">
        <f t="shared" si="406"/>
        <v/>
      </c>
      <c r="FP112" s="2271" t="str">
        <f t="shared" si="407"/>
        <v/>
      </c>
      <c r="FQ112" s="2622" t="str">
        <f t="shared" si="408"/>
        <v/>
      </c>
      <c r="FR112" s="2622"/>
      <c r="FS112" s="2622"/>
      <c r="FT112" s="2622" t="str">
        <f t="shared" si="409"/>
        <v/>
      </c>
      <c r="FU112" s="2622" t="str">
        <f t="shared" si="410"/>
        <v/>
      </c>
      <c r="FV112" s="2622" t="str">
        <f t="shared" si="411"/>
        <v/>
      </c>
      <c r="FW112" s="2622" t="str">
        <f t="shared" si="412"/>
        <v/>
      </c>
      <c r="FX112" s="2622" t="str">
        <f t="shared" si="413"/>
        <v/>
      </c>
      <c r="FY112" s="2622" t="str">
        <f t="shared" si="414"/>
        <v/>
      </c>
      <c r="FZ112" s="2622"/>
      <c r="GA112" s="2622" t="str">
        <f t="shared" si="427"/>
        <v/>
      </c>
      <c r="GB112" s="2622" t="str">
        <f t="shared" si="393"/>
        <v/>
      </c>
    </row>
    <row r="113" spans="1:184" s="2332" customFormat="1">
      <c r="A113" s="2328"/>
      <c r="B113" s="2328"/>
      <c r="C113" s="2328"/>
      <c r="D113" s="2349"/>
      <c r="E113" s="2328"/>
      <c r="F113" s="2349"/>
      <c r="G113" s="2271"/>
      <c r="H113" s="2366"/>
      <c r="I113" s="2366"/>
      <c r="J113" s="2366"/>
      <c r="K113" s="2366"/>
      <c r="L113" s="2366"/>
      <c r="M113" s="2362"/>
      <c r="N113" s="2366"/>
      <c r="O113" s="2366"/>
      <c r="P113" s="2362"/>
      <c r="Q113" s="2362"/>
      <c r="R113" s="2366"/>
      <c r="S113" s="2362"/>
      <c r="T113" s="2362"/>
      <c r="U113" s="2349"/>
      <c r="V113" s="2349"/>
      <c r="W113" s="2271"/>
      <c r="X113" s="2366"/>
      <c r="Y113" s="2366"/>
      <c r="Z113" s="2366"/>
      <c r="AA113" s="2366"/>
      <c r="AB113" s="2366"/>
      <c r="AC113" s="2362"/>
      <c r="AD113" s="2366"/>
      <c r="AE113" s="2366"/>
      <c r="AF113" s="2362"/>
      <c r="AG113" s="2362"/>
      <c r="AI113" s="2362"/>
      <c r="AJ113" s="2362" t="str">
        <f t="shared" si="428"/>
        <v/>
      </c>
      <c r="AK113" s="2349"/>
      <c r="AL113" s="3362"/>
      <c r="AM113" s="3362"/>
      <c r="AN113" s="2366"/>
      <c r="AO113" s="2366"/>
      <c r="AP113" s="2362"/>
      <c r="AQ113" s="2362"/>
      <c r="AR113" s="2362"/>
      <c r="AS113" s="2349"/>
      <c r="AT113" s="2349"/>
      <c r="AU113" s="2271"/>
      <c r="AV113" s="2366"/>
      <c r="AW113" s="2366"/>
      <c r="AX113" s="2366"/>
      <c r="AY113" s="2366"/>
      <c r="AZ113" s="2366"/>
      <c r="BA113" s="2362"/>
      <c r="BB113" s="2366"/>
      <c r="BC113" s="2366"/>
      <c r="BD113" s="3363"/>
      <c r="BE113" s="251"/>
      <c r="BF113" s="2362"/>
      <c r="BG113" s="2362"/>
      <c r="BH113" s="2362"/>
      <c r="BI113" s="2349"/>
      <c r="BJ113" s="2349"/>
      <c r="BK113" s="2271"/>
      <c r="BL113" s="2366"/>
      <c r="BM113" s="2366"/>
      <c r="BN113" s="2366"/>
      <c r="BO113" s="2366"/>
      <c r="BP113" s="2366"/>
      <c r="BQ113" s="3363"/>
      <c r="BR113" s="2366"/>
      <c r="BS113" s="2366"/>
      <c r="BT113" s="2362"/>
      <c r="BU113" s="2362"/>
      <c r="BV113" s="2168"/>
      <c r="BW113" s="2362"/>
      <c r="BX113" s="2362"/>
      <c r="BY113" s="2335"/>
      <c r="BZ113" s="2366"/>
      <c r="CA113" s="2366"/>
      <c r="CB113" s="2366"/>
      <c r="CC113" s="2366"/>
      <c r="CD113" s="2362"/>
      <c r="CE113" s="2362"/>
      <c r="CF113" s="2362"/>
      <c r="CG113" s="2349"/>
      <c r="CH113" s="2349" t="str">
        <f t="shared" si="279"/>
        <v/>
      </c>
      <c r="CI113" s="2271" t="str">
        <f t="shared" si="280"/>
        <v/>
      </c>
      <c r="CJ113" s="3364" t="str">
        <f t="shared" si="281"/>
        <v/>
      </c>
      <c r="CK113" s="2366" t="str">
        <f t="shared" si="282"/>
        <v/>
      </c>
      <c r="CL113" s="2366" t="str">
        <f t="shared" si="283"/>
        <v/>
      </c>
      <c r="CM113" s="2366" t="str">
        <f t="shared" si="284"/>
        <v/>
      </c>
      <c r="CN113" s="2366" t="str">
        <f t="shared" si="285"/>
        <v/>
      </c>
      <c r="CO113" s="2362" t="str">
        <f t="shared" si="286"/>
        <v/>
      </c>
      <c r="CP113" s="2366" t="str">
        <f t="shared" si="287"/>
        <v/>
      </c>
      <c r="CQ113" s="2366" t="str">
        <f t="shared" si="288"/>
        <v/>
      </c>
      <c r="CR113" s="2362" t="str">
        <f t="shared" si="289"/>
        <v/>
      </c>
      <c r="CS113" s="2362"/>
      <c r="CT113" s="2362" t="str">
        <f t="shared" si="416"/>
        <v/>
      </c>
      <c r="CU113" s="2362" t="str">
        <f t="shared" si="417"/>
        <v/>
      </c>
      <c r="CV113" s="2362"/>
      <c r="CW113" s="2349"/>
      <c r="CX113" s="2349" t="str">
        <f t="shared" si="291"/>
        <v/>
      </c>
      <c r="CY113" s="2271" t="str">
        <f t="shared" si="292"/>
        <v/>
      </c>
      <c r="CZ113" s="3364" t="str">
        <f t="shared" si="293"/>
        <v/>
      </c>
      <c r="DA113" s="2366" t="str">
        <f t="shared" si="294"/>
        <v/>
      </c>
      <c r="DB113" s="2366" t="str">
        <f t="shared" si="295"/>
        <v/>
      </c>
      <c r="DC113" s="2366" t="str">
        <f t="shared" si="296"/>
        <v/>
      </c>
      <c r="DD113" s="2366" t="str">
        <f t="shared" si="297"/>
        <v/>
      </c>
      <c r="DE113" s="2362" t="str">
        <f t="shared" si="298"/>
        <v/>
      </c>
      <c r="DF113" s="2366" t="str">
        <f t="shared" si="299"/>
        <v/>
      </c>
      <c r="DG113" s="2366" t="str">
        <f t="shared" si="300"/>
        <v/>
      </c>
      <c r="DH113" s="2362" t="str">
        <f t="shared" si="301"/>
        <v/>
      </c>
      <c r="DI113" s="2362"/>
      <c r="DJ113" s="2362" t="str">
        <f t="shared" si="418"/>
        <v/>
      </c>
      <c r="DK113" s="2362" t="str">
        <f t="shared" si="419"/>
        <v/>
      </c>
      <c r="DL113" s="2362" t="str">
        <f t="shared" si="420"/>
        <v/>
      </c>
      <c r="DN113" s="3365" t="str">
        <f t="shared" si="303"/>
        <v/>
      </c>
      <c r="DO113" s="3365" t="str">
        <f t="shared" si="304"/>
        <v/>
      </c>
      <c r="DP113" s="3365" t="str">
        <f t="shared" si="305"/>
        <v/>
      </c>
      <c r="DQ113" s="3365" t="str">
        <f t="shared" si="306"/>
        <v/>
      </c>
      <c r="DT113" s="2349" t="str">
        <f t="shared" si="307"/>
        <v/>
      </c>
      <c r="DU113" s="2271" t="str">
        <f t="shared" si="308"/>
        <v/>
      </c>
      <c r="DV113" s="2622" t="str">
        <f t="shared" si="309"/>
        <v/>
      </c>
      <c r="DW113" s="2622"/>
      <c r="DX113" s="2622"/>
      <c r="DY113" s="2622" t="str">
        <f t="shared" si="311"/>
        <v/>
      </c>
      <c r="DZ113" s="2622" t="str">
        <f t="shared" si="312"/>
        <v/>
      </c>
      <c r="EA113" s="2622" t="str">
        <f t="shared" si="313"/>
        <v/>
      </c>
      <c r="EB113" s="2622" t="str">
        <f t="shared" si="394"/>
        <v/>
      </c>
      <c r="EC113" s="2622" t="str">
        <f t="shared" si="369"/>
        <v/>
      </c>
      <c r="ED113" s="2622" t="str">
        <f t="shared" si="370"/>
        <v/>
      </c>
      <c r="EE113" s="2622"/>
      <c r="EF113" s="2622" t="str">
        <f t="shared" si="421"/>
        <v/>
      </c>
      <c r="EG113" s="2622" t="str">
        <f t="shared" si="422"/>
        <v/>
      </c>
      <c r="EJ113" s="2349" t="str">
        <f t="shared" si="350"/>
        <v/>
      </c>
      <c r="EK113" s="2271" t="str">
        <f t="shared" si="350"/>
        <v/>
      </c>
      <c r="EL113" s="2622" t="str">
        <f t="shared" si="315"/>
        <v/>
      </c>
      <c r="EM113" s="2622" t="str">
        <f t="shared" si="316"/>
        <v/>
      </c>
      <c r="EN113" s="2622"/>
      <c r="EO113" s="2622" t="str">
        <f t="shared" si="372"/>
        <v/>
      </c>
      <c r="EP113" s="2622" t="str">
        <f t="shared" si="373"/>
        <v/>
      </c>
      <c r="EQ113" s="2622" t="str">
        <f t="shared" si="374"/>
        <v/>
      </c>
      <c r="ER113" s="2622" t="str">
        <f t="shared" si="388"/>
        <v/>
      </c>
      <c r="ES113" s="2622" t="str">
        <f t="shared" si="375"/>
        <v/>
      </c>
      <c r="ET113" s="2622" t="str">
        <f t="shared" si="376"/>
        <v/>
      </c>
      <c r="EU113" s="2622"/>
      <c r="EV113" s="2622" t="str">
        <f t="shared" si="423"/>
        <v/>
      </c>
      <c r="EW113" s="2622" t="str">
        <f t="shared" si="424"/>
        <v/>
      </c>
      <c r="EY113" s="2349" t="str">
        <f t="shared" si="395"/>
        <v/>
      </c>
      <c r="EZ113" s="2271" t="str">
        <f t="shared" si="396"/>
        <v/>
      </c>
      <c r="FA113" s="2622" t="str">
        <f t="shared" si="389"/>
        <v/>
      </c>
      <c r="FB113" s="2622"/>
      <c r="FC113" s="2622"/>
      <c r="FD113" s="2622" t="str">
        <f t="shared" si="397"/>
        <v/>
      </c>
      <c r="FE113" s="2622" t="str">
        <f t="shared" si="398"/>
        <v/>
      </c>
      <c r="FF113" s="2622" t="str">
        <f t="shared" si="399"/>
        <v/>
      </c>
      <c r="FG113" s="2622" t="str">
        <f t="shared" si="400"/>
        <v/>
      </c>
      <c r="FH113" s="2622" t="str">
        <f t="shared" si="401"/>
        <v/>
      </c>
      <c r="FI113" s="2622" t="str">
        <f t="shared" si="402"/>
        <v/>
      </c>
      <c r="FJ113" s="2622"/>
      <c r="FK113" s="2622" t="str">
        <f t="shared" si="425"/>
        <v/>
      </c>
      <c r="FL113" s="2622" t="str">
        <f t="shared" si="426"/>
        <v/>
      </c>
      <c r="FO113" s="2349" t="str">
        <f t="shared" si="406"/>
        <v/>
      </c>
      <c r="FP113" s="2271" t="str">
        <f t="shared" si="407"/>
        <v/>
      </c>
      <c r="FQ113" s="2622" t="str">
        <f t="shared" si="408"/>
        <v/>
      </c>
      <c r="FR113" s="2622" t="str">
        <f t="shared" ref="FR113" si="429">IF($H113=0,"",EF113/BD113)</f>
        <v/>
      </c>
      <c r="FS113" s="2622"/>
      <c r="FT113" s="2622" t="str">
        <f t="shared" si="409"/>
        <v/>
      </c>
      <c r="FU113" s="2622" t="str">
        <f t="shared" si="410"/>
        <v/>
      </c>
      <c r="FV113" s="2622" t="str">
        <f t="shared" si="411"/>
        <v/>
      </c>
      <c r="FW113" s="2622" t="str">
        <f t="shared" si="412"/>
        <v/>
      </c>
      <c r="FX113" s="2622" t="str">
        <f t="shared" si="413"/>
        <v/>
      </c>
      <c r="FY113" s="2622" t="str">
        <f t="shared" si="414"/>
        <v/>
      </c>
      <c r="FZ113" s="2622"/>
      <c r="GA113" s="2622" t="str">
        <f t="shared" si="427"/>
        <v/>
      </c>
      <c r="GB113" s="2622" t="str">
        <f t="shared" si="393"/>
        <v/>
      </c>
    </row>
    <row r="114" spans="1:184">
      <c r="A114" s="117"/>
      <c r="B114" s="117"/>
      <c r="C114" s="117"/>
      <c r="E114" s="117"/>
      <c r="F114" s="2"/>
      <c r="G114" s="2"/>
      <c r="H114" s="2"/>
      <c r="I114" s="2"/>
      <c r="J114" s="2"/>
      <c r="K114" s="2"/>
      <c r="L114" s="2"/>
      <c r="M114" s="2"/>
      <c r="N114" s="2"/>
      <c r="O114" s="2"/>
      <c r="P114" s="2"/>
      <c r="Q114" s="2"/>
      <c r="R114" s="2"/>
      <c r="S114" s="2"/>
      <c r="T114" s="2330"/>
      <c r="U114" s="2"/>
      <c r="V114" s="2"/>
      <c r="W114" s="2"/>
      <c r="X114" s="2"/>
      <c r="Y114" s="2"/>
      <c r="Z114" s="2"/>
      <c r="AA114" s="2"/>
      <c r="AB114" s="2"/>
      <c r="AC114" s="2"/>
      <c r="AD114" s="2"/>
      <c r="AE114" s="2"/>
      <c r="AF114" s="2"/>
      <c r="AG114" s="2"/>
      <c r="AH114" s="2"/>
      <c r="AI114" s="2"/>
      <c r="AJ114" s="2"/>
      <c r="AK114" s="2330"/>
      <c r="AL114" s="2"/>
      <c r="AM114" s="2"/>
      <c r="AN114" s="2"/>
      <c r="AO114" s="2"/>
      <c r="AP114" s="66"/>
      <c r="AQ114" s="66"/>
      <c r="AR114" s="2"/>
      <c r="AS114" s="2"/>
      <c r="AT114" s="2"/>
      <c r="AU114" s="2"/>
      <c r="AV114" s="2"/>
      <c r="AW114" s="2"/>
      <c r="AX114" s="2"/>
      <c r="AY114" s="2"/>
      <c r="AZ114" s="2"/>
      <c r="BA114" s="2"/>
      <c r="BB114" s="2"/>
      <c r="BC114" s="2"/>
      <c r="BD114" s="1370"/>
      <c r="BE114" s="2"/>
      <c r="BF114" s="2"/>
      <c r="BG114" s="2330"/>
      <c r="BH114" s="2"/>
      <c r="BI114" s="2"/>
      <c r="BJ114" s="2"/>
      <c r="BK114" s="2"/>
      <c r="BL114" s="2"/>
      <c r="BM114" s="2"/>
      <c r="BN114" s="2"/>
      <c r="BO114" s="2"/>
      <c r="BP114" s="2"/>
      <c r="BQ114" s="1370"/>
      <c r="BR114" s="2"/>
      <c r="BS114" s="2"/>
      <c r="BT114" s="2"/>
      <c r="BU114" s="2"/>
      <c r="BV114" s="2"/>
      <c r="BW114" s="2"/>
      <c r="BX114" s="2"/>
      <c r="BY114" s="2"/>
      <c r="BZ114" s="2"/>
      <c r="CA114" s="2"/>
      <c r="CB114" s="2"/>
      <c r="CD114" s="2336"/>
      <c r="CE114" s="2336"/>
      <c r="CF114" s="2330"/>
      <c r="CG114" s="2330"/>
      <c r="CH114" s="2330"/>
      <c r="CI114" s="2330"/>
      <c r="CJ114" s="2330"/>
      <c r="CK114" s="2330"/>
      <c r="CL114" s="2330"/>
      <c r="CM114" s="2330"/>
      <c r="CN114" s="2330"/>
      <c r="CO114" s="2330"/>
      <c r="CP114" s="2330"/>
      <c r="CQ114" s="2330"/>
      <c r="CR114" s="2330"/>
      <c r="CS114" s="2330"/>
      <c r="CT114" s="2330"/>
      <c r="CU114" s="2330"/>
      <c r="CV114" s="2330"/>
      <c r="CW114" s="2330"/>
      <c r="CX114" s="2330"/>
      <c r="CY114" s="2330"/>
      <c r="CZ114" s="2330"/>
      <c r="DA114" s="2330"/>
      <c r="DB114" s="2330"/>
      <c r="DC114" s="2330"/>
      <c r="DD114" s="2330"/>
      <c r="DE114" s="2330"/>
      <c r="DF114" s="2330"/>
      <c r="DG114" s="2330"/>
      <c r="DH114" s="2330"/>
      <c r="DI114" s="2330"/>
      <c r="DJ114" s="2330"/>
      <c r="DK114" s="2330"/>
      <c r="DS114" s="2330"/>
      <c r="DT114" s="2330"/>
      <c r="DU114" s="2330"/>
      <c r="DV114" s="2330"/>
      <c r="DW114" s="2330"/>
      <c r="DX114" s="2330"/>
      <c r="DY114" s="2330"/>
      <c r="DZ114" s="2330"/>
      <c r="EA114" s="2330"/>
      <c r="EB114" s="2330"/>
      <c r="EC114" s="2330"/>
      <c r="ED114" s="2330"/>
      <c r="EE114" s="2330"/>
      <c r="EF114" s="2330"/>
      <c r="EI114" s="2330"/>
      <c r="EJ114" s="2330"/>
      <c r="EK114" s="2330"/>
      <c r="EL114" s="2330"/>
      <c r="EM114" s="2330"/>
      <c r="EN114" s="2330"/>
      <c r="EO114" s="2330"/>
      <c r="EP114" s="2330"/>
      <c r="EQ114" s="2330"/>
      <c r="ER114" s="2330"/>
      <c r="ES114" s="2330"/>
      <c r="ET114" s="2330"/>
      <c r="EU114" s="2330"/>
      <c r="EV114" s="2330"/>
      <c r="EY114" s="2330"/>
      <c r="EZ114" s="2330"/>
      <c r="FA114" s="2330"/>
      <c r="FB114" s="2330"/>
      <c r="FC114" s="2330"/>
      <c r="FD114" s="2330"/>
      <c r="FE114" s="2330"/>
      <c r="FF114" s="2330"/>
      <c r="FG114" s="2330"/>
      <c r="FH114" s="2330"/>
      <c r="FI114" s="2330"/>
      <c r="FJ114" s="2330"/>
      <c r="FK114" s="2330"/>
      <c r="FN114" s="2336"/>
      <c r="FO114" s="2330"/>
      <c r="FP114" s="2330"/>
      <c r="FQ114" s="2330"/>
      <c r="FR114" s="2330"/>
      <c r="FS114" s="2330"/>
      <c r="FT114" s="2330"/>
      <c r="FU114" s="2330"/>
      <c r="FV114" s="2330"/>
      <c r="FW114" s="2330"/>
      <c r="FX114" s="2330"/>
      <c r="FY114" s="2330"/>
      <c r="FZ114" s="2330"/>
      <c r="GA114" s="2330"/>
    </row>
    <row r="115" spans="1:184" ht="25.5">
      <c r="A115" s="2272"/>
      <c r="B115" s="2272"/>
      <c r="C115" s="2272"/>
      <c r="D115" s="9"/>
      <c r="E115" s="2272"/>
      <c r="F115" s="9"/>
      <c r="G115" s="2271"/>
      <c r="H115" s="2285"/>
      <c r="I115" s="2285"/>
      <c r="J115" s="2285"/>
      <c r="K115" s="2285"/>
      <c r="L115" s="2285"/>
      <c r="M115" s="2285"/>
      <c r="N115" s="2276"/>
      <c r="O115" s="2276"/>
      <c r="P115" s="2276"/>
      <c r="Q115" s="2276"/>
      <c r="R115" s="2276"/>
      <c r="S115" s="30"/>
      <c r="T115" s="2335"/>
      <c r="U115" s="30"/>
      <c r="V115" s="2351" t="str">
        <f>CostScenario</f>
        <v>Mid Case</v>
      </c>
      <c r="W115" s="2329"/>
      <c r="X115" s="2329"/>
      <c r="Y115" s="2329"/>
      <c r="Z115" s="2329"/>
      <c r="AA115" s="2329"/>
      <c r="AB115" s="2329"/>
      <c r="AC115" s="2329"/>
      <c r="AD115" s="2329"/>
      <c r="AE115" s="2329"/>
      <c r="AF115" s="2329"/>
      <c r="AG115" s="1734"/>
      <c r="AH115" s="30"/>
      <c r="AI115" s="30"/>
      <c r="AJ115" s="2272"/>
      <c r="AK115" s="2272"/>
      <c r="AL115" s="30"/>
      <c r="AM115" s="30"/>
      <c r="AN115" s="30"/>
      <c r="AO115" s="30"/>
      <c r="AP115" s="30"/>
      <c r="AQ115" s="30"/>
      <c r="AR115" s="30"/>
      <c r="AS115" s="30"/>
      <c r="AT115" s="30"/>
      <c r="AU115" s="28"/>
      <c r="AV115" s="28"/>
      <c r="AW115" s="2"/>
      <c r="AX115" s="2"/>
      <c r="AY115" s="2"/>
      <c r="AZ115" s="2"/>
      <c r="BA115" s="2"/>
      <c r="BB115" s="2"/>
      <c r="BC115" s="2"/>
      <c r="BD115" s="1370"/>
      <c r="BE115" s="2"/>
      <c r="BF115" s="2"/>
      <c r="BG115" s="2330"/>
      <c r="BH115" s="2"/>
      <c r="BI115" s="2"/>
      <c r="BJ115" s="2351" t="str">
        <f>CostScenario</f>
        <v>Mid Case</v>
      </c>
      <c r="BK115" s="2329"/>
      <c r="BL115" s="2329"/>
      <c r="BM115" s="2329"/>
      <c r="BN115" s="2329"/>
      <c r="BO115" s="2329"/>
      <c r="BP115" s="2329"/>
      <c r="BQ115" s="198"/>
      <c r="BR115" s="2329"/>
      <c r="BS115" s="2329"/>
      <c r="BT115" s="2329"/>
      <c r="BU115" s="2343"/>
      <c r="BV115" s="2335"/>
      <c r="BW115" s="2335"/>
      <c r="BX115" s="2272"/>
      <c r="BY115" s="2335"/>
      <c r="BZ115" s="2335"/>
      <c r="CA115" s="2335"/>
      <c r="CB115" s="2335"/>
      <c r="CD115" s="2336"/>
      <c r="CE115" s="2336"/>
      <c r="CF115" s="2330"/>
      <c r="CG115" s="2330"/>
      <c r="CH115" s="2330"/>
      <c r="CI115" s="2330"/>
      <c r="CJ115" s="2330"/>
      <c r="CK115" s="2330"/>
      <c r="CL115" s="2330"/>
      <c r="CM115" s="2330"/>
      <c r="CN115" s="2330"/>
      <c r="CO115" s="2330"/>
      <c r="CP115" s="2330"/>
      <c r="CQ115" s="2330"/>
      <c r="CR115" s="2330"/>
      <c r="CS115" s="2330"/>
      <c r="CT115" s="2330"/>
      <c r="CU115" s="2330"/>
      <c r="CV115" s="2330"/>
      <c r="CW115" s="2330"/>
      <c r="CX115" s="2330"/>
      <c r="CY115" s="2330"/>
      <c r="CZ115" s="2330"/>
      <c r="DA115" s="2330"/>
      <c r="DB115" s="2330"/>
      <c r="DC115" s="2330"/>
      <c r="DD115" s="2330"/>
      <c r="DE115" s="2330"/>
      <c r="DF115" s="2330"/>
      <c r="DG115" s="2330"/>
      <c r="DH115" s="2330"/>
      <c r="DI115" s="2330"/>
      <c r="DJ115" s="2330"/>
      <c r="DK115" s="2330"/>
      <c r="DS115" s="2330"/>
      <c r="DT115" s="2330"/>
      <c r="DU115" s="2330"/>
      <c r="DV115" s="2330"/>
      <c r="DW115" s="2330"/>
      <c r="DX115" s="2330"/>
      <c r="DY115" s="2330"/>
      <c r="DZ115" s="2330"/>
      <c r="EA115" s="2330"/>
      <c r="EB115" s="2330"/>
      <c r="EC115" s="2330"/>
      <c r="ED115" s="2330"/>
      <c r="EE115" s="2330"/>
      <c r="EF115" s="2330"/>
      <c r="EI115" s="2330"/>
      <c r="EJ115" s="2330"/>
      <c r="EK115" s="2330"/>
      <c r="EL115" s="2330"/>
      <c r="EM115" s="2330"/>
      <c r="EN115" s="2330"/>
      <c r="EO115" s="2330"/>
      <c r="EP115" s="2330"/>
      <c r="EQ115" s="2330"/>
      <c r="ER115" s="2330"/>
      <c r="ES115" s="2330"/>
      <c r="ET115" s="2330"/>
      <c r="EU115" s="2330"/>
      <c r="EV115" s="2330"/>
      <c r="EY115" s="2330"/>
      <c r="EZ115" s="2330"/>
      <c r="FA115" s="2330"/>
      <c r="FB115" s="2330"/>
      <c r="FC115" s="2330"/>
      <c r="FD115" s="2330"/>
      <c r="FE115" s="2330"/>
      <c r="FF115" s="2330"/>
      <c r="FG115" s="2330"/>
      <c r="FH115" s="2330"/>
      <c r="FI115" s="2330"/>
      <c r="FJ115" s="2330"/>
      <c r="FK115" s="2330"/>
      <c r="FN115" s="2336"/>
      <c r="FO115" s="2330"/>
      <c r="FP115" s="2330"/>
      <c r="FQ115" s="2330"/>
      <c r="FR115" s="2330"/>
      <c r="FS115" s="2330"/>
      <c r="FT115" s="2330"/>
      <c r="FU115" s="2330"/>
      <c r="FV115" s="2330"/>
      <c r="FW115" s="2330"/>
      <c r="FX115" s="2330"/>
      <c r="FY115" s="2330"/>
      <c r="FZ115" s="2330"/>
      <c r="GA115" s="2330"/>
    </row>
    <row r="116" spans="1:184" ht="18.75" thickBot="1">
      <c r="A116" s="2272"/>
      <c r="B116" s="2272"/>
      <c r="C116" s="2272"/>
      <c r="D116" s="9"/>
      <c r="E116" s="2272"/>
      <c r="F116" s="9"/>
      <c r="G116" s="2271"/>
      <c r="H116" s="2285"/>
      <c r="I116" s="2285"/>
      <c r="J116" s="2285"/>
      <c r="K116" s="2285"/>
      <c r="L116" s="2285"/>
      <c r="M116" s="2285"/>
      <c r="N116" s="2276"/>
      <c r="O116" s="2276"/>
      <c r="P116" s="2276"/>
      <c r="Q116" s="2276"/>
      <c r="R116" s="2276"/>
      <c r="S116" s="30"/>
      <c r="T116" s="2335"/>
      <c r="U116" s="30"/>
      <c r="V116" s="2361" t="s">
        <v>1557</v>
      </c>
      <c r="W116" s="2339"/>
      <c r="X116" s="2361"/>
      <c r="Y116" s="2332"/>
      <c r="Z116" s="2332"/>
      <c r="AA116" s="2332"/>
      <c r="AB116" s="2332"/>
      <c r="AC116" s="2332"/>
      <c r="AD116" s="2331"/>
      <c r="AE116" s="2331"/>
      <c r="AF116" s="2333"/>
      <c r="AG116" s="1734"/>
      <c r="AH116" s="30"/>
      <c r="AI116" s="30"/>
      <c r="AJ116" s="2272"/>
      <c r="AK116" s="2272"/>
      <c r="AL116" s="30"/>
      <c r="AM116" s="30"/>
      <c r="AN116" s="30"/>
      <c r="AO116" s="30"/>
      <c r="AP116" s="30"/>
      <c r="AQ116" s="30"/>
      <c r="AR116" s="30"/>
      <c r="AS116" s="30"/>
      <c r="AT116" s="30"/>
      <c r="AU116" s="2"/>
      <c r="AV116" s="2"/>
      <c r="AW116" s="2"/>
      <c r="AX116" s="2"/>
      <c r="AY116" s="2"/>
      <c r="AZ116" s="2"/>
      <c r="BA116" s="2"/>
      <c r="BB116" s="2"/>
      <c r="BC116" s="2"/>
      <c r="BD116" s="1370"/>
      <c r="BE116" s="2"/>
      <c r="BF116" s="2"/>
      <c r="BG116" s="2330"/>
      <c r="BH116" s="2"/>
      <c r="BI116" s="2"/>
      <c r="BJ116" s="2361" t="s">
        <v>1619</v>
      </c>
      <c r="BK116" s="2339"/>
      <c r="BL116" s="2361"/>
      <c r="BM116" s="2332"/>
      <c r="BN116" s="2332"/>
      <c r="BO116" s="2332"/>
      <c r="BP116" s="2332"/>
      <c r="BR116" s="2331"/>
      <c r="BS116" s="2331"/>
      <c r="BT116" s="2333"/>
      <c r="BU116" s="2343"/>
      <c r="BV116" s="2335"/>
      <c r="BW116" s="2335"/>
      <c r="BX116" s="2272"/>
      <c r="BY116" s="2335"/>
      <c r="BZ116" s="2335"/>
      <c r="CA116" s="2335"/>
      <c r="CB116" s="2335"/>
      <c r="CD116" s="2336"/>
      <c r="CE116" s="2336"/>
      <c r="CF116" s="2330"/>
      <c r="CG116" s="2361"/>
      <c r="CH116" s="2339"/>
      <c r="CI116" s="2361"/>
      <c r="CJ116" s="2332"/>
      <c r="CK116" s="2332"/>
      <c r="CL116" s="2332"/>
      <c r="CM116" s="2332"/>
      <c r="CN116" s="2332"/>
      <c r="CO116" s="2331"/>
      <c r="CP116" s="2331"/>
      <c r="CQ116" s="2333"/>
      <c r="CR116" s="2333"/>
      <c r="CS116" s="2333"/>
      <c r="CT116" s="2334"/>
      <c r="CU116" s="2334"/>
      <c r="CV116" s="2334"/>
      <c r="CX116" s="2361" t="s">
        <v>1585</v>
      </c>
      <c r="CY116" s="2339"/>
      <c r="CZ116" s="2361"/>
      <c r="DA116" s="2332"/>
      <c r="DB116" s="2332"/>
      <c r="DC116" s="2332"/>
      <c r="DD116" s="2332"/>
      <c r="DE116" s="2332"/>
      <c r="DF116" s="2331"/>
      <c r="DG116" s="2331"/>
      <c r="DH116" s="2333"/>
      <c r="DI116" s="2333"/>
      <c r="DJ116" s="2334"/>
      <c r="DK116" s="2334"/>
      <c r="DS116" s="2361"/>
      <c r="DT116" s="2339"/>
      <c r="DU116" s="2361"/>
      <c r="DV116" s="2332"/>
      <c r="DW116" s="2332"/>
      <c r="DX116" s="2332"/>
      <c r="DY116" s="2332"/>
      <c r="DZ116" s="2332"/>
      <c r="EA116" s="2331"/>
      <c r="EB116" s="2331"/>
      <c r="EC116" s="2333"/>
      <c r="ED116" s="2333"/>
      <c r="EE116" s="2333"/>
      <c r="EF116" s="2334"/>
      <c r="EJ116" s="2361" t="s">
        <v>1592</v>
      </c>
      <c r="EK116" s="2339"/>
      <c r="EL116" s="2361"/>
      <c r="EM116" s="2332"/>
      <c r="EN116" s="2332"/>
      <c r="EO116" s="2332"/>
      <c r="EP116" s="2332"/>
      <c r="EQ116" s="2332"/>
      <c r="ER116" s="2331"/>
      <c r="ES116" s="2331"/>
      <c r="ET116" s="2333"/>
      <c r="EU116" s="2333"/>
      <c r="EV116" s="2334"/>
      <c r="EY116" s="3943"/>
      <c r="EZ116" s="2361"/>
      <c r="FA116" s="2332"/>
      <c r="FB116" s="2332"/>
      <c r="FC116" s="2332"/>
      <c r="FD116" s="2332"/>
      <c r="FE116" s="2332"/>
      <c r="FF116" s="2331"/>
      <c r="FG116" s="2331"/>
      <c r="FH116" s="2333"/>
      <c r="FI116" s="2333"/>
      <c r="FJ116" s="2333"/>
      <c r="FK116" s="2334"/>
      <c r="FO116" s="2361" t="s">
        <v>1993</v>
      </c>
      <c r="FP116" s="3943"/>
      <c r="FQ116" s="2361"/>
      <c r="FR116" s="2332"/>
      <c r="FS116" s="2332"/>
      <c r="FT116" s="2332"/>
      <c r="FU116" s="2332"/>
      <c r="FV116" s="2332"/>
      <c r="FW116" s="2331"/>
      <c r="FX116" s="2331"/>
      <c r="FY116" s="2333"/>
      <c r="FZ116" s="2333"/>
      <c r="GA116" s="2334"/>
    </row>
    <row r="117" spans="1:184" ht="13.5" thickBot="1">
      <c r="A117" s="2272"/>
      <c r="B117" s="2272"/>
      <c r="C117" s="2272"/>
      <c r="D117" s="9"/>
      <c r="E117" s="2272"/>
      <c r="F117" s="9"/>
      <c r="G117" s="2271"/>
      <c r="H117" s="2285"/>
      <c r="I117" s="2285"/>
      <c r="J117" s="2285"/>
      <c r="K117" s="2285"/>
      <c r="L117" s="2285"/>
      <c r="M117" s="2285"/>
      <c r="N117" s="2276"/>
      <c r="O117" s="2276"/>
      <c r="P117" s="2276"/>
      <c r="Q117" s="2276"/>
      <c r="R117" s="2276"/>
      <c r="S117" s="30"/>
      <c r="T117" s="2335"/>
      <c r="U117" s="30"/>
      <c r="V117" s="4524" t="str">
        <f>V82</f>
        <v>In-Service Year = 2013</v>
      </c>
      <c r="W117" s="3045" t="s">
        <v>1559</v>
      </c>
      <c r="X117" s="4501" t="s">
        <v>1560</v>
      </c>
      <c r="Y117" s="4502"/>
      <c r="Z117" s="4503"/>
      <c r="AA117" s="4501" t="s">
        <v>127</v>
      </c>
      <c r="AB117" s="4502"/>
      <c r="AC117" s="4503"/>
      <c r="AD117" s="4501" t="s">
        <v>1380</v>
      </c>
      <c r="AE117" s="4502"/>
      <c r="AF117" s="4503"/>
      <c r="AG117" s="1734"/>
      <c r="AH117" s="30"/>
      <c r="AI117" s="30"/>
      <c r="AJ117" s="2272"/>
      <c r="AK117" s="2272"/>
      <c r="AL117" s="30"/>
      <c r="AM117" s="30"/>
      <c r="AN117" s="30"/>
      <c r="AO117" s="30"/>
      <c r="AP117" s="30"/>
      <c r="AQ117" s="30"/>
      <c r="AR117" s="30"/>
      <c r="AS117" s="30"/>
      <c r="AT117" s="30"/>
      <c r="AU117" s="2"/>
      <c r="AV117" s="2"/>
      <c r="AW117" s="2"/>
      <c r="AX117" s="2"/>
      <c r="AY117" s="2"/>
      <c r="AZ117" s="2"/>
      <c r="BA117" s="2"/>
      <c r="BB117" s="2"/>
      <c r="BC117" s="2"/>
      <c r="BD117" s="1370"/>
      <c r="BE117" s="2"/>
      <c r="BF117" s="2"/>
      <c r="BG117" s="2330"/>
      <c r="BH117" s="2"/>
      <c r="BI117" s="2"/>
      <c r="BJ117" s="4520" t="s">
        <v>1558</v>
      </c>
      <c r="BK117" s="2370" t="s">
        <v>1559</v>
      </c>
      <c r="BL117" s="4508" t="s">
        <v>1560</v>
      </c>
      <c r="BM117" s="4509"/>
      <c r="BN117" s="4510"/>
      <c r="BO117" s="4508" t="s">
        <v>127</v>
      </c>
      <c r="BP117" s="4509"/>
      <c r="BQ117" s="4510"/>
      <c r="BR117" s="4508" t="s">
        <v>1380</v>
      </c>
      <c r="BS117" s="4509"/>
      <c r="BT117" s="4510"/>
      <c r="BU117" s="2343"/>
      <c r="BV117" s="2335"/>
      <c r="BW117" s="2335"/>
      <c r="BX117" s="2272"/>
      <c r="BY117" s="2335"/>
      <c r="BZ117" s="2335"/>
      <c r="CA117" s="2335"/>
      <c r="CB117" s="2335"/>
      <c r="CD117" s="2336"/>
      <c r="CE117" s="2336"/>
      <c r="CF117" s="2330"/>
      <c r="CG117" s="2336"/>
      <c r="CH117" s="2336"/>
      <c r="CI117" s="2336"/>
      <c r="CJ117" s="2330"/>
      <c r="CK117" s="2330"/>
      <c r="CL117" s="2330"/>
      <c r="CM117" s="2330"/>
      <c r="CN117" s="2330"/>
      <c r="CO117" s="2330"/>
      <c r="CP117" s="2330"/>
      <c r="CQ117" s="2330"/>
      <c r="CR117" s="2338"/>
      <c r="CS117" s="2556"/>
      <c r="CT117" s="2334"/>
      <c r="CU117" s="2334"/>
      <c r="CV117" s="2334"/>
      <c r="CX117" s="4499" t="s">
        <v>1558</v>
      </c>
      <c r="CY117" s="3720" t="s">
        <v>1559</v>
      </c>
      <c r="CZ117" s="4501" t="s">
        <v>1560</v>
      </c>
      <c r="DA117" s="4502"/>
      <c r="DB117" s="4503"/>
      <c r="DC117" s="4501" t="s">
        <v>127</v>
      </c>
      <c r="DD117" s="4502"/>
      <c r="DE117" s="4503"/>
      <c r="DF117" s="4501" t="s">
        <v>1380</v>
      </c>
      <c r="DG117" s="4502"/>
      <c r="DH117" s="4503"/>
      <c r="DI117" s="3487"/>
      <c r="DJ117" s="2334"/>
      <c r="DK117" s="2334"/>
      <c r="DS117" s="2336"/>
      <c r="DT117" s="2336"/>
      <c r="DU117" s="2336"/>
      <c r="DV117" s="2330"/>
      <c r="DW117" s="2330"/>
      <c r="DX117" s="2330"/>
      <c r="DY117" s="2330"/>
      <c r="DZ117" s="2330"/>
      <c r="EA117" s="2330"/>
      <c r="EB117" s="2330"/>
      <c r="EC117" s="2330"/>
      <c r="ED117" s="2338"/>
      <c r="EE117" s="2556"/>
      <c r="EF117" s="2334"/>
      <c r="EJ117" s="4490" t="s">
        <v>1558</v>
      </c>
      <c r="EK117" s="3958" t="s">
        <v>1559</v>
      </c>
      <c r="EL117" s="4488" t="s">
        <v>1560</v>
      </c>
      <c r="EM117" s="4489"/>
      <c r="EN117" s="4488" t="s">
        <v>127</v>
      </c>
      <c r="EO117" s="4489"/>
      <c r="EP117" s="4488" t="s">
        <v>1380</v>
      </c>
      <c r="EQ117" s="4489"/>
      <c r="ER117" s="2556"/>
      <c r="ES117" s="2334"/>
      <c r="EU117"/>
      <c r="EY117" s="2336"/>
      <c r="EZ117" s="2336"/>
      <c r="FA117" s="2330"/>
      <c r="FB117" s="2330"/>
      <c r="FC117" s="2330"/>
      <c r="FD117" s="2330"/>
      <c r="FE117" s="2330"/>
      <c r="FF117" s="2330"/>
      <c r="FG117" s="2330"/>
      <c r="FH117" s="2330"/>
      <c r="FI117" s="3944"/>
      <c r="FJ117" s="3944"/>
      <c r="FK117" s="2334"/>
      <c r="FO117" s="4490" t="s">
        <v>1995</v>
      </c>
      <c r="FP117" s="3958" t="s">
        <v>1559</v>
      </c>
      <c r="FQ117" s="4488" t="s">
        <v>1560</v>
      </c>
      <c r="FR117" s="4489"/>
      <c r="FS117" s="4488" t="s">
        <v>127</v>
      </c>
      <c r="FT117" s="4489"/>
      <c r="FU117" s="4488" t="s">
        <v>1380</v>
      </c>
      <c r="FV117" s="4489"/>
      <c r="FW117" s="3953" t="s">
        <v>1994</v>
      </c>
      <c r="FX117" s="2334"/>
    </row>
    <row r="118" spans="1:184" ht="25.5">
      <c r="A118" s="2272"/>
      <c r="B118" s="2272"/>
      <c r="C118" s="2272"/>
      <c r="D118" s="9"/>
      <c r="E118" s="2272"/>
      <c r="F118" s="9"/>
      <c r="G118" s="2271"/>
      <c r="H118" s="2285"/>
      <c r="I118" s="2285"/>
      <c r="J118" s="2285"/>
      <c r="K118" s="2285"/>
      <c r="L118" s="2285"/>
      <c r="M118" s="2285"/>
      <c r="N118" s="2276"/>
      <c r="O118" s="2276"/>
      <c r="P118" s="2276"/>
      <c r="Q118" s="2276"/>
      <c r="R118" s="2276"/>
      <c r="S118" s="30"/>
      <c r="T118" s="2335"/>
      <c r="U118" s="30"/>
      <c r="V118" s="4525"/>
      <c r="W118" s="3491" t="s">
        <v>542</v>
      </c>
      <c r="X118" s="3492" t="s">
        <v>980</v>
      </c>
      <c r="Y118" s="3493" t="s">
        <v>955</v>
      </c>
      <c r="Z118" s="3494" t="s">
        <v>1376</v>
      </c>
      <c r="AA118" s="3492" t="s">
        <v>980</v>
      </c>
      <c r="AB118" s="3493" t="s">
        <v>955</v>
      </c>
      <c r="AC118" s="3494" t="s">
        <v>1376</v>
      </c>
      <c r="AD118" s="3492" t="s">
        <v>980</v>
      </c>
      <c r="AE118" s="3493" t="s">
        <v>955</v>
      </c>
      <c r="AF118" s="3494" t="s">
        <v>1376</v>
      </c>
      <c r="AG118" s="1734"/>
      <c r="AH118" s="30"/>
      <c r="AI118" s="30"/>
      <c r="AJ118" s="2272"/>
      <c r="AK118" s="2272"/>
      <c r="AL118" s="30"/>
      <c r="AM118" s="30"/>
      <c r="AN118" s="30"/>
      <c r="AO118" s="30"/>
      <c r="AP118" s="30"/>
      <c r="AQ118" s="30"/>
      <c r="AR118" s="30"/>
      <c r="AS118" s="30"/>
      <c r="AT118" s="30"/>
      <c r="AU118" s="2"/>
      <c r="AV118" s="2"/>
      <c r="AW118" s="2"/>
      <c r="AX118" s="2"/>
      <c r="AY118" s="2"/>
      <c r="AZ118" s="2"/>
      <c r="BA118" s="2"/>
      <c r="BB118" s="2"/>
      <c r="BC118" s="2"/>
      <c r="BD118" s="1370"/>
      <c r="BE118" s="2"/>
      <c r="BF118" s="2"/>
      <c r="BG118" s="2330"/>
      <c r="BH118" s="2"/>
      <c r="BI118" s="2"/>
      <c r="BJ118" s="4521"/>
      <c r="BK118" s="3510" t="s">
        <v>542</v>
      </c>
      <c r="BL118" s="3511" t="s">
        <v>980</v>
      </c>
      <c r="BM118" s="3512" t="s">
        <v>955</v>
      </c>
      <c r="BN118" s="3513" t="s">
        <v>1376</v>
      </c>
      <c r="BO118" s="3511" t="s">
        <v>980</v>
      </c>
      <c r="BP118" s="3512" t="s">
        <v>955</v>
      </c>
      <c r="BQ118" s="3514" t="s">
        <v>1376</v>
      </c>
      <c r="BR118" s="3511" t="s">
        <v>980</v>
      </c>
      <c r="BS118" s="3512" t="s">
        <v>955</v>
      </c>
      <c r="BT118" s="3513" t="s">
        <v>1376</v>
      </c>
      <c r="BU118" s="2343"/>
      <c r="BV118" s="2335"/>
      <c r="BW118" s="2335"/>
      <c r="BX118" s="2272"/>
      <c r="BY118" s="2335"/>
      <c r="BZ118" s="2335"/>
      <c r="CA118" s="2335"/>
      <c r="CB118" s="2335"/>
      <c r="CU118" s="2334"/>
      <c r="CV118" s="2334"/>
      <c r="CX118" s="4500"/>
      <c r="CY118" s="3722" t="s">
        <v>542</v>
      </c>
      <c r="CZ118" s="3492" t="s">
        <v>980</v>
      </c>
      <c r="DA118" s="3493" t="s">
        <v>955</v>
      </c>
      <c r="DB118" s="3494" t="s">
        <v>1376</v>
      </c>
      <c r="DC118" s="3492" t="s">
        <v>980</v>
      </c>
      <c r="DD118" s="3493" t="s">
        <v>955</v>
      </c>
      <c r="DE118" s="3494" t="s">
        <v>1376</v>
      </c>
      <c r="DF118" s="3492" t="s">
        <v>980</v>
      </c>
      <c r="DG118" s="3493" t="s">
        <v>955</v>
      </c>
      <c r="DH118" s="3494" t="s">
        <v>1376</v>
      </c>
      <c r="DI118" s="3487"/>
      <c r="DJ118" s="2334"/>
      <c r="DK118" s="2334"/>
      <c r="DS118" s="2330"/>
      <c r="DT118" s="2330"/>
      <c r="DU118" s="2330"/>
      <c r="DV118" s="2330"/>
      <c r="DW118" s="2330"/>
      <c r="DX118" s="2330"/>
      <c r="DY118" s="2330"/>
      <c r="DZ118" s="2330"/>
      <c r="EA118" s="2330"/>
      <c r="EB118" s="2330"/>
      <c r="EC118" s="2330"/>
      <c r="ED118" s="2338"/>
      <c r="EE118" s="2556"/>
      <c r="EF118" s="2334"/>
      <c r="EJ118" s="4491"/>
      <c r="EK118" s="3954" t="s">
        <v>542</v>
      </c>
      <c r="EL118" s="3955" t="s">
        <v>980</v>
      </c>
      <c r="EM118" s="3956" t="s">
        <v>955</v>
      </c>
      <c r="EN118" s="3955" t="s">
        <v>980</v>
      </c>
      <c r="EO118" s="3956" t="s">
        <v>955</v>
      </c>
      <c r="EP118" s="3955" t="s">
        <v>980</v>
      </c>
      <c r="EQ118" s="3957" t="s">
        <v>955</v>
      </c>
      <c r="ER118" s="2556"/>
      <c r="ES118" s="2334"/>
      <c r="EU118"/>
      <c r="EY118" s="2330"/>
      <c r="EZ118" s="2330"/>
      <c r="FA118" s="2330"/>
      <c r="FB118" s="2330"/>
      <c r="FC118" s="2330"/>
      <c r="FD118" s="2330"/>
      <c r="FE118" s="2330"/>
      <c r="FF118" s="2330"/>
      <c r="FG118" s="2330"/>
      <c r="FH118" s="2330"/>
      <c r="FI118" s="3944"/>
      <c r="FJ118" s="3944"/>
      <c r="FK118" s="2334"/>
      <c r="FO118" s="4491"/>
      <c r="FP118" s="3954" t="s">
        <v>542</v>
      </c>
      <c r="FQ118" s="3955" t="s">
        <v>980</v>
      </c>
      <c r="FR118" s="3956" t="s">
        <v>955</v>
      </c>
      <c r="FS118" s="3955" t="s">
        <v>980</v>
      </c>
      <c r="FT118" s="3956" t="s">
        <v>955</v>
      </c>
      <c r="FU118" s="3945" t="s">
        <v>980</v>
      </c>
      <c r="FV118" s="3946" t="s">
        <v>955</v>
      </c>
      <c r="FW118" s="3944"/>
      <c r="FX118" s="2334"/>
    </row>
    <row r="119" spans="1:184">
      <c r="A119" s="2272"/>
      <c r="B119" s="2272"/>
      <c r="C119" s="2272"/>
      <c r="D119" s="9"/>
      <c r="E119" s="2272"/>
      <c r="F119" s="2276"/>
      <c r="G119" s="2276"/>
      <c r="H119" s="2276"/>
      <c r="I119" s="2276"/>
      <c r="J119" s="2276"/>
      <c r="K119" s="2276"/>
      <c r="L119" s="2276"/>
      <c r="M119" s="2276"/>
      <c r="N119" s="9"/>
      <c r="O119" s="9"/>
      <c r="P119" s="9"/>
      <c r="Q119" s="9"/>
      <c r="R119" s="9"/>
      <c r="S119" s="9"/>
      <c r="T119" s="2332"/>
      <c r="U119" s="9"/>
      <c r="V119" s="3495" t="str">
        <f>IF(V9=0,"",V9)</f>
        <v>Generation Turbine 49.9 MW</v>
      </c>
      <c r="W119" s="3496">
        <f>IF(W9=0,"",W9)</f>
        <v>49.9</v>
      </c>
      <c r="X119" s="3497">
        <f>IF(S9=0,"",S9)</f>
        <v>275.66038426131422</v>
      </c>
      <c r="Y119" s="3498">
        <f t="shared" ref="Y119:Y149" si="430">IF(AI9=0,"",AI9)</f>
        <v>662.80696319560616</v>
      </c>
      <c r="Z119" s="3499">
        <f>Y119/10</f>
        <v>66.280696319560619</v>
      </c>
      <c r="AA119" s="3497">
        <f t="shared" ref="AA119:AA140" si="431">IF(S46=0,"",S46)</f>
        <v>185.12751034081907</v>
      </c>
      <c r="AB119" s="3498">
        <f t="shared" ref="AB119:AB149" si="432">IF(AI46=0,"",AI46)</f>
        <v>2215.535426796388</v>
      </c>
      <c r="AC119" s="3499">
        <f>AB119/10</f>
        <v>221.55354267963881</v>
      </c>
      <c r="AD119" s="3497">
        <f t="shared" ref="AD119:AD140" si="433">IF(S83=0,"",S83)</f>
        <v>193.34240681008495</v>
      </c>
      <c r="AE119" s="3910">
        <f t="shared" ref="AE119:AE149" si="434">IF(AI83=0,"",AI83)</f>
        <v>311.26698856988435</v>
      </c>
      <c r="AF119" s="3500">
        <f>AE119/10</f>
        <v>31.126698856988433</v>
      </c>
      <c r="AG119" s="1734"/>
      <c r="AH119" s="30"/>
      <c r="AI119" s="30"/>
      <c r="AJ119" s="2272"/>
      <c r="AK119" s="2272"/>
      <c r="AL119" s="30"/>
      <c r="AM119" s="30"/>
      <c r="AN119" s="30"/>
      <c r="AO119" s="30"/>
      <c r="AP119" s="30"/>
      <c r="AQ119" s="30"/>
      <c r="AR119" s="30"/>
      <c r="AS119" s="30"/>
      <c r="AT119" s="30"/>
      <c r="AU119" s="2"/>
      <c r="AV119" s="2"/>
      <c r="AW119" s="2"/>
      <c r="AX119" s="2"/>
      <c r="AY119" s="2"/>
      <c r="AZ119" s="2"/>
      <c r="BA119" s="2"/>
      <c r="BB119" s="2"/>
      <c r="BC119" s="2"/>
      <c r="BD119" s="1370"/>
      <c r="BE119" s="2"/>
      <c r="BF119" s="2"/>
      <c r="BG119" s="2330"/>
      <c r="BH119" s="2"/>
      <c r="BI119" s="2"/>
      <c r="BJ119" s="3515" t="str">
        <f t="shared" ref="BJ119:BK149" si="435">IF(BJ9=0,"",BJ9)</f>
        <v>Generation Turbine 49.9 MW</v>
      </c>
      <c r="BK119" s="3516">
        <f t="shared" si="435"/>
        <v>49.9</v>
      </c>
      <c r="BL119" s="3517">
        <f t="shared" ref="BL119:BL149" si="436">IF(BG9=0,"",BG9)</f>
        <v>275.66038426131422</v>
      </c>
      <c r="BM119" s="3518">
        <f t="shared" ref="BM119:BM149" si="437">IF(BW9=0,"",BW9)</f>
        <v>662.80696319560616</v>
      </c>
      <c r="BN119" s="3518">
        <f t="shared" ref="BN119:BN149" si="438">IF(BX9=0,"",BX9)</f>
        <v>66.280696319560619</v>
      </c>
      <c r="BO119" s="3517">
        <f t="shared" ref="BO119:BO149" si="439">IF(BG46=0,"",BG46)</f>
        <v>185.12751034081907</v>
      </c>
      <c r="BP119" s="3518">
        <f t="shared" ref="BP119:BP149" si="440">IF(BW46=0,"",BW46)</f>
        <v>2215.535426796388</v>
      </c>
      <c r="BQ119" s="3519">
        <f t="shared" ref="BQ119:BQ149" si="441">IF(BX46=0,"",BX46)</f>
        <v>221.55354267963881</v>
      </c>
      <c r="BR119" s="3517">
        <f t="shared" ref="BR119:BR149" si="442">IF(BG83=0,"",BG83)</f>
        <v>193.34240681008495</v>
      </c>
      <c r="BS119" s="3518">
        <f t="shared" ref="BS119:BS149" si="443">IF(BW83=0,"",BW83)</f>
        <v>311.26698856988435</v>
      </c>
      <c r="BT119" s="3520">
        <f t="shared" ref="BT119:BT149" si="444">IF(BX83=0,"",BX83)</f>
        <v>31.126698856988433</v>
      </c>
      <c r="BU119" s="2343"/>
      <c r="BV119" s="2335"/>
      <c r="BW119" s="2335"/>
      <c r="BX119" s="2272"/>
      <c r="BY119" s="2335"/>
      <c r="BZ119" s="2335"/>
      <c r="CA119" s="2335"/>
      <c r="CB119" s="2335"/>
      <c r="CU119" s="2334"/>
      <c r="CV119" s="2334"/>
      <c r="CX119" s="3723" t="str">
        <f t="shared" ref="CX119:CY137" si="445">IF(CX9=0,"",CX9)</f>
        <v>Generation Turbine 49.9 MW</v>
      </c>
      <c r="CY119" s="3724">
        <f t="shared" si="445"/>
        <v>49.9</v>
      </c>
      <c r="CZ119" s="3725">
        <f>IF($CX119=0,"",CU9)</f>
        <v>0</v>
      </c>
      <c r="DA119" s="3726">
        <f>IF($CX119=0,"",DK9)</f>
        <v>0</v>
      </c>
      <c r="DB119" s="3727">
        <f>IF($CX9=0,"",DL9)</f>
        <v>0</v>
      </c>
      <c r="DC119" s="3725">
        <f>IF($CX9=0,"",CU46)</f>
        <v>0</v>
      </c>
      <c r="DD119" s="3726">
        <f t="shared" ref="DD119:DD137" si="446">IF($CX9=0,"",DK46)</f>
        <v>0</v>
      </c>
      <c r="DE119" s="3726">
        <f t="shared" ref="DE119:DE137" si="447">IF($CX9=0,"",DL46)</f>
        <v>0</v>
      </c>
      <c r="DF119" s="3725">
        <f>IF($CX119=0,"",CU83)</f>
        <v>0</v>
      </c>
      <c r="DG119" s="3726">
        <f t="shared" ref="DG119:DG122" si="448">IF($CX119=0,"",DK83)</f>
        <v>0</v>
      </c>
      <c r="DH119" s="3727">
        <f t="shared" ref="DH119:DH122" si="449">IF($CX119=0,"",DL83)</f>
        <v>0</v>
      </c>
      <c r="DI119" s="2372"/>
      <c r="DJ119" s="2334"/>
      <c r="DK119" s="2334"/>
      <c r="DS119" s="2330"/>
      <c r="DT119" s="2330"/>
      <c r="DU119" s="2330"/>
      <c r="DV119" s="2330"/>
      <c r="DW119" s="2330"/>
      <c r="DX119" s="2330"/>
      <c r="DY119" s="2330"/>
      <c r="DZ119" s="2330"/>
      <c r="EA119" s="2330"/>
      <c r="EB119" s="2330"/>
      <c r="EC119" s="2330"/>
      <c r="ED119" s="2366"/>
      <c r="EE119" s="2366"/>
      <c r="EF119" s="2334"/>
      <c r="EJ119" s="3495" t="str">
        <f t="shared" ref="EJ119:EK149" si="450">EJ9</f>
        <v>Generation Turbine 49.9 MW</v>
      </c>
      <c r="EK119" s="3496">
        <f t="shared" si="450"/>
        <v>49.9</v>
      </c>
      <c r="EL119" s="3733">
        <f t="shared" ref="EL119:EL149" si="451">EG9</f>
        <v>0</v>
      </c>
      <c r="EM119" s="3693">
        <f t="shared" ref="EM119:EM149" si="452">EW9</f>
        <v>0</v>
      </c>
      <c r="EN119" s="3733">
        <f t="shared" ref="EN119:EN135" si="453">EG46</f>
        <v>0</v>
      </c>
      <c r="EO119" s="3693">
        <f t="shared" ref="EO119:EO135" si="454">EW46</f>
        <v>0</v>
      </c>
      <c r="EP119" s="3733">
        <f t="shared" ref="EP119:EP123" si="455">EG83</f>
        <v>0</v>
      </c>
      <c r="EQ119" s="3734">
        <f t="shared" ref="EQ119:EQ123" si="456">EW83</f>
        <v>0</v>
      </c>
      <c r="ER119" s="2366"/>
      <c r="ES119" s="2334"/>
      <c r="EU119"/>
      <c r="EY119" s="2330"/>
      <c r="EZ119" s="2330"/>
      <c r="FA119" s="2330"/>
      <c r="FB119" s="2330"/>
      <c r="FC119" s="2330"/>
      <c r="FD119" s="2330"/>
      <c r="FE119" s="2330"/>
      <c r="FF119" s="2330"/>
      <c r="FG119" s="2330"/>
      <c r="FH119" s="2330"/>
      <c r="FI119" s="2366"/>
      <c r="FJ119" s="2366"/>
      <c r="FK119" s="2334"/>
      <c r="FO119" s="3495" t="str">
        <f t="shared" ref="FO119:FP119" si="457">FO9</f>
        <v>Generation Turbine 49.9 MW</v>
      </c>
      <c r="FP119" s="3496">
        <f t="shared" si="457"/>
        <v>49.9</v>
      </c>
      <c r="FQ119" s="3733">
        <f t="shared" ref="FQ119:FQ137" si="458">FL9</f>
        <v>0</v>
      </c>
      <c r="FR119" s="3693">
        <f t="shared" ref="FR119:FR137" si="459">GB9</f>
        <v>0</v>
      </c>
      <c r="FS119" s="3733">
        <f t="shared" ref="FS119:FS135" si="460">FL46</f>
        <v>0</v>
      </c>
      <c r="FT119" s="3693">
        <f t="shared" ref="FT119:FT135" si="461">GB46</f>
        <v>0</v>
      </c>
      <c r="FU119" s="3733">
        <f t="shared" ref="FU119:FU137" si="462">FL83</f>
        <v>0</v>
      </c>
      <c r="FV119" s="3734">
        <f t="shared" ref="FV119:FV137" si="463">GB83</f>
        <v>0</v>
      </c>
      <c r="FW119" s="2366"/>
      <c r="FX119" s="2334"/>
    </row>
    <row r="120" spans="1:184">
      <c r="A120" s="2272"/>
      <c r="B120" s="2272"/>
      <c r="C120" s="2272"/>
      <c r="D120" s="9"/>
      <c r="E120" s="2272"/>
      <c r="F120" s="2276"/>
      <c r="G120" s="2276"/>
      <c r="H120" s="2276"/>
      <c r="I120" s="2276"/>
      <c r="J120" s="2276"/>
      <c r="K120" s="2276"/>
      <c r="L120" s="2276"/>
      <c r="M120" s="2276"/>
      <c r="N120" s="9"/>
      <c r="O120" s="9"/>
      <c r="P120" s="9"/>
      <c r="Q120" s="9"/>
      <c r="R120" s="9"/>
      <c r="S120" s="9"/>
      <c r="T120" s="2332"/>
      <c r="U120" s="9"/>
      <c r="V120" s="3495" t="str">
        <f t="shared" ref="V120:W135" si="464">IF(V10=0,"",V10)</f>
        <v>Generation Turbine 100 MW</v>
      </c>
      <c r="W120" s="3496">
        <f t="shared" si="464"/>
        <v>100</v>
      </c>
      <c r="X120" s="3497">
        <f t="shared" ref="X120:X140" si="465">IF(S10=0,"",S10)</f>
        <v>273.83402043339163</v>
      </c>
      <c r="Y120" s="3498">
        <f t="shared" si="430"/>
        <v>660.51543801242383</v>
      </c>
      <c r="Z120" s="3499">
        <f t="shared" ref="Z120:Z137" si="466">Y120/10</f>
        <v>66.051543801242389</v>
      </c>
      <c r="AA120" s="3497">
        <f t="shared" si="431"/>
        <v>183.47428584854603</v>
      </c>
      <c r="AB120" s="3498">
        <f t="shared" si="432"/>
        <v>2202.7530385496184</v>
      </c>
      <c r="AC120" s="3499">
        <f t="shared" ref="AC120:AC137" si="467">AB120/10</f>
        <v>220.27530385496183</v>
      </c>
      <c r="AD120" s="3497">
        <f t="shared" si="433"/>
        <v>191.80603586138517</v>
      </c>
      <c r="AE120" s="3498">
        <f t="shared" si="434"/>
        <v>309.77836120903771</v>
      </c>
      <c r="AF120" s="3500">
        <f t="shared" ref="AF120:AF123" si="468">AE120/10</f>
        <v>30.97783612090377</v>
      </c>
      <c r="AG120" s="30"/>
      <c r="AH120" s="30"/>
      <c r="AI120" s="30"/>
      <c r="AJ120" s="2272"/>
      <c r="AK120" s="2272"/>
      <c r="AL120" s="30"/>
      <c r="AM120" s="30"/>
      <c r="AN120" s="30"/>
      <c r="AO120" s="30"/>
      <c r="AP120" s="30"/>
      <c r="AQ120" s="30"/>
      <c r="AR120" s="30"/>
      <c r="AS120" s="30"/>
      <c r="AT120" s="30"/>
      <c r="AU120" s="2"/>
      <c r="AV120" s="2"/>
      <c r="AW120" s="2"/>
      <c r="AX120" s="2"/>
      <c r="AY120" s="2"/>
      <c r="AZ120" s="2"/>
      <c r="BA120" s="2"/>
      <c r="BB120" s="2"/>
      <c r="BC120" s="2"/>
      <c r="BD120" s="1370"/>
      <c r="BE120" s="2"/>
      <c r="BF120" s="2"/>
      <c r="BG120" s="2330"/>
      <c r="BH120" s="2"/>
      <c r="BI120" s="2"/>
      <c r="BJ120" s="3515" t="str">
        <f t="shared" si="435"/>
        <v>Generation Turbine 100 MW</v>
      </c>
      <c r="BK120" s="3516">
        <f t="shared" si="435"/>
        <v>100</v>
      </c>
      <c r="BL120" s="3517">
        <f t="shared" si="436"/>
        <v>273.83402043339163</v>
      </c>
      <c r="BM120" s="3518">
        <f t="shared" si="437"/>
        <v>660.51543801242383</v>
      </c>
      <c r="BN120" s="3518">
        <f t="shared" si="438"/>
        <v>66.051543801242389</v>
      </c>
      <c r="BO120" s="3517">
        <f t="shared" si="439"/>
        <v>183.47428584854603</v>
      </c>
      <c r="BP120" s="3518">
        <f t="shared" si="440"/>
        <v>2202.7530385496184</v>
      </c>
      <c r="BQ120" s="3519">
        <f t="shared" si="441"/>
        <v>220.27530385496183</v>
      </c>
      <c r="BR120" s="3517">
        <f t="shared" si="442"/>
        <v>191.80603586138517</v>
      </c>
      <c r="BS120" s="3518">
        <f t="shared" si="443"/>
        <v>309.77836120903771</v>
      </c>
      <c r="BT120" s="3520">
        <f t="shared" si="444"/>
        <v>30.97783612090377</v>
      </c>
      <c r="BU120" s="2335"/>
      <c r="BV120" s="2335"/>
      <c r="BW120" s="2335"/>
      <c r="BX120" s="2272"/>
      <c r="BY120" s="2335"/>
      <c r="BZ120" s="2335"/>
      <c r="CA120" s="2335"/>
      <c r="CB120" s="2335"/>
      <c r="CU120" s="2334"/>
      <c r="CV120" s="2334"/>
      <c r="CX120" s="3723" t="str">
        <f t="shared" si="445"/>
        <v>Generation Turbine 100 MW</v>
      </c>
      <c r="CY120" s="3724">
        <f t="shared" si="445"/>
        <v>100</v>
      </c>
      <c r="CZ120" s="3725">
        <f t="shared" ref="CZ120:CZ137" si="469">IF($CX10=0,"",CU10)</f>
        <v>0</v>
      </c>
      <c r="DA120" s="3726">
        <f t="shared" ref="DA120:DA137" si="470">IF($CX10=0,"",DK10)</f>
        <v>0</v>
      </c>
      <c r="DB120" s="3727">
        <f t="shared" ref="DB120:DB137" si="471">IF($CX10=0,"",DL10)</f>
        <v>0</v>
      </c>
      <c r="DC120" s="3725">
        <f t="shared" ref="DC120:DC137" si="472">IF($CX10=0,"",CU47)</f>
        <v>0</v>
      </c>
      <c r="DD120" s="3726">
        <f t="shared" si="446"/>
        <v>0</v>
      </c>
      <c r="DE120" s="3726">
        <f t="shared" si="447"/>
        <v>0</v>
      </c>
      <c r="DF120" s="3725">
        <f t="shared" ref="DF120:DF137" si="473">IF($CX120=0,"",CU84)</f>
        <v>0</v>
      </c>
      <c r="DG120" s="3726">
        <f t="shared" si="448"/>
        <v>0</v>
      </c>
      <c r="DH120" s="3727">
        <f t="shared" si="449"/>
        <v>0</v>
      </c>
      <c r="DI120" s="2372"/>
      <c r="DJ120" s="2334"/>
      <c r="DK120" s="2334"/>
      <c r="DS120" s="2330"/>
      <c r="DT120" s="2330"/>
      <c r="DU120" s="2330"/>
      <c r="DV120" s="2330"/>
      <c r="DW120" s="2330"/>
      <c r="DX120" s="2330"/>
      <c r="DY120" s="2330"/>
      <c r="DZ120" s="2330"/>
      <c r="EA120" s="2330"/>
      <c r="EB120" s="2330"/>
      <c r="EC120" s="2330"/>
      <c r="ED120" s="2366"/>
      <c r="EE120" s="2366"/>
      <c r="EF120" s="2334"/>
      <c r="EJ120" s="3495" t="str">
        <f t="shared" si="450"/>
        <v>Generation Turbine 100 MW</v>
      </c>
      <c r="EK120" s="3496">
        <f t="shared" si="450"/>
        <v>100</v>
      </c>
      <c r="EL120" s="3733">
        <f t="shared" si="451"/>
        <v>0</v>
      </c>
      <c r="EM120" s="3693">
        <f t="shared" si="452"/>
        <v>0</v>
      </c>
      <c r="EN120" s="3733">
        <f t="shared" si="453"/>
        <v>0</v>
      </c>
      <c r="EO120" s="3693">
        <f t="shared" si="454"/>
        <v>0</v>
      </c>
      <c r="EP120" s="3733">
        <f t="shared" si="455"/>
        <v>0</v>
      </c>
      <c r="EQ120" s="3734">
        <f t="shared" si="456"/>
        <v>0</v>
      </c>
      <c r="ER120" s="2366"/>
      <c r="ES120" s="2334"/>
      <c r="EU120"/>
      <c r="EY120" s="2330"/>
      <c r="EZ120" s="2330"/>
      <c r="FA120" s="2330"/>
      <c r="FB120" s="2330"/>
      <c r="FC120" s="2330"/>
      <c r="FD120" s="2330"/>
      <c r="FE120" s="2330"/>
      <c r="FF120" s="2330"/>
      <c r="FG120" s="2330"/>
      <c r="FH120" s="2330"/>
      <c r="FI120" s="2366"/>
      <c r="FJ120" s="2366"/>
      <c r="FK120" s="2334"/>
      <c r="FO120" s="3495" t="str">
        <f t="shared" ref="FO120:FP120" si="474">FO10</f>
        <v>Generation Turbine 100 MW</v>
      </c>
      <c r="FP120" s="3496">
        <f t="shared" si="474"/>
        <v>100</v>
      </c>
      <c r="FQ120" s="3733">
        <f t="shared" si="458"/>
        <v>0</v>
      </c>
      <c r="FR120" s="3693">
        <f t="shared" si="459"/>
        <v>0</v>
      </c>
      <c r="FS120" s="3733">
        <f t="shared" si="460"/>
        <v>0</v>
      </c>
      <c r="FT120" s="3693">
        <f t="shared" si="461"/>
        <v>0</v>
      </c>
      <c r="FU120" s="3733">
        <f t="shared" si="462"/>
        <v>0</v>
      </c>
      <c r="FV120" s="3734">
        <f t="shared" si="463"/>
        <v>0</v>
      </c>
      <c r="FW120" s="2366"/>
      <c r="FX120" s="2334"/>
    </row>
    <row r="121" spans="1:184">
      <c r="A121" s="2272"/>
      <c r="B121" s="2272"/>
      <c r="C121" s="2272"/>
      <c r="D121" s="9"/>
      <c r="E121" s="2272"/>
      <c r="F121" s="2276"/>
      <c r="G121" s="2276"/>
      <c r="H121" s="2276"/>
      <c r="I121" s="2276"/>
      <c r="J121" s="2276"/>
      <c r="K121" s="2276"/>
      <c r="L121" s="2276"/>
      <c r="M121" s="2276"/>
      <c r="N121" s="9"/>
      <c r="O121" s="9"/>
      <c r="P121" s="9"/>
      <c r="Q121" s="9"/>
      <c r="R121" s="9"/>
      <c r="S121" s="9"/>
      <c r="T121" s="2332"/>
      <c r="U121" s="9"/>
      <c r="V121" s="3495" t="str">
        <f t="shared" si="464"/>
        <v>Generation Turbine - Advanced 200 MW</v>
      </c>
      <c r="W121" s="3496">
        <f t="shared" si="464"/>
        <v>200</v>
      </c>
      <c r="X121" s="3497">
        <f t="shared" si="465"/>
        <v>252.33344541399532</v>
      </c>
      <c r="Y121" s="3498">
        <f t="shared" si="430"/>
        <v>403.82529117952379</v>
      </c>
      <c r="Z121" s="3499">
        <f t="shared" si="466"/>
        <v>40.38252911795238</v>
      </c>
      <c r="AA121" s="3497">
        <f t="shared" si="431"/>
        <v>159.41019315614861</v>
      </c>
      <c r="AB121" s="3498">
        <f t="shared" si="432"/>
        <v>1266.9100708446886</v>
      </c>
      <c r="AC121" s="3499">
        <f t="shared" si="467"/>
        <v>126.69100708446885</v>
      </c>
      <c r="AD121" s="3497">
        <f t="shared" si="433"/>
        <v>200.66578960802764</v>
      </c>
      <c r="AE121" s="3498">
        <f t="shared" si="434"/>
        <v>215.52534921841709</v>
      </c>
      <c r="AF121" s="3500">
        <f t="shared" si="468"/>
        <v>21.552534921841708</v>
      </c>
      <c r="AG121" s="30"/>
      <c r="AH121" s="30"/>
      <c r="AI121" s="30"/>
      <c r="AJ121" s="2272"/>
      <c r="AK121" s="2272"/>
      <c r="AL121" s="30"/>
      <c r="AM121" s="30"/>
      <c r="AN121" s="30"/>
      <c r="AO121" s="30"/>
      <c r="AP121" s="30"/>
      <c r="AQ121" s="30"/>
      <c r="AR121" s="30"/>
      <c r="AS121" s="30"/>
      <c r="AT121" s="30"/>
      <c r="AU121" s="2"/>
      <c r="AV121" s="2"/>
      <c r="AW121" s="2"/>
      <c r="AX121" s="2"/>
      <c r="AY121" s="2"/>
      <c r="AZ121" s="2"/>
      <c r="BA121" s="2"/>
      <c r="BB121" s="2"/>
      <c r="BC121" s="2"/>
      <c r="BD121" s="1370"/>
      <c r="BE121" s="2"/>
      <c r="BF121" s="2"/>
      <c r="BG121" s="2330"/>
      <c r="BH121" s="2"/>
      <c r="BI121" s="2"/>
      <c r="BJ121" s="3515" t="str">
        <f t="shared" si="435"/>
        <v>Generation Turbine - Advanced 200 MW</v>
      </c>
      <c r="BK121" s="3516">
        <f t="shared" si="435"/>
        <v>200</v>
      </c>
      <c r="BL121" s="3517">
        <f t="shared" si="436"/>
        <v>252.33344541399532</v>
      </c>
      <c r="BM121" s="3518">
        <f t="shared" si="437"/>
        <v>403.82529117952379</v>
      </c>
      <c r="BN121" s="3518">
        <f t="shared" si="438"/>
        <v>40.38252911795238</v>
      </c>
      <c r="BO121" s="3517">
        <f t="shared" si="439"/>
        <v>159.41019315614861</v>
      </c>
      <c r="BP121" s="3518">
        <f t="shared" si="440"/>
        <v>1266.9100708446886</v>
      </c>
      <c r="BQ121" s="3519">
        <f t="shared" si="441"/>
        <v>126.69100708446885</v>
      </c>
      <c r="BR121" s="3517">
        <f t="shared" si="442"/>
        <v>200.66578960802764</v>
      </c>
      <c r="BS121" s="3518">
        <f t="shared" si="443"/>
        <v>215.52534921841709</v>
      </c>
      <c r="BT121" s="3520">
        <f t="shared" si="444"/>
        <v>21.552534921841708</v>
      </c>
      <c r="BU121" s="2335"/>
      <c r="BV121" s="2335"/>
      <c r="BW121" s="2335"/>
      <c r="BX121" s="2272"/>
      <c r="BY121" s="2335"/>
      <c r="BZ121" s="2335"/>
      <c r="CA121" s="2335"/>
      <c r="CB121" s="2335"/>
      <c r="CU121" s="2334"/>
      <c r="CV121" s="2334"/>
      <c r="CX121" s="3723" t="str">
        <f t="shared" si="445"/>
        <v>Generation Turbine - Advanced 200 MW</v>
      </c>
      <c r="CY121" s="3724">
        <f t="shared" si="445"/>
        <v>200</v>
      </c>
      <c r="CZ121" s="3725">
        <f t="shared" si="469"/>
        <v>0</v>
      </c>
      <c r="DA121" s="3726">
        <f t="shared" si="470"/>
        <v>0</v>
      </c>
      <c r="DB121" s="3727">
        <f t="shared" si="471"/>
        <v>0</v>
      </c>
      <c r="DC121" s="3725">
        <f t="shared" si="472"/>
        <v>0</v>
      </c>
      <c r="DD121" s="3726">
        <f t="shared" si="446"/>
        <v>0</v>
      </c>
      <c r="DE121" s="3726">
        <f t="shared" si="447"/>
        <v>0</v>
      </c>
      <c r="DF121" s="3725">
        <f t="shared" si="473"/>
        <v>0</v>
      </c>
      <c r="DG121" s="3726">
        <f t="shared" si="448"/>
        <v>0</v>
      </c>
      <c r="DH121" s="3727">
        <f t="shared" si="449"/>
        <v>0</v>
      </c>
      <c r="DI121" s="2372"/>
      <c r="DJ121" s="2334"/>
      <c r="DK121" s="2334"/>
      <c r="DS121" s="2330"/>
      <c r="DT121" s="2330"/>
      <c r="DU121" s="2330"/>
      <c r="DV121" s="2330"/>
      <c r="DW121" s="2330"/>
      <c r="DX121" s="2330"/>
      <c r="DY121" s="2330"/>
      <c r="DZ121" s="2330"/>
      <c r="EA121" s="2330"/>
      <c r="EB121" s="2330"/>
      <c r="EC121" s="2330"/>
      <c r="ED121" s="2366"/>
      <c r="EE121" s="2366"/>
      <c r="EF121" s="2334"/>
      <c r="EJ121" s="3495" t="str">
        <f t="shared" si="450"/>
        <v>Generation Turbine - Advanced 200 MW</v>
      </c>
      <c r="EK121" s="3496">
        <f t="shared" si="450"/>
        <v>200</v>
      </c>
      <c r="EL121" s="3733">
        <f t="shared" si="451"/>
        <v>0</v>
      </c>
      <c r="EM121" s="3693">
        <f t="shared" si="452"/>
        <v>0</v>
      </c>
      <c r="EN121" s="3733">
        <f t="shared" si="453"/>
        <v>0</v>
      </c>
      <c r="EO121" s="3693">
        <f t="shared" si="454"/>
        <v>0</v>
      </c>
      <c r="EP121" s="3733">
        <f t="shared" si="455"/>
        <v>0</v>
      </c>
      <c r="EQ121" s="3734">
        <f t="shared" si="456"/>
        <v>0</v>
      </c>
      <c r="ER121" s="2366"/>
      <c r="ES121" s="2334"/>
      <c r="EU121"/>
      <c r="EY121" s="2330"/>
      <c r="EZ121" s="2330"/>
      <c r="FA121" s="2330"/>
      <c r="FB121" s="2330"/>
      <c r="FC121" s="2330"/>
      <c r="FD121" s="2330"/>
      <c r="FE121" s="2330"/>
      <c r="FF121" s="2330"/>
      <c r="FG121" s="2330"/>
      <c r="FH121" s="2330"/>
      <c r="FI121" s="2366"/>
      <c r="FJ121" s="2366"/>
      <c r="FK121" s="2334"/>
      <c r="FO121" s="3495" t="str">
        <f t="shared" ref="FO121:FP121" si="475">FO11</f>
        <v>Generation Turbine - Advanced 200 MW</v>
      </c>
      <c r="FP121" s="3496">
        <f t="shared" si="475"/>
        <v>200</v>
      </c>
      <c r="FQ121" s="3733">
        <f t="shared" si="458"/>
        <v>0</v>
      </c>
      <c r="FR121" s="3693">
        <f t="shared" si="459"/>
        <v>0</v>
      </c>
      <c r="FS121" s="3733">
        <f t="shared" si="460"/>
        <v>0</v>
      </c>
      <c r="FT121" s="3693">
        <f t="shared" si="461"/>
        <v>0</v>
      </c>
      <c r="FU121" s="3733">
        <f t="shared" si="462"/>
        <v>0</v>
      </c>
      <c r="FV121" s="3734">
        <f t="shared" si="463"/>
        <v>0</v>
      </c>
      <c r="FW121" s="2366"/>
      <c r="FX121" s="2334"/>
    </row>
    <row r="122" spans="1:184">
      <c r="A122" s="2272"/>
      <c r="B122" s="2272"/>
      <c r="C122" s="2272"/>
      <c r="D122" s="9"/>
      <c r="E122" s="2272"/>
      <c r="F122" s="2276"/>
      <c r="G122" s="2276"/>
      <c r="H122" s="2276"/>
      <c r="I122" s="2276"/>
      <c r="J122" s="2276"/>
      <c r="K122" s="2276"/>
      <c r="L122" s="2276"/>
      <c r="M122" s="2276"/>
      <c r="N122" s="9"/>
      <c r="O122" s="9"/>
      <c r="P122" s="9"/>
      <c r="Q122" s="9"/>
      <c r="R122" s="9"/>
      <c r="S122" s="9"/>
      <c r="T122" s="2332"/>
      <c r="U122" s="9"/>
      <c r="V122" s="3495" t="str">
        <f t="shared" si="464"/>
        <v>Combined Cycle - 2 CTs No Duct Firing 500 MW</v>
      </c>
      <c r="W122" s="3496">
        <f t="shared" si="464"/>
        <v>500</v>
      </c>
      <c r="X122" s="3497">
        <f t="shared" si="465"/>
        <v>551.42344009761109</v>
      </c>
      <c r="Y122" s="3498">
        <f t="shared" si="430"/>
        <v>116.50544037491528</v>
      </c>
      <c r="Z122" s="3499">
        <f t="shared" si="466"/>
        <v>11.650544037491528</v>
      </c>
      <c r="AA122" s="3497">
        <f t="shared" si="431"/>
        <v>495.20446499048057</v>
      </c>
      <c r="AB122" s="3498">
        <f t="shared" si="432"/>
        <v>104.54369101306028</v>
      </c>
      <c r="AC122" s="3499">
        <f t="shared" si="467"/>
        <v>10.454369101306028</v>
      </c>
      <c r="AD122" s="3497">
        <f t="shared" si="433"/>
        <v>482.63369141695</v>
      </c>
      <c r="AE122" s="3498">
        <f t="shared" si="434"/>
        <v>102.32225737983985</v>
      </c>
      <c r="AF122" s="3500">
        <f t="shared" si="468"/>
        <v>10.232225737983985</v>
      </c>
      <c r="AG122" s="30"/>
      <c r="AH122" s="30"/>
      <c r="AI122" s="30"/>
      <c r="AJ122" s="2272"/>
      <c r="AK122" s="2272"/>
      <c r="AL122" s="30"/>
      <c r="AM122" s="30"/>
      <c r="AN122" s="30"/>
      <c r="AO122" s="30"/>
      <c r="AP122" s="30"/>
      <c r="AQ122" s="30"/>
      <c r="AR122" s="30"/>
      <c r="AS122" s="30"/>
      <c r="AT122" s="30"/>
      <c r="AU122" s="2"/>
      <c r="AV122" s="2"/>
      <c r="AW122" s="2"/>
      <c r="AX122" s="2"/>
      <c r="AY122" s="2"/>
      <c r="AZ122" s="2"/>
      <c r="BA122" s="2"/>
      <c r="BB122" s="2"/>
      <c r="BC122" s="2"/>
      <c r="BD122" s="1370"/>
      <c r="BE122" s="2"/>
      <c r="BF122" s="2"/>
      <c r="BG122" s="2330"/>
      <c r="BH122" s="2"/>
      <c r="BI122" s="2"/>
      <c r="BJ122" s="3515" t="str">
        <f t="shared" si="435"/>
        <v>Combined Cycle - 2 CTs No Duct Firing 500 MW</v>
      </c>
      <c r="BK122" s="3516">
        <f t="shared" si="435"/>
        <v>500</v>
      </c>
      <c r="BL122" s="3517">
        <f t="shared" si="436"/>
        <v>551.42344009761109</v>
      </c>
      <c r="BM122" s="3518">
        <f t="shared" si="437"/>
        <v>116.50544037491528</v>
      </c>
      <c r="BN122" s="3518">
        <f t="shared" si="438"/>
        <v>11.650544037491528</v>
      </c>
      <c r="BO122" s="3517">
        <f t="shared" si="439"/>
        <v>495.20446499048057</v>
      </c>
      <c r="BP122" s="3518">
        <f t="shared" si="440"/>
        <v>104.54369101306028</v>
      </c>
      <c r="BQ122" s="3519">
        <f t="shared" si="441"/>
        <v>10.454369101306028</v>
      </c>
      <c r="BR122" s="3517">
        <f t="shared" si="442"/>
        <v>482.63369141695</v>
      </c>
      <c r="BS122" s="3518">
        <f t="shared" si="443"/>
        <v>102.32225737983985</v>
      </c>
      <c r="BT122" s="3520">
        <f t="shared" si="444"/>
        <v>10.232225737983985</v>
      </c>
      <c r="BU122" s="2335"/>
      <c r="BV122" s="2335"/>
      <c r="BW122" s="2335"/>
      <c r="BX122" s="2272"/>
      <c r="BY122" s="2335"/>
      <c r="BZ122" s="2335"/>
      <c r="CA122" s="2335"/>
      <c r="CB122" s="2335"/>
      <c r="CU122" s="2334"/>
      <c r="CV122" s="2334"/>
      <c r="CX122" s="3723" t="str">
        <f t="shared" si="445"/>
        <v>Combined Cycle - 2 CTs No Duct Firing 500 MW</v>
      </c>
      <c r="CY122" s="3724">
        <f t="shared" si="445"/>
        <v>500</v>
      </c>
      <c r="CZ122" s="3725">
        <f t="shared" si="469"/>
        <v>0</v>
      </c>
      <c r="DA122" s="3726">
        <f t="shared" si="470"/>
        <v>0</v>
      </c>
      <c r="DB122" s="3727">
        <f t="shared" si="471"/>
        <v>0</v>
      </c>
      <c r="DC122" s="3725">
        <f t="shared" si="472"/>
        <v>0</v>
      </c>
      <c r="DD122" s="3726">
        <f t="shared" si="446"/>
        <v>0</v>
      </c>
      <c r="DE122" s="3726">
        <f t="shared" si="447"/>
        <v>0</v>
      </c>
      <c r="DF122" s="3725">
        <f t="shared" si="473"/>
        <v>0</v>
      </c>
      <c r="DG122" s="3726">
        <f t="shared" si="448"/>
        <v>0</v>
      </c>
      <c r="DH122" s="3727">
        <f t="shared" si="449"/>
        <v>0</v>
      </c>
      <c r="DI122" s="2372"/>
      <c r="DJ122" s="2334"/>
      <c r="DK122" s="2334"/>
      <c r="DS122" s="2330"/>
      <c r="DT122" s="2330"/>
      <c r="DU122" s="2330"/>
      <c r="DV122" s="2330"/>
      <c r="DW122" s="2330"/>
      <c r="DX122" s="2330"/>
      <c r="DY122" s="2330"/>
      <c r="DZ122" s="2330"/>
      <c r="EA122" s="2330"/>
      <c r="EB122" s="2330"/>
      <c r="EC122" s="2330"/>
      <c r="ED122" s="2366"/>
      <c r="EE122" s="2366"/>
      <c r="EF122" s="2334"/>
      <c r="EJ122" s="3495" t="str">
        <f t="shared" si="450"/>
        <v>Combined Cycle - 2 CTs No Duct Firing 500 MW</v>
      </c>
      <c r="EK122" s="3496">
        <f t="shared" si="450"/>
        <v>500</v>
      </c>
      <c r="EL122" s="3733">
        <f t="shared" si="451"/>
        <v>0</v>
      </c>
      <c r="EM122" s="3693">
        <f t="shared" si="452"/>
        <v>0</v>
      </c>
      <c r="EN122" s="3733">
        <f t="shared" si="453"/>
        <v>0</v>
      </c>
      <c r="EO122" s="3693">
        <f t="shared" si="454"/>
        <v>0</v>
      </c>
      <c r="EP122" s="3733">
        <f t="shared" si="455"/>
        <v>0</v>
      </c>
      <c r="EQ122" s="3734">
        <f t="shared" si="456"/>
        <v>0</v>
      </c>
      <c r="ER122" s="2366"/>
      <c r="ES122" s="2334"/>
      <c r="EU122"/>
      <c r="EY122" s="2330"/>
      <c r="EZ122" s="2330"/>
      <c r="FA122" s="2330"/>
      <c r="FB122" s="2330"/>
      <c r="FC122" s="2330"/>
      <c r="FD122" s="2330"/>
      <c r="FE122" s="2330"/>
      <c r="FF122" s="2330"/>
      <c r="FG122" s="2330"/>
      <c r="FH122" s="2330"/>
      <c r="FI122" s="2366"/>
      <c r="FJ122" s="2366"/>
      <c r="FK122" s="2334"/>
      <c r="FO122" s="3495" t="str">
        <f t="shared" ref="FO122:FP122" si="476">FO12</f>
        <v>Combined Cycle - 2 CTs No Duct Firing 500 MW</v>
      </c>
      <c r="FP122" s="3496">
        <f t="shared" si="476"/>
        <v>500</v>
      </c>
      <c r="FQ122" s="3733">
        <f t="shared" si="458"/>
        <v>0</v>
      </c>
      <c r="FR122" s="3693">
        <f t="shared" si="459"/>
        <v>0</v>
      </c>
      <c r="FS122" s="3733">
        <f t="shared" si="460"/>
        <v>0</v>
      </c>
      <c r="FT122" s="3693">
        <f t="shared" si="461"/>
        <v>0</v>
      </c>
      <c r="FU122" s="3733">
        <f t="shared" si="462"/>
        <v>0</v>
      </c>
      <c r="FV122" s="3734">
        <f t="shared" si="463"/>
        <v>0</v>
      </c>
      <c r="FW122" s="2366"/>
      <c r="FX122" s="2334"/>
    </row>
    <row r="123" spans="1:184" ht="13.5" customHeight="1">
      <c r="A123" s="2272"/>
      <c r="B123" s="2272"/>
      <c r="C123" s="2272"/>
      <c r="D123" s="9"/>
      <c r="E123" s="2272"/>
      <c r="F123" s="2276"/>
      <c r="G123" s="2276"/>
      <c r="H123" s="2276"/>
      <c r="I123" s="2276"/>
      <c r="J123" s="2276"/>
      <c r="K123" s="2276"/>
      <c r="L123" s="2276"/>
      <c r="M123" s="2276"/>
      <c r="N123" s="9"/>
      <c r="O123" s="9"/>
      <c r="P123" s="9"/>
      <c r="Q123" s="9"/>
      <c r="R123" s="9"/>
      <c r="S123" s="9"/>
      <c r="T123" s="2332"/>
      <c r="U123" s="9"/>
      <c r="V123" s="3495" t="str">
        <f>IF(V13=0,"",V13)</f>
        <v>Combined Cycle - 2 CTs With Duct Firing 550 MW</v>
      </c>
      <c r="W123" s="3496">
        <f t="shared" si="464"/>
        <v>550</v>
      </c>
      <c r="X123" s="3497">
        <f t="shared" si="465"/>
        <v>548.13915466497906</v>
      </c>
      <c r="Y123" s="3498">
        <f t="shared" si="430"/>
        <v>115.81153240361472</v>
      </c>
      <c r="Z123" s="3499">
        <f t="shared" si="466"/>
        <v>11.581153240361472</v>
      </c>
      <c r="AA123" s="3497">
        <f t="shared" si="431"/>
        <v>492.86467831443531</v>
      </c>
      <c r="AB123" s="3498">
        <f t="shared" si="432"/>
        <v>104.04973356196649</v>
      </c>
      <c r="AC123" s="3499">
        <f t="shared" si="467"/>
        <v>10.404973356196649</v>
      </c>
      <c r="AD123" s="3497">
        <f t="shared" si="433"/>
        <v>481.31758586284957</v>
      </c>
      <c r="AE123" s="3498">
        <f t="shared" si="434"/>
        <v>102.04323232700872</v>
      </c>
      <c r="AF123" s="3500">
        <f t="shared" si="468"/>
        <v>10.204323232700872</v>
      </c>
      <c r="AG123" s="30"/>
      <c r="AH123" s="30"/>
      <c r="AI123" s="30"/>
      <c r="AJ123" s="2272"/>
      <c r="AK123" s="2272"/>
      <c r="AL123" s="30"/>
      <c r="AM123" s="30"/>
      <c r="AN123" s="30"/>
      <c r="AO123" s="30"/>
      <c r="AP123" s="30"/>
      <c r="AQ123" s="30"/>
      <c r="AR123" s="30"/>
      <c r="AS123" s="30"/>
      <c r="AT123" s="30"/>
      <c r="AU123" s="2"/>
      <c r="AV123" s="2"/>
      <c r="AW123" s="2"/>
      <c r="AX123" s="2"/>
      <c r="AY123" s="2"/>
      <c r="AZ123" s="2"/>
      <c r="BA123" s="2"/>
      <c r="BB123" s="2"/>
      <c r="BC123" s="2"/>
      <c r="BD123" s="1370"/>
      <c r="BE123" s="2"/>
      <c r="BF123" s="2"/>
      <c r="BG123" s="2330"/>
      <c r="BH123" s="2"/>
      <c r="BI123" s="2"/>
      <c r="BJ123" s="3515" t="str">
        <f t="shared" si="435"/>
        <v>Combined Cycle - 2 CTs With Duct Firing 550 MW</v>
      </c>
      <c r="BK123" s="3516">
        <f t="shared" si="435"/>
        <v>550</v>
      </c>
      <c r="BL123" s="3517">
        <f t="shared" si="436"/>
        <v>548.13915466497906</v>
      </c>
      <c r="BM123" s="3518">
        <f t="shared" si="437"/>
        <v>115.81153240361472</v>
      </c>
      <c r="BN123" s="3518">
        <f t="shared" si="438"/>
        <v>11.581153240361472</v>
      </c>
      <c r="BO123" s="3517">
        <f t="shared" si="439"/>
        <v>492.86467831443531</v>
      </c>
      <c r="BP123" s="3518">
        <f t="shared" si="440"/>
        <v>104.04973356196649</v>
      </c>
      <c r="BQ123" s="3519">
        <f t="shared" si="441"/>
        <v>10.404973356196649</v>
      </c>
      <c r="BR123" s="3517">
        <f t="shared" si="442"/>
        <v>481.31758586284957</v>
      </c>
      <c r="BS123" s="3518">
        <f t="shared" si="443"/>
        <v>102.04323232700872</v>
      </c>
      <c r="BT123" s="3520">
        <f t="shared" si="444"/>
        <v>10.204323232700872</v>
      </c>
      <c r="BU123" s="2335"/>
      <c r="BV123" s="2335"/>
      <c r="BW123" s="2335"/>
      <c r="BX123" s="2272"/>
      <c r="BY123" s="2335"/>
      <c r="BZ123" s="2335"/>
      <c r="CA123" s="2335"/>
      <c r="CB123" s="2335"/>
      <c r="CU123" s="2334"/>
      <c r="CV123" s="2334"/>
      <c r="CX123" s="3723" t="str">
        <f t="shared" si="445"/>
        <v>Combined Cycle - 2 CTs With Duct Firing 550 MW</v>
      </c>
      <c r="CY123" s="3724">
        <f t="shared" si="445"/>
        <v>550</v>
      </c>
      <c r="CZ123" s="3725">
        <f t="shared" si="469"/>
        <v>0</v>
      </c>
      <c r="DA123" s="3726">
        <f t="shared" si="470"/>
        <v>0</v>
      </c>
      <c r="DB123" s="3727">
        <f t="shared" si="471"/>
        <v>0</v>
      </c>
      <c r="DC123" s="3725">
        <f t="shared" si="472"/>
        <v>0</v>
      </c>
      <c r="DD123" s="3726">
        <f t="shared" si="446"/>
        <v>0</v>
      </c>
      <c r="DE123" s="3726">
        <f t="shared" si="447"/>
        <v>0</v>
      </c>
      <c r="DF123" s="3725">
        <f t="shared" si="473"/>
        <v>0</v>
      </c>
      <c r="DG123" s="3726">
        <f t="shared" ref="DG123:DG137" si="477">IF($CX123=0,"",DK87)</f>
        <v>0</v>
      </c>
      <c r="DH123" s="3727">
        <f t="shared" ref="DH123:DH137" si="478">IF($CX123=0,"",DL87)</f>
        <v>0</v>
      </c>
      <c r="DI123" s="2372"/>
      <c r="DJ123" s="2334"/>
      <c r="DK123" s="2334"/>
      <c r="DS123" s="2330"/>
      <c r="DT123" s="2330"/>
      <c r="DU123" s="2330"/>
      <c r="DV123" s="2330"/>
      <c r="DW123" s="2330"/>
      <c r="DX123" s="2330"/>
      <c r="DY123" s="2330"/>
      <c r="DZ123" s="2330"/>
      <c r="EA123" s="2330"/>
      <c r="EB123" s="2330"/>
      <c r="EC123" s="2330"/>
      <c r="ED123" s="2366"/>
      <c r="EE123" s="2366"/>
      <c r="EF123" s="2334"/>
      <c r="EJ123" s="3495" t="str">
        <f t="shared" si="450"/>
        <v>Combined Cycle - 2 CTs With Duct Firing 550 MW</v>
      </c>
      <c r="EK123" s="3496">
        <f t="shared" si="450"/>
        <v>550</v>
      </c>
      <c r="EL123" s="3733">
        <f t="shared" si="451"/>
        <v>0</v>
      </c>
      <c r="EM123" s="3693">
        <f t="shared" si="452"/>
        <v>0</v>
      </c>
      <c r="EN123" s="3733">
        <f t="shared" si="453"/>
        <v>0</v>
      </c>
      <c r="EO123" s="3693">
        <f t="shared" si="454"/>
        <v>0</v>
      </c>
      <c r="EP123" s="3733">
        <f t="shared" si="455"/>
        <v>0</v>
      </c>
      <c r="EQ123" s="3734">
        <f t="shared" si="456"/>
        <v>0</v>
      </c>
      <c r="ER123" s="2366"/>
      <c r="ES123" s="2334"/>
      <c r="EU123"/>
      <c r="EY123" s="2330"/>
      <c r="EZ123" s="2330"/>
      <c r="FA123" s="2330"/>
      <c r="FB123" s="2330"/>
      <c r="FC123" s="2330"/>
      <c r="FD123" s="2330"/>
      <c r="FE123" s="2330"/>
      <c r="FF123" s="2330"/>
      <c r="FG123" s="2330"/>
      <c r="FH123" s="2330"/>
      <c r="FI123" s="2366"/>
      <c r="FJ123" s="2366"/>
      <c r="FK123" s="2334"/>
      <c r="FO123" s="3495" t="str">
        <f t="shared" ref="FO123:FP123" si="479">FO13</f>
        <v>Combined Cycle - 2 CTs With Duct Firing 550 MW</v>
      </c>
      <c r="FP123" s="3496">
        <f t="shared" si="479"/>
        <v>550</v>
      </c>
      <c r="FQ123" s="3733">
        <f t="shared" si="458"/>
        <v>0</v>
      </c>
      <c r="FR123" s="3693">
        <f t="shared" si="459"/>
        <v>0</v>
      </c>
      <c r="FS123" s="3733">
        <f t="shared" si="460"/>
        <v>0</v>
      </c>
      <c r="FT123" s="3693">
        <f t="shared" si="461"/>
        <v>0</v>
      </c>
      <c r="FU123" s="3733">
        <f t="shared" si="462"/>
        <v>0</v>
      </c>
      <c r="FV123" s="3734">
        <f t="shared" si="463"/>
        <v>0</v>
      </c>
      <c r="FW123" s="2366"/>
      <c r="FX123" s="2334"/>
    </row>
    <row r="124" spans="1:184" s="2347" customFormat="1">
      <c r="A124" s="2272"/>
      <c r="B124" s="2272"/>
      <c r="C124" s="2272"/>
      <c r="D124" s="9"/>
      <c r="E124" s="2272"/>
      <c r="F124" s="2276"/>
      <c r="G124" s="2276"/>
      <c r="H124" s="2276"/>
      <c r="I124" s="2276"/>
      <c r="J124" s="2276"/>
      <c r="K124" s="2276"/>
      <c r="L124" s="2276"/>
      <c r="M124" s="2276"/>
      <c r="N124" s="9"/>
      <c r="O124" s="9"/>
      <c r="P124" s="9"/>
      <c r="Q124" s="9"/>
      <c r="R124" s="9"/>
      <c r="S124" s="9"/>
      <c r="T124" s="2332"/>
      <c r="U124" s="9"/>
      <c r="V124" s="3501" t="str">
        <f t="shared" si="464"/>
        <v>Biomass Fludized Bed Boiler 50 MW</v>
      </c>
      <c r="W124" s="3502">
        <f t="shared" si="464"/>
        <v>50</v>
      </c>
      <c r="X124" s="3497">
        <f t="shared" si="465"/>
        <v>812.34458284320397</v>
      </c>
      <c r="Y124" s="3498">
        <f t="shared" si="430"/>
        <v>122.0364839968681</v>
      </c>
      <c r="Z124" s="3499">
        <f t="shared" si="466"/>
        <v>12.203648399686809</v>
      </c>
      <c r="AA124" s="3497">
        <f t="shared" si="431"/>
        <v>941.97493941313633</v>
      </c>
      <c r="AB124" s="3498">
        <f t="shared" si="432"/>
        <v>141.53304884339838</v>
      </c>
      <c r="AC124" s="3499">
        <f t="shared" si="467"/>
        <v>14.153304884339837</v>
      </c>
      <c r="AD124" s="3497">
        <f t="shared" ref="AD124:AD137" si="480">IF(S88=0,"",S88)</f>
        <v>820.03330224755541</v>
      </c>
      <c r="AE124" s="3498">
        <f t="shared" ref="AE124:AE137" si="481">IF(AI88=0,"",AI88)</f>
        <v>123.5050003102846</v>
      </c>
      <c r="AF124" s="3500">
        <f t="shared" ref="AF124:AF137" si="482">AE124/10</f>
        <v>12.35050003102846</v>
      </c>
      <c r="AG124" s="2349"/>
      <c r="AH124" s="2349"/>
      <c r="AI124" s="2349"/>
      <c r="AJ124" s="2328"/>
      <c r="AK124" s="2328"/>
      <c r="AL124" s="2349"/>
      <c r="AM124" s="2349"/>
      <c r="AN124" s="2349"/>
      <c r="AO124" s="2349"/>
      <c r="AP124" s="2349"/>
      <c r="AQ124" s="2349"/>
      <c r="AR124" s="2349"/>
      <c r="AS124" s="2349"/>
      <c r="AT124" s="2349"/>
      <c r="AU124" s="2346"/>
      <c r="AV124" s="2346"/>
      <c r="AW124" s="2346"/>
      <c r="AX124" s="2346"/>
      <c r="AY124" s="2346"/>
      <c r="AZ124" s="2346"/>
      <c r="BA124" s="2346"/>
      <c r="BB124" s="2346"/>
      <c r="BC124" s="2346"/>
      <c r="BD124" s="2782"/>
      <c r="BE124" s="2346"/>
      <c r="BF124" s="2346"/>
      <c r="BG124" s="2346"/>
      <c r="BH124" s="2346"/>
      <c r="BI124" s="2346"/>
      <c r="BJ124" s="3521" t="str">
        <f t="shared" si="435"/>
        <v>Biomass Fludized Bed Boiler 50 MW</v>
      </c>
      <c r="BK124" s="3522">
        <f t="shared" si="435"/>
        <v>50</v>
      </c>
      <c r="BL124" s="3523">
        <f t="shared" si="436"/>
        <v>812.34458284320397</v>
      </c>
      <c r="BM124" s="3518">
        <f t="shared" si="437"/>
        <v>122.0364839968681</v>
      </c>
      <c r="BN124" s="3524">
        <f t="shared" si="438"/>
        <v>12.203648399686809</v>
      </c>
      <c r="BO124" s="3523">
        <f t="shared" si="439"/>
        <v>941.97493941313633</v>
      </c>
      <c r="BP124" s="3524">
        <f t="shared" si="440"/>
        <v>141.53304884339838</v>
      </c>
      <c r="BQ124" s="3525">
        <f t="shared" si="441"/>
        <v>14.153304884339837</v>
      </c>
      <c r="BR124" s="3517">
        <f t="shared" ref="BR124:BR137" si="483">IF(BG88=0,"",BG88)</f>
        <v>820.03330224755541</v>
      </c>
      <c r="BS124" s="3518">
        <f t="shared" ref="BS124:BS137" si="484">IF(BW88=0,"",BW88)</f>
        <v>123.5050003102846</v>
      </c>
      <c r="BT124" s="3520">
        <f t="shared" ref="BT124:BT137" si="485">IF(BX88=0,"",BX88)</f>
        <v>12.35050003102846</v>
      </c>
      <c r="BU124" s="2349"/>
      <c r="BV124" s="2349"/>
      <c r="BW124" s="2349"/>
      <c r="BX124" s="2328"/>
      <c r="BY124" s="2349"/>
      <c r="BZ124" s="2349"/>
      <c r="CA124" s="2349"/>
      <c r="CB124" s="2349"/>
      <c r="CC124" s="2336"/>
      <c r="CU124" s="2334"/>
      <c r="CV124" s="2334"/>
      <c r="CX124" s="3723" t="str">
        <f t="shared" si="445"/>
        <v>Biomass Fludized Bed Boiler 50 MW</v>
      </c>
      <c r="CY124" s="3724">
        <f t="shared" si="445"/>
        <v>50</v>
      </c>
      <c r="CZ124" s="3725">
        <f t="shared" si="469"/>
        <v>0</v>
      </c>
      <c r="DA124" s="3726">
        <f t="shared" si="470"/>
        <v>0</v>
      </c>
      <c r="DB124" s="3727">
        <f t="shared" si="471"/>
        <v>0</v>
      </c>
      <c r="DC124" s="3725">
        <f t="shared" si="472"/>
        <v>0</v>
      </c>
      <c r="DD124" s="3726">
        <f t="shared" si="446"/>
        <v>0</v>
      </c>
      <c r="DE124" s="3726">
        <f t="shared" si="447"/>
        <v>14.153304884339837</v>
      </c>
      <c r="DF124" s="3725">
        <f t="shared" si="473"/>
        <v>0</v>
      </c>
      <c r="DG124" s="3726">
        <f t="shared" si="477"/>
        <v>0</v>
      </c>
      <c r="DH124" s="3727">
        <f t="shared" si="478"/>
        <v>12.35050003102846</v>
      </c>
      <c r="DI124" s="2372"/>
      <c r="DJ124" s="2334"/>
      <c r="DK124" s="2334"/>
      <c r="DS124" s="2330"/>
      <c r="DT124" s="2330"/>
      <c r="DU124" s="2330"/>
      <c r="DV124" s="2330"/>
      <c r="DW124" s="2330"/>
      <c r="DX124" s="2330"/>
      <c r="DY124" s="2330"/>
      <c r="DZ124" s="2330"/>
      <c r="EA124" s="2330"/>
      <c r="EB124" s="2330"/>
      <c r="EC124" s="2330"/>
      <c r="ED124" s="2366"/>
      <c r="EE124" s="2366"/>
      <c r="EF124" s="2334"/>
      <c r="EJ124" s="3495" t="str">
        <f t="shared" si="450"/>
        <v>Biomass Fludized Bed Boiler 50 MW</v>
      </c>
      <c r="EK124" s="3496">
        <f t="shared" si="450"/>
        <v>50</v>
      </c>
      <c r="EL124" s="3733">
        <f t="shared" si="451"/>
        <v>0</v>
      </c>
      <c r="EM124" s="3693">
        <f t="shared" si="452"/>
        <v>0</v>
      </c>
      <c r="EN124" s="3733">
        <f t="shared" si="453"/>
        <v>0</v>
      </c>
      <c r="EO124" s="3693">
        <f t="shared" si="454"/>
        <v>0</v>
      </c>
      <c r="EP124" s="3733">
        <f t="shared" ref="EP124:EP137" si="486">EG88</f>
        <v>0</v>
      </c>
      <c r="EQ124" s="3734">
        <f t="shared" ref="EQ124:EQ137" si="487">EW88</f>
        <v>0</v>
      </c>
      <c r="ER124" s="2366"/>
      <c r="ES124" s="2334"/>
      <c r="EY124" s="2330"/>
      <c r="EZ124" s="2330"/>
      <c r="FA124" s="2330"/>
      <c r="FB124" s="2330"/>
      <c r="FC124" s="2330"/>
      <c r="FD124" s="2330"/>
      <c r="FE124" s="2330"/>
      <c r="FF124" s="2330"/>
      <c r="FG124" s="2330"/>
      <c r="FH124" s="2330"/>
      <c r="FI124" s="2366"/>
      <c r="FJ124" s="2366"/>
      <c r="FK124" s="2334"/>
      <c r="FN124" s="2340"/>
      <c r="FO124" s="3495" t="str">
        <f t="shared" ref="FO124:FP124" si="488">FO14</f>
        <v>Biomass Fludized Bed Boiler 50 MW</v>
      </c>
      <c r="FP124" s="3496">
        <f t="shared" si="488"/>
        <v>50</v>
      </c>
      <c r="FQ124" s="3733">
        <f t="shared" si="458"/>
        <v>0</v>
      </c>
      <c r="FR124" s="3693">
        <f t="shared" si="459"/>
        <v>0</v>
      </c>
      <c r="FS124" s="3733">
        <f t="shared" si="460"/>
        <v>0</v>
      </c>
      <c r="FT124" s="3693">
        <f t="shared" si="461"/>
        <v>0</v>
      </c>
      <c r="FU124" s="3733">
        <f t="shared" si="462"/>
        <v>0</v>
      </c>
      <c r="FV124" s="3734">
        <f t="shared" si="463"/>
        <v>0</v>
      </c>
      <c r="FW124" s="2366"/>
      <c r="FX124" s="2334"/>
    </row>
    <row r="125" spans="1:184">
      <c r="A125" s="2272"/>
      <c r="B125" s="2272"/>
      <c r="C125" s="2272"/>
      <c r="D125" s="9"/>
      <c r="E125" s="2272"/>
      <c r="F125" s="2276"/>
      <c r="G125" s="2276"/>
      <c r="H125" s="2276"/>
      <c r="I125" s="2276"/>
      <c r="J125" s="2276"/>
      <c r="K125" s="2276"/>
      <c r="L125" s="2276"/>
      <c r="M125" s="2276"/>
      <c r="N125" s="9"/>
      <c r="O125" s="9"/>
      <c r="P125" s="9"/>
      <c r="Q125" s="9"/>
      <c r="R125" s="9"/>
      <c r="S125" s="9"/>
      <c r="T125" s="2332"/>
      <c r="U125" s="9"/>
      <c r="V125" s="3495" t="str">
        <f t="shared" si="464"/>
        <v>Geothermal  Binary 30 MW</v>
      </c>
      <c r="W125" s="3496">
        <f t="shared" si="464"/>
        <v>30</v>
      </c>
      <c r="X125" s="3497">
        <f t="shared" si="465"/>
        <v>561.30648397263951</v>
      </c>
      <c r="Y125" s="3498">
        <f t="shared" si="430"/>
        <v>90.626230608240036</v>
      </c>
      <c r="Z125" s="3499">
        <f t="shared" si="466"/>
        <v>9.0626230608240039</v>
      </c>
      <c r="AA125" s="3497">
        <f t="shared" si="431"/>
        <v>743.97042410845268</v>
      </c>
      <c r="AB125" s="3498">
        <f t="shared" si="432"/>
        <v>120.21314226795809</v>
      </c>
      <c r="AC125" s="3499">
        <f t="shared" si="467"/>
        <v>12.021314226795809</v>
      </c>
      <c r="AD125" s="3497">
        <f t="shared" si="480"/>
        <v>519.73999431611389</v>
      </c>
      <c r="AE125" s="3498">
        <f t="shared" si="481"/>
        <v>84.980947891562323</v>
      </c>
      <c r="AF125" s="3500">
        <f t="shared" si="482"/>
        <v>8.498094789156232</v>
      </c>
      <c r="AG125" s="30"/>
      <c r="AH125" s="30"/>
      <c r="AI125" s="30"/>
      <c r="AJ125" s="2272"/>
      <c r="AK125" s="2272"/>
      <c r="AL125" s="30"/>
      <c r="AM125" s="30"/>
      <c r="AN125" s="30"/>
      <c r="AO125" s="30"/>
      <c r="AP125" s="30"/>
      <c r="AQ125" s="30"/>
      <c r="AR125" s="30"/>
      <c r="AS125" s="30"/>
      <c r="AT125" s="30"/>
      <c r="AU125" s="2"/>
      <c r="AV125" s="2"/>
      <c r="AW125" s="2"/>
      <c r="AX125" s="2"/>
      <c r="AY125" s="2"/>
      <c r="AZ125" s="2"/>
      <c r="BA125" s="2"/>
      <c r="BB125" s="2"/>
      <c r="BC125" s="2"/>
      <c r="BD125" s="1370"/>
      <c r="BE125" s="2"/>
      <c r="BF125" s="2"/>
      <c r="BG125" s="2330"/>
      <c r="BH125" s="2"/>
      <c r="BI125" s="2"/>
      <c r="BJ125" s="3515" t="str">
        <f t="shared" si="435"/>
        <v>Geothermal  Binary 30 MW</v>
      </c>
      <c r="BK125" s="3516">
        <f t="shared" si="435"/>
        <v>30</v>
      </c>
      <c r="BL125" s="3517">
        <f t="shared" si="436"/>
        <v>561.30648397263951</v>
      </c>
      <c r="BM125" s="3518">
        <f t="shared" si="437"/>
        <v>90.626230608240036</v>
      </c>
      <c r="BN125" s="3518">
        <f t="shared" si="438"/>
        <v>9.0626230608240039</v>
      </c>
      <c r="BO125" s="3517">
        <f t="shared" si="439"/>
        <v>743.97042410845268</v>
      </c>
      <c r="BP125" s="3518">
        <f t="shared" si="440"/>
        <v>120.21314226795809</v>
      </c>
      <c r="BQ125" s="3519">
        <f t="shared" si="441"/>
        <v>12.021314226795809</v>
      </c>
      <c r="BR125" s="3517">
        <f t="shared" si="483"/>
        <v>519.73999431611389</v>
      </c>
      <c r="BS125" s="3518">
        <f t="shared" si="484"/>
        <v>84.980947891562323</v>
      </c>
      <c r="BT125" s="3520">
        <f t="shared" si="485"/>
        <v>8.498094789156232</v>
      </c>
      <c r="BU125" s="2335"/>
      <c r="BV125" s="2335"/>
      <c r="BW125" s="2335"/>
      <c r="BX125" s="2272"/>
      <c r="BY125" s="2335"/>
      <c r="BZ125" s="2335"/>
      <c r="CA125" s="2335"/>
      <c r="CB125" s="2335"/>
      <c r="CU125" s="2334"/>
      <c r="CV125" s="2334"/>
      <c r="CX125" s="3723" t="str">
        <f t="shared" si="445"/>
        <v>Geothermal  Binary 30 MW</v>
      </c>
      <c r="CY125" s="3724">
        <f t="shared" si="445"/>
        <v>30</v>
      </c>
      <c r="CZ125" s="3725">
        <f t="shared" si="469"/>
        <v>0</v>
      </c>
      <c r="DA125" s="3726">
        <f t="shared" si="470"/>
        <v>0</v>
      </c>
      <c r="DB125" s="3727">
        <f t="shared" si="471"/>
        <v>0</v>
      </c>
      <c r="DC125" s="3725">
        <f t="shared" si="472"/>
        <v>0</v>
      </c>
      <c r="DD125" s="3726">
        <f t="shared" si="446"/>
        <v>0</v>
      </c>
      <c r="DE125" s="3726">
        <f t="shared" si="447"/>
        <v>0</v>
      </c>
      <c r="DF125" s="3725">
        <f t="shared" si="473"/>
        <v>0</v>
      </c>
      <c r="DG125" s="3726">
        <f t="shared" si="477"/>
        <v>0</v>
      </c>
      <c r="DH125" s="3727">
        <f t="shared" si="478"/>
        <v>0</v>
      </c>
      <c r="DI125" s="2372"/>
      <c r="DJ125" s="2334"/>
      <c r="DK125" s="2334"/>
      <c r="DS125" s="2330"/>
      <c r="DT125" s="2330"/>
      <c r="DU125" s="2330"/>
      <c r="DV125" s="2330"/>
      <c r="DW125" s="2330"/>
      <c r="DX125" s="2330"/>
      <c r="DY125" s="2330"/>
      <c r="DZ125" s="2330"/>
      <c r="EA125" s="2330"/>
      <c r="EB125" s="2330"/>
      <c r="EC125" s="2330"/>
      <c r="ED125" s="2366"/>
      <c r="EE125" s="2366"/>
      <c r="EF125" s="2334"/>
      <c r="EJ125" s="3495" t="str">
        <f t="shared" si="450"/>
        <v>Geothermal  Binary 30 MW</v>
      </c>
      <c r="EK125" s="3496">
        <f t="shared" si="450"/>
        <v>30</v>
      </c>
      <c r="EL125" s="3733">
        <f t="shared" si="451"/>
        <v>0</v>
      </c>
      <c r="EM125" s="3693">
        <f t="shared" si="452"/>
        <v>0</v>
      </c>
      <c r="EN125" s="3733">
        <f t="shared" si="453"/>
        <v>0</v>
      </c>
      <c r="EO125" s="3693">
        <f t="shared" si="454"/>
        <v>0</v>
      </c>
      <c r="EP125" s="3733">
        <f t="shared" si="486"/>
        <v>0</v>
      </c>
      <c r="EQ125" s="3734">
        <f t="shared" si="487"/>
        <v>0</v>
      </c>
      <c r="ER125" s="2366"/>
      <c r="ES125" s="2334"/>
      <c r="EU125"/>
      <c r="EY125" s="2330"/>
      <c r="EZ125" s="2330"/>
      <c r="FA125" s="2330"/>
      <c r="FB125" s="2330"/>
      <c r="FC125" s="2330"/>
      <c r="FD125" s="2330"/>
      <c r="FE125" s="2330"/>
      <c r="FF125" s="2330"/>
      <c r="FG125" s="2330"/>
      <c r="FH125" s="2330"/>
      <c r="FI125" s="2366"/>
      <c r="FJ125" s="2366"/>
      <c r="FK125" s="2334"/>
      <c r="FO125" s="3495" t="str">
        <f t="shared" ref="FO125:FP125" si="489">FO15</f>
        <v>Geothermal  Binary 30 MW</v>
      </c>
      <c r="FP125" s="3496">
        <f t="shared" si="489"/>
        <v>30</v>
      </c>
      <c r="FQ125" s="3733">
        <f t="shared" si="458"/>
        <v>0</v>
      </c>
      <c r="FR125" s="3693">
        <f t="shared" si="459"/>
        <v>0</v>
      </c>
      <c r="FS125" s="3733">
        <f t="shared" si="460"/>
        <v>0</v>
      </c>
      <c r="FT125" s="3693">
        <f t="shared" si="461"/>
        <v>0</v>
      </c>
      <c r="FU125" s="3733">
        <f t="shared" si="462"/>
        <v>0</v>
      </c>
      <c r="FV125" s="3734">
        <f t="shared" si="463"/>
        <v>0</v>
      </c>
      <c r="FW125" s="2366"/>
      <c r="FX125" s="2334"/>
    </row>
    <row r="126" spans="1:184">
      <c r="A126" s="2272"/>
      <c r="B126" s="2272"/>
      <c r="C126" s="2272"/>
      <c r="D126" s="9"/>
      <c r="E126" s="2272"/>
      <c r="F126" s="2276"/>
      <c r="G126" s="2276"/>
      <c r="H126" s="2276"/>
      <c r="I126" s="2276"/>
      <c r="J126" s="2276"/>
      <c r="K126" s="2276"/>
      <c r="L126" s="2276"/>
      <c r="M126" s="2276"/>
      <c r="N126" s="9"/>
      <c r="O126" s="9"/>
      <c r="P126" s="9"/>
      <c r="Q126" s="9"/>
      <c r="R126" s="9"/>
      <c r="S126" s="9"/>
      <c r="T126" s="2332"/>
      <c r="U126" s="9"/>
      <c r="V126" s="3495" t="str">
        <f t="shared" si="464"/>
        <v>Geothermal  Flash 30 MW</v>
      </c>
      <c r="W126" s="3496">
        <f t="shared" si="464"/>
        <v>30</v>
      </c>
      <c r="X126" s="3497">
        <f t="shared" si="465"/>
        <v>653.36424063894242</v>
      </c>
      <c r="Y126" s="3498">
        <f t="shared" si="430"/>
        <v>112.4797642774147</v>
      </c>
      <c r="Z126" s="3499">
        <f t="shared" si="466"/>
        <v>11.24797642774147</v>
      </c>
      <c r="AA126" s="3497">
        <f t="shared" si="431"/>
        <v>851.61196109446348</v>
      </c>
      <c r="AB126" s="3498">
        <f t="shared" si="432"/>
        <v>146.72469296748349</v>
      </c>
      <c r="AC126" s="3499">
        <f t="shared" si="467"/>
        <v>14.67246929674835</v>
      </c>
      <c r="AD126" s="3497">
        <f t="shared" si="480"/>
        <v>627.90953640458179</v>
      </c>
      <c r="AE126" s="3498">
        <f t="shared" si="481"/>
        <v>109.47064852390479</v>
      </c>
      <c r="AF126" s="3500">
        <f t="shared" si="482"/>
        <v>10.947064852390479</v>
      </c>
      <c r="AG126" s="9"/>
      <c r="AH126" s="9"/>
      <c r="AI126" s="9"/>
      <c r="AU126" s="2"/>
      <c r="AV126" s="2"/>
      <c r="AW126" s="2"/>
      <c r="AX126" s="2"/>
      <c r="AY126" s="2"/>
      <c r="AZ126" s="2"/>
      <c r="BA126" s="2"/>
      <c r="BB126" s="2"/>
      <c r="BC126" s="2"/>
      <c r="BD126" s="1370"/>
      <c r="BE126" s="2"/>
      <c r="BF126" s="2"/>
      <c r="BG126" s="2330"/>
      <c r="BH126" s="2"/>
      <c r="BI126" s="2"/>
      <c r="BJ126" s="3515" t="str">
        <f t="shared" si="435"/>
        <v>Geothermal  Flash 30 MW</v>
      </c>
      <c r="BK126" s="3516">
        <f t="shared" si="435"/>
        <v>30</v>
      </c>
      <c r="BL126" s="3517">
        <f t="shared" si="436"/>
        <v>653.36424063894242</v>
      </c>
      <c r="BM126" s="3518">
        <f t="shared" si="437"/>
        <v>112.4797642774147</v>
      </c>
      <c r="BN126" s="3518">
        <f t="shared" si="438"/>
        <v>11.24797642774147</v>
      </c>
      <c r="BO126" s="3517">
        <f t="shared" si="439"/>
        <v>851.61196109446348</v>
      </c>
      <c r="BP126" s="3518">
        <f t="shared" si="440"/>
        <v>146.72469296748349</v>
      </c>
      <c r="BQ126" s="3519">
        <f t="shared" si="441"/>
        <v>14.67246929674835</v>
      </c>
      <c r="BR126" s="3517">
        <f t="shared" si="483"/>
        <v>627.90953640458179</v>
      </c>
      <c r="BS126" s="3518">
        <f t="shared" si="484"/>
        <v>109.47064852390479</v>
      </c>
      <c r="BT126" s="3520">
        <f t="shared" si="485"/>
        <v>10.947064852390479</v>
      </c>
      <c r="BU126" s="2332"/>
      <c r="BV126" s="2332"/>
      <c r="BW126" s="2332"/>
      <c r="BX126" s="2332"/>
      <c r="BY126" s="2332"/>
      <c r="BZ126" s="2332"/>
      <c r="CA126" s="2332"/>
      <c r="CB126" s="2332"/>
      <c r="CU126" s="2334"/>
      <c r="CV126" s="2334"/>
      <c r="CX126" s="3723" t="str">
        <f t="shared" si="445"/>
        <v>Geothermal  Flash 30 MW</v>
      </c>
      <c r="CY126" s="3724">
        <f t="shared" si="445"/>
        <v>30</v>
      </c>
      <c r="CZ126" s="3725">
        <f t="shared" si="469"/>
        <v>0</v>
      </c>
      <c r="DA126" s="3726">
        <f t="shared" si="470"/>
        <v>0</v>
      </c>
      <c r="DB126" s="3727">
        <f t="shared" si="471"/>
        <v>0</v>
      </c>
      <c r="DC126" s="3725">
        <f t="shared" si="472"/>
        <v>0</v>
      </c>
      <c r="DD126" s="3726">
        <f t="shared" si="446"/>
        <v>0</v>
      </c>
      <c r="DE126" s="3726">
        <f t="shared" si="447"/>
        <v>0</v>
      </c>
      <c r="DF126" s="3725">
        <f t="shared" si="473"/>
        <v>0</v>
      </c>
      <c r="DG126" s="3726">
        <f t="shared" si="477"/>
        <v>0</v>
      </c>
      <c r="DH126" s="3727">
        <f t="shared" si="478"/>
        <v>0</v>
      </c>
      <c r="DI126" s="2372"/>
      <c r="DJ126" s="2334"/>
      <c r="DK126" s="2334"/>
      <c r="DS126" s="2330"/>
      <c r="DT126" s="2330"/>
      <c r="DU126" s="2330"/>
      <c r="DV126" s="2330"/>
      <c r="DW126" s="2330"/>
      <c r="DX126" s="2330"/>
      <c r="DY126" s="2330"/>
      <c r="DZ126" s="2330"/>
      <c r="EA126" s="2330"/>
      <c r="EB126" s="2330"/>
      <c r="EC126" s="2330"/>
      <c r="ED126" s="2366"/>
      <c r="EE126" s="2366"/>
      <c r="EF126" s="2334"/>
      <c r="EJ126" s="3495" t="str">
        <f t="shared" si="450"/>
        <v>Geothermal  Flash 30 MW</v>
      </c>
      <c r="EK126" s="3496">
        <f t="shared" si="450"/>
        <v>30</v>
      </c>
      <c r="EL126" s="3733">
        <f t="shared" si="451"/>
        <v>0</v>
      </c>
      <c r="EM126" s="3693">
        <f t="shared" si="452"/>
        <v>0</v>
      </c>
      <c r="EN126" s="3733">
        <f t="shared" si="453"/>
        <v>0</v>
      </c>
      <c r="EO126" s="3693">
        <f t="shared" si="454"/>
        <v>0</v>
      </c>
      <c r="EP126" s="3733">
        <f t="shared" si="486"/>
        <v>0</v>
      </c>
      <c r="EQ126" s="3734">
        <f t="shared" si="487"/>
        <v>0</v>
      </c>
      <c r="ER126" s="2366"/>
      <c r="ES126" s="2334"/>
      <c r="EU126"/>
      <c r="EY126" s="2330"/>
      <c r="EZ126" s="2330"/>
      <c r="FA126" s="2330"/>
      <c r="FB126" s="2330"/>
      <c r="FC126" s="2330"/>
      <c r="FD126" s="2330"/>
      <c r="FE126" s="2330"/>
      <c r="FF126" s="2330"/>
      <c r="FG126" s="2330"/>
      <c r="FH126" s="2330"/>
      <c r="FI126" s="2366"/>
      <c r="FJ126" s="2366"/>
      <c r="FK126" s="2334"/>
      <c r="FO126" s="3495" t="str">
        <f t="shared" ref="FO126:FP126" si="490">FO16</f>
        <v>Geothermal  Flash 30 MW</v>
      </c>
      <c r="FP126" s="3496">
        <f t="shared" si="490"/>
        <v>30</v>
      </c>
      <c r="FQ126" s="3733">
        <f t="shared" si="458"/>
        <v>0</v>
      </c>
      <c r="FR126" s="3693">
        <f t="shared" si="459"/>
        <v>0</v>
      </c>
      <c r="FS126" s="3733">
        <f t="shared" si="460"/>
        <v>0</v>
      </c>
      <c r="FT126" s="3693">
        <f t="shared" si="461"/>
        <v>0</v>
      </c>
      <c r="FU126" s="3733">
        <f t="shared" si="462"/>
        <v>0</v>
      </c>
      <c r="FV126" s="3734">
        <f t="shared" si="463"/>
        <v>0</v>
      </c>
      <c r="FW126" s="2366"/>
      <c r="FX126" s="2334"/>
    </row>
    <row r="127" spans="1:184">
      <c r="A127" s="2272"/>
      <c r="B127" s="2272"/>
      <c r="C127" s="2272"/>
      <c r="D127" s="9"/>
      <c r="E127" s="2272"/>
      <c r="F127" s="2276"/>
      <c r="G127" s="2276"/>
      <c r="H127" s="2276"/>
      <c r="I127" s="2276"/>
      <c r="J127" s="2276"/>
      <c r="K127" s="2276"/>
      <c r="L127" s="2276"/>
      <c r="M127" s="2276"/>
      <c r="N127" s="9"/>
      <c r="O127" s="9"/>
      <c r="P127" s="9"/>
      <c r="Q127" s="9"/>
      <c r="R127" s="9"/>
      <c r="S127" s="9"/>
      <c r="T127" s="2332"/>
      <c r="U127" s="9"/>
      <c r="V127" s="3495" t="str">
        <f t="shared" si="464"/>
        <v>Solar Parabolic Trough W/O Storage 250 MW</v>
      </c>
      <c r="W127" s="3496">
        <f t="shared" si="464"/>
        <v>250</v>
      </c>
      <c r="X127" s="3497">
        <f t="shared" si="465"/>
        <v>329.92163357443667</v>
      </c>
      <c r="Y127" s="3498">
        <f t="shared" si="430"/>
        <v>168.18497630039479</v>
      </c>
      <c r="Z127" s="3499">
        <f t="shared" si="466"/>
        <v>16.818497630039481</v>
      </c>
      <c r="AA127" s="3497">
        <f t="shared" si="431"/>
        <v>448.515394754856</v>
      </c>
      <c r="AB127" s="3498">
        <f t="shared" si="432"/>
        <v>228.72923863254994</v>
      </c>
      <c r="AC127" s="3499">
        <f t="shared" si="467"/>
        <v>22.872923863254993</v>
      </c>
      <c r="AD127" s="3497">
        <f t="shared" si="480"/>
        <v>325.42493551735612</v>
      </c>
      <c r="AE127" s="3498">
        <f t="shared" si="481"/>
        <v>167.93232960582176</v>
      </c>
      <c r="AF127" s="3500">
        <f t="shared" si="482"/>
        <v>16.793232960582177</v>
      </c>
      <c r="AG127" s="9"/>
      <c r="AH127" s="9"/>
      <c r="AI127" s="9"/>
      <c r="AU127" s="2"/>
      <c r="AV127" s="2"/>
      <c r="AW127" s="2"/>
      <c r="AX127" s="2"/>
      <c r="AY127" s="2"/>
      <c r="AZ127" s="2"/>
      <c r="BA127" s="2"/>
      <c r="BB127" s="2"/>
      <c r="BC127" s="2"/>
      <c r="BD127" s="1370"/>
      <c r="BE127" s="2"/>
      <c r="BF127" s="2"/>
      <c r="BG127" s="2330"/>
      <c r="BH127" s="2"/>
      <c r="BI127" s="2"/>
      <c r="BJ127" s="3515" t="str">
        <f t="shared" si="435"/>
        <v>Solar Parabolic Trough W/O Storage 250 MW</v>
      </c>
      <c r="BK127" s="3516">
        <f t="shared" si="435"/>
        <v>250</v>
      </c>
      <c r="BL127" s="3517">
        <f t="shared" si="436"/>
        <v>329.92163357443667</v>
      </c>
      <c r="BM127" s="3518">
        <f t="shared" si="437"/>
        <v>168.18497630039479</v>
      </c>
      <c r="BN127" s="3518">
        <f t="shared" si="438"/>
        <v>16.818497630039481</v>
      </c>
      <c r="BO127" s="3517">
        <f t="shared" si="439"/>
        <v>448.515394754856</v>
      </c>
      <c r="BP127" s="3518">
        <f t="shared" si="440"/>
        <v>228.72923863254994</v>
      </c>
      <c r="BQ127" s="3519">
        <f t="shared" si="441"/>
        <v>22.872923863254993</v>
      </c>
      <c r="BR127" s="3517">
        <f t="shared" si="483"/>
        <v>325.42493551735612</v>
      </c>
      <c r="BS127" s="3518">
        <f t="shared" si="484"/>
        <v>167.93232960582176</v>
      </c>
      <c r="BT127" s="3520">
        <f t="shared" si="485"/>
        <v>16.793232960582177</v>
      </c>
      <c r="BU127" s="2332"/>
      <c r="BV127" s="2332"/>
      <c r="BW127" s="2332"/>
      <c r="BX127" s="2332"/>
      <c r="BY127" s="2332"/>
      <c r="BZ127" s="2332"/>
      <c r="CA127" s="2332"/>
      <c r="CB127" s="2332"/>
      <c r="CU127" s="2334"/>
      <c r="CV127" s="2334"/>
      <c r="CX127" s="3723" t="str">
        <f t="shared" si="445"/>
        <v>Solar Parabolic Trough W/O Storage 250 MW</v>
      </c>
      <c r="CY127" s="3724">
        <f t="shared" si="445"/>
        <v>250</v>
      </c>
      <c r="CZ127" s="3725">
        <f t="shared" si="469"/>
        <v>0</v>
      </c>
      <c r="DA127" s="3726">
        <f t="shared" si="470"/>
        <v>0</v>
      </c>
      <c r="DB127" s="3727">
        <f t="shared" si="471"/>
        <v>0</v>
      </c>
      <c r="DC127" s="3725">
        <f t="shared" si="472"/>
        <v>0</v>
      </c>
      <c r="DD127" s="3726">
        <f t="shared" si="446"/>
        <v>0</v>
      </c>
      <c r="DE127" s="3726">
        <f t="shared" si="447"/>
        <v>0</v>
      </c>
      <c r="DF127" s="3725">
        <f t="shared" si="473"/>
        <v>0</v>
      </c>
      <c r="DG127" s="3726">
        <f t="shared" si="477"/>
        <v>0</v>
      </c>
      <c r="DH127" s="3727">
        <f t="shared" si="478"/>
        <v>0</v>
      </c>
      <c r="DI127" s="2372"/>
      <c r="DJ127" s="2334"/>
      <c r="DK127" s="2334"/>
      <c r="DS127" s="2330"/>
      <c r="DT127" s="2330"/>
      <c r="DU127" s="2330"/>
      <c r="DV127" s="2330"/>
      <c r="DW127" s="2330"/>
      <c r="DX127" s="2330"/>
      <c r="DY127" s="2330"/>
      <c r="DZ127" s="2330"/>
      <c r="EA127" s="2330"/>
      <c r="EB127" s="2330"/>
      <c r="EC127" s="2330"/>
      <c r="ED127" s="2366"/>
      <c r="EE127" s="2366"/>
      <c r="EF127" s="2334"/>
      <c r="EJ127" s="3495" t="str">
        <f t="shared" si="450"/>
        <v>Solar Parabolic Trough W/O Storage 250 MW</v>
      </c>
      <c r="EK127" s="3496">
        <f t="shared" si="450"/>
        <v>250</v>
      </c>
      <c r="EL127" s="3733">
        <f t="shared" si="451"/>
        <v>0</v>
      </c>
      <c r="EM127" s="3693">
        <f t="shared" si="452"/>
        <v>0</v>
      </c>
      <c r="EN127" s="3733">
        <f t="shared" si="453"/>
        <v>0</v>
      </c>
      <c r="EO127" s="3693">
        <f t="shared" si="454"/>
        <v>0</v>
      </c>
      <c r="EP127" s="3733">
        <f t="shared" si="486"/>
        <v>0</v>
      </c>
      <c r="EQ127" s="3734">
        <f t="shared" si="487"/>
        <v>0</v>
      </c>
      <c r="ER127" s="2366"/>
      <c r="ES127" s="2334"/>
      <c r="EU127"/>
      <c r="EY127" s="2330"/>
      <c r="EZ127" s="2330"/>
      <c r="FA127" s="2330"/>
      <c r="FB127" s="2330"/>
      <c r="FC127" s="2330"/>
      <c r="FD127" s="2330"/>
      <c r="FE127" s="2330"/>
      <c r="FF127" s="2330"/>
      <c r="FG127" s="2330"/>
      <c r="FH127" s="2330"/>
      <c r="FI127" s="2366"/>
      <c r="FJ127" s="2366"/>
      <c r="FK127" s="2334"/>
      <c r="FO127" s="3495" t="str">
        <f t="shared" ref="FO127:FP127" si="491">FO17</f>
        <v>Solar Parabolic Trough W/O Storage 250 MW</v>
      </c>
      <c r="FP127" s="3496">
        <f t="shared" si="491"/>
        <v>250</v>
      </c>
      <c r="FQ127" s="3733">
        <f t="shared" si="458"/>
        <v>0</v>
      </c>
      <c r="FR127" s="3693">
        <f t="shared" si="459"/>
        <v>0</v>
      </c>
      <c r="FS127" s="3733">
        <f t="shared" si="460"/>
        <v>0</v>
      </c>
      <c r="FT127" s="3693">
        <f t="shared" si="461"/>
        <v>0</v>
      </c>
      <c r="FU127" s="3733">
        <f t="shared" si="462"/>
        <v>0</v>
      </c>
      <c r="FV127" s="3734">
        <f t="shared" si="463"/>
        <v>0</v>
      </c>
      <c r="FW127" s="2366"/>
      <c r="FX127" s="2334"/>
    </row>
    <row r="128" spans="1:184" ht="13.15" customHeight="1">
      <c r="A128" s="2272"/>
      <c r="B128" s="2272"/>
      <c r="C128" s="2272"/>
      <c r="D128" s="9"/>
      <c r="E128" s="2272"/>
      <c r="F128" s="2276"/>
      <c r="G128" s="2276"/>
      <c r="H128" s="2276"/>
      <c r="I128" s="2276"/>
      <c r="J128" s="2276"/>
      <c r="K128" s="2276"/>
      <c r="L128" s="2276"/>
      <c r="M128" s="2276"/>
      <c r="N128" s="9"/>
      <c r="O128" s="9"/>
      <c r="P128" s="9"/>
      <c r="Q128" s="9"/>
      <c r="R128" s="9"/>
      <c r="S128" s="9"/>
      <c r="T128" s="2332"/>
      <c r="U128" s="9"/>
      <c r="V128" s="3495" t="str">
        <f t="shared" si="464"/>
        <v>Solar Parabolic Trough With Storage 250 MW</v>
      </c>
      <c r="W128" s="3496">
        <f t="shared" si="464"/>
        <v>250</v>
      </c>
      <c r="X128" s="3497">
        <f t="shared" si="465"/>
        <v>405.522520911546</v>
      </c>
      <c r="Y128" s="3498">
        <f t="shared" si="430"/>
        <v>127.39981599050384</v>
      </c>
      <c r="Z128" s="3499">
        <f t="shared" si="466"/>
        <v>12.739981599050385</v>
      </c>
      <c r="AA128" s="3497">
        <f t="shared" si="431"/>
        <v>601.75984110535387</v>
      </c>
      <c r="AB128" s="3498">
        <f t="shared" si="432"/>
        <v>189.12326193597971</v>
      </c>
      <c r="AC128" s="3499">
        <f t="shared" si="467"/>
        <v>18.91232619359797</v>
      </c>
      <c r="AD128" s="3497">
        <f t="shared" si="480"/>
        <v>423.90433218489204</v>
      </c>
      <c r="AE128" s="3498">
        <f t="shared" si="481"/>
        <v>134.8120642020248</v>
      </c>
      <c r="AF128" s="3500">
        <f t="shared" si="482"/>
        <v>13.481206420202479</v>
      </c>
      <c r="AG128" s="9"/>
      <c r="AH128" s="9"/>
      <c r="AI128" s="9"/>
      <c r="AU128" s="2"/>
      <c r="AV128" s="2"/>
      <c r="AW128" s="2"/>
      <c r="AX128" s="2"/>
      <c r="AY128" s="2"/>
      <c r="AZ128" s="2"/>
      <c r="BA128" s="2"/>
      <c r="BB128" s="2"/>
      <c r="BC128" s="2"/>
      <c r="BD128" s="1370"/>
      <c r="BE128" s="2"/>
      <c r="BF128" s="2"/>
      <c r="BG128" s="2330"/>
      <c r="BH128" s="2"/>
      <c r="BI128" s="2"/>
      <c r="BJ128" s="3515" t="str">
        <f t="shared" si="435"/>
        <v>Solar Parabolic Trough With Storage 250 MW</v>
      </c>
      <c r="BK128" s="3516">
        <f t="shared" si="435"/>
        <v>250</v>
      </c>
      <c r="BL128" s="3517">
        <f t="shared" si="436"/>
        <v>405.522520911546</v>
      </c>
      <c r="BM128" s="3518">
        <f t="shared" si="437"/>
        <v>127.39981599050384</v>
      </c>
      <c r="BN128" s="3518">
        <f t="shared" si="438"/>
        <v>12.739981599050385</v>
      </c>
      <c r="BO128" s="3517">
        <f t="shared" si="439"/>
        <v>601.75984110535387</v>
      </c>
      <c r="BP128" s="3518">
        <f t="shared" si="440"/>
        <v>189.12326193597971</v>
      </c>
      <c r="BQ128" s="3519">
        <f t="shared" si="441"/>
        <v>18.91232619359797</v>
      </c>
      <c r="BR128" s="3517">
        <f t="shared" si="483"/>
        <v>423.90433218489204</v>
      </c>
      <c r="BS128" s="3518">
        <f t="shared" si="484"/>
        <v>134.8120642020248</v>
      </c>
      <c r="BT128" s="3520">
        <f t="shared" si="485"/>
        <v>13.481206420202479</v>
      </c>
      <c r="BU128" s="2332"/>
      <c r="BV128" s="2332"/>
      <c r="BW128" s="2332"/>
      <c r="BX128" s="2332"/>
      <c r="BY128" s="2332"/>
      <c r="BZ128" s="2332"/>
      <c r="CA128" s="2332"/>
      <c r="CB128" s="2332"/>
      <c r="CU128" s="2334"/>
      <c r="CV128" s="2334"/>
      <c r="CX128" s="3723" t="str">
        <f t="shared" si="445"/>
        <v>Solar Parabolic Trough With Storage 250 MW</v>
      </c>
      <c r="CY128" s="3724">
        <f t="shared" si="445"/>
        <v>250</v>
      </c>
      <c r="CZ128" s="3725">
        <f t="shared" si="469"/>
        <v>0</v>
      </c>
      <c r="DA128" s="3726">
        <f t="shared" si="470"/>
        <v>0</v>
      </c>
      <c r="DB128" s="3727">
        <f t="shared" si="471"/>
        <v>0</v>
      </c>
      <c r="DC128" s="3725">
        <f t="shared" si="472"/>
        <v>0</v>
      </c>
      <c r="DD128" s="3726">
        <f t="shared" si="446"/>
        <v>0</v>
      </c>
      <c r="DE128" s="3726">
        <f t="shared" si="447"/>
        <v>0</v>
      </c>
      <c r="DF128" s="3725">
        <f t="shared" si="473"/>
        <v>0</v>
      </c>
      <c r="DG128" s="3726">
        <f t="shared" si="477"/>
        <v>0</v>
      </c>
      <c r="DH128" s="3727">
        <f t="shared" si="478"/>
        <v>0</v>
      </c>
      <c r="DI128" s="2372"/>
      <c r="DJ128" s="2334"/>
      <c r="DK128" s="2334"/>
      <c r="DS128" s="2330"/>
      <c r="DT128" s="2330"/>
      <c r="DU128" s="2330"/>
      <c r="DV128" s="2330"/>
      <c r="DW128" s="2330"/>
      <c r="DX128" s="2330"/>
      <c r="DY128" s="2330"/>
      <c r="DZ128" s="2330"/>
      <c r="EA128" s="2330"/>
      <c r="EB128" s="2330"/>
      <c r="EC128" s="2330"/>
      <c r="ED128" s="2366"/>
      <c r="EE128" s="2366"/>
      <c r="EF128" s="2334"/>
      <c r="EJ128" s="3495" t="str">
        <f t="shared" si="450"/>
        <v>Solar Parabolic Trough With Storage 250 MW</v>
      </c>
      <c r="EK128" s="3496">
        <f t="shared" si="450"/>
        <v>250</v>
      </c>
      <c r="EL128" s="3733">
        <f t="shared" si="451"/>
        <v>0</v>
      </c>
      <c r="EM128" s="3693">
        <f t="shared" si="452"/>
        <v>0</v>
      </c>
      <c r="EN128" s="3733">
        <f t="shared" si="453"/>
        <v>0</v>
      </c>
      <c r="EO128" s="3693">
        <f t="shared" si="454"/>
        <v>0</v>
      </c>
      <c r="EP128" s="3733">
        <f t="shared" si="486"/>
        <v>0</v>
      </c>
      <c r="EQ128" s="3734">
        <f t="shared" si="487"/>
        <v>0</v>
      </c>
      <c r="ER128" s="2366"/>
      <c r="ES128" s="2334"/>
      <c r="EU128"/>
      <c r="EY128" s="2330"/>
      <c r="EZ128" s="2330"/>
      <c r="FA128" s="2330"/>
      <c r="FB128" s="2330"/>
      <c r="FC128" s="2330"/>
      <c r="FD128" s="2330"/>
      <c r="FE128" s="2330"/>
      <c r="FF128" s="2330"/>
      <c r="FG128" s="2330"/>
      <c r="FH128" s="2330"/>
      <c r="FI128" s="2366"/>
      <c r="FJ128" s="2366"/>
      <c r="FK128" s="2334"/>
      <c r="FO128" s="3495" t="str">
        <f t="shared" ref="FO128:FP128" si="492">FO18</f>
        <v>Solar Parabolic Trough With Storage 250 MW</v>
      </c>
      <c r="FP128" s="3496">
        <f t="shared" si="492"/>
        <v>250</v>
      </c>
      <c r="FQ128" s="3733">
        <f t="shared" si="458"/>
        <v>0</v>
      </c>
      <c r="FR128" s="3693">
        <f t="shared" si="459"/>
        <v>0</v>
      </c>
      <c r="FS128" s="3733">
        <f t="shared" si="460"/>
        <v>0</v>
      </c>
      <c r="FT128" s="3693">
        <f t="shared" si="461"/>
        <v>0</v>
      </c>
      <c r="FU128" s="3733">
        <f t="shared" si="462"/>
        <v>0</v>
      </c>
      <c r="FV128" s="3734">
        <f t="shared" si="463"/>
        <v>0</v>
      </c>
      <c r="FW128" s="2366"/>
      <c r="FX128" s="2334"/>
    </row>
    <row r="129" spans="1:180" ht="13.9" customHeight="1">
      <c r="A129" s="2272"/>
      <c r="B129" s="2272"/>
      <c r="C129" s="2272"/>
      <c r="D129" s="9"/>
      <c r="E129" s="2272"/>
      <c r="F129" s="2276"/>
      <c r="G129" s="2276"/>
      <c r="H129" s="2276"/>
      <c r="I129" s="2276"/>
      <c r="J129" s="2276"/>
      <c r="K129" s="2276"/>
      <c r="L129" s="2276"/>
      <c r="M129" s="2276"/>
      <c r="N129" s="9"/>
      <c r="O129" s="9"/>
      <c r="P129" s="9"/>
      <c r="Q129" s="9"/>
      <c r="R129" s="9"/>
      <c r="S129" s="9"/>
      <c r="T129" s="2332"/>
      <c r="U129" s="9"/>
      <c r="V129" s="3495" t="str">
        <f t="shared" si="464"/>
        <v>Solar Power Tower W/O Storage 100 MW</v>
      </c>
      <c r="W129" s="3496">
        <f t="shared" si="464"/>
        <v>100</v>
      </c>
      <c r="X129" s="3497">
        <f t="shared" si="465"/>
        <v>342.47768367043335</v>
      </c>
      <c r="Y129" s="3498">
        <f t="shared" si="430"/>
        <v>152.57910567265517</v>
      </c>
      <c r="Z129" s="3499">
        <f t="shared" si="466"/>
        <v>15.257910567265517</v>
      </c>
      <c r="AA129" s="3497">
        <f t="shared" si="431"/>
        <v>471.26335827923521</v>
      </c>
      <c r="AB129" s="3498">
        <f t="shared" si="432"/>
        <v>210.03631344117113</v>
      </c>
      <c r="AC129" s="3499">
        <f t="shared" si="467"/>
        <v>21.003631344117114</v>
      </c>
      <c r="AD129" s="3497">
        <f t="shared" si="480"/>
        <v>336.00145046148316</v>
      </c>
      <c r="AE129" s="3498">
        <f t="shared" si="481"/>
        <v>151.53432559948979</v>
      </c>
      <c r="AF129" s="3500">
        <f t="shared" si="482"/>
        <v>15.153432559948978</v>
      </c>
      <c r="AG129" s="9"/>
      <c r="AH129" s="9"/>
      <c r="AI129" s="9"/>
      <c r="AU129" s="2"/>
      <c r="AV129" s="2"/>
      <c r="AW129" s="2"/>
      <c r="AX129" s="2"/>
      <c r="AY129" s="2"/>
      <c r="AZ129" s="2"/>
      <c r="BA129" s="2"/>
      <c r="BB129" s="2"/>
      <c r="BC129" s="2"/>
      <c r="BD129" s="1370"/>
      <c r="BE129" s="2"/>
      <c r="BF129" s="2"/>
      <c r="BG129" s="2330"/>
      <c r="BH129" s="2"/>
      <c r="BI129" s="2"/>
      <c r="BJ129" s="3515" t="str">
        <f t="shared" si="435"/>
        <v>Solar Power Tower W/O Storage 100 MW</v>
      </c>
      <c r="BK129" s="3516">
        <f t="shared" si="435"/>
        <v>100</v>
      </c>
      <c r="BL129" s="3517">
        <f t="shared" si="436"/>
        <v>342.47768367043335</v>
      </c>
      <c r="BM129" s="3518">
        <f t="shared" si="437"/>
        <v>152.57910567265517</v>
      </c>
      <c r="BN129" s="3518">
        <f t="shared" si="438"/>
        <v>15.257910567265517</v>
      </c>
      <c r="BO129" s="3517">
        <f t="shared" si="439"/>
        <v>471.26335827923521</v>
      </c>
      <c r="BP129" s="3518">
        <f t="shared" si="440"/>
        <v>210.03631344117113</v>
      </c>
      <c r="BQ129" s="3519">
        <f t="shared" si="441"/>
        <v>21.003631344117114</v>
      </c>
      <c r="BR129" s="3517">
        <f t="shared" si="483"/>
        <v>336.00145046148316</v>
      </c>
      <c r="BS129" s="3518">
        <f t="shared" si="484"/>
        <v>151.53432559948979</v>
      </c>
      <c r="BT129" s="3520">
        <f t="shared" si="485"/>
        <v>15.153432559948978</v>
      </c>
      <c r="BU129" s="2332"/>
      <c r="BV129" s="2332"/>
      <c r="BW129" s="2332"/>
      <c r="BX129" s="2332"/>
      <c r="BY129" s="2332"/>
      <c r="BZ129" s="2332"/>
      <c r="CA129" s="2332"/>
      <c r="CB129" s="2332"/>
      <c r="CU129" s="2334"/>
      <c r="CV129" s="2334"/>
      <c r="CX129" s="3723" t="str">
        <f t="shared" si="445"/>
        <v>Solar Power Tower W/O Storage 100 MW</v>
      </c>
      <c r="CY129" s="3724">
        <f t="shared" si="445"/>
        <v>100</v>
      </c>
      <c r="CZ129" s="3725">
        <f t="shared" si="469"/>
        <v>0</v>
      </c>
      <c r="DA129" s="3726">
        <f t="shared" si="470"/>
        <v>0</v>
      </c>
      <c r="DB129" s="3727">
        <f t="shared" si="471"/>
        <v>0</v>
      </c>
      <c r="DC129" s="3725">
        <f t="shared" si="472"/>
        <v>0</v>
      </c>
      <c r="DD129" s="3726">
        <f t="shared" si="446"/>
        <v>0</v>
      </c>
      <c r="DE129" s="3726">
        <f t="shared" si="447"/>
        <v>0</v>
      </c>
      <c r="DF129" s="3725">
        <f t="shared" si="473"/>
        <v>0</v>
      </c>
      <c r="DG129" s="3726">
        <f t="shared" si="477"/>
        <v>0</v>
      </c>
      <c r="DH129" s="3727">
        <f t="shared" si="478"/>
        <v>0</v>
      </c>
      <c r="DI129" s="2372"/>
      <c r="DJ129" s="2334"/>
      <c r="DK129" s="2334"/>
      <c r="DS129" s="2330"/>
      <c r="DT129" s="2330"/>
      <c r="DU129" s="2330"/>
      <c r="DV129" s="2330"/>
      <c r="DW129" s="2330"/>
      <c r="DX129" s="2330"/>
      <c r="DY129" s="2330"/>
      <c r="DZ129" s="2330"/>
      <c r="EA129" s="2330"/>
      <c r="EB129" s="2330"/>
      <c r="EC129" s="2330"/>
      <c r="ED129" s="2366"/>
      <c r="EE129" s="2366"/>
      <c r="EF129" s="2334"/>
      <c r="EJ129" s="3495" t="str">
        <f t="shared" si="450"/>
        <v>Solar Power Tower W/O Storage 100 MW</v>
      </c>
      <c r="EK129" s="3496">
        <f t="shared" si="450"/>
        <v>100</v>
      </c>
      <c r="EL129" s="3733">
        <f t="shared" si="451"/>
        <v>0</v>
      </c>
      <c r="EM129" s="3693">
        <f t="shared" si="452"/>
        <v>0</v>
      </c>
      <c r="EN129" s="3733">
        <f t="shared" si="453"/>
        <v>0</v>
      </c>
      <c r="EO129" s="3693">
        <f t="shared" si="454"/>
        <v>0</v>
      </c>
      <c r="EP129" s="3733">
        <f t="shared" si="486"/>
        <v>0</v>
      </c>
      <c r="EQ129" s="3734">
        <f t="shared" si="487"/>
        <v>0</v>
      </c>
      <c r="ER129" s="2366"/>
      <c r="ES129" s="2334"/>
      <c r="EU129"/>
      <c r="EY129" s="2330"/>
      <c r="EZ129" s="2330"/>
      <c r="FA129" s="2330"/>
      <c r="FB129" s="2330"/>
      <c r="FC129" s="2330"/>
      <c r="FD129" s="2330"/>
      <c r="FE129" s="2330"/>
      <c r="FF129" s="2330"/>
      <c r="FG129" s="2330"/>
      <c r="FH129" s="2330"/>
      <c r="FI129" s="2366"/>
      <c r="FJ129" s="2366"/>
      <c r="FK129" s="2334"/>
      <c r="FO129" s="3495" t="str">
        <f t="shared" ref="FO129:FP129" si="493">FO19</f>
        <v>Solar Power Tower W/O Storage 100 MW</v>
      </c>
      <c r="FP129" s="3496">
        <f t="shared" si="493"/>
        <v>100</v>
      </c>
      <c r="FQ129" s="3733">
        <f t="shared" si="458"/>
        <v>0</v>
      </c>
      <c r="FR129" s="3693">
        <f t="shared" si="459"/>
        <v>0</v>
      </c>
      <c r="FS129" s="3733">
        <f t="shared" si="460"/>
        <v>0</v>
      </c>
      <c r="FT129" s="3693">
        <f t="shared" si="461"/>
        <v>0</v>
      </c>
      <c r="FU129" s="3733">
        <f t="shared" si="462"/>
        <v>0</v>
      </c>
      <c r="FV129" s="3734">
        <f t="shared" si="463"/>
        <v>0</v>
      </c>
      <c r="FW129" s="2366"/>
      <c r="FX129" s="2334"/>
    </row>
    <row r="130" spans="1:180" ht="14.45" customHeight="1">
      <c r="A130" s="2272"/>
      <c r="B130" s="2272"/>
      <c r="C130" s="2272"/>
      <c r="D130" s="9"/>
      <c r="E130" s="2272"/>
      <c r="F130" s="2276"/>
      <c r="G130" s="2276"/>
      <c r="H130" s="2276"/>
      <c r="I130" s="2276"/>
      <c r="J130" s="2276"/>
      <c r="K130" s="2276"/>
      <c r="L130" s="2276"/>
      <c r="M130" s="2276"/>
      <c r="N130" s="9"/>
      <c r="O130" s="9"/>
      <c r="P130" s="9"/>
      <c r="Q130" s="9"/>
      <c r="R130" s="9"/>
      <c r="S130" s="9"/>
      <c r="T130" s="2332"/>
      <c r="U130" s="9"/>
      <c r="V130" s="3495" t="str">
        <f t="shared" si="464"/>
        <v>Solar Power Tower With Storage 100 MW 6 HRs</v>
      </c>
      <c r="W130" s="3496">
        <f t="shared" si="464"/>
        <v>100</v>
      </c>
      <c r="X130" s="3497">
        <f t="shared" si="465"/>
        <v>421.46401770157746</v>
      </c>
      <c r="Y130" s="3498">
        <f t="shared" si="430"/>
        <v>145.52077294149964</v>
      </c>
      <c r="Z130" s="3499">
        <f t="shared" si="466"/>
        <v>14.552077294149964</v>
      </c>
      <c r="AA130" s="3497">
        <f t="shared" si="431"/>
        <v>630.52716798294568</v>
      </c>
      <c r="AB130" s="3498">
        <f t="shared" si="432"/>
        <v>217.78913989342351</v>
      </c>
      <c r="AC130" s="3499">
        <f t="shared" si="467"/>
        <v>21.77891398934235</v>
      </c>
      <c r="AD130" s="3497">
        <f t="shared" si="480"/>
        <v>440.07125791531149</v>
      </c>
      <c r="AE130" s="3498">
        <f t="shared" si="481"/>
        <v>153.81354284052176</v>
      </c>
      <c r="AF130" s="3500">
        <f t="shared" si="482"/>
        <v>15.381354284052176</v>
      </c>
      <c r="AG130" s="9"/>
      <c r="AH130" s="9"/>
      <c r="AI130" s="9"/>
      <c r="AU130" s="2"/>
      <c r="AV130" s="2"/>
      <c r="AW130" s="2"/>
      <c r="AX130" s="2"/>
      <c r="AY130" s="2"/>
      <c r="AZ130" s="2"/>
      <c r="BA130" s="2"/>
      <c r="BB130" s="2"/>
      <c r="BC130" s="2"/>
      <c r="BD130" s="1370"/>
      <c r="BE130" s="2"/>
      <c r="BF130" s="2"/>
      <c r="BG130" s="2330"/>
      <c r="BH130" s="2"/>
      <c r="BI130" s="2"/>
      <c r="BJ130" s="3527" t="str">
        <f>IF(BJ20=0,"",BJ20)</f>
        <v>Solar Power Tower With Storage 100 MW 6 HRs</v>
      </c>
      <c r="BK130" s="3516">
        <f t="shared" si="435"/>
        <v>100</v>
      </c>
      <c r="BL130" s="3517">
        <f t="shared" si="436"/>
        <v>421.46401770157746</v>
      </c>
      <c r="BM130" s="3518">
        <f t="shared" si="437"/>
        <v>145.52077294149964</v>
      </c>
      <c r="BN130" s="3518">
        <f t="shared" si="438"/>
        <v>14.552077294149964</v>
      </c>
      <c r="BO130" s="3517">
        <f t="shared" si="439"/>
        <v>630.52716798294568</v>
      </c>
      <c r="BP130" s="3518">
        <f t="shared" si="440"/>
        <v>217.78913989342351</v>
      </c>
      <c r="BQ130" s="3519">
        <f t="shared" si="441"/>
        <v>21.77891398934235</v>
      </c>
      <c r="BR130" s="3517">
        <f t="shared" si="483"/>
        <v>440.07125791531149</v>
      </c>
      <c r="BS130" s="3518">
        <f t="shared" si="484"/>
        <v>153.81354284052176</v>
      </c>
      <c r="BT130" s="3520">
        <f t="shared" si="485"/>
        <v>15.381354284052176</v>
      </c>
      <c r="BU130" s="2332"/>
      <c r="BV130" s="2332"/>
      <c r="BW130" s="2332"/>
      <c r="BX130" s="2332"/>
      <c r="BY130" s="2332"/>
      <c r="BZ130" s="2332"/>
      <c r="CA130" s="2332"/>
      <c r="CB130" s="2332"/>
      <c r="CU130" s="2334"/>
      <c r="CV130" s="2334"/>
      <c r="CX130" s="3723" t="str">
        <f t="shared" si="445"/>
        <v>Solar Power Tower With Storage 100 MW 6 HRs</v>
      </c>
      <c r="CY130" s="3724">
        <f t="shared" si="445"/>
        <v>100</v>
      </c>
      <c r="CZ130" s="3725">
        <f t="shared" si="469"/>
        <v>0</v>
      </c>
      <c r="DA130" s="3726">
        <f t="shared" si="470"/>
        <v>0</v>
      </c>
      <c r="DB130" s="3727">
        <f t="shared" si="471"/>
        <v>0</v>
      </c>
      <c r="DC130" s="3725">
        <f t="shared" si="472"/>
        <v>0</v>
      </c>
      <c r="DD130" s="3726">
        <f t="shared" si="446"/>
        <v>0</v>
      </c>
      <c r="DE130" s="3726">
        <f t="shared" si="447"/>
        <v>0</v>
      </c>
      <c r="DF130" s="3725">
        <f t="shared" si="473"/>
        <v>0</v>
      </c>
      <c r="DG130" s="3726">
        <f t="shared" si="477"/>
        <v>0</v>
      </c>
      <c r="DH130" s="3727">
        <f t="shared" si="478"/>
        <v>0</v>
      </c>
      <c r="DI130" s="2372"/>
      <c r="DJ130" s="2334"/>
      <c r="DK130" s="2334"/>
      <c r="DS130" s="2330"/>
      <c r="DT130" s="2330"/>
      <c r="DU130" s="2330"/>
      <c r="DV130" s="2330"/>
      <c r="DW130" s="2330"/>
      <c r="DX130" s="2330"/>
      <c r="DY130" s="2330"/>
      <c r="DZ130" s="2330"/>
      <c r="EA130" s="2330"/>
      <c r="EB130" s="2330"/>
      <c r="EC130" s="2330"/>
      <c r="ED130" s="2366"/>
      <c r="EE130" s="2366"/>
      <c r="EF130" s="2334"/>
      <c r="EJ130" s="3495" t="str">
        <f t="shared" si="450"/>
        <v>Solar Power Tower With Storage 100 MW 6 HRs</v>
      </c>
      <c r="EK130" s="3496">
        <f t="shared" si="450"/>
        <v>100</v>
      </c>
      <c r="EL130" s="3733">
        <f t="shared" si="451"/>
        <v>0</v>
      </c>
      <c r="EM130" s="3693">
        <f t="shared" si="452"/>
        <v>0</v>
      </c>
      <c r="EN130" s="3733">
        <f t="shared" si="453"/>
        <v>0</v>
      </c>
      <c r="EO130" s="3693">
        <f t="shared" si="454"/>
        <v>0</v>
      </c>
      <c r="EP130" s="3733">
        <f t="shared" si="486"/>
        <v>0</v>
      </c>
      <c r="EQ130" s="3734">
        <f t="shared" si="487"/>
        <v>0</v>
      </c>
      <c r="ER130" s="2366"/>
      <c r="ES130" s="2334"/>
      <c r="EU130"/>
      <c r="EY130" s="2330"/>
      <c r="EZ130" s="2330"/>
      <c r="FA130" s="2330"/>
      <c r="FB130" s="2330"/>
      <c r="FC130" s="2330"/>
      <c r="FD130" s="2330"/>
      <c r="FE130" s="2330"/>
      <c r="FF130" s="2330"/>
      <c r="FG130" s="2330"/>
      <c r="FH130" s="2330"/>
      <c r="FI130" s="2366"/>
      <c r="FJ130" s="2366"/>
      <c r="FK130" s="2334"/>
      <c r="FO130" s="3495" t="str">
        <f t="shared" ref="FO130:FP130" si="494">FO20</f>
        <v>Solar Power Tower With Storage 100 MW 6 HRs</v>
      </c>
      <c r="FP130" s="3496">
        <f t="shared" si="494"/>
        <v>100</v>
      </c>
      <c r="FQ130" s="3733">
        <f t="shared" si="458"/>
        <v>0</v>
      </c>
      <c r="FR130" s="3693">
        <f t="shared" si="459"/>
        <v>0</v>
      </c>
      <c r="FS130" s="3733">
        <f t="shared" si="460"/>
        <v>0</v>
      </c>
      <c r="FT130" s="3693">
        <f t="shared" si="461"/>
        <v>0</v>
      </c>
      <c r="FU130" s="3733">
        <f t="shared" si="462"/>
        <v>0</v>
      </c>
      <c r="FV130" s="3734">
        <f t="shared" si="463"/>
        <v>0</v>
      </c>
      <c r="FW130" s="2366"/>
      <c r="FX130" s="2334"/>
    </row>
    <row r="131" spans="1:180" ht="12.6" customHeight="1">
      <c r="A131" s="2272"/>
      <c r="B131" s="2272"/>
      <c r="C131" s="2272"/>
      <c r="D131" s="9"/>
      <c r="E131" s="2272"/>
      <c r="F131" s="2276"/>
      <c r="G131" s="2276"/>
      <c r="H131" s="2276"/>
      <c r="I131" s="2276"/>
      <c r="J131" s="2276"/>
      <c r="K131" s="2276"/>
      <c r="L131" s="2276"/>
      <c r="M131" s="2276"/>
      <c r="N131" s="9"/>
      <c r="O131" s="9"/>
      <c r="P131" s="9"/>
      <c r="Q131" s="9"/>
      <c r="R131" s="9"/>
      <c r="S131" s="9"/>
      <c r="T131" s="2332"/>
      <c r="U131" s="9"/>
      <c r="V131" s="3495" t="str">
        <f t="shared" si="464"/>
        <v>Solar Power Tower With Storage 100 MW 11 HRs</v>
      </c>
      <c r="W131" s="3496">
        <f t="shared" si="464"/>
        <v>100</v>
      </c>
      <c r="X131" s="3497">
        <f t="shared" si="465"/>
        <v>459.85444389272976</v>
      </c>
      <c r="Y131" s="3498">
        <f t="shared" si="430"/>
        <v>114.05949940215304</v>
      </c>
      <c r="Z131" s="3499">
        <f t="shared" si="466"/>
        <v>11.405949940215304</v>
      </c>
      <c r="AA131" s="3497">
        <f t="shared" si="431"/>
        <v>692.04020502679703</v>
      </c>
      <c r="AB131" s="3498">
        <f t="shared" si="432"/>
        <v>171.71582678472794</v>
      </c>
      <c r="AC131" s="3499">
        <f t="shared" si="467"/>
        <v>17.171582678472795</v>
      </c>
      <c r="AD131" s="3497">
        <f t="shared" si="480"/>
        <v>479.7326763098547</v>
      </c>
      <c r="AE131" s="3498">
        <f t="shared" si="481"/>
        <v>120.45295398905533</v>
      </c>
      <c r="AF131" s="3500">
        <f t="shared" si="482"/>
        <v>12.045295398905534</v>
      </c>
      <c r="AG131" s="9"/>
      <c r="AH131" s="9"/>
      <c r="AI131" s="9"/>
      <c r="AU131" s="2"/>
      <c r="AV131" s="2"/>
      <c r="AW131" s="2"/>
      <c r="AX131" s="2"/>
      <c r="AY131" s="2"/>
      <c r="AZ131" s="2"/>
      <c r="BA131" s="2"/>
      <c r="BB131" s="2"/>
      <c r="BC131" s="2"/>
      <c r="BD131" s="1370"/>
      <c r="BE131" s="2"/>
      <c r="BF131" s="2"/>
      <c r="BG131" s="2330"/>
      <c r="BH131" s="2"/>
      <c r="BI131" s="2"/>
      <c r="BJ131" s="3515" t="str">
        <f t="shared" si="435"/>
        <v>Solar Power Tower With Storage 100 MW 11 HRs</v>
      </c>
      <c r="BK131" s="3516">
        <f t="shared" si="435"/>
        <v>100</v>
      </c>
      <c r="BL131" s="3517">
        <f t="shared" si="436"/>
        <v>459.85444389272976</v>
      </c>
      <c r="BM131" s="3518">
        <f t="shared" si="437"/>
        <v>114.05949940215304</v>
      </c>
      <c r="BN131" s="3518">
        <f t="shared" si="438"/>
        <v>11.405949940215304</v>
      </c>
      <c r="BO131" s="3517">
        <f t="shared" si="439"/>
        <v>692.04020502679703</v>
      </c>
      <c r="BP131" s="3518">
        <f t="shared" si="440"/>
        <v>171.71582678472794</v>
      </c>
      <c r="BQ131" s="3519">
        <f t="shared" si="441"/>
        <v>17.171582678472795</v>
      </c>
      <c r="BR131" s="3517">
        <f t="shared" si="483"/>
        <v>479.7326763098547</v>
      </c>
      <c r="BS131" s="3518">
        <f t="shared" si="484"/>
        <v>120.45295398905533</v>
      </c>
      <c r="BT131" s="3520">
        <f t="shared" si="485"/>
        <v>12.045295398905534</v>
      </c>
      <c r="BU131" s="2332"/>
      <c r="BV131" s="2332"/>
      <c r="BW131" s="2332"/>
      <c r="BX131" s="2332"/>
      <c r="BY131" s="2332"/>
      <c r="BZ131" s="2332"/>
      <c r="CA131" s="2332"/>
      <c r="CB131" s="2332"/>
      <c r="CU131" s="2334"/>
      <c r="CV131" s="2334"/>
      <c r="CX131" s="3723" t="str">
        <f t="shared" si="445"/>
        <v>Solar Power Tower With Storage 100 MW 11 HRs</v>
      </c>
      <c r="CY131" s="3724">
        <f t="shared" si="445"/>
        <v>100</v>
      </c>
      <c r="CZ131" s="3725">
        <f t="shared" si="469"/>
        <v>0</v>
      </c>
      <c r="DA131" s="3726">
        <f t="shared" si="470"/>
        <v>0</v>
      </c>
      <c r="DB131" s="3727">
        <f t="shared" si="471"/>
        <v>0</v>
      </c>
      <c r="DC131" s="3725">
        <f t="shared" si="472"/>
        <v>0</v>
      </c>
      <c r="DD131" s="3726">
        <f t="shared" si="446"/>
        <v>0</v>
      </c>
      <c r="DE131" s="3726">
        <f t="shared" si="447"/>
        <v>0</v>
      </c>
      <c r="DF131" s="3725">
        <f t="shared" si="473"/>
        <v>0</v>
      </c>
      <c r="DG131" s="3726">
        <f t="shared" si="477"/>
        <v>0</v>
      </c>
      <c r="DH131" s="3727">
        <f t="shared" si="478"/>
        <v>0</v>
      </c>
      <c r="DI131" s="2372"/>
      <c r="DJ131" s="2334"/>
      <c r="DK131" s="2334"/>
      <c r="DS131" s="2330"/>
      <c r="DT131" s="2330"/>
      <c r="DU131" s="2330"/>
      <c r="DV131" s="2330"/>
      <c r="DW131" s="2330"/>
      <c r="DX131" s="2330"/>
      <c r="DY131" s="2330"/>
      <c r="DZ131" s="2330"/>
      <c r="EA131" s="2330"/>
      <c r="EB131" s="2330"/>
      <c r="EC131" s="2330"/>
      <c r="ED131" s="2366"/>
      <c r="EE131" s="2366"/>
      <c r="EF131" s="2334"/>
      <c r="EJ131" s="3495" t="str">
        <f t="shared" si="450"/>
        <v>Solar Power Tower With Storage 100 MW 11 HRs</v>
      </c>
      <c r="EK131" s="3496">
        <f t="shared" si="450"/>
        <v>100</v>
      </c>
      <c r="EL131" s="3733">
        <f t="shared" si="451"/>
        <v>0</v>
      </c>
      <c r="EM131" s="3693">
        <f t="shared" si="452"/>
        <v>0</v>
      </c>
      <c r="EN131" s="3733">
        <f t="shared" si="453"/>
        <v>0</v>
      </c>
      <c r="EO131" s="3693">
        <f t="shared" si="454"/>
        <v>0</v>
      </c>
      <c r="EP131" s="3733">
        <f t="shared" si="486"/>
        <v>0</v>
      </c>
      <c r="EQ131" s="3734">
        <f t="shared" si="487"/>
        <v>0</v>
      </c>
      <c r="ER131" s="2366"/>
      <c r="ES131" s="2334"/>
      <c r="EU131"/>
      <c r="EY131" s="2330"/>
      <c r="EZ131" s="2330"/>
      <c r="FA131" s="2330"/>
      <c r="FB131" s="2330"/>
      <c r="FC131" s="2330"/>
      <c r="FD131" s="2330"/>
      <c r="FE131" s="2330"/>
      <c r="FF131" s="2330"/>
      <c r="FG131" s="2330"/>
      <c r="FH131" s="2330"/>
      <c r="FI131" s="2366"/>
      <c r="FJ131" s="2366"/>
      <c r="FK131" s="2334"/>
      <c r="FO131" s="3495" t="str">
        <f t="shared" ref="FO131:FP131" si="495">FO21</f>
        <v>Solar Power Tower With Storage 100 MW 11 HRs</v>
      </c>
      <c r="FP131" s="3496">
        <f t="shared" si="495"/>
        <v>100</v>
      </c>
      <c r="FQ131" s="3733">
        <f t="shared" si="458"/>
        <v>0</v>
      </c>
      <c r="FR131" s="3693">
        <f t="shared" si="459"/>
        <v>0</v>
      </c>
      <c r="FS131" s="3733">
        <f t="shared" si="460"/>
        <v>0</v>
      </c>
      <c r="FT131" s="3693">
        <f t="shared" si="461"/>
        <v>0</v>
      </c>
      <c r="FU131" s="3733">
        <f t="shared" si="462"/>
        <v>0</v>
      </c>
      <c r="FV131" s="3734">
        <f t="shared" si="463"/>
        <v>0</v>
      </c>
      <c r="FW131" s="2366"/>
      <c r="FX131" s="2334"/>
    </row>
    <row r="132" spans="1:180" ht="12.75" customHeight="1">
      <c r="A132" s="2272"/>
      <c r="B132" s="2272"/>
      <c r="C132" s="2272"/>
      <c r="D132" s="9"/>
      <c r="E132" s="2272"/>
      <c r="F132" s="2276"/>
      <c r="G132" s="2276"/>
      <c r="H132" s="2276"/>
      <c r="I132" s="2276"/>
      <c r="J132" s="2276"/>
      <c r="K132" s="2276"/>
      <c r="L132" s="2276"/>
      <c r="M132" s="2276"/>
      <c r="N132" s="9"/>
      <c r="O132" s="9"/>
      <c r="P132" s="9"/>
      <c r="Q132" s="9"/>
      <c r="R132" s="9"/>
      <c r="S132" s="9"/>
      <c r="T132" s="2332"/>
      <c r="U132" s="9"/>
      <c r="V132" s="3495" t="str">
        <f t="shared" si="464"/>
        <v>Solar Photovoltaic (Thin-Film) 100 MW</v>
      </c>
      <c r="W132" s="3496">
        <f t="shared" si="464"/>
        <v>100</v>
      </c>
      <c r="X132" s="3497">
        <f t="shared" si="465"/>
        <v>206.10635738026741</v>
      </c>
      <c r="Y132" s="3498">
        <f t="shared" si="430"/>
        <v>111.06899164528556</v>
      </c>
      <c r="Z132" s="3499">
        <f t="shared" si="466"/>
        <v>11.106899164528556</v>
      </c>
      <c r="AA132" s="3497">
        <f t="shared" si="431"/>
        <v>315.22434305542731</v>
      </c>
      <c r="AB132" s="3498">
        <f t="shared" si="432"/>
        <v>169.9952875153746</v>
      </c>
      <c r="AC132" s="3499">
        <f t="shared" si="467"/>
        <v>16.999528751537461</v>
      </c>
      <c r="AD132" s="3497">
        <f t="shared" si="480"/>
        <v>219.96761735232568</v>
      </c>
      <c r="AE132" s="3498">
        <f t="shared" si="481"/>
        <v>121.30107648553223</v>
      </c>
      <c r="AF132" s="3500">
        <f t="shared" si="482"/>
        <v>12.130107648553224</v>
      </c>
      <c r="AG132" s="9"/>
      <c r="AH132" s="9"/>
      <c r="AI132" s="9"/>
      <c r="AU132" s="2"/>
      <c r="AV132" s="2"/>
      <c r="AW132" s="2"/>
      <c r="AX132" s="2"/>
      <c r="AY132" s="2"/>
      <c r="AZ132" s="2"/>
      <c r="BA132" s="2"/>
      <c r="BB132" s="2"/>
      <c r="BC132" s="2"/>
      <c r="BD132" s="1370"/>
      <c r="BE132" s="2"/>
      <c r="BF132" s="2"/>
      <c r="BG132" s="2330"/>
      <c r="BH132" s="2"/>
      <c r="BI132" s="2"/>
      <c r="BJ132" s="3515" t="str">
        <f t="shared" si="435"/>
        <v>Solar Photovoltaic (Thin-Film) 100 MW</v>
      </c>
      <c r="BK132" s="3516">
        <f t="shared" si="435"/>
        <v>100</v>
      </c>
      <c r="BL132" s="3517">
        <f t="shared" si="436"/>
        <v>206.10635738026741</v>
      </c>
      <c r="BM132" s="3518">
        <f t="shared" si="437"/>
        <v>111.06899164528556</v>
      </c>
      <c r="BN132" s="3518">
        <f t="shared" si="438"/>
        <v>11.106899164528556</v>
      </c>
      <c r="BO132" s="3517">
        <f t="shared" si="439"/>
        <v>315.22434305542731</v>
      </c>
      <c r="BP132" s="3518">
        <f t="shared" si="440"/>
        <v>169.9952875153746</v>
      </c>
      <c r="BQ132" s="3519">
        <f t="shared" si="441"/>
        <v>16.999528751537461</v>
      </c>
      <c r="BR132" s="3517">
        <f t="shared" si="483"/>
        <v>219.96761735232568</v>
      </c>
      <c r="BS132" s="3518">
        <f t="shared" si="484"/>
        <v>121.30107648553223</v>
      </c>
      <c r="BT132" s="3520">
        <f t="shared" si="485"/>
        <v>12.130107648553224</v>
      </c>
      <c r="BU132" s="2332"/>
      <c r="BV132" s="2332"/>
      <c r="BW132" s="2332"/>
      <c r="BX132" s="2332"/>
      <c r="BY132" s="2332"/>
      <c r="BZ132" s="2332"/>
      <c r="CA132" s="2332"/>
      <c r="CB132" s="2332"/>
      <c r="CU132" s="2334"/>
      <c r="CV132" s="2334"/>
      <c r="CX132" s="3723" t="str">
        <f t="shared" si="445"/>
        <v>Solar Photovoltaic (Thin-Film) 100 MW</v>
      </c>
      <c r="CY132" s="3724">
        <f t="shared" si="445"/>
        <v>100</v>
      </c>
      <c r="CZ132" s="3725">
        <f t="shared" si="469"/>
        <v>0</v>
      </c>
      <c r="DA132" s="3726">
        <f t="shared" si="470"/>
        <v>0</v>
      </c>
      <c r="DB132" s="3727">
        <f t="shared" si="471"/>
        <v>0</v>
      </c>
      <c r="DC132" s="3725">
        <f t="shared" si="472"/>
        <v>0</v>
      </c>
      <c r="DD132" s="3726">
        <f t="shared" si="446"/>
        <v>0</v>
      </c>
      <c r="DE132" s="3726">
        <f t="shared" si="447"/>
        <v>0</v>
      </c>
      <c r="DF132" s="3725">
        <f t="shared" si="473"/>
        <v>0</v>
      </c>
      <c r="DG132" s="3726">
        <f t="shared" si="477"/>
        <v>0</v>
      </c>
      <c r="DH132" s="3727">
        <f t="shared" si="478"/>
        <v>0</v>
      </c>
      <c r="DI132" s="2372"/>
      <c r="DJ132" s="2334"/>
      <c r="DK132" s="2334"/>
      <c r="DS132" s="2330"/>
      <c r="DT132" s="2330"/>
      <c r="DU132" s="2330"/>
      <c r="DV132" s="2330"/>
      <c r="DW132" s="2330"/>
      <c r="DX132" s="2330"/>
      <c r="DY132" s="2330"/>
      <c r="DZ132" s="2330"/>
      <c r="EA132" s="2330"/>
      <c r="EB132" s="2330"/>
      <c r="EC132" s="2330"/>
      <c r="ED132" s="2366"/>
      <c r="EE132" s="2366"/>
      <c r="EF132" s="2334"/>
      <c r="EJ132" s="3495" t="str">
        <f t="shared" si="450"/>
        <v>Solar Photovoltaic (Thin-Film) 100 MW</v>
      </c>
      <c r="EK132" s="3496">
        <f t="shared" si="450"/>
        <v>100</v>
      </c>
      <c r="EL132" s="3733">
        <f t="shared" si="451"/>
        <v>0</v>
      </c>
      <c r="EM132" s="3693">
        <f t="shared" si="452"/>
        <v>0</v>
      </c>
      <c r="EN132" s="3733">
        <f t="shared" si="453"/>
        <v>0</v>
      </c>
      <c r="EO132" s="3693">
        <f t="shared" si="454"/>
        <v>0</v>
      </c>
      <c r="EP132" s="3733">
        <f t="shared" si="486"/>
        <v>0</v>
      </c>
      <c r="EQ132" s="3734">
        <f t="shared" si="487"/>
        <v>0</v>
      </c>
      <c r="ER132" s="2366"/>
      <c r="ES132" s="2334"/>
      <c r="EU132"/>
      <c r="EY132" s="2330"/>
      <c r="EZ132" s="2330"/>
      <c r="FA132" s="2330"/>
      <c r="FB132" s="2330"/>
      <c r="FC132" s="2330"/>
      <c r="FD132" s="2330"/>
      <c r="FE132" s="2330"/>
      <c r="FF132" s="2330"/>
      <c r="FG132" s="2330"/>
      <c r="FH132" s="2330"/>
      <c r="FI132" s="2366"/>
      <c r="FJ132" s="2366"/>
      <c r="FK132" s="2334"/>
      <c r="FO132" s="3495" t="str">
        <f t="shared" ref="FO132:FP132" si="496">FO22</f>
        <v>Solar Photovoltaic (Thin-Film) 100 MW</v>
      </c>
      <c r="FP132" s="3496">
        <f t="shared" si="496"/>
        <v>100</v>
      </c>
      <c r="FQ132" s="3733">
        <f t="shared" si="458"/>
        <v>0</v>
      </c>
      <c r="FR132" s="3693">
        <f t="shared" si="459"/>
        <v>0</v>
      </c>
      <c r="FS132" s="3733">
        <f t="shared" si="460"/>
        <v>0</v>
      </c>
      <c r="FT132" s="3693">
        <f t="shared" si="461"/>
        <v>0</v>
      </c>
      <c r="FU132" s="3733">
        <f t="shared" si="462"/>
        <v>0</v>
      </c>
      <c r="FV132" s="3734">
        <f t="shared" si="463"/>
        <v>0</v>
      </c>
      <c r="FW132" s="2366"/>
      <c r="FX132" s="2334"/>
    </row>
    <row r="133" spans="1:180">
      <c r="A133" s="2272"/>
      <c r="B133" s="2272"/>
      <c r="C133" s="2272"/>
      <c r="D133" s="9"/>
      <c r="E133" s="2272"/>
      <c r="F133" s="2276"/>
      <c r="G133" s="2276"/>
      <c r="H133" s="2276"/>
      <c r="I133" s="2276"/>
      <c r="J133" s="2276"/>
      <c r="K133" s="2276"/>
      <c r="L133" s="2276"/>
      <c r="M133" s="2276"/>
      <c r="N133" s="9"/>
      <c r="O133" s="9"/>
      <c r="P133" s="9"/>
      <c r="Q133" s="9"/>
      <c r="R133" s="9"/>
      <c r="S133" s="9"/>
      <c r="T133" s="2332"/>
      <c r="U133" s="9"/>
      <c r="V133" s="3495" t="str">
        <f t="shared" si="464"/>
        <v>Solar Photovoltaic (Single Axis) 100 MW</v>
      </c>
      <c r="W133" s="3496">
        <f t="shared" si="464"/>
        <v>100</v>
      </c>
      <c r="X133" s="3497">
        <f t="shared" si="465"/>
        <v>241.22138624385215</v>
      </c>
      <c r="Y133" s="3498">
        <f t="shared" si="430"/>
        <v>109.00119040016068</v>
      </c>
      <c r="Z133" s="3499">
        <f t="shared" si="466"/>
        <v>10.900119040016069</v>
      </c>
      <c r="AA133" s="3497">
        <f t="shared" si="431"/>
        <v>365.48058285445506</v>
      </c>
      <c r="AB133" s="3498">
        <f t="shared" si="432"/>
        <v>165.22061905806481</v>
      </c>
      <c r="AC133" s="3499">
        <f t="shared" si="467"/>
        <v>16.522061905806481</v>
      </c>
      <c r="AD133" s="3497">
        <f t="shared" si="480"/>
        <v>254.52484188521879</v>
      </c>
      <c r="AE133" s="3498">
        <f t="shared" si="481"/>
        <v>116.56775584366005</v>
      </c>
      <c r="AF133" s="3500">
        <f t="shared" si="482"/>
        <v>11.656775584366006</v>
      </c>
      <c r="AG133" s="9"/>
      <c r="AH133" s="9"/>
      <c r="AI133" s="9"/>
      <c r="AU133" s="2"/>
      <c r="AV133" s="2"/>
      <c r="AW133" s="2"/>
      <c r="AX133" s="2"/>
      <c r="AY133" s="2"/>
      <c r="AZ133" s="2"/>
      <c r="BA133" s="2"/>
      <c r="BB133" s="2"/>
      <c r="BC133" s="2"/>
      <c r="BD133" s="1370"/>
      <c r="BE133" s="2"/>
      <c r="BF133" s="2"/>
      <c r="BG133" s="2330"/>
      <c r="BH133" s="2"/>
      <c r="BI133" s="2"/>
      <c r="BJ133" s="3515" t="str">
        <f t="shared" si="435"/>
        <v>Solar Photovoltaic (Single Axis) 100 MW</v>
      </c>
      <c r="BK133" s="3516">
        <f t="shared" si="435"/>
        <v>100</v>
      </c>
      <c r="BL133" s="3517">
        <f t="shared" si="436"/>
        <v>241.22138624385215</v>
      </c>
      <c r="BM133" s="3518">
        <f t="shared" si="437"/>
        <v>109.00119040016068</v>
      </c>
      <c r="BN133" s="3518">
        <f t="shared" si="438"/>
        <v>10.900119040016069</v>
      </c>
      <c r="BO133" s="3517">
        <f t="shared" si="439"/>
        <v>365.48058285445506</v>
      </c>
      <c r="BP133" s="3518">
        <f t="shared" si="440"/>
        <v>165.22061905806481</v>
      </c>
      <c r="BQ133" s="3519">
        <f t="shared" si="441"/>
        <v>16.522061905806481</v>
      </c>
      <c r="BR133" s="3517">
        <f t="shared" si="483"/>
        <v>254.52484188521879</v>
      </c>
      <c r="BS133" s="3518">
        <f t="shared" si="484"/>
        <v>116.56775584366005</v>
      </c>
      <c r="BT133" s="3520">
        <f t="shared" si="485"/>
        <v>11.656775584366006</v>
      </c>
      <c r="BU133" s="2332"/>
      <c r="BV133" s="2332"/>
      <c r="BW133" s="2332"/>
      <c r="BX133" s="2332"/>
      <c r="BY133" s="2332"/>
      <c r="BZ133" s="2332"/>
      <c r="CA133" s="2332"/>
      <c r="CB133" s="2332"/>
      <c r="CU133" s="2334"/>
      <c r="CV133" s="2334"/>
      <c r="CX133" s="3723" t="str">
        <f t="shared" si="445"/>
        <v>Solar Photovoltaic (Single Axis) 100 MW</v>
      </c>
      <c r="CY133" s="3724">
        <f t="shared" si="445"/>
        <v>100</v>
      </c>
      <c r="CZ133" s="3725">
        <f t="shared" si="469"/>
        <v>0</v>
      </c>
      <c r="DA133" s="3726">
        <f t="shared" si="470"/>
        <v>0</v>
      </c>
      <c r="DB133" s="3727">
        <f t="shared" si="471"/>
        <v>0</v>
      </c>
      <c r="DC133" s="3725">
        <f t="shared" si="472"/>
        <v>0</v>
      </c>
      <c r="DD133" s="3726">
        <f t="shared" si="446"/>
        <v>0</v>
      </c>
      <c r="DE133" s="3726">
        <f t="shared" si="447"/>
        <v>0</v>
      </c>
      <c r="DF133" s="3725">
        <f t="shared" si="473"/>
        <v>0</v>
      </c>
      <c r="DG133" s="3726">
        <f t="shared" si="477"/>
        <v>0</v>
      </c>
      <c r="DH133" s="3727">
        <f t="shared" si="478"/>
        <v>0</v>
      </c>
      <c r="DI133" s="2372"/>
      <c r="DJ133" s="2334"/>
      <c r="DK133" s="2334"/>
      <c r="DS133" s="2330"/>
      <c r="DT133" s="2330"/>
      <c r="DU133" s="2330"/>
      <c r="DV133" s="2330"/>
      <c r="DW133" s="2330"/>
      <c r="DX133" s="2330"/>
      <c r="DY133" s="2330"/>
      <c r="DZ133" s="2330"/>
      <c r="EA133" s="2330"/>
      <c r="EB133" s="2330"/>
      <c r="EC133" s="2330"/>
      <c r="ED133" s="2366"/>
      <c r="EE133" s="2366"/>
      <c r="EF133" s="2334"/>
      <c r="EJ133" s="3495" t="str">
        <f t="shared" si="450"/>
        <v>Solar Photovoltaic (Single Axis) 100 MW</v>
      </c>
      <c r="EK133" s="3496">
        <f t="shared" si="450"/>
        <v>100</v>
      </c>
      <c r="EL133" s="3733">
        <f t="shared" si="451"/>
        <v>0</v>
      </c>
      <c r="EM133" s="3693">
        <f t="shared" si="452"/>
        <v>0</v>
      </c>
      <c r="EN133" s="3733">
        <f t="shared" si="453"/>
        <v>0</v>
      </c>
      <c r="EO133" s="3693">
        <f t="shared" si="454"/>
        <v>0</v>
      </c>
      <c r="EP133" s="3733">
        <f t="shared" si="486"/>
        <v>0</v>
      </c>
      <c r="EQ133" s="3734">
        <f t="shared" si="487"/>
        <v>0</v>
      </c>
      <c r="ER133" s="2366"/>
      <c r="ES133" s="2334"/>
      <c r="EU133"/>
      <c r="EY133" s="2330"/>
      <c r="EZ133" s="2330"/>
      <c r="FA133" s="2330"/>
      <c r="FB133" s="2330"/>
      <c r="FC133" s="2330"/>
      <c r="FD133" s="2330"/>
      <c r="FE133" s="2330"/>
      <c r="FF133" s="2330"/>
      <c r="FG133" s="2330"/>
      <c r="FH133" s="2330"/>
      <c r="FI133" s="2366"/>
      <c r="FJ133" s="2366"/>
      <c r="FK133" s="2334"/>
      <c r="FO133" s="3495" t="str">
        <f t="shared" ref="FO133:FP133" si="497">FO23</f>
        <v>Solar Photovoltaic (Single Axis) 100 MW</v>
      </c>
      <c r="FP133" s="3496">
        <f t="shared" si="497"/>
        <v>100</v>
      </c>
      <c r="FQ133" s="3733">
        <f t="shared" si="458"/>
        <v>0</v>
      </c>
      <c r="FR133" s="3693">
        <f t="shared" si="459"/>
        <v>0</v>
      </c>
      <c r="FS133" s="3733">
        <f t="shared" si="460"/>
        <v>0</v>
      </c>
      <c r="FT133" s="3693">
        <f t="shared" si="461"/>
        <v>0</v>
      </c>
      <c r="FU133" s="3733">
        <f t="shared" si="462"/>
        <v>0</v>
      </c>
      <c r="FV133" s="3734">
        <f t="shared" si="463"/>
        <v>0</v>
      </c>
      <c r="FW133" s="2366"/>
      <c r="FX133" s="2334"/>
    </row>
    <row r="134" spans="1:180">
      <c r="A134" s="2272"/>
      <c r="B134" s="2272"/>
      <c r="C134" s="2272"/>
      <c r="D134" s="9"/>
      <c r="E134" s="2272"/>
      <c r="F134" s="2276"/>
      <c r="G134" s="2276"/>
      <c r="H134" s="2276"/>
      <c r="I134" s="2276"/>
      <c r="J134" s="2276"/>
      <c r="K134" s="2276"/>
      <c r="L134" s="2276"/>
      <c r="M134" s="2276"/>
      <c r="N134" s="9"/>
      <c r="O134" s="9"/>
      <c r="P134" s="9"/>
      <c r="Q134" s="9"/>
      <c r="R134" s="9"/>
      <c r="S134" s="9"/>
      <c r="T134" s="2332"/>
      <c r="U134" s="9"/>
      <c r="V134" s="3495" t="str">
        <f t="shared" si="464"/>
        <v>Solar Photovoltaic (Thin-Film) 20 MW</v>
      </c>
      <c r="W134" s="3496">
        <f t="shared" si="464"/>
        <v>20</v>
      </c>
      <c r="X134" s="3497">
        <f t="shared" si="465"/>
        <v>224.2106009829202</v>
      </c>
      <c r="Y134" s="3498">
        <f t="shared" si="430"/>
        <v>121.31292820026667</v>
      </c>
      <c r="Z134" s="3499">
        <f t="shared" si="466"/>
        <v>12.131292820026667</v>
      </c>
      <c r="AA134" s="3497">
        <f t="shared" si="431"/>
        <v>344.4580470312643</v>
      </c>
      <c r="AB134" s="3498">
        <f t="shared" si="432"/>
        <v>186.51036442456268</v>
      </c>
      <c r="AC134" s="3499">
        <f t="shared" si="467"/>
        <v>18.651036442456267</v>
      </c>
      <c r="AD134" s="3497">
        <f t="shared" si="480"/>
        <v>239.16251403844819</v>
      </c>
      <c r="AE134" s="3498">
        <f t="shared" si="481"/>
        <v>132.41845489171709</v>
      </c>
      <c r="AF134" s="3500">
        <f t="shared" si="482"/>
        <v>13.241845489171709</v>
      </c>
      <c r="AG134" s="9"/>
      <c r="AH134" s="9"/>
      <c r="AI134" s="9"/>
      <c r="AU134" s="2"/>
      <c r="AV134" s="2"/>
      <c r="AW134" s="2"/>
      <c r="AX134" s="2"/>
      <c r="AY134" s="2"/>
      <c r="AZ134" s="2"/>
      <c r="BA134" s="2"/>
      <c r="BB134" s="2"/>
      <c r="BC134" s="2"/>
      <c r="BD134" s="1370"/>
      <c r="BE134" s="2"/>
      <c r="BF134" s="2"/>
      <c r="BG134" s="2330"/>
      <c r="BH134" s="2"/>
      <c r="BI134" s="2"/>
      <c r="BJ134" s="3515" t="str">
        <f t="shared" si="435"/>
        <v>Solar Photovoltaic (Thin-Film) 20 MW</v>
      </c>
      <c r="BK134" s="3516">
        <f t="shared" si="435"/>
        <v>20</v>
      </c>
      <c r="BL134" s="3517">
        <f t="shared" si="436"/>
        <v>224.2106009829202</v>
      </c>
      <c r="BM134" s="3518">
        <f t="shared" si="437"/>
        <v>121.31292820026667</v>
      </c>
      <c r="BN134" s="3518">
        <f t="shared" si="438"/>
        <v>12.131292820026667</v>
      </c>
      <c r="BO134" s="3517">
        <f t="shared" si="439"/>
        <v>344.4580470312643</v>
      </c>
      <c r="BP134" s="3518">
        <f t="shared" si="440"/>
        <v>186.51036442456268</v>
      </c>
      <c r="BQ134" s="3519">
        <f t="shared" si="441"/>
        <v>18.651036442456267</v>
      </c>
      <c r="BR134" s="3517">
        <f t="shared" si="483"/>
        <v>239.16251403844819</v>
      </c>
      <c r="BS134" s="3518">
        <f t="shared" si="484"/>
        <v>132.41845489171709</v>
      </c>
      <c r="BT134" s="3520">
        <f t="shared" si="485"/>
        <v>13.241845489171709</v>
      </c>
      <c r="BU134" s="2332"/>
      <c r="BV134" s="2332"/>
      <c r="BW134" s="2332"/>
      <c r="BX134" s="2332"/>
      <c r="BY134" s="2332"/>
      <c r="BZ134" s="2332"/>
      <c r="CA134" s="2332"/>
      <c r="CB134" s="2332"/>
      <c r="CU134" s="2334"/>
      <c r="CV134" s="2334"/>
      <c r="CX134" s="3723" t="str">
        <f t="shared" si="445"/>
        <v>Solar Photovoltaic (Thin-Film) 20 MW</v>
      </c>
      <c r="CY134" s="3724">
        <f t="shared" si="445"/>
        <v>20</v>
      </c>
      <c r="CZ134" s="3725">
        <f t="shared" si="469"/>
        <v>0</v>
      </c>
      <c r="DA134" s="3726">
        <f t="shared" si="470"/>
        <v>0</v>
      </c>
      <c r="DB134" s="3727">
        <f t="shared" si="471"/>
        <v>0</v>
      </c>
      <c r="DC134" s="3725">
        <f t="shared" si="472"/>
        <v>0</v>
      </c>
      <c r="DD134" s="3726">
        <f t="shared" si="446"/>
        <v>0</v>
      </c>
      <c r="DE134" s="3726">
        <f t="shared" si="447"/>
        <v>0</v>
      </c>
      <c r="DF134" s="3725">
        <f t="shared" si="473"/>
        <v>0</v>
      </c>
      <c r="DG134" s="3726">
        <f t="shared" si="477"/>
        <v>0</v>
      </c>
      <c r="DH134" s="3727">
        <f t="shared" si="478"/>
        <v>0</v>
      </c>
      <c r="DI134" s="2372"/>
      <c r="DJ134" s="2334"/>
      <c r="DK134" s="2334"/>
      <c r="DS134" s="2330"/>
      <c r="DT134" s="2330"/>
      <c r="DU134" s="2330"/>
      <c r="DV134" s="2330"/>
      <c r="DW134" s="2330"/>
      <c r="DX134" s="2330"/>
      <c r="DY134" s="2330"/>
      <c r="DZ134" s="2330"/>
      <c r="EA134" s="2330"/>
      <c r="EB134" s="2330"/>
      <c r="EC134" s="2330"/>
      <c r="ED134" s="2366"/>
      <c r="EE134" s="2366"/>
      <c r="EF134" s="2334"/>
      <c r="EJ134" s="3495" t="str">
        <f t="shared" si="450"/>
        <v>Solar Photovoltaic (Thin-Film) 20 MW</v>
      </c>
      <c r="EK134" s="3496">
        <f t="shared" si="450"/>
        <v>20</v>
      </c>
      <c r="EL134" s="3733">
        <f t="shared" si="451"/>
        <v>0</v>
      </c>
      <c r="EM134" s="3693">
        <f t="shared" si="452"/>
        <v>0</v>
      </c>
      <c r="EN134" s="3733">
        <f t="shared" si="453"/>
        <v>0</v>
      </c>
      <c r="EO134" s="3693">
        <f t="shared" si="454"/>
        <v>0</v>
      </c>
      <c r="EP134" s="3733">
        <f t="shared" si="486"/>
        <v>0</v>
      </c>
      <c r="EQ134" s="3734">
        <f t="shared" si="487"/>
        <v>0</v>
      </c>
      <c r="ER134" s="2366"/>
      <c r="ES134" s="2334"/>
      <c r="EU134"/>
      <c r="EY134" s="2330"/>
      <c r="EZ134" s="2330"/>
      <c r="FA134" s="2330"/>
      <c r="FB134" s="2330"/>
      <c r="FC134" s="2330"/>
      <c r="FD134" s="2330"/>
      <c r="FE134" s="2330"/>
      <c r="FF134" s="2330"/>
      <c r="FG134" s="2330"/>
      <c r="FH134" s="2330"/>
      <c r="FI134" s="2366"/>
      <c r="FJ134" s="2366"/>
      <c r="FK134" s="2334"/>
      <c r="FO134" s="3495" t="str">
        <f t="shared" ref="FO134:FP134" si="498">FO24</f>
        <v>Solar Photovoltaic (Thin-Film) 20 MW</v>
      </c>
      <c r="FP134" s="3496">
        <f t="shared" si="498"/>
        <v>20</v>
      </c>
      <c r="FQ134" s="3733">
        <f t="shared" si="458"/>
        <v>0</v>
      </c>
      <c r="FR134" s="3693">
        <f t="shared" si="459"/>
        <v>0</v>
      </c>
      <c r="FS134" s="3733">
        <f t="shared" si="460"/>
        <v>0</v>
      </c>
      <c r="FT134" s="3693">
        <f t="shared" si="461"/>
        <v>0</v>
      </c>
      <c r="FU134" s="3733">
        <f t="shared" si="462"/>
        <v>0</v>
      </c>
      <c r="FV134" s="3734">
        <f t="shared" si="463"/>
        <v>0</v>
      </c>
      <c r="FW134" s="2366"/>
      <c r="FX134" s="2334"/>
    </row>
    <row r="135" spans="1:180">
      <c r="A135" s="2272"/>
      <c r="B135" s="2272"/>
      <c r="C135" s="2272"/>
      <c r="D135" s="9"/>
      <c r="E135" s="2272"/>
      <c r="F135" s="2276"/>
      <c r="G135" s="2276"/>
      <c r="H135" s="2276"/>
      <c r="I135" s="2276"/>
      <c r="J135" s="2276"/>
      <c r="K135" s="2276"/>
      <c r="L135" s="2276"/>
      <c r="M135" s="2276"/>
      <c r="N135" s="9"/>
      <c r="O135" s="9"/>
      <c r="P135" s="9"/>
      <c r="Q135" s="9"/>
      <c r="R135" s="9"/>
      <c r="S135" s="9"/>
      <c r="T135" s="2332"/>
      <c r="U135" s="9"/>
      <c r="V135" s="3495" t="str">
        <f t="shared" si="464"/>
        <v>Solar Photovoltaic (Single Axis) 20 MW</v>
      </c>
      <c r="W135" s="3496">
        <f t="shared" si="464"/>
        <v>20</v>
      </c>
      <c r="X135" s="3497">
        <f t="shared" si="465"/>
        <v>259.51841292339236</v>
      </c>
      <c r="Y135" s="3498">
        <f t="shared" si="430"/>
        <v>117.74246134159394</v>
      </c>
      <c r="Z135" s="3499">
        <f t="shared" si="466"/>
        <v>11.774246134159394</v>
      </c>
      <c r="AA135" s="3497">
        <f t="shared" si="431"/>
        <v>394.71428680207009</v>
      </c>
      <c r="AB135" s="3498">
        <f t="shared" si="432"/>
        <v>179.15638223223905</v>
      </c>
      <c r="AC135" s="3499">
        <f t="shared" si="467"/>
        <v>17.915638223223905</v>
      </c>
      <c r="AD135" s="3497">
        <f t="shared" si="480"/>
        <v>273.71973855281078</v>
      </c>
      <c r="AE135" s="3498">
        <f t="shared" si="481"/>
        <v>125.86468040208504</v>
      </c>
      <c r="AF135" s="3500">
        <f t="shared" si="482"/>
        <v>12.586468040208505</v>
      </c>
      <c r="AG135" s="9"/>
      <c r="AH135" s="9"/>
      <c r="AI135" s="9"/>
      <c r="AU135" s="2"/>
      <c r="AV135" s="2"/>
      <c r="AW135" s="2"/>
      <c r="AX135" s="2"/>
      <c r="AY135" s="2"/>
      <c r="AZ135" s="2"/>
      <c r="BA135" s="2"/>
      <c r="BB135" s="2"/>
      <c r="BC135" s="2"/>
      <c r="BD135" s="1370"/>
      <c r="BE135" s="2"/>
      <c r="BF135" s="2"/>
      <c r="BG135" s="2330"/>
      <c r="BH135" s="2"/>
      <c r="BI135" s="2"/>
      <c r="BJ135" s="3515" t="str">
        <f t="shared" si="435"/>
        <v>Solar Photovoltaic (Single Axis) 20 MW</v>
      </c>
      <c r="BK135" s="3516">
        <f t="shared" si="435"/>
        <v>20</v>
      </c>
      <c r="BL135" s="3517">
        <f t="shared" si="436"/>
        <v>259.51841292339236</v>
      </c>
      <c r="BM135" s="3518">
        <f t="shared" si="437"/>
        <v>117.74246134159394</v>
      </c>
      <c r="BN135" s="3518">
        <f t="shared" si="438"/>
        <v>11.774246134159394</v>
      </c>
      <c r="BO135" s="3517">
        <f t="shared" si="439"/>
        <v>394.71428680207009</v>
      </c>
      <c r="BP135" s="3518">
        <f t="shared" si="440"/>
        <v>179.15638223223905</v>
      </c>
      <c r="BQ135" s="3519">
        <f t="shared" si="441"/>
        <v>17.915638223223905</v>
      </c>
      <c r="BR135" s="3517">
        <f t="shared" si="483"/>
        <v>273.71973855281078</v>
      </c>
      <c r="BS135" s="3518">
        <f t="shared" si="484"/>
        <v>125.86468040208504</v>
      </c>
      <c r="BT135" s="3520">
        <f t="shared" si="485"/>
        <v>12.586468040208505</v>
      </c>
      <c r="BU135" s="2332"/>
      <c r="BV135" s="2332"/>
      <c r="BW135" s="2332"/>
      <c r="BX135" s="2332"/>
      <c r="BY135" s="2332"/>
      <c r="BZ135" s="2332"/>
      <c r="CA135" s="2332"/>
      <c r="CB135" s="2332"/>
      <c r="CU135" s="2334"/>
      <c r="CV135" s="2334"/>
      <c r="CX135" s="3723" t="str">
        <f t="shared" si="445"/>
        <v>Solar Photovoltaic (Single Axis) 20 MW</v>
      </c>
      <c r="CY135" s="3724">
        <f t="shared" si="445"/>
        <v>20</v>
      </c>
      <c r="CZ135" s="3725">
        <f t="shared" si="469"/>
        <v>0</v>
      </c>
      <c r="DA135" s="3726">
        <f t="shared" si="470"/>
        <v>0</v>
      </c>
      <c r="DB135" s="3727">
        <f t="shared" si="471"/>
        <v>0</v>
      </c>
      <c r="DC135" s="3725">
        <f t="shared" si="472"/>
        <v>0</v>
      </c>
      <c r="DD135" s="3726">
        <f t="shared" si="446"/>
        <v>0</v>
      </c>
      <c r="DE135" s="3726">
        <f t="shared" si="447"/>
        <v>0</v>
      </c>
      <c r="DF135" s="3725">
        <f t="shared" si="473"/>
        <v>0</v>
      </c>
      <c r="DG135" s="3726">
        <f t="shared" si="477"/>
        <v>0</v>
      </c>
      <c r="DH135" s="3727">
        <f t="shared" si="478"/>
        <v>0</v>
      </c>
      <c r="DI135" s="2372"/>
      <c r="DJ135" s="2334"/>
      <c r="DK135" s="2334"/>
      <c r="DS135" s="2330"/>
      <c r="DT135" s="2330"/>
      <c r="DU135" s="2330"/>
      <c r="DV135" s="2330"/>
      <c r="DW135" s="2330"/>
      <c r="DX135" s="2330"/>
      <c r="DY135" s="2330"/>
      <c r="DZ135" s="2330"/>
      <c r="EA135" s="2330"/>
      <c r="EB135" s="2330"/>
      <c r="EC135" s="2330"/>
      <c r="ED135" s="2366"/>
      <c r="EE135" s="2366"/>
      <c r="EF135" s="2334"/>
      <c r="EJ135" s="3495" t="str">
        <f t="shared" si="450"/>
        <v>Solar Photovoltaic (Single Axis) 20 MW</v>
      </c>
      <c r="EK135" s="3496">
        <f t="shared" si="450"/>
        <v>20</v>
      </c>
      <c r="EL135" s="3733">
        <f t="shared" si="451"/>
        <v>0</v>
      </c>
      <c r="EM135" s="3693">
        <f t="shared" si="452"/>
        <v>0</v>
      </c>
      <c r="EN135" s="3733">
        <f t="shared" si="453"/>
        <v>0</v>
      </c>
      <c r="EO135" s="3693">
        <f t="shared" si="454"/>
        <v>0</v>
      </c>
      <c r="EP135" s="3733">
        <f t="shared" si="486"/>
        <v>0</v>
      </c>
      <c r="EQ135" s="3734">
        <f t="shared" si="487"/>
        <v>0</v>
      </c>
      <c r="ER135" s="2366"/>
      <c r="ES135" s="2334"/>
      <c r="EU135"/>
      <c r="EY135" s="2330"/>
      <c r="EZ135" s="2330"/>
      <c r="FA135" s="2330"/>
      <c r="FB135" s="2330"/>
      <c r="FC135" s="2330"/>
      <c r="FD135" s="2330"/>
      <c r="FE135" s="2330"/>
      <c r="FF135" s="2330"/>
      <c r="FG135" s="2330"/>
      <c r="FH135" s="2330"/>
      <c r="FI135" s="2366"/>
      <c r="FJ135" s="2366"/>
      <c r="FK135" s="2334"/>
      <c r="FO135" s="3495" t="str">
        <f t="shared" ref="FO135:FP135" si="499">FO25</f>
        <v>Solar Photovoltaic (Single Axis) 20 MW</v>
      </c>
      <c r="FP135" s="3496">
        <f t="shared" si="499"/>
        <v>20</v>
      </c>
      <c r="FQ135" s="3733">
        <f t="shared" si="458"/>
        <v>0</v>
      </c>
      <c r="FR135" s="3693">
        <f t="shared" si="459"/>
        <v>0</v>
      </c>
      <c r="FS135" s="3733">
        <f t="shared" si="460"/>
        <v>0</v>
      </c>
      <c r="FT135" s="3693">
        <f t="shared" si="461"/>
        <v>0</v>
      </c>
      <c r="FU135" s="3733">
        <f t="shared" si="462"/>
        <v>0</v>
      </c>
      <c r="FV135" s="3734">
        <f t="shared" si="463"/>
        <v>0</v>
      </c>
      <c r="FW135" s="2366"/>
      <c r="FX135" s="2334"/>
    </row>
    <row r="136" spans="1:180">
      <c r="A136" s="2272"/>
      <c r="B136" s="2272"/>
      <c r="C136" s="2272"/>
      <c r="D136" s="9"/>
      <c r="E136" s="2272"/>
      <c r="F136" s="2276"/>
      <c r="G136" s="2276"/>
      <c r="H136" s="2276"/>
      <c r="I136" s="2276"/>
      <c r="J136" s="2276"/>
      <c r="K136" s="2276"/>
      <c r="L136" s="2276"/>
      <c r="M136" s="2276"/>
      <c r="N136" s="9"/>
      <c r="O136" s="9"/>
      <c r="P136" s="9"/>
      <c r="Q136" s="9"/>
      <c r="R136" s="9"/>
      <c r="S136" s="9"/>
      <c r="T136" s="2332"/>
      <c r="U136" s="9"/>
      <c r="V136" s="3503" t="str">
        <f t="shared" ref="V136:W149" si="500">IF(V26=0,"",V26)</f>
        <v>Wind - Class 3 100 MW</v>
      </c>
      <c r="W136" s="3504">
        <f t="shared" si="500"/>
        <v>100</v>
      </c>
      <c r="X136" s="3505">
        <f t="shared" si="465"/>
        <v>181.74513191955248</v>
      </c>
      <c r="Y136" s="3499">
        <f t="shared" si="430"/>
        <v>85.120843606531494</v>
      </c>
      <c r="Z136" s="3499">
        <f t="shared" si="466"/>
        <v>8.5120843606531498</v>
      </c>
      <c r="AA136" s="3505">
        <f t="shared" si="431"/>
        <v>223.75358365968711</v>
      </c>
      <c r="AB136" s="3499">
        <f t="shared" si="432"/>
        <v>104.74251487189143</v>
      </c>
      <c r="AC136" s="3499">
        <f t="shared" si="467"/>
        <v>10.474251487189143</v>
      </c>
      <c r="AD136" s="3497">
        <f t="shared" si="480"/>
        <v>160.7699258205763</v>
      </c>
      <c r="AE136" s="3498">
        <f t="shared" si="481"/>
        <v>75.796909124563257</v>
      </c>
      <c r="AF136" s="3500">
        <f t="shared" si="482"/>
        <v>7.5796909124563259</v>
      </c>
      <c r="AG136" s="9"/>
      <c r="AH136" s="9"/>
      <c r="AI136" s="9"/>
      <c r="AU136" s="2"/>
      <c r="AV136" s="2"/>
      <c r="AW136" s="2"/>
      <c r="AX136" s="2"/>
      <c r="AY136" s="2"/>
      <c r="AZ136" s="2"/>
      <c r="BA136" s="2"/>
      <c r="BB136" s="2"/>
      <c r="BC136" s="2"/>
      <c r="BD136" s="1370"/>
      <c r="BE136" s="2"/>
      <c r="BF136" s="2"/>
      <c r="BG136" s="2330"/>
      <c r="BH136" s="2"/>
      <c r="BI136" s="2"/>
      <c r="BJ136" s="3515" t="str">
        <f t="shared" ref="BJ136:BK140" si="501">IF(BJ26=0,"",BJ26)</f>
        <v>Wind - Class 3 100 MW</v>
      </c>
      <c r="BK136" s="3516">
        <f t="shared" si="501"/>
        <v>100</v>
      </c>
      <c r="BL136" s="3517">
        <f>IF(BG26=0,"",BG26)</f>
        <v>181.74513191955248</v>
      </c>
      <c r="BM136" s="3518">
        <f t="shared" si="437"/>
        <v>85.120843606531494</v>
      </c>
      <c r="BN136" s="3518">
        <f t="shared" ref="BM136:BN140" si="502">IF(BX26=0,"",BX26)</f>
        <v>8.5120843606531498</v>
      </c>
      <c r="BO136" s="3517">
        <f>IF(BG63=0,"",BG63)</f>
        <v>223.75358365968711</v>
      </c>
      <c r="BP136" s="3518">
        <f t="shared" ref="BP136:BQ140" si="503">IF(BW63=0,"",BW63)</f>
        <v>104.74251487189143</v>
      </c>
      <c r="BQ136" s="3519">
        <f t="shared" si="503"/>
        <v>10.474251487189143</v>
      </c>
      <c r="BR136" s="3517">
        <f t="shared" si="483"/>
        <v>160.7699258205763</v>
      </c>
      <c r="BS136" s="3518">
        <f t="shared" si="484"/>
        <v>75.796909124563257</v>
      </c>
      <c r="BT136" s="3520">
        <f t="shared" si="485"/>
        <v>7.5796909124563259</v>
      </c>
      <c r="BU136" s="2332"/>
      <c r="BV136" s="2332"/>
      <c r="BW136" s="2332"/>
      <c r="BX136" s="2332"/>
      <c r="BY136" s="2332"/>
      <c r="BZ136" s="2332"/>
      <c r="CA136" s="2332"/>
      <c r="CB136" s="2332"/>
      <c r="CU136" s="2334"/>
      <c r="CV136" s="2334"/>
      <c r="CX136" s="3723" t="str">
        <f t="shared" si="445"/>
        <v>Wind - Class 3 100 MW</v>
      </c>
      <c r="CY136" s="3724">
        <f t="shared" si="445"/>
        <v>100</v>
      </c>
      <c r="CZ136" s="3725">
        <f t="shared" si="469"/>
        <v>0</v>
      </c>
      <c r="DA136" s="3726">
        <f t="shared" si="470"/>
        <v>0</v>
      </c>
      <c r="DB136" s="3727">
        <f t="shared" si="471"/>
        <v>0</v>
      </c>
      <c r="DC136" s="3725">
        <f t="shared" si="472"/>
        <v>0</v>
      </c>
      <c r="DD136" s="3726">
        <f t="shared" si="446"/>
        <v>0</v>
      </c>
      <c r="DE136" s="3726">
        <f t="shared" si="447"/>
        <v>0</v>
      </c>
      <c r="DF136" s="3725">
        <f t="shared" si="473"/>
        <v>0</v>
      </c>
      <c r="DG136" s="3726">
        <f t="shared" si="477"/>
        <v>0</v>
      </c>
      <c r="DH136" s="3727">
        <f t="shared" si="478"/>
        <v>0</v>
      </c>
      <c r="DI136" s="2372"/>
      <c r="DJ136" s="2334"/>
      <c r="DK136" s="2334"/>
      <c r="DS136" s="2330"/>
      <c r="DT136" s="2330"/>
      <c r="DU136" s="2330"/>
      <c r="DV136" s="2330"/>
      <c r="DW136" s="2330"/>
      <c r="DX136" s="2330"/>
      <c r="DY136" s="2330"/>
      <c r="DZ136" s="2330"/>
      <c r="EA136" s="2330"/>
      <c r="EB136" s="2330"/>
      <c r="EC136" s="2330"/>
      <c r="ED136" s="2366"/>
      <c r="EE136" s="2366"/>
      <c r="EF136" s="2334"/>
      <c r="EJ136" s="3495" t="str">
        <f t="shared" si="450"/>
        <v>Wind - Class 3 100 MW</v>
      </c>
      <c r="EK136" s="3496">
        <f t="shared" si="450"/>
        <v>100</v>
      </c>
      <c r="EL136" s="3733">
        <f t="shared" si="451"/>
        <v>0</v>
      </c>
      <c r="EM136" s="3693">
        <f t="shared" si="452"/>
        <v>0</v>
      </c>
      <c r="EN136" s="3733">
        <f>EG63</f>
        <v>0</v>
      </c>
      <c r="EO136" s="3693">
        <f>EW63</f>
        <v>0</v>
      </c>
      <c r="EP136" s="3733">
        <f t="shared" si="486"/>
        <v>0</v>
      </c>
      <c r="EQ136" s="3734">
        <f t="shared" si="487"/>
        <v>0</v>
      </c>
      <c r="ER136" s="2366"/>
      <c r="ES136" s="2334"/>
      <c r="EU136"/>
      <c r="EY136" s="2330"/>
      <c r="EZ136" s="2330"/>
      <c r="FA136" s="2330"/>
      <c r="FB136" s="2330"/>
      <c r="FC136" s="2330"/>
      <c r="FD136" s="2330"/>
      <c r="FE136" s="2330"/>
      <c r="FF136" s="2330"/>
      <c r="FG136" s="2330"/>
      <c r="FH136" s="2330"/>
      <c r="FI136" s="2366"/>
      <c r="FJ136" s="2366"/>
      <c r="FK136" s="2334"/>
      <c r="FO136" s="3495" t="str">
        <f t="shared" ref="FO136:FP136" si="504">FO26</f>
        <v>Wind - Class 3 100 MW</v>
      </c>
      <c r="FP136" s="3496">
        <f t="shared" si="504"/>
        <v>100</v>
      </c>
      <c r="FQ136" s="3733">
        <f t="shared" si="458"/>
        <v>0</v>
      </c>
      <c r="FR136" s="3693">
        <f t="shared" si="459"/>
        <v>0</v>
      </c>
      <c r="FS136" s="3733">
        <f>FL63</f>
        <v>0</v>
      </c>
      <c r="FT136" s="3693">
        <f>GB63</f>
        <v>0</v>
      </c>
      <c r="FU136" s="3733">
        <f t="shared" si="462"/>
        <v>0</v>
      </c>
      <c r="FV136" s="3734">
        <f t="shared" si="463"/>
        <v>0</v>
      </c>
      <c r="FW136" s="2366"/>
      <c r="FX136" s="2334"/>
    </row>
    <row r="137" spans="1:180" ht="13.5" thickBot="1">
      <c r="A137" s="2272"/>
      <c r="B137" s="2272"/>
      <c r="C137" s="2272"/>
      <c r="D137" s="9"/>
      <c r="E137" s="2272"/>
      <c r="F137" s="2276"/>
      <c r="G137" s="2276"/>
      <c r="H137" s="2276"/>
      <c r="I137" s="2276"/>
      <c r="J137" s="2276"/>
      <c r="K137" s="2276"/>
      <c r="L137" s="2276"/>
      <c r="M137" s="2276"/>
      <c r="N137" s="9"/>
      <c r="O137" s="9"/>
      <c r="P137" s="9"/>
      <c r="Q137" s="9"/>
      <c r="R137" s="9"/>
      <c r="S137" s="9"/>
      <c r="T137" s="2332"/>
      <c r="U137" s="9"/>
      <c r="V137" s="3506" t="str">
        <f t="shared" si="500"/>
        <v>Wind - Class 4 100 MW</v>
      </c>
      <c r="W137" s="3507">
        <f t="shared" si="500"/>
        <v>100</v>
      </c>
      <c r="X137" s="3508">
        <f t="shared" si="465"/>
        <v>173.08122622314781</v>
      </c>
      <c r="Y137" s="3509">
        <f t="shared" si="430"/>
        <v>84.305602170913346</v>
      </c>
      <c r="Z137" s="3509">
        <f t="shared" si="466"/>
        <v>8.430560217091335</v>
      </c>
      <c r="AA137" s="3508">
        <f t="shared" si="431"/>
        <v>213.61195280913955</v>
      </c>
      <c r="AB137" s="3509">
        <f t="shared" si="432"/>
        <v>103.99486296082237</v>
      </c>
      <c r="AC137" s="3509">
        <f t="shared" si="467"/>
        <v>10.399486296082237</v>
      </c>
      <c r="AD137" s="3624">
        <f t="shared" si="480"/>
        <v>153.54894852425883</v>
      </c>
      <c r="AE137" s="3625">
        <f t="shared" si="481"/>
        <v>75.288192512277433</v>
      </c>
      <c r="AF137" s="3959">
        <f t="shared" si="482"/>
        <v>7.528819251227743</v>
      </c>
      <c r="AG137" s="9"/>
      <c r="AH137" s="9"/>
      <c r="AI137" s="9"/>
      <c r="AU137" s="2"/>
      <c r="AV137" s="2"/>
      <c r="AW137" s="2"/>
      <c r="AX137" s="2"/>
      <c r="AY137" s="2"/>
      <c r="AZ137" s="2"/>
      <c r="BA137" s="2"/>
      <c r="BB137" s="2"/>
      <c r="BC137" s="2"/>
      <c r="BD137" s="1370"/>
      <c r="BE137" s="2"/>
      <c r="BF137" s="2"/>
      <c r="BG137" s="2330"/>
      <c r="BH137" s="2"/>
      <c r="BI137" s="2"/>
      <c r="BJ137" s="3528" t="str">
        <f t="shared" si="501"/>
        <v>Wind - Class 4 100 MW</v>
      </c>
      <c r="BK137" s="3529">
        <f t="shared" si="501"/>
        <v>100</v>
      </c>
      <c r="BL137" s="3530">
        <f>IF(BG27=0,"",BG27)</f>
        <v>173.08122622314781</v>
      </c>
      <c r="BM137" s="3531">
        <f t="shared" si="437"/>
        <v>84.305602170913346</v>
      </c>
      <c r="BN137" s="3531">
        <f t="shared" si="502"/>
        <v>8.430560217091335</v>
      </c>
      <c r="BO137" s="3530">
        <f>IF(BG64=0,"",BG64)</f>
        <v>213.61195280913955</v>
      </c>
      <c r="BP137" s="3531">
        <f t="shared" si="503"/>
        <v>103.99486296082237</v>
      </c>
      <c r="BQ137" s="3532">
        <f t="shared" si="503"/>
        <v>10.399486296082237</v>
      </c>
      <c r="BR137" s="3530">
        <f t="shared" si="483"/>
        <v>153.54894852425883</v>
      </c>
      <c r="BS137" s="3531">
        <f t="shared" si="484"/>
        <v>75.288192512277433</v>
      </c>
      <c r="BT137" s="4271">
        <f t="shared" si="485"/>
        <v>7.528819251227743</v>
      </c>
      <c r="BU137" s="2332"/>
      <c r="BV137" s="2332"/>
      <c r="BW137" s="2332"/>
      <c r="BX137" s="2332"/>
      <c r="BY137" s="2332"/>
      <c r="BZ137" s="2332"/>
      <c r="CA137" s="2332"/>
      <c r="CB137" s="2332"/>
      <c r="CU137" s="2334"/>
      <c r="CV137" s="2334"/>
      <c r="CX137" s="3728" t="str">
        <f t="shared" si="445"/>
        <v>Wind - Class 4 100 MW</v>
      </c>
      <c r="CY137" s="3729">
        <f t="shared" si="445"/>
        <v>100</v>
      </c>
      <c r="CZ137" s="3730">
        <f t="shared" si="469"/>
        <v>0</v>
      </c>
      <c r="DA137" s="3731">
        <f t="shared" si="470"/>
        <v>0</v>
      </c>
      <c r="DB137" s="3732">
        <f t="shared" si="471"/>
        <v>0</v>
      </c>
      <c r="DC137" s="3730">
        <f t="shared" si="472"/>
        <v>0</v>
      </c>
      <c r="DD137" s="3731">
        <f t="shared" si="446"/>
        <v>0</v>
      </c>
      <c r="DE137" s="3731">
        <f t="shared" si="447"/>
        <v>0</v>
      </c>
      <c r="DF137" s="3725">
        <f t="shared" si="473"/>
        <v>0</v>
      </c>
      <c r="DG137" s="3726">
        <f t="shared" si="477"/>
        <v>0</v>
      </c>
      <c r="DH137" s="3727">
        <f t="shared" si="478"/>
        <v>0</v>
      </c>
      <c r="DI137" s="2372"/>
      <c r="DJ137" s="2334"/>
      <c r="DK137" s="2334"/>
      <c r="DS137" s="2330"/>
      <c r="DT137" s="2330"/>
      <c r="DU137" s="2330"/>
      <c r="DV137" s="2330"/>
      <c r="DW137" s="2330"/>
      <c r="DX137" s="2330"/>
      <c r="DY137" s="2330"/>
      <c r="DZ137" s="2330"/>
      <c r="EA137" s="2330"/>
      <c r="EB137" s="2330"/>
      <c r="EC137" s="2330"/>
      <c r="ED137" s="2366"/>
      <c r="EE137" s="2366"/>
      <c r="EF137" s="2334"/>
      <c r="EJ137" s="3735" t="str">
        <f t="shared" si="450"/>
        <v>Wind - Class 4 100 MW</v>
      </c>
      <c r="EK137" s="3736">
        <f t="shared" si="450"/>
        <v>100</v>
      </c>
      <c r="EL137" s="3737">
        <f t="shared" si="451"/>
        <v>0</v>
      </c>
      <c r="EM137" s="3694">
        <f t="shared" si="452"/>
        <v>0</v>
      </c>
      <c r="EN137" s="3737">
        <f>EG64</f>
        <v>0</v>
      </c>
      <c r="EO137" s="3694">
        <f>EW64</f>
        <v>0</v>
      </c>
      <c r="EP137" s="3733">
        <f t="shared" si="486"/>
        <v>0</v>
      </c>
      <c r="EQ137" s="3734">
        <f t="shared" si="487"/>
        <v>0</v>
      </c>
      <c r="ER137" s="2366"/>
      <c r="ES137" s="2334"/>
      <c r="EU137"/>
      <c r="EY137" s="2330"/>
      <c r="EZ137" s="2330"/>
      <c r="FA137" s="2330"/>
      <c r="FB137" s="2330"/>
      <c r="FC137" s="2330"/>
      <c r="FD137" s="2330"/>
      <c r="FE137" s="2330"/>
      <c r="FF137" s="2330"/>
      <c r="FG137" s="2330"/>
      <c r="FH137" s="2330"/>
      <c r="FI137" s="2366"/>
      <c r="FJ137" s="2366"/>
      <c r="FK137" s="2334"/>
      <c r="FO137" s="3735" t="str">
        <f t="shared" ref="FO137:FP137" si="505">FO27</f>
        <v>Wind - Class 4 100 MW</v>
      </c>
      <c r="FP137" s="3736">
        <f t="shared" si="505"/>
        <v>100</v>
      </c>
      <c r="FQ137" s="3737">
        <f t="shared" si="458"/>
        <v>0</v>
      </c>
      <c r="FR137" s="3694">
        <f t="shared" si="459"/>
        <v>0</v>
      </c>
      <c r="FS137" s="3737">
        <f>FL64</f>
        <v>0</v>
      </c>
      <c r="FT137" s="3694">
        <f>GB64</f>
        <v>0</v>
      </c>
      <c r="FU137" s="3737">
        <f t="shared" si="462"/>
        <v>0</v>
      </c>
      <c r="FV137" s="3738">
        <f t="shared" si="463"/>
        <v>0</v>
      </c>
      <c r="FW137" s="2366"/>
      <c r="FX137" s="2334"/>
    </row>
    <row r="138" spans="1:180">
      <c r="A138" s="2272"/>
      <c r="B138" s="2272"/>
      <c r="C138" s="2272"/>
      <c r="D138" s="9"/>
      <c r="E138" s="2272"/>
      <c r="F138" s="2276"/>
      <c r="G138" s="2276"/>
      <c r="H138" s="2276"/>
      <c r="I138" s="2276"/>
      <c r="J138" s="2276"/>
      <c r="K138" s="2276"/>
      <c r="L138" s="2276"/>
      <c r="M138" s="2276"/>
      <c r="N138" s="9"/>
      <c r="O138" s="9"/>
      <c r="P138" s="9"/>
      <c r="Q138" s="9"/>
      <c r="R138" s="9"/>
      <c r="S138" s="9"/>
      <c r="T138" s="2332"/>
      <c r="U138" s="2332"/>
      <c r="V138" s="3852" t="str">
        <f t="shared" si="500"/>
        <v/>
      </c>
      <c r="W138" s="3371" t="str">
        <f t="shared" si="500"/>
        <v/>
      </c>
      <c r="X138" s="2343" t="str">
        <f t="shared" si="465"/>
        <v/>
      </c>
      <c r="Y138" s="2343"/>
      <c r="Z138" s="2343"/>
      <c r="AA138" s="2343"/>
      <c r="AB138" s="2343"/>
      <c r="AC138" s="2343"/>
      <c r="AD138" s="2343"/>
      <c r="AE138" s="2343"/>
      <c r="AF138" s="2343"/>
      <c r="AG138" s="2332"/>
      <c r="AH138" s="9"/>
      <c r="AI138" s="9"/>
      <c r="AU138" s="2"/>
      <c r="AV138" s="2"/>
      <c r="AW138" s="2"/>
      <c r="AX138" s="2"/>
      <c r="AY138" s="2"/>
      <c r="AZ138" s="2"/>
      <c r="BA138" s="2"/>
      <c r="BB138" s="2"/>
      <c r="BC138" s="2"/>
      <c r="BD138" s="1370"/>
      <c r="BE138" s="2"/>
      <c r="BF138" s="2"/>
      <c r="BG138" s="2330"/>
      <c r="BH138" s="2"/>
      <c r="BI138" s="2"/>
      <c r="BJ138" s="1501" t="str">
        <f t="shared" si="501"/>
        <v/>
      </c>
      <c r="BK138" s="3371" t="str">
        <f t="shared" si="501"/>
        <v/>
      </c>
      <c r="BL138" s="2343" t="str">
        <f>IF(BG28=0,"",BG28)</f>
        <v/>
      </c>
      <c r="BM138" s="2343" t="str">
        <f t="shared" si="437"/>
        <v/>
      </c>
      <c r="BN138" s="2343" t="str">
        <f t="shared" si="502"/>
        <v/>
      </c>
      <c r="BO138" s="2343" t="str">
        <f>IF(BG65=0,"",BG65)</f>
        <v/>
      </c>
      <c r="BP138" s="2343" t="str">
        <f t="shared" si="503"/>
        <v/>
      </c>
      <c r="BQ138" s="2801" t="str">
        <f t="shared" si="503"/>
        <v/>
      </c>
      <c r="BU138" s="2332"/>
      <c r="BV138" s="2332"/>
      <c r="BW138" s="2332"/>
      <c r="BX138" s="2332"/>
      <c r="BY138" s="2332"/>
      <c r="BZ138" s="2332"/>
      <c r="CA138" s="2332"/>
      <c r="CB138" s="2332"/>
      <c r="CU138" s="2334"/>
      <c r="CV138" s="2334"/>
      <c r="CX138" s="2337"/>
      <c r="CY138" s="3721"/>
      <c r="CZ138" s="2372"/>
      <c r="DA138" s="2372"/>
      <c r="DB138" s="2372"/>
      <c r="DC138" s="2372"/>
      <c r="DD138" s="2372"/>
      <c r="DE138" s="2372"/>
      <c r="DF138" s="2372" t="str">
        <f t="shared" ref="DF138" si="506">IF($CX138=0,"",CU858)</f>
        <v/>
      </c>
      <c r="DG138" s="2372" t="str">
        <f t="shared" ref="DG138" si="507">IF($CX138=0,"",DK102)</f>
        <v/>
      </c>
      <c r="DH138" s="2372" t="str">
        <f t="shared" ref="DH138" si="508">IF($CX138=0,"",DL102)</f>
        <v/>
      </c>
      <c r="DI138" s="2372"/>
      <c r="DJ138" s="2334"/>
      <c r="DK138" s="2334"/>
      <c r="DS138" s="2330"/>
      <c r="DT138" s="2330"/>
      <c r="DU138" s="2330"/>
      <c r="DV138" s="2330"/>
      <c r="DW138" s="2330"/>
      <c r="DX138" s="2330"/>
      <c r="DY138" s="2330"/>
      <c r="DZ138" s="2330"/>
      <c r="EA138" s="2330"/>
      <c r="EB138" s="2330"/>
      <c r="EC138" s="2330"/>
      <c r="ED138" s="2366"/>
      <c r="EE138" s="2366"/>
      <c r="EF138" s="2334"/>
      <c r="EJ138" s="2335"/>
      <c r="EK138" s="3721"/>
      <c r="EL138" s="2622"/>
      <c r="EM138" s="2622"/>
      <c r="EN138" s="2622"/>
      <c r="EO138" s="2622"/>
      <c r="EP138" s="2622"/>
      <c r="EQ138" s="2622"/>
      <c r="ER138" s="2366"/>
      <c r="ES138" s="2334"/>
      <c r="EU138"/>
      <c r="EY138" s="2330"/>
      <c r="EZ138" s="2330"/>
      <c r="FA138" s="2330"/>
      <c r="FB138" s="2330"/>
      <c r="FC138" s="2330"/>
      <c r="FD138" s="2330"/>
      <c r="FE138" s="2330"/>
      <c r="FF138" s="2330"/>
      <c r="FG138" s="2330"/>
      <c r="FH138" s="2330"/>
      <c r="FI138" s="2366"/>
      <c r="FJ138" s="2366"/>
      <c r="FK138" s="2334"/>
      <c r="FO138" s="2335"/>
      <c r="FP138" s="3942"/>
      <c r="FQ138" s="2622"/>
      <c r="FR138" s="2622"/>
      <c r="FS138" s="2622"/>
      <c r="FT138" s="2622"/>
      <c r="FU138" s="2622"/>
      <c r="FV138" s="2622"/>
      <c r="FW138" s="2366"/>
      <c r="FX138" s="2334"/>
    </row>
    <row r="139" spans="1:180">
      <c r="A139" s="2272"/>
      <c r="B139" s="2272"/>
      <c r="C139" s="2272"/>
      <c r="D139" s="9"/>
      <c r="E139" s="2272"/>
      <c r="F139" s="2276"/>
      <c r="G139" s="2276"/>
      <c r="H139" s="2276"/>
      <c r="I139" s="2276"/>
      <c r="J139" s="2276"/>
      <c r="K139" s="2276"/>
      <c r="L139" s="2276"/>
      <c r="M139" s="2276"/>
      <c r="N139" s="9"/>
      <c r="O139" s="9"/>
      <c r="P139" s="9"/>
      <c r="Q139" s="9"/>
      <c r="R139" s="9"/>
      <c r="S139" s="9"/>
      <c r="T139" s="2332"/>
      <c r="U139" s="2332"/>
      <c r="V139" s="1501" t="str">
        <f t="shared" si="500"/>
        <v/>
      </c>
      <c r="W139" s="3371" t="str">
        <f t="shared" si="500"/>
        <v/>
      </c>
      <c r="X139" s="2343" t="str">
        <f t="shared" si="465"/>
        <v/>
      </c>
      <c r="Y139" s="2343" t="str">
        <f t="shared" si="430"/>
        <v/>
      </c>
      <c r="Z139" s="2343" t="str">
        <f t="shared" ref="Z139:Z149" si="509">IF(AJ29=0,"",AJ29)</f>
        <v/>
      </c>
      <c r="AA139" s="2343" t="str">
        <f t="shared" si="431"/>
        <v/>
      </c>
      <c r="AB139" s="2343" t="str">
        <f t="shared" si="432"/>
        <v/>
      </c>
      <c r="AC139" s="2343" t="str">
        <f t="shared" ref="AC139:AC149" si="510">IF(AJ66=0,"",AJ66)</f>
        <v/>
      </c>
      <c r="AD139" s="2343" t="str">
        <f t="shared" si="433"/>
        <v/>
      </c>
      <c r="AE139" s="2343" t="str">
        <f t="shared" si="434"/>
        <v/>
      </c>
      <c r="AF139" s="2343" t="str">
        <f t="shared" ref="AF139:AF149" si="511">IF(AJ103=0,"",AJ103)</f>
        <v/>
      </c>
      <c r="AG139" s="2332"/>
      <c r="AH139" s="9"/>
      <c r="AI139" s="9"/>
      <c r="AU139" s="2"/>
      <c r="AV139" s="2"/>
      <c r="AW139" s="2"/>
      <c r="AX139" s="2"/>
      <c r="AY139" s="2"/>
      <c r="AZ139" s="2"/>
      <c r="BA139" s="2"/>
      <c r="BB139" s="2"/>
      <c r="BC139" s="2"/>
      <c r="BD139" s="1370"/>
      <c r="BE139" s="2"/>
      <c r="BF139" s="2"/>
      <c r="BG139" s="2330"/>
      <c r="BH139" s="2"/>
      <c r="BI139" s="2"/>
      <c r="BJ139" s="1501" t="str">
        <f t="shared" si="501"/>
        <v/>
      </c>
      <c r="BK139" s="3371" t="str">
        <f t="shared" si="501"/>
        <v/>
      </c>
      <c r="BL139" s="2343" t="str">
        <f>IF(BG29=0,"",BG29)</f>
        <v/>
      </c>
      <c r="BM139" s="2343" t="str">
        <f t="shared" si="502"/>
        <v/>
      </c>
      <c r="BN139" s="2343" t="str">
        <f t="shared" si="502"/>
        <v/>
      </c>
      <c r="BO139" s="2343" t="str">
        <f>IF(BG66=0,"",BG66)</f>
        <v/>
      </c>
      <c r="BP139" s="2343" t="str">
        <f t="shared" si="503"/>
        <v/>
      </c>
      <c r="BQ139" s="2801" t="str">
        <f t="shared" si="503"/>
        <v/>
      </c>
      <c r="BR139" s="2343" t="str">
        <f>IF(BG103=0,"",BG103)</f>
        <v/>
      </c>
      <c r="BS139" s="2343" t="str">
        <f t="shared" ref="BS139:BT140" si="512">IF(BW103=0,"",BW103)</f>
        <v/>
      </c>
      <c r="BT139" s="2343" t="str">
        <f t="shared" si="512"/>
        <v/>
      </c>
      <c r="BU139" s="2332"/>
      <c r="BV139" s="2332"/>
      <c r="BW139" s="2332"/>
      <c r="BX139" s="2332"/>
      <c r="BY139" s="2332"/>
      <c r="BZ139" s="2332"/>
      <c r="CA139" s="2332"/>
      <c r="CB139" s="2332"/>
      <c r="CU139" s="2334"/>
      <c r="CV139" s="2334"/>
      <c r="CX139" s="2337"/>
      <c r="CY139" s="3721"/>
      <c r="CZ139" s="2372"/>
      <c r="DA139" s="2372"/>
      <c r="DB139" s="2372"/>
      <c r="DC139" s="2372"/>
      <c r="DD139" s="2372"/>
      <c r="DE139" s="2372"/>
      <c r="DF139" s="2372"/>
      <c r="DG139" s="2372"/>
      <c r="DH139" s="2372"/>
      <c r="DI139" s="2372"/>
      <c r="DJ139" s="2334"/>
      <c r="DK139" s="2334"/>
      <c r="DS139" s="2330"/>
      <c r="DT139" s="2330"/>
      <c r="DU139" s="2330"/>
      <c r="DV139" s="2330"/>
      <c r="DW139" s="2330"/>
      <c r="DX139" s="2330"/>
      <c r="DY139" s="2330"/>
      <c r="DZ139" s="2330"/>
      <c r="EA139" s="2330"/>
      <c r="EB139" s="2330"/>
      <c r="EC139" s="2330"/>
      <c r="ED139" s="2366"/>
      <c r="EE139" s="2366"/>
      <c r="EF139" s="2334"/>
      <c r="EJ139" s="2335" t="str">
        <f t="shared" si="450"/>
        <v/>
      </c>
      <c r="EK139" s="3721" t="str">
        <f t="shared" si="450"/>
        <v/>
      </c>
      <c r="EL139" s="2622" t="str">
        <f t="shared" si="451"/>
        <v/>
      </c>
      <c r="EM139" s="2622" t="str">
        <f t="shared" si="452"/>
        <v/>
      </c>
      <c r="EN139" s="2622"/>
      <c r="EO139" s="2622"/>
      <c r="EP139" s="2622"/>
      <c r="EQ139" s="2622"/>
      <c r="ER139" s="2366"/>
      <c r="ES139" s="2334"/>
      <c r="EU139"/>
      <c r="EY139" s="2330"/>
      <c r="EZ139" s="2330"/>
      <c r="FA139" s="2330"/>
      <c r="FB139" s="2330"/>
      <c r="FC139" s="2330"/>
      <c r="FD139" s="2330"/>
      <c r="FE139" s="2330"/>
      <c r="FF139" s="2330"/>
      <c r="FG139" s="2330"/>
      <c r="FH139" s="2330"/>
      <c r="FI139" s="2366"/>
      <c r="FJ139" s="2366"/>
      <c r="FK139" s="2334"/>
      <c r="FO139" s="2335" t="str">
        <f t="shared" ref="FO139:FP139" si="513">FO29</f>
        <v/>
      </c>
      <c r="FP139" s="3942" t="str">
        <f t="shared" si="513"/>
        <v/>
      </c>
      <c r="FQ139" s="2622" t="str">
        <f t="shared" ref="FQ139:FQ149" si="514">FL29</f>
        <v/>
      </c>
      <c r="FR139" s="2622" t="str">
        <f t="shared" ref="FR139:FR149" si="515">GB29</f>
        <v/>
      </c>
      <c r="FS139" s="2622"/>
      <c r="FT139" s="2622"/>
      <c r="FU139" s="2622"/>
      <c r="FV139" s="2622"/>
      <c r="FW139" s="2366"/>
      <c r="FX139" s="2334"/>
    </row>
    <row r="140" spans="1:180">
      <c r="A140" s="2272"/>
      <c r="B140" s="2272"/>
      <c r="C140" s="2272"/>
      <c r="D140" s="9"/>
      <c r="E140" s="2272"/>
      <c r="F140" s="2276"/>
      <c r="G140" s="2276"/>
      <c r="H140" s="2276"/>
      <c r="I140" s="2276"/>
      <c r="J140" s="2276"/>
      <c r="K140" s="2276"/>
      <c r="L140" s="2276"/>
      <c r="M140" s="2276"/>
      <c r="N140" s="9"/>
      <c r="O140" s="9"/>
      <c r="P140" s="9"/>
      <c r="Q140" s="9"/>
      <c r="R140" s="9"/>
      <c r="S140" s="9"/>
      <c r="T140" s="2332"/>
      <c r="U140" s="2332"/>
      <c r="V140" s="1501" t="str">
        <f t="shared" si="500"/>
        <v/>
      </c>
      <c r="W140" s="3371" t="str">
        <f t="shared" si="500"/>
        <v/>
      </c>
      <c r="X140" s="2343" t="str">
        <f t="shared" si="465"/>
        <v/>
      </c>
      <c r="Y140" s="2343" t="str">
        <f t="shared" si="430"/>
        <v/>
      </c>
      <c r="Z140" s="2343" t="str">
        <f t="shared" si="509"/>
        <v/>
      </c>
      <c r="AA140" s="2343" t="str">
        <f t="shared" si="431"/>
        <v/>
      </c>
      <c r="AB140" s="2343" t="str">
        <f t="shared" si="432"/>
        <v/>
      </c>
      <c r="AC140" s="2343" t="str">
        <f t="shared" si="510"/>
        <v/>
      </c>
      <c r="AD140" s="2343" t="str">
        <f t="shared" si="433"/>
        <v/>
      </c>
      <c r="AE140" s="2343" t="str">
        <f t="shared" si="434"/>
        <v/>
      </c>
      <c r="AF140" s="2343" t="str">
        <f t="shared" si="511"/>
        <v/>
      </c>
      <c r="AG140" s="2332"/>
      <c r="AH140" s="9"/>
      <c r="AI140" s="9"/>
      <c r="AU140" s="2"/>
      <c r="AV140" s="2"/>
      <c r="AW140" s="2"/>
      <c r="AX140" s="2"/>
      <c r="AY140" s="2"/>
      <c r="AZ140" s="2"/>
      <c r="BA140" s="2"/>
      <c r="BB140" s="2"/>
      <c r="BC140" s="2"/>
      <c r="BD140" s="1370"/>
      <c r="BE140" s="2"/>
      <c r="BF140" s="2"/>
      <c r="BG140" s="2330"/>
      <c r="BH140" s="2"/>
      <c r="BI140" s="2"/>
      <c r="BJ140" s="1501" t="str">
        <f t="shared" si="501"/>
        <v/>
      </c>
      <c r="BK140" s="3371" t="str">
        <f t="shared" si="501"/>
        <v/>
      </c>
      <c r="BL140" s="2343" t="str">
        <f>IF(BG30=0,"",BG30)</f>
        <v/>
      </c>
      <c r="BM140" s="2343" t="str">
        <f t="shared" si="502"/>
        <v/>
      </c>
      <c r="BN140" s="2343" t="str">
        <f t="shared" si="502"/>
        <v/>
      </c>
      <c r="BO140" s="2343" t="str">
        <f>IF(BG67=0,"",BG67)</f>
        <v/>
      </c>
      <c r="BP140" s="2343" t="str">
        <f t="shared" si="503"/>
        <v/>
      </c>
      <c r="BQ140" s="2801" t="str">
        <f t="shared" si="503"/>
        <v/>
      </c>
      <c r="BR140" s="2343" t="str">
        <f>IF(BG104=0,"",BG104)</f>
        <v/>
      </c>
      <c r="BS140" s="2343" t="str">
        <f t="shared" si="512"/>
        <v/>
      </c>
      <c r="BT140" s="2343" t="str">
        <f t="shared" si="512"/>
        <v/>
      </c>
      <c r="BU140" s="2332"/>
      <c r="BV140" s="2332"/>
      <c r="BW140" s="2332"/>
      <c r="BX140" s="2332"/>
      <c r="BY140" s="2332"/>
      <c r="BZ140" s="2332"/>
      <c r="CA140" s="2332"/>
      <c r="CB140" s="2332"/>
      <c r="CU140" s="2334"/>
      <c r="CV140" s="2334"/>
      <c r="CX140" s="2337"/>
      <c r="CY140" s="3721"/>
      <c r="CZ140" s="2372"/>
      <c r="DA140" s="2372"/>
      <c r="DB140" s="2372"/>
      <c r="DC140" s="2372"/>
      <c r="DD140" s="2372"/>
      <c r="DE140" s="2372"/>
      <c r="DF140" s="2372"/>
      <c r="DG140" s="2372"/>
      <c r="DH140" s="2372"/>
      <c r="DI140" s="2372"/>
      <c r="DJ140" s="2334"/>
      <c r="DK140" s="2334"/>
      <c r="DS140" s="2330"/>
      <c r="DT140" s="2330"/>
      <c r="DU140" s="2330"/>
      <c r="DV140" s="2330"/>
      <c r="DW140" s="2330"/>
      <c r="DX140" s="2330"/>
      <c r="DY140" s="2330"/>
      <c r="DZ140" s="2330"/>
      <c r="EA140" s="2330"/>
      <c r="EB140" s="2330"/>
      <c r="EC140" s="2330"/>
      <c r="ED140" s="2366"/>
      <c r="EE140" s="2366"/>
      <c r="EF140" s="2334"/>
      <c r="EJ140" s="2335" t="str">
        <f t="shared" si="450"/>
        <v/>
      </c>
      <c r="EK140" s="3721" t="str">
        <f t="shared" si="450"/>
        <v/>
      </c>
      <c r="EL140" s="2622" t="str">
        <f t="shared" si="451"/>
        <v/>
      </c>
      <c r="EM140" s="2622" t="str">
        <f t="shared" si="452"/>
        <v/>
      </c>
      <c r="EN140" s="2622"/>
      <c r="EO140" s="2622"/>
      <c r="EP140" s="2622"/>
      <c r="EQ140" s="2622"/>
      <c r="ER140" s="2366"/>
      <c r="ES140" s="2334"/>
      <c r="EU140"/>
      <c r="EY140" s="2330"/>
      <c r="EZ140" s="2330"/>
      <c r="FA140" s="2330"/>
      <c r="FB140" s="2330"/>
      <c r="FC140" s="2330"/>
      <c r="FD140" s="2330"/>
      <c r="FE140" s="2330"/>
      <c r="FF140" s="2330"/>
      <c r="FG140" s="2330"/>
      <c r="FH140" s="2330"/>
      <c r="FI140" s="2366"/>
      <c r="FJ140" s="2366"/>
      <c r="FK140" s="2334"/>
      <c r="FO140" s="2335" t="str">
        <f t="shared" ref="FO140:FP140" si="516">FO30</f>
        <v/>
      </c>
      <c r="FP140" s="3942" t="str">
        <f t="shared" si="516"/>
        <v/>
      </c>
      <c r="FQ140" s="2622" t="str">
        <f t="shared" si="514"/>
        <v/>
      </c>
      <c r="FR140" s="2622" t="str">
        <f t="shared" si="515"/>
        <v/>
      </c>
      <c r="FS140" s="2622"/>
      <c r="FT140" s="2622"/>
      <c r="FU140" s="2622"/>
      <c r="FV140" s="2622"/>
      <c r="FW140" s="2366"/>
      <c r="FX140" s="2334"/>
    </row>
    <row r="141" spans="1:180" s="2332" customFormat="1">
      <c r="A141" s="2272"/>
      <c r="B141" s="2272"/>
      <c r="C141" s="2272"/>
      <c r="E141" s="2272"/>
      <c r="F141" s="2276"/>
      <c r="G141" s="2276"/>
      <c r="H141" s="2276"/>
      <c r="I141" s="2276"/>
      <c r="J141" s="2276"/>
      <c r="K141" s="2276"/>
      <c r="L141" s="2276"/>
      <c r="M141" s="2276"/>
      <c r="V141" s="1501" t="str">
        <f t="shared" si="500"/>
        <v/>
      </c>
      <c r="W141" s="3371" t="str">
        <f t="shared" si="500"/>
        <v/>
      </c>
      <c r="X141" s="2343" t="str">
        <f t="shared" ref="X141:X149" si="517">IF(R31=0,"",R31)</f>
        <v/>
      </c>
      <c r="Y141" s="2343" t="str">
        <f t="shared" si="430"/>
        <v/>
      </c>
      <c r="Z141" s="2343" t="str">
        <f t="shared" si="509"/>
        <v/>
      </c>
      <c r="AA141" s="2343" t="str">
        <f t="shared" ref="AA141:AA149" si="518">IF(R68=0,"",R68)</f>
        <v/>
      </c>
      <c r="AB141" s="2343" t="str">
        <f t="shared" si="432"/>
        <v/>
      </c>
      <c r="AC141" s="2343" t="str">
        <f t="shared" si="510"/>
        <v/>
      </c>
      <c r="AD141" s="2343" t="str">
        <f t="shared" ref="AD141:AD149" si="519">IF(R105=0,"",R105)</f>
        <v/>
      </c>
      <c r="AE141" s="2343" t="str">
        <f t="shared" si="434"/>
        <v/>
      </c>
      <c r="AF141" s="2343" t="str">
        <f t="shared" si="511"/>
        <v/>
      </c>
      <c r="AU141" s="2335"/>
      <c r="AV141" s="2335"/>
      <c r="AW141" s="2335"/>
      <c r="AX141" s="2335"/>
      <c r="AY141" s="2335"/>
      <c r="AZ141" s="2335"/>
      <c r="BA141" s="2335"/>
      <c r="BB141" s="2335"/>
      <c r="BC141" s="2335"/>
      <c r="BD141" s="70"/>
      <c r="BE141" s="2335"/>
      <c r="BF141" s="2335"/>
      <c r="BG141" s="2335"/>
      <c r="BH141" s="2335"/>
      <c r="BI141" s="2335"/>
      <c r="BJ141" s="1501" t="str">
        <f t="shared" si="435"/>
        <v/>
      </c>
      <c r="BK141" s="3371" t="str">
        <f t="shared" si="435"/>
        <v/>
      </c>
      <c r="BL141" s="2343" t="str">
        <f t="shared" si="436"/>
        <v/>
      </c>
      <c r="BM141" s="2343" t="str">
        <f t="shared" si="437"/>
        <v/>
      </c>
      <c r="BN141" s="2343" t="str">
        <f t="shared" si="438"/>
        <v/>
      </c>
      <c r="BO141" s="2343" t="str">
        <f t="shared" si="439"/>
        <v/>
      </c>
      <c r="BP141" s="2343" t="str">
        <f t="shared" si="440"/>
        <v/>
      </c>
      <c r="BQ141" s="2801" t="str">
        <f t="shared" si="441"/>
        <v/>
      </c>
      <c r="BR141" s="2343" t="str">
        <f t="shared" si="442"/>
        <v/>
      </c>
      <c r="BS141" s="2343" t="str">
        <f t="shared" si="443"/>
        <v/>
      </c>
      <c r="BT141" s="2343" t="str">
        <f t="shared" si="444"/>
        <v/>
      </c>
      <c r="CC141" s="2335"/>
      <c r="CU141" s="2335"/>
      <c r="CV141" s="2335"/>
      <c r="CX141" s="2337"/>
      <c r="CY141" s="3721"/>
      <c r="CZ141" s="2372"/>
      <c r="DA141" s="2372"/>
      <c r="DB141" s="2372"/>
      <c r="DC141" s="2372"/>
      <c r="DD141" s="2372"/>
      <c r="DE141" s="2372"/>
      <c r="DF141" s="2372"/>
      <c r="DG141" s="2372"/>
      <c r="DH141" s="2372"/>
      <c r="DI141" s="2372"/>
      <c r="DJ141" s="2335"/>
      <c r="DK141" s="2335"/>
      <c r="DS141" s="2335"/>
      <c r="DT141" s="2335"/>
      <c r="DU141" s="2335"/>
      <c r="DV141" s="2335"/>
      <c r="DW141" s="2335"/>
      <c r="DX141" s="2335"/>
      <c r="DY141" s="2335"/>
      <c r="DZ141" s="2335"/>
      <c r="EA141" s="2335"/>
      <c r="EB141" s="2335"/>
      <c r="EC141" s="2335"/>
      <c r="ED141" s="2335"/>
      <c r="EE141" s="2335"/>
      <c r="EF141" s="2335"/>
      <c r="EJ141" s="2335" t="str">
        <f t="shared" si="450"/>
        <v/>
      </c>
      <c r="EK141" s="3360" t="str">
        <f t="shared" si="450"/>
        <v/>
      </c>
      <c r="EL141" s="2622" t="str">
        <f t="shared" si="451"/>
        <v/>
      </c>
      <c r="EM141" s="2622" t="str">
        <f t="shared" si="452"/>
        <v/>
      </c>
      <c r="EN141" s="2622"/>
      <c r="EO141" s="2622"/>
      <c r="EP141" s="2622"/>
      <c r="EQ141" s="2622"/>
      <c r="ER141" s="2335"/>
      <c r="ES141" s="2335"/>
      <c r="EY141" s="2335"/>
      <c r="EZ141" s="2335"/>
      <c r="FA141" s="2335"/>
      <c r="FB141" s="2335"/>
      <c r="FC141" s="2335"/>
      <c r="FD141" s="2335"/>
      <c r="FE141" s="2335"/>
      <c r="FF141" s="2335"/>
      <c r="FG141" s="2335"/>
      <c r="FH141" s="2335"/>
      <c r="FI141" s="2335"/>
      <c r="FJ141" s="2335"/>
      <c r="FK141" s="2335"/>
      <c r="FO141" s="2335" t="str">
        <f t="shared" ref="FO141:FP141" si="520">FO31</f>
        <v/>
      </c>
      <c r="FP141" s="3942" t="str">
        <f t="shared" si="520"/>
        <v/>
      </c>
      <c r="FQ141" s="2622" t="str">
        <f t="shared" si="514"/>
        <v/>
      </c>
      <c r="FR141" s="2622" t="str">
        <f t="shared" si="515"/>
        <v/>
      </c>
      <c r="FS141" s="2622"/>
      <c r="FT141" s="2622"/>
      <c r="FU141" s="2622"/>
      <c r="FV141" s="2622"/>
      <c r="FW141" s="2335"/>
      <c r="FX141" s="2335"/>
    </row>
    <row r="142" spans="1:180" s="2332" customFormat="1">
      <c r="A142" s="2272"/>
      <c r="B142" s="2272"/>
      <c r="C142" s="2272"/>
      <c r="E142" s="2272"/>
      <c r="F142" s="2276"/>
      <c r="G142" s="2276"/>
      <c r="H142" s="2276"/>
      <c r="I142" s="2276"/>
      <c r="J142" s="2276"/>
      <c r="K142" s="2276"/>
      <c r="L142" s="2276"/>
      <c r="M142" s="2276"/>
      <c r="V142" s="1501" t="str">
        <f t="shared" si="500"/>
        <v/>
      </c>
      <c r="W142" s="3371" t="str">
        <f t="shared" si="500"/>
        <v/>
      </c>
      <c r="X142" s="2343" t="str">
        <f t="shared" si="517"/>
        <v/>
      </c>
      <c r="Y142" s="2343" t="str">
        <f t="shared" si="430"/>
        <v/>
      </c>
      <c r="Z142" s="2343" t="str">
        <f t="shared" si="509"/>
        <v/>
      </c>
      <c r="AA142" s="2343" t="str">
        <f t="shared" si="518"/>
        <v/>
      </c>
      <c r="AB142" s="2343" t="str">
        <f t="shared" si="432"/>
        <v/>
      </c>
      <c r="AC142" s="2343" t="str">
        <f t="shared" si="510"/>
        <v/>
      </c>
      <c r="AD142" s="2343" t="str">
        <f t="shared" si="519"/>
        <v/>
      </c>
      <c r="AE142" s="2343" t="str">
        <f t="shared" si="434"/>
        <v/>
      </c>
      <c r="AF142" s="2343" t="str">
        <f t="shared" si="511"/>
        <v/>
      </c>
      <c r="AU142" s="2335"/>
      <c r="AV142" s="2335"/>
      <c r="AW142" s="2335"/>
      <c r="AX142" s="2335"/>
      <c r="AY142" s="2335"/>
      <c r="AZ142" s="2335"/>
      <c r="BA142" s="2335"/>
      <c r="BB142" s="2335"/>
      <c r="BC142" s="2335"/>
      <c r="BD142" s="70"/>
      <c r="BE142" s="2335"/>
      <c r="BF142" s="2335"/>
      <c r="BG142" s="2335"/>
      <c r="BH142" s="2335"/>
      <c r="BI142" s="2335"/>
      <c r="BJ142" s="1501" t="str">
        <f t="shared" si="435"/>
        <v/>
      </c>
      <c r="BK142" s="3371" t="str">
        <f t="shared" si="435"/>
        <v/>
      </c>
      <c r="BL142" s="2343" t="str">
        <f t="shared" si="436"/>
        <v/>
      </c>
      <c r="BM142" s="2343" t="str">
        <f t="shared" si="437"/>
        <v/>
      </c>
      <c r="BN142" s="2343" t="str">
        <f t="shared" si="438"/>
        <v/>
      </c>
      <c r="BO142" s="2343" t="str">
        <f t="shared" si="439"/>
        <v/>
      </c>
      <c r="BP142" s="2343" t="str">
        <f t="shared" si="440"/>
        <v/>
      </c>
      <c r="BQ142" s="2801" t="str">
        <f t="shared" si="441"/>
        <v/>
      </c>
      <c r="BR142" s="2343" t="str">
        <f t="shared" si="442"/>
        <v/>
      </c>
      <c r="BS142" s="2343" t="str">
        <f t="shared" si="443"/>
        <v/>
      </c>
      <c r="BT142" s="2343" t="str">
        <f t="shared" si="444"/>
        <v/>
      </c>
      <c r="CC142" s="2335"/>
      <c r="CU142" s="2335"/>
      <c r="CV142" s="2335"/>
      <c r="CX142" s="2337"/>
      <c r="CY142" s="3721"/>
      <c r="CZ142" s="2372"/>
      <c r="DA142" s="2372"/>
      <c r="DB142" s="2372"/>
      <c r="DC142" s="2372"/>
      <c r="DD142" s="2372"/>
      <c r="DE142" s="2372"/>
      <c r="DF142" s="2372"/>
      <c r="DG142" s="2372"/>
      <c r="DH142" s="2372"/>
      <c r="DI142" s="2372"/>
      <c r="DJ142" s="2335"/>
      <c r="DK142" s="2335"/>
      <c r="DS142" s="2335"/>
      <c r="DT142" s="2335"/>
      <c r="DU142" s="2335"/>
      <c r="DV142" s="2335"/>
      <c r="DW142" s="2335"/>
      <c r="DX142" s="2335"/>
      <c r="DY142" s="2335"/>
      <c r="DZ142" s="2335"/>
      <c r="EA142" s="2335"/>
      <c r="EB142" s="2335"/>
      <c r="EC142" s="2335"/>
      <c r="ED142" s="2335"/>
      <c r="EE142" s="2335"/>
      <c r="EF142" s="2335"/>
      <c r="EJ142" s="2335" t="str">
        <f t="shared" si="450"/>
        <v/>
      </c>
      <c r="EK142" s="3360" t="str">
        <f t="shared" si="450"/>
        <v/>
      </c>
      <c r="EL142" s="2622" t="str">
        <f t="shared" si="451"/>
        <v/>
      </c>
      <c r="EM142" s="2622" t="str">
        <f t="shared" si="452"/>
        <v/>
      </c>
      <c r="EN142" s="2622"/>
      <c r="EO142" s="2622"/>
      <c r="EP142" s="2622"/>
      <c r="EQ142" s="2622"/>
      <c r="ER142" s="2335"/>
      <c r="ES142" s="2335"/>
      <c r="EY142" s="2335"/>
      <c r="EZ142" s="2335"/>
      <c r="FA142" s="2335"/>
      <c r="FB142" s="2335"/>
      <c r="FC142" s="2335"/>
      <c r="FD142" s="2335"/>
      <c r="FE142" s="2335"/>
      <c r="FF142" s="2335"/>
      <c r="FG142" s="2335"/>
      <c r="FH142" s="2335"/>
      <c r="FI142" s="2335"/>
      <c r="FJ142" s="2335"/>
      <c r="FK142" s="2335"/>
      <c r="FO142" s="2335" t="str">
        <f t="shared" ref="FO142:FP142" si="521">FO32</f>
        <v/>
      </c>
      <c r="FP142" s="3942" t="str">
        <f t="shared" si="521"/>
        <v/>
      </c>
      <c r="FQ142" s="2622" t="str">
        <f t="shared" si="514"/>
        <v/>
      </c>
      <c r="FR142" s="2622" t="str">
        <f t="shared" si="515"/>
        <v/>
      </c>
      <c r="FS142" s="2622"/>
      <c r="FT142" s="2622"/>
      <c r="FU142" s="2622"/>
      <c r="FV142" s="2622"/>
      <c r="FW142" s="2335"/>
      <c r="FX142" s="2335"/>
    </row>
    <row r="143" spans="1:180" s="2332" customFormat="1">
      <c r="A143" s="2272"/>
      <c r="B143" s="2272"/>
      <c r="C143" s="2272"/>
      <c r="E143" s="2272"/>
      <c r="F143" s="2276"/>
      <c r="G143" s="2276"/>
      <c r="H143" s="2276"/>
      <c r="I143" s="2276"/>
      <c r="J143" s="2276"/>
      <c r="K143" s="2276"/>
      <c r="L143" s="2276"/>
      <c r="M143" s="2276"/>
      <c r="V143" s="1501" t="str">
        <f t="shared" si="500"/>
        <v/>
      </c>
      <c r="W143" s="3371" t="str">
        <f t="shared" si="500"/>
        <v/>
      </c>
      <c r="X143" s="2343" t="str">
        <f t="shared" si="517"/>
        <v/>
      </c>
      <c r="Y143" s="2343" t="str">
        <f t="shared" si="430"/>
        <v/>
      </c>
      <c r="Z143" s="2343" t="str">
        <f t="shared" si="509"/>
        <v/>
      </c>
      <c r="AA143" s="2343" t="str">
        <f t="shared" si="518"/>
        <v/>
      </c>
      <c r="AB143" s="2343" t="str">
        <f t="shared" si="432"/>
        <v/>
      </c>
      <c r="AC143" s="2343" t="str">
        <f t="shared" si="510"/>
        <v/>
      </c>
      <c r="AD143" s="2343" t="str">
        <f t="shared" si="519"/>
        <v/>
      </c>
      <c r="AE143" s="2343" t="str">
        <f t="shared" si="434"/>
        <v/>
      </c>
      <c r="AF143" s="2343" t="str">
        <f t="shared" si="511"/>
        <v/>
      </c>
      <c r="AU143" s="2335"/>
      <c r="AV143" s="2335"/>
      <c r="AW143" s="2335"/>
      <c r="AX143" s="2335"/>
      <c r="AY143" s="2335"/>
      <c r="AZ143" s="2335"/>
      <c r="BA143" s="2335"/>
      <c r="BB143" s="2335"/>
      <c r="BC143" s="2335"/>
      <c r="BD143" s="70"/>
      <c r="BE143" s="2335"/>
      <c r="BF143" s="2335"/>
      <c r="BG143" s="2335"/>
      <c r="BH143" s="2335"/>
      <c r="BI143" s="2335"/>
      <c r="BJ143" s="1501" t="str">
        <f t="shared" si="435"/>
        <v/>
      </c>
      <c r="BK143" s="3371" t="str">
        <f t="shared" si="435"/>
        <v/>
      </c>
      <c r="BL143" s="2343" t="str">
        <f t="shared" si="436"/>
        <v/>
      </c>
      <c r="BM143" s="2343" t="str">
        <f t="shared" si="437"/>
        <v/>
      </c>
      <c r="BN143" s="2343" t="str">
        <f t="shared" si="438"/>
        <v/>
      </c>
      <c r="BO143" s="2343" t="str">
        <f t="shared" si="439"/>
        <v/>
      </c>
      <c r="BP143" s="2343" t="str">
        <f t="shared" si="440"/>
        <v/>
      </c>
      <c r="BQ143" s="2801" t="str">
        <f t="shared" si="441"/>
        <v/>
      </c>
      <c r="BR143" s="2343" t="str">
        <f t="shared" si="442"/>
        <v/>
      </c>
      <c r="BS143" s="2343" t="str">
        <f t="shared" si="443"/>
        <v/>
      </c>
      <c r="BT143" s="2343" t="str">
        <f t="shared" si="444"/>
        <v/>
      </c>
      <c r="CC143" s="2335"/>
      <c r="CU143" s="2335"/>
      <c r="CV143" s="2335"/>
      <c r="CX143" s="2337"/>
      <c r="CY143" s="3721"/>
      <c r="CZ143" s="2372"/>
      <c r="DA143" s="2372"/>
      <c r="DB143" s="2372"/>
      <c r="DC143" s="2372"/>
      <c r="DD143" s="2372"/>
      <c r="DE143" s="2372"/>
      <c r="DF143" s="2372"/>
      <c r="DG143" s="2372"/>
      <c r="DH143" s="2372"/>
      <c r="DI143" s="2372"/>
      <c r="DJ143" s="2335"/>
      <c r="DK143" s="2335"/>
      <c r="DS143" s="2335"/>
      <c r="DT143" s="2335"/>
      <c r="DU143" s="2335"/>
      <c r="DV143" s="2335"/>
      <c r="DW143" s="2335"/>
      <c r="DX143" s="2335"/>
      <c r="DY143" s="2335"/>
      <c r="DZ143" s="2335"/>
      <c r="EA143" s="2335"/>
      <c r="EB143" s="2335"/>
      <c r="EC143" s="2335"/>
      <c r="ED143" s="2335"/>
      <c r="EE143" s="2335"/>
      <c r="EF143" s="2335"/>
      <c r="EJ143" s="2335" t="str">
        <f t="shared" si="450"/>
        <v/>
      </c>
      <c r="EK143" s="3360" t="str">
        <f t="shared" si="450"/>
        <v/>
      </c>
      <c r="EL143" s="2622" t="str">
        <f t="shared" si="451"/>
        <v/>
      </c>
      <c r="EM143" s="2622" t="str">
        <f t="shared" si="452"/>
        <v/>
      </c>
      <c r="EN143" s="2622"/>
      <c r="EO143" s="2622"/>
      <c r="EP143" s="2622"/>
      <c r="EQ143" s="2622"/>
      <c r="ER143" s="2335"/>
      <c r="ES143" s="2335"/>
      <c r="EY143" s="2335"/>
      <c r="EZ143" s="2335"/>
      <c r="FA143" s="2335"/>
      <c r="FB143" s="2335"/>
      <c r="FC143" s="2335"/>
      <c r="FD143" s="2335"/>
      <c r="FE143" s="2335"/>
      <c r="FF143" s="2335"/>
      <c r="FG143" s="2335"/>
      <c r="FH143" s="2335"/>
      <c r="FI143" s="2335"/>
      <c r="FJ143" s="2335"/>
      <c r="FK143" s="2335"/>
      <c r="FO143" s="2335" t="str">
        <f t="shared" ref="FO143:FP143" si="522">FO33</f>
        <v/>
      </c>
      <c r="FP143" s="3942" t="str">
        <f t="shared" si="522"/>
        <v/>
      </c>
      <c r="FQ143" s="2622" t="str">
        <f t="shared" si="514"/>
        <v/>
      </c>
      <c r="FR143" s="2622" t="str">
        <f t="shared" si="515"/>
        <v/>
      </c>
      <c r="FS143" s="2622"/>
      <c r="FT143" s="2622"/>
      <c r="FU143" s="2622"/>
      <c r="FV143" s="2622"/>
      <c r="FW143" s="2335"/>
      <c r="FX143" s="2335"/>
    </row>
    <row r="144" spans="1:180" s="2332" customFormat="1">
      <c r="A144" s="2272"/>
      <c r="B144" s="2272"/>
      <c r="C144" s="2272"/>
      <c r="E144" s="2272"/>
      <c r="F144" s="2276"/>
      <c r="G144" s="2276"/>
      <c r="H144" s="2276"/>
      <c r="I144" s="2276"/>
      <c r="J144" s="2276"/>
      <c r="K144" s="2276"/>
      <c r="L144" s="2276"/>
      <c r="M144" s="2276"/>
      <c r="V144" s="1501" t="str">
        <f t="shared" si="500"/>
        <v/>
      </c>
      <c r="W144" s="3371" t="str">
        <f t="shared" si="500"/>
        <v/>
      </c>
      <c r="X144" s="2343" t="str">
        <f t="shared" si="517"/>
        <v/>
      </c>
      <c r="Y144" s="2343" t="str">
        <f t="shared" si="430"/>
        <v/>
      </c>
      <c r="Z144" s="2343" t="str">
        <f t="shared" si="509"/>
        <v/>
      </c>
      <c r="AA144" s="2343" t="str">
        <f t="shared" si="518"/>
        <v/>
      </c>
      <c r="AB144" s="2343" t="str">
        <f t="shared" si="432"/>
        <v/>
      </c>
      <c r="AC144" s="2343" t="str">
        <f t="shared" si="510"/>
        <v/>
      </c>
      <c r="AD144" s="2343" t="str">
        <f t="shared" si="519"/>
        <v/>
      </c>
      <c r="AE144" s="2343" t="str">
        <f t="shared" si="434"/>
        <v/>
      </c>
      <c r="AF144" s="2343" t="str">
        <f t="shared" si="511"/>
        <v/>
      </c>
      <c r="AU144" s="3361"/>
      <c r="AV144" s="3361"/>
      <c r="AW144" s="3361"/>
      <c r="AX144" s="3361"/>
      <c r="AY144" s="2335"/>
      <c r="AZ144" s="2335"/>
      <c r="BA144" s="2335"/>
      <c r="BB144" s="2335"/>
      <c r="BC144" s="2335"/>
      <c r="BD144" s="70"/>
      <c r="BE144" s="2335"/>
      <c r="BF144" s="2335"/>
      <c r="BG144" s="2335"/>
      <c r="BH144" s="2335"/>
      <c r="BI144" s="2335"/>
      <c r="BJ144" s="1501" t="str">
        <f t="shared" si="435"/>
        <v/>
      </c>
      <c r="BK144" s="3371" t="str">
        <f t="shared" si="435"/>
        <v/>
      </c>
      <c r="BL144" s="2343" t="str">
        <f t="shared" si="436"/>
        <v/>
      </c>
      <c r="BM144" s="2343" t="str">
        <f t="shared" si="437"/>
        <v/>
      </c>
      <c r="BN144" s="2343" t="str">
        <f t="shared" si="438"/>
        <v/>
      </c>
      <c r="BO144" s="2343" t="str">
        <f t="shared" si="439"/>
        <v/>
      </c>
      <c r="BP144" s="2343" t="str">
        <f t="shared" si="440"/>
        <v/>
      </c>
      <c r="BQ144" s="2801" t="str">
        <f t="shared" si="441"/>
        <v/>
      </c>
      <c r="BR144" s="2343" t="str">
        <f t="shared" si="442"/>
        <v/>
      </c>
      <c r="BS144" s="2343" t="str">
        <f t="shared" si="443"/>
        <v/>
      </c>
      <c r="BT144" s="2343" t="str">
        <f t="shared" si="444"/>
        <v/>
      </c>
      <c r="CC144" s="2335"/>
      <c r="CU144" s="2335"/>
      <c r="CV144" s="2335"/>
      <c r="CX144" s="2337"/>
      <c r="CY144" s="3721"/>
      <c r="CZ144" s="2372"/>
      <c r="DA144" s="2372"/>
      <c r="DB144" s="2372"/>
      <c r="DC144" s="2372"/>
      <c r="DD144" s="2372"/>
      <c r="DE144" s="2372"/>
      <c r="DF144" s="2372"/>
      <c r="DG144" s="2372"/>
      <c r="DH144" s="2372"/>
      <c r="DI144" s="2372"/>
      <c r="DJ144" s="2335"/>
      <c r="DK144" s="2335"/>
      <c r="DS144" s="2335"/>
      <c r="DT144" s="2335"/>
      <c r="DU144" s="2335"/>
      <c r="DV144" s="2335"/>
      <c r="DW144" s="2335"/>
      <c r="DX144" s="2335"/>
      <c r="DY144" s="2335"/>
      <c r="DZ144" s="2335"/>
      <c r="EA144" s="2335"/>
      <c r="EB144" s="2335"/>
      <c r="EC144" s="2335"/>
      <c r="ED144" s="2335"/>
      <c r="EE144" s="2335"/>
      <c r="EF144" s="2335"/>
      <c r="EJ144" s="2335" t="str">
        <f t="shared" si="450"/>
        <v/>
      </c>
      <c r="EK144" s="3360" t="str">
        <f t="shared" si="450"/>
        <v/>
      </c>
      <c r="EL144" s="2622" t="str">
        <f t="shared" si="451"/>
        <v/>
      </c>
      <c r="EM144" s="2622" t="str">
        <f t="shared" si="452"/>
        <v/>
      </c>
      <c r="EN144" s="2622"/>
      <c r="EO144" s="2622"/>
      <c r="EP144" s="2622"/>
      <c r="EQ144" s="2622"/>
      <c r="ER144" s="2335"/>
      <c r="ES144" s="2335"/>
      <c r="EY144" s="2335"/>
      <c r="EZ144" s="2335"/>
      <c r="FA144" s="2335"/>
      <c r="FB144" s="2335"/>
      <c r="FC144" s="2335"/>
      <c r="FD144" s="2335"/>
      <c r="FE144" s="2335"/>
      <c r="FF144" s="2335"/>
      <c r="FG144" s="2335"/>
      <c r="FH144" s="2335"/>
      <c r="FI144" s="2335"/>
      <c r="FJ144" s="2335"/>
      <c r="FK144" s="2335"/>
      <c r="FO144" s="2335" t="str">
        <f t="shared" ref="FO144:FP144" si="523">FO34</f>
        <v/>
      </c>
      <c r="FP144" s="3942" t="str">
        <f t="shared" si="523"/>
        <v/>
      </c>
      <c r="FQ144" s="2622" t="str">
        <f t="shared" si="514"/>
        <v/>
      </c>
      <c r="FR144" s="2622" t="str">
        <f t="shared" si="515"/>
        <v/>
      </c>
      <c r="FS144" s="2622"/>
      <c r="FT144" s="2622"/>
      <c r="FU144" s="2622"/>
      <c r="FV144" s="2622"/>
      <c r="FW144" s="2335"/>
      <c r="FX144" s="2335"/>
    </row>
    <row r="145" spans="1:183" s="2332" customFormat="1">
      <c r="A145" s="2272"/>
      <c r="B145" s="2272"/>
      <c r="C145" s="2272"/>
      <c r="E145" s="2272"/>
      <c r="F145" s="2276"/>
      <c r="G145" s="2276"/>
      <c r="H145" s="2276"/>
      <c r="I145" s="2276"/>
      <c r="J145" s="2276"/>
      <c r="K145" s="2276"/>
      <c r="L145" s="2276"/>
      <c r="M145" s="2276"/>
      <c r="V145" s="1501" t="str">
        <f t="shared" si="500"/>
        <v/>
      </c>
      <c r="W145" s="3371" t="str">
        <f t="shared" si="500"/>
        <v/>
      </c>
      <c r="X145" s="2343" t="str">
        <f t="shared" si="517"/>
        <v/>
      </c>
      <c r="Y145" s="2343" t="str">
        <f t="shared" si="430"/>
        <v/>
      </c>
      <c r="Z145" s="2343" t="str">
        <f t="shared" si="509"/>
        <v/>
      </c>
      <c r="AA145" s="2343" t="str">
        <f t="shared" si="518"/>
        <v/>
      </c>
      <c r="AB145" s="2343" t="str">
        <f t="shared" si="432"/>
        <v/>
      </c>
      <c r="AC145" s="2343" t="str">
        <f t="shared" si="510"/>
        <v/>
      </c>
      <c r="AD145" s="2343" t="str">
        <f t="shared" si="519"/>
        <v/>
      </c>
      <c r="AE145" s="2343" t="str">
        <f t="shared" si="434"/>
        <v/>
      </c>
      <c r="AF145" s="2343" t="str">
        <f t="shared" si="511"/>
        <v/>
      </c>
      <c r="AU145" s="2275"/>
      <c r="AV145" s="2275"/>
      <c r="AW145" s="2275"/>
      <c r="AX145" s="2275"/>
      <c r="AY145" s="2349"/>
      <c r="AZ145" s="2349"/>
      <c r="BA145" s="2349"/>
      <c r="BB145" s="2349"/>
      <c r="BC145" s="2349"/>
      <c r="BD145" s="2805"/>
      <c r="BE145" s="2349"/>
      <c r="BF145" s="2349"/>
      <c r="BG145" s="2349"/>
      <c r="BH145" s="2349"/>
      <c r="BI145" s="2349"/>
      <c r="BJ145" s="1501" t="str">
        <f t="shared" si="435"/>
        <v/>
      </c>
      <c r="BK145" s="3371" t="str">
        <f t="shared" si="435"/>
        <v/>
      </c>
      <c r="BL145" s="2343" t="str">
        <f t="shared" si="436"/>
        <v/>
      </c>
      <c r="BM145" s="2343" t="str">
        <f t="shared" si="437"/>
        <v/>
      </c>
      <c r="BN145" s="2343" t="str">
        <f t="shared" si="438"/>
        <v/>
      </c>
      <c r="BO145" s="2343" t="str">
        <f t="shared" si="439"/>
        <v/>
      </c>
      <c r="BP145" s="2343" t="str">
        <f t="shared" si="440"/>
        <v/>
      </c>
      <c r="BQ145" s="2801" t="str">
        <f t="shared" si="441"/>
        <v/>
      </c>
      <c r="BR145" s="2343" t="str">
        <f t="shared" si="442"/>
        <v/>
      </c>
      <c r="BS145" s="2343" t="str">
        <f t="shared" si="443"/>
        <v/>
      </c>
      <c r="BT145" s="2343" t="str">
        <f t="shared" si="444"/>
        <v/>
      </c>
      <c r="CC145" s="2335"/>
      <c r="CU145" s="2335"/>
      <c r="CV145" s="2335"/>
      <c r="CX145" s="2337"/>
      <c r="CY145" s="3721"/>
      <c r="CZ145" s="2372"/>
      <c r="DA145" s="2372"/>
      <c r="DB145" s="2372"/>
      <c r="DC145" s="2372"/>
      <c r="DD145" s="2372"/>
      <c r="DE145" s="2372"/>
      <c r="DF145" s="2372"/>
      <c r="DG145" s="2372"/>
      <c r="DH145" s="2372"/>
      <c r="DI145" s="2372"/>
      <c r="DJ145" s="2335"/>
      <c r="DK145" s="2335"/>
      <c r="DS145" s="2335"/>
      <c r="DT145" s="2335"/>
      <c r="DU145" s="2335"/>
      <c r="DV145" s="2335"/>
      <c r="DW145" s="2335"/>
      <c r="DX145" s="2335"/>
      <c r="DY145" s="2335"/>
      <c r="DZ145" s="2335"/>
      <c r="EA145" s="2335"/>
      <c r="EB145" s="2335"/>
      <c r="EC145" s="2335"/>
      <c r="ED145" s="2335"/>
      <c r="EE145" s="2335"/>
      <c r="EF145" s="2335"/>
      <c r="EJ145" s="2335" t="str">
        <f t="shared" si="450"/>
        <v/>
      </c>
      <c r="EK145" s="3360" t="str">
        <f t="shared" si="450"/>
        <v/>
      </c>
      <c r="EL145" s="2622" t="str">
        <f t="shared" si="451"/>
        <v/>
      </c>
      <c r="EM145" s="2622" t="str">
        <f t="shared" si="452"/>
        <v/>
      </c>
      <c r="EN145" s="2622"/>
      <c r="EO145" s="2622"/>
      <c r="EP145" s="2622"/>
      <c r="EQ145" s="2622"/>
      <c r="ER145" s="2335"/>
      <c r="ES145" s="2335"/>
      <c r="EY145" s="2335"/>
      <c r="EZ145" s="2335"/>
      <c r="FA145" s="2335"/>
      <c r="FB145" s="2335"/>
      <c r="FC145" s="2335"/>
      <c r="FD145" s="2335"/>
      <c r="FE145" s="2335"/>
      <c r="FF145" s="2335"/>
      <c r="FG145" s="2335"/>
      <c r="FH145" s="2335"/>
      <c r="FI145" s="2335"/>
      <c r="FJ145" s="2335"/>
      <c r="FK145" s="2335"/>
      <c r="FO145" s="2335" t="str">
        <f t="shared" ref="FO145:FP145" si="524">FO35</f>
        <v/>
      </c>
      <c r="FP145" s="3942" t="str">
        <f t="shared" si="524"/>
        <v/>
      </c>
      <c r="FQ145" s="2622" t="str">
        <f t="shared" si="514"/>
        <v/>
      </c>
      <c r="FR145" s="2622" t="str">
        <f t="shared" si="515"/>
        <v/>
      </c>
      <c r="FS145" s="2622"/>
      <c r="FT145" s="2622"/>
      <c r="FU145" s="2622"/>
      <c r="FV145" s="2622"/>
      <c r="FW145" s="2335"/>
      <c r="FX145" s="2335"/>
    </row>
    <row r="146" spans="1:183" s="2332" customFormat="1">
      <c r="A146" s="2272"/>
      <c r="B146" s="2272"/>
      <c r="C146" s="2272"/>
      <c r="E146" s="2272"/>
      <c r="F146" s="2276"/>
      <c r="G146" s="2276"/>
      <c r="H146" s="2276"/>
      <c r="I146" s="2276"/>
      <c r="J146" s="2276"/>
      <c r="K146" s="2276"/>
      <c r="L146" s="2276"/>
      <c r="M146" s="2276"/>
      <c r="V146" s="1501" t="str">
        <f t="shared" si="500"/>
        <v/>
      </c>
      <c r="W146" s="3371" t="str">
        <f t="shared" si="500"/>
        <v/>
      </c>
      <c r="X146" s="2343" t="str">
        <f t="shared" si="517"/>
        <v/>
      </c>
      <c r="Y146" s="2343" t="str">
        <f t="shared" si="430"/>
        <v/>
      </c>
      <c r="Z146" s="2343" t="str">
        <f t="shared" si="509"/>
        <v/>
      </c>
      <c r="AA146" s="2343" t="str">
        <f t="shared" si="518"/>
        <v/>
      </c>
      <c r="AB146" s="2343" t="str">
        <f t="shared" si="432"/>
        <v/>
      </c>
      <c r="AC146" s="2343" t="str">
        <f t="shared" si="510"/>
        <v/>
      </c>
      <c r="AD146" s="2343" t="str">
        <f t="shared" si="519"/>
        <v/>
      </c>
      <c r="AE146" s="2343" t="str">
        <f t="shared" si="434"/>
        <v/>
      </c>
      <c r="AF146" s="2343" t="str">
        <f t="shared" si="511"/>
        <v/>
      </c>
      <c r="AU146" s="2349"/>
      <c r="AV146" s="2349"/>
      <c r="AW146" s="2349"/>
      <c r="AX146" s="2349"/>
      <c r="AY146" s="2349"/>
      <c r="AZ146" s="2349"/>
      <c r="BA146" s="2349"/>
      <c r="BB146" s="2349"/>
      <c r="BC146" s="2349"/>
      <c r="BD146" s="2805"/>
      <c r="BE146" s="2349"/>
      <c r="BF146" s="2349"/>
      <c r="BG146" s="2349"/>
      <c r="BH146" s="2349"/>
      <c r="BI146" s="2349"/>
      <c r="BJ146" s="1501" t="str">
        <f t="shared" si="435"/>
        <v/>
      </c>
      <c r="BK146" s="3371" t="str">
        <f t="shared" si="435"/>
        <v/>
      </c>
      <c r="BL146" s="2343" t="str">
        <f t="shared" si="436"/>
        <v/>
      </c>
      <c r="BM146" s="2343" t="str">
        <f t="shared" si="437"/>
        <v/>
      </c>
      <c r="BN146" s="2343" t="str">
        <f t="shared" si="438"/>
        <v/>
      </c>
      <c r="BO146" s="2343" t="str">
        <f t="shared" si="439"/>
        <v/>
      </c>
      <c r="BP146" s="2343" t="str">
        <f t="shared" si="440"/>
        <v/>
      </c>
      <c r="BQ146" s="2801" t="str">
        <f t="shared" si="441"/>
        <v/>
      </c>
      <c r="BR146" s="2343" t="str">
        <f t="shared" si="442"/>
        <v/>
      </c>
      <c r="BS146" s="2343" t="str">
        <f t="shared" si="443"/>
        <v/>
      </c>
      <c r="BT146" s="2343" t="str">
        <f t="shared" si="444"/>
        <v/>
      </c>
      <c r="CC146" s="2335"/>
      <c r="CU146" s="2335"/>
      <c r="CV146" s="2335"/>
      <c r="CX146" s="2337"/>
      <c r="CY146" s="3721"/>
      <c r="CZ146" s="2372"/>
      <c r="DA146" s="2372"/>
      <c r="DB146" s="2372"/>
      <c r="DC146" s="2372"/>
      <c r="DD146" s="2372"/>
      <c r="DE146" s="2372"/>
      <c r="DF146" s="2372"/>
      <c r="DG146" s="2372"/>
      <c r="DH146" s="2372"/>
      <c r="DI146" s="2372"/>
      <c r="DJ146" s="2335"/>
      <c r="DK146" s="2335"/>
      <c r="DS146" s="2335"/>
      <c r="DT146" s="2335"/>
      <c r="DU146" s="2335"/>
      <c r="DV146" s="2335"/>
      <c r="DW146" s="2335"/>
      <c r="DX146" s="2335"/>
      <c r="DY146" s="2335"/>
      <c r="DZ146" s="2335"/>
      <c r="EA146" s="2335"/>
      <c r="EB146" s="2335"/>
      <c r="EC146" s="2335"/>
      <c r="ED146" s="2335"/>
      <c r="EE146" s="2335"/>
      <c r="EF146" s="2335"/>
      <c r="EJ146" s="2335" t="str">
        <f t="shared" si="450"/>
        <v/>
      </c>
      <c r="EK146" s="3360" t="str">
        <f t="shared" si="450"/>
        <v/>
      </c>
      <c r="EL146" s="2622" t="str">
        <f t="shared" si="451"/>
        <v/>
      </c>
      <c r="EM146" s="2622" t="str">
        <f t="shared" si="452"/>
        <v/>
      </c>
      <c r="EN146" s="2622"/>
      <c r="EO146" s="2622"/>
      <c r="EP146" s="2622"/>
      <c r="EQ146" s="2622"/>
      <c r="ER146" s="2335"/>
      <c r="ES146" s="2335"/>
      <c r="EY146" s="2335"/>
      <c r="EZ146" s="2335"/>
      <c r="FA146" s="2335"/>
      <c r="FB146" s="2335"/>
      <c r="FC146" s="2335"/>
      <c r="FD146" s="2335"/>
      <c r="FE146" s="2335"/>
      <c r="FF146" s="2335"/>
      <c r="FG146" s="2335"/>
      <c r="FH146" s="2335"/>
      <c r="FI146" s="2335"/>
      <c r="FJ146" s="2335"/>
      <c r="FK146" s="2335"/>
      <c r="FO146" s="2335" t="str">
        <f t="shared" ref="FO146:FP146" si="525">FO36</f>
        <v/>
      </c>
      <c r="FP146" s="3942" t="str">
        <f t="shared" si="525"/>
        <v/>
      </c>
      <c r="FQ146" s="2622" t="str">
        <f t="shared" si="514"/>
        <v/>
      </c>
      <c r="FR146" s="2622" t="str">
        <f t="shared" si="515"/>
        <v/>
      </c>
      <c r="FS146" s="2622"/>
      <c r="FT146" s="2622"/>
      <c r="FU146" s="2622"/>
      <c r="FV146" s="2622"/>
      <c r="FW146" s="2335"/>
      <c r="FX146" s="2335"/>
    </row>
    <row r="147" spans="1:183" s="2332" customFormat="1">
      <c r="A147" s="2272"/>
      <c r="B147" s="2272"/>
      <c r="C147" s="2272"/>
      <c r="E147" s="2272"/>
      <c r="F147" s="2276"/>
      <c r="G147" s="2276"/>
      <c r="H147" s="2276"/>
      <c r="I147" s="2276"/>
      <c r="J147" s="2276"/>
      <c r="K147" s="2276"/>
      <c r="L147" s="2276"/>
      <c r="M147" s="2276"/>
      <c r="V147" s="1501" t="str">
        <f t="shared" si="500"/>
        <v/>
      </c>
      <c r="W147" s="3371" t="str">
        <f t="shared" si="500"/>
        <v/>
      </c>
      <c r="X147" s="2343" t="str">
        <f t="shared" si="517"/>
        <v/>
      </c>
      <c r="Y147" s="2343" t="str">
        <f t="shared" si="430"/>
        <v/>
      </c>
      <c r="Z147" s="2343" t="str">
        <f t="shared" si="509"/>
        <v/>
      </c>
      <c r="AA147" s="2343" t="str">
        <f t="shared" si="518"/>
        <v/>
      </c>
      <c r="AB147" s="2343" t="str">
        <f t="shared" si="432"/>
        <v/>
      </c>
      <c r="AC147" s="2343" t="str">
        <f t="shared" si="510"/>
        <v/>
      </c>
      <c r="AD147" s="2343" t="str">
        <f t="shared" si="519"/>
        <v/>
      </c>
      <c r="AE147" s="2343" t="str">
        <f t="shared" si="434"/>
        <v/>
      </c>
      <c r="AF147" s="2343" t="str">
        <f t="shared" si="511"/>
        <v/>
      </c>
      <c r="AU147" s="2349"/>
      <c r="AV147" s="2349"/>
      <c r="AW147" s="2349"/>
      <c r="AX147" s="2349"/>
      <c r="AY147" s="2349"/>
      <c r="AZ147" s="2349"/>
      <c r="BA147" s="2349"/>
      <c r="BB147" s="2349"/>
      <c r="BC147" s="2349"/>
      <c r="BD147" s="2805"/>
      <c r="BE147" s="2349"/>
      <c r="BF147" s="2349"/>
      <c r="BG147" s="2349"/>
      <c r="BH147" s="2349"/>
      <c r="BI147" s="2349"/>
      <c r="BJ147" s="1501" t="str">
        <f t="shared" si="435"/>
        <v/>
      </c>
      <c r="BK147" s="3371" t="str">
        <f t="shared" si="435"/>
        <v/>
      </c>
      <c r="BL147" s="2343" t="str">
        <f t="shared" si="436"/>
        <v/>
      </c>
      <c r="BM147" s="2343" t="str">
        <f t="shared" si="437"/>
        <v/>
      </c>
      <c r="BN147" s="2343" t="str">
        <f t="shared" si="438"/>
        <v/>
      </c>
      <c r="BO147" s="2343" t="str">
        <f t="shared" si="439"/>
        <v/>
      </c>
      <c r="BP147" s="2343" t="str">
        <f t="shared" si="440"/>
        <v/>
      </c>
      <c r="BQ147" s="2801" t="str">
        <f t="shared" si="441"/>
        <v/>
      </c>
      <c r="BR147" s="2343" t="str">
        <f t="shared" si="442"/>
        <v/>
      </c>
      <c r="BS147" s="2343" t="str">
        <f t="shared" si="443"/>
        <v/>
      </c>
      <c r="BT147" s="2343" t="str">
        <f t="shared" si="444"/>
        <v/>
      </c>
      <c r="CC147" s="2335"/>
      <c r="CU147" s="2335"/>
      <c r="CV147" s="2335"/>
      <c r="CX147" s="2337"/>
      <c r="CY147" s="3721"/>
      <c r="CZ147" s="2372"/>
      <c r="DA147" s="2372"/>
      <c r="DB147" s="2372"/>
      <c r="DC147" s="2372"/>
      <c r="DD147" s="2372"/>
      <c r="DE147" s="2372"/>
      <c r="DF147" s="2372"/>
      <c r="DG147" s="2372"/>
      <c r="DH147" s="2372"/>
      <c r="DI147" s="2372"/>
      <c r="DJ147" s="2335"/>
      <c r="DK147" s="2335"/>
      <c r="DS147" s="2335"/>
      <c r="DT147" s="2335"/>
      <c r="DU147" s="2335"/>
      <c r="DV147" s="2335"/>
      <c r="DW147" s="2335"/>
      <c r="DX147" s="2335"/>
      <c r="DY147" s="2335"/>
      <c r="DZ147" s="2335"/>
      <c r="EA147" s="2335"/>
      <c r="EB147" s="2335"/>
      <c r="EC147" s="2335"/>
      <c r="ED147" s="2335"/>
      <c r="EE147" s="2335"/>
      <c r="EF147" s="2335"/>
      <c r="EJ147" s="2335" t="str">
        <f t="shared" si="450"/>
        <v/>
      </c>
      <c r="EK147" s="3360" t="str">
        <f t="shared" si="450"/>
        <v/>
      </c>
      <c r="EL147" s="2622" t="str">
        <f t="shared" si="451"/>
        <v/>
      </c>
      <c r="EM147" s="2622" t="str">
        <f t="shared" si="452"/>
        <v/>
      </c>
      <c r="EN147" s="2622"/>
      <c r="EO147" s="2622"/>
      <c r="EP147" s="2622"/>
      <c r="EQ147" s="2622"/>
      <c r="ER147" s="2335"/>
      <c r="ES147" s="2335"/>
      <c r="EY147" s="2335"/>
      <c r="EZ147" s="2335"/>
      <c r="FA147" s="2335"/>
      <c r="FB147" s="2335"/>
      <c r="FC147" s="2335"/>
      <c r="FD147" s="2335"/>
      <c r="FE147" s="2335"/>
      <c r="FF147" s="2335"/>
      <c r="FG147" s="2335"/>
      <c r="FH147" s="2335"/>
      <c r="FI147" s="2335"/>
      <c r="FJ147" s="2335"/>
      <c r="FK147" s="2335"/>
      <c r="FO147" s="2335" t="str">
        <f t="shared" ref="FO147:FP147" si="526">FO37</f>
        <v/>
      </c>
      <c r="FP147" s="3942" t="str">
        <f t="shared" si="526"/>
        <v/>
      </c>
      <c r="FQ147" s="2622" t="str">
        <f t="shared" si="514"/>
        <v/>
      </c>
      <c r="FR147" s="2622" t="str">
        <f t="shared" si="515"/>
        <v/>
      </c>
      <c r="FS147" s="2622"/>
      <c r="FT147" s="2622"/>
      <c r="FU147" s="2622"/>
      <c r="FV147" s="2622"/>
      <c r="FW147" s="2335"/>
      <c r="FX147" s="2335"/>
    </row>
    <row r="148" spans="1:183" s="2332" customFormat="1">
      <c r="A148" s="2272"/>
      <c r="B148" s="2272"/>
      <c r="C148" s="2272"/>
      <c r="E148" s="2272"/>
      <c r="F148" s="2276"/>
      <c r="G148" s="2276"/>
      <c r="H148" s="2276"/>
      <c r="I148" s="2276"/>
      <c r="J148" s="2276"/>
      <c r="K148" s="2276"/>
      <c r="L148" s="2276"/>
      <c r="M148" s="2276"/>
      <c r="V148" s="1501" t="str">
        <f t="shared" si="500"/>
        <v/>
      </c>
      <c r="W148" s="3371" t="str">
        <f t="shared" si="500"/>
        <v/>
      </c>
      <c r="X148" s="2343" t="str">
        <f t="shared" si="517"/>
        <v/>
      </c>
      <c r="Y148" s="2343" t="str">
        <f t="shared" si="430"/>
        <v/>
      </c>
      <c r="Z148" s="2343" t="str">
        <f t="shared" si="509"/>
        <v/>
      </c>
      <c r="AA148" s="2343" t="str">
        <f t="shared" si="518"/>
        <v/>
      </c>
      <c r="AB148" s="2343" t="str">
        <f t="shared" si="432"/>
        <v/>
      </c>
      <c r="AC148" s="2343" t="str">
        <f t="shared" si="510"/>
        <v/>
      </c>
      <c r="AD148" s="2343" t="str">
        <f t="shared" si="519"/>
        <v/>
      </c>
      <c r="AE148" s="2343" t="str">
        <f t="shared" si="434"/>
        <v/>
      </c>
      <c r="AF148" s="2343" t="str">
        <f t="shared" si="511"/>
        <v/>
      </c>
      <c r="AU148" s="2349"/>
      <c r="AV148" s="2349"/>
      <c r="AW148" s="2349"/>
      <c r="AX148" s="2349"/>
      <c r="AY148" s="2349"/>
      <c r="AZ148" s="2349"/>
      <c r="BA148" s="2349"/>
      <c r="BB148" s="2349"/>
      <c r="BC148" s="2349"/>
      <c r="BD148" s="2805"/>
      <c r="BE148" s="2349"/>
      <c r="BF148" s="2349"/>
      <c r="BG148" s="2349"/>
      <c r="BH148" s="2349"/>
      <c r="BI148" s="2349"/>
      <c r="BJ148" s="1501" t="str">
        <f t="shared" si="435"/>
        <v/>
      </c>
      <c r="BK148" s="3371" t="str">
        <f t="shared" si="435"/>
        <v/>
      </c>
      <c r="BL148" s="2343" t="str">
        <f t="shared" si="436"/>
        <v/>
      </c>
      <c r="BM148" s="2343" t="str">
        <f t="shared" si="437"/>
        <v/>
      </c>
      <c r="BN148" s="2343" t="str">
        <f t="shared" si="438"/>
        <v/>
      </c>
      <c r="BO148" s="2343" t="str">
        <f t="shared" si="439"/>
        <v/>
      </c>
      <c r="BP148" s="2343" t="str">
        <f t="shared" si="440"/>
        <v/>
      </c>
      <c r="BQ148" s="2801" t="str">
        <f t="shared" si="441"/>
        <v/>
      </c>
      <c r="BR148" s="2343" t="str">
        <f t="shared" si="442"/>
        <v/>
      </c>
      <c r="BS148" s="2343" t="str">
        <f t="shared" si="443"/>
        <v/>
      </c>
      <c r="BT148" s="2343" t="str">
        <f t="shared" si="444"/>
        <v/>
      </c>
      <c r="CC148" s="2335"/>
      <c r="CU148" s="2335"/>
      <c r="CV148" s="2335"/>
      <c r="CX148" s="2337"/>
      <c r="CY148" s="3721"/>
      <c r="CZ148" s="2372"/>
      <c r="DA148" s="2372"/>
      <c r="DB148" s="2372"/>
      <c r="DC148" s="2372"/>
      <c r="DD148" s="2372"/>
      <c r="DE148" s="2372"/>
      <c r="DF148" s="2372"/>
      <c r="DG148" s="2372"/>
      <c r="DH148" s="2372"/>
      <c r="DI148" s="2372"/>
      <c r="DJ148" s="2335"/>
      <c r="DK148" s="2335"/>
      <c r="DS148" s="2335"/>
      <c r="DT148" s="2335"/>
      <c r="DU148" s="2335"/>
      <c r="DV148" s="2335"/>
      <c r="DW148" s="2335"/>
      <c r="DX148" s="2335"/>
      <c r="DY148" s="2335"/>
      <c r="DZ148" s="2335"/>
      <c r="EA148" s="2335"/>
      <c r="EB148" s="2335"/>
      <c r="EC148" s="2335"/>
      <c r="ED148" s="2335"/>
      <c r="EE148" s="2335"/>
      <c r="EF148" s="2335"/>
      <c r="EJ148" s="2335" t="str">
        <f t="shared" si="450"/>
        <v/>
      </c>
      <c r="EK148" s="3360" t="str">
        <f t="shared" si="450"/>
        <v/>
      </c>
      <c r="EL148" s="2622" t="str">
        <f t="shared" si="451"/>
        <v/>
      </c>
      <c r="EM148" s="2622" t="str">
        <f t="shared" si="452"/>
        <v/>
      </c>
      <c r="EN148" s="2622"/>
      <c r="EO148" s="2622"/>
      <c r="EP148" s="2622"/>
      <c r="EQ148" s="2622"/>
      <c r="ER148" s="2335"/>
      <c r="ES148" s="2335"/>
      <c r="EY148" s="2335"/>
      <c r="EZ148" s="2335"/>
      <c r="FA148" s="2335"/>
      <c r="FB148" s="2335"/>
      <c r="FC148" s="2335"/>
      <c r="FD148" s="2335"/>
      <c r="FE148" s="2335"/>
      <c r="FF148" s="2335"/>
      <c r="FG148" s="2335"/>
      <c r="FH148" s="2335"/>
      <c r="FI148" s="2335"/>
      <c r="FJ148" s="2335"/>
      <c r="FK148" s="2335"/>
      <c r="FO148" s="2335" t="str">
        <f t="shared" ref="FO148:FP148" si="527">FO38</f>
        <v/>
      </c>
      <c r="FP148" s="3942" t="str">
        <f t="shared" si="527"/>
        <v/>
      </c>
      <c r="FQ148" s="2622" t="str">
        <f t="shared" si="514"/>
        <v/>
      </c>
      <c r="FR148" s="2622" t="str">
        <f t="shared" si="515"/>
        <v/>
      </c>
      <c r="FS148" s="2622"/>
      <c r="FT148" s="2622"/>
      <c r="FU148" s="2622"/>
      <c r="FV148" s="2622"/>
      <c r="FW148" s="2335"/>
      <c r="FX148" s="2335"/>
    </row>
    <row r="149" spans="1:183" s="2332" customFormat="1">
      <c r="A149" s="2272"/>
      <c r="B149" s="2272"/>
      <c r="C149" s="2272"/>
      <c r="E149" s="2272"/>
      <c r="F149" s="2276"/>
      <c r="G149" s="2276"/>
      <c r="H149" s="2276"/>
      <c r="I149" s="2276"/>
      <c r="J149" s="2276"/>
      <c r="K149" s="2276"/>
      <c r="L149" s="2276"/>
      <c r="M149" s="2276"/>
      <c r="V149" s="1501" t="str">
        <f t="shared" si="500"/>
        <v/>
      </c>
      <c r="W149" s="3371" t="str">
        <f t="shared" si="500"/>
        <v/>
      </c>
      <c r="X149" s="2343" t="str">
        <f t="shared" si="517"/>
        <v/>
      </c>
      <c r="Y149" s="2343" t="str">
        <f t="shared" si="430"/>
        <v/>
      </c>
      <c r="Z149" s="2343" t="str">
        <f t="shared" si="509"/>
        <v/>
      </c>
      <c r="AA149" s="2343" t="str">
        <f t="shared" si="518"/>
        <v/>
      </c>
      <c r="AB149" s="2343" t="str">
        <f t="shared" si="432"/>
        <v/>
      </c>
      <c r="AC149" s="2343" t="str">
        <f t="shared" si="510"/>
        <v/>
      </c>
      <c r="AD149" s="2343" t="str">
        <f t="shared" si="519"/>
        <v/>
      </c>
      <c r="AE149" s="2343" t="str">
        <f t="shared" si="434"/>
        <v/>
      </c>
      <c r="AF149" s="2343" t="str">
        <f t="shared" si="511"/>
        <v/>
      </c>
      <c r="AU149" s="2349"/>
      <c r="AV149" s="2349"/>
      <c r="AW149" s="2349"/>
      <c r="AX149" s="2349"/>
      <c r="AY149" s="2349"/>
      <c r="AZ149" s="2349"/>
      <c r="BA149" s="2349"/>
      <c r="BB149" s="2349"/>
      <c r="BC149" s="2349"/>
      <c r="BD149" s="2805"/>
      <c r="BE149" s="2349"/>
      <c r="BF149" s="2349"/>
      <c r="BG149" s="2349"/>
      <c r="BH149" s="2349"/>
      <c r="BI149" s="2349"/>
      <c r="BJ149" s="1501" t="str">
        <f t="shared" si="435"/>
        <v/>
      </c>
      <c r="BK149" s="3371" t="str">
        <f t="shared" si="435"/>
        <v/>
      </c>
      <c r="BL149" s="2343" t="str">
        <f t="shared" si="436"/>
        <v/>
      </c>
      <c r="BM149" s="2343" t="str">
        <f t="shared" si="437"/>
        <v/>
      </c>
      <c r="BN149" s="2343" t="str">
        <f t="shared" si="438"/>
        <v/>
      </c>
      <c r="BO149" s="2343" t="str">
        <f t="shared" si="439"/>
        <v/>
      </c>
      <c r="BP149" s="2343" t="str">
        <f t="shared" si="440"/>
        <v/>
      </c>
      <c r="BQ149" s="2801" t="str">
        <f t="shared" si="441"/>
        <v/>
      </c>
      <c r="BR149" s="2343" t="str">
        <f t="shared" si="442"/>
        <v/>
      </c>
      <c r="BS149" s="2343" t="str">
        <f t="shared" si="443"/>
        <v/>
      </c>
      <c r="BT149" s="2343" t="str">
        <f t="shared" si="444"/>
        <v/>
      </c>
      <c r="CC149" s="2335"/>
      <c r="CU149" s="2335"/>
      <c r="CV149" s="2335"/>
      <c r="CX149" s="2337"/>
      <c r="CY149" s="3721"/>
      <c r="CZ149" s="2372"/>
      <c r="DA149" s="2372"/>
      <c r="DB149" s="2372"/>
      <c r="DC149" s="2372"/>
      <c r="DD149" s="2372"/>
      <c r="DE149" s="2372"/>
      <c r="DF149" s="2372"/>
      <c r="DG149" s="2372"/>
      <c r="DH149" s="2372"/>
      <c r="DI149" s="2372"/>
      <c r="DJ149" s="2335"/>
      <c r="DK149" s="2335"/>
      <c r="DS149" s="2335"/>
      <c r="DT149" s="2335"/>
      <c r="DU149" s="2335"/>
      <c r="DV149" s="2335"/>
      <c r="DW149" s="2335"/>
      <c r="DX149" s="2335"/>
      <c r="DY149" s="2335"/>
      <c r="DZ149" s="2335"/>
      <c r="EA149" s="2335"/>
      <c r="EB149" s="2335"/>
      <c r="EC149" s="2335"/>
      <c r="ED149" s="2335"/>
      <c r="EE149" s="2335"/>
      <c r="EF149" s="2335"/>
      <c r="EJ149" s="2335" t="str">
        <f t="shared" si="450"/>
        <v/>
      </c>
      <c r="EK149" s="3360" t="str">
        <f t="shared" si="450"/>
        <v/>
      </c>
      <c r="EL149" s="2622" t="str">
        <f t="shared" si="451"/>
        <v/>
      </c>
      <c r="EM149" s="2622" t="str">
        <f t="shared" si="452"/>
        <v/>
      </c>
      <c r="EN149" s="2622"/>
      <c r="EO149" s="2622"/>
      <c r="EP149" s="2622"/>
      <c r="EQ149" s="2622"/>
      <c r="ER149" s="2335"/>
      <c r="ES149" s="2335"/>
      <c r="EY149" s="2335"/>
      <c r="EZ149" s="2335"/>
      <c r="FA149" s="2335"/>
      <c r="FB149" s="2335"/>
      <c r="FC149" s="2335"/>
      <c r="FD149" s="2335"/>
      <c r="FE149" s="2335"/>
      <c r="FF149" s="2335"/>
      <c r="FG149" s="2335"/>
      <c r="FH149" s="2335"/>
      <c r="FI149" s="2335"/>
      <c r="FJ149" s="2335"/>
      <c r="FK149" s="2335"/>
      <c r="FO149" s="2335" t="str">
        <f t="shared" ref="FO149:FP149" si="528">FO39</f>
        <v/>
      </c>
      <c r="FP149" s="3942" t="str">
        <f t="shared" si="528"/>
        <v/>
      </c>
      <c r="FQ149" s="2622" t="str">
        <f t="shared" si="514"/>
        <v/>
      </c>
      <c r="FR149" s="2622" t="str">
        <f t="shared" si="515"/>
        <v/>
      </c>
      <c r="FS149" s="2622"/>
      <c r="FT149" s="2622"/>
      <c r="FU149" s="2622"/>
      <c r="FV149" s="2622"/>
      <c r="FW149" s="2335"/>
      <c r="FX149" s="2335"/>
    </row>
    <row r="150" spans="1:183">
      <c r="A150" s="2272"/>
      <c r="B150" s="2272"/>
      <c r="C150" s="2272"/>
      <c r="D150" s="9"/>
      <c r="E150" s="2272"/>
      <c r="F150" s="2276"/>
      <c r="G150" s="2276"/>
      <c r="H150" s="2276"/>
      <c r="I150" s="2276"/>
      <c r="J150" s="2276"/>
      <c r="K150" s="2276"/>
      <c r="L150" s="2276"/>
      <c r="M150" s="2276"/>
      <c r="N150" s="9"/>
      <c r="O150" s="9"/>
      <c r="P150" s="9"/>
      <c r="Q150" s="9"/>
      <c r="R150" s="9"/>
      <c r="S150" s="9"/>
      <c r="T150" s="2332"/>
      <c r="U150" s="9"/>
      <c r="V150" s="9"/>
      <c r="W150" s="9"/>
      <c r="X150" s="9"/>
      <c r="Y150" s="9"/>
      <c r="Z150" s="9"/>
      <c r="AA150" s="9"/>
      <c r="AB150" s="9"/>
      <c r="AC150" s="9"/>
      <c r="AD150" s="9"/>
      <c r="AE150" s="9"/>
      <c r="AF150" s="9"/>
      <c r="AG150" s="9"/>
      <c r="AH150" s="9"/>
      <c r="AI150" s="9"/>
      <c r="AU150" s="2270"/>
      <c r="AV150" s="2270"/>
      <c r="AW150" s="2270"/>
      <c r="AX150" s="2270"/>
      <c r="AY150" s="2270"/>
      <c r="AZ150" s="2270"/>
      <c r="BA150" s="2270"/>
      <c r="BB150" s="2270"/>
      <c r="BC150" s="2270"/>
      <c r="BD150" s="2805"/>
      <c r="BE150" s="2270"/>
      <c r="BF150" s="2270"/>
      <c r="BG150" s="2349"/>
      <c r="BH150" s="2270"/>
      <c r="BI150" s="2270"/>
      <c r="BJ150" s="2332"/>
      <c r="BK150" s="2332"/>
      <c r="BL150" s="2332"/>
      <c r="BM150" s="2332"/>
      <c r="BN150" s="2332"/>
      <c r="BO150" s="2332"/>
      <c r="BP150" s="2332"/>
      <c r="BR150" s="2332"/>
      <c r="BS150" s="2332"/>
      <c r="BT150" s="2332"/>
      <c r="BU150" s="2332"/>
      <c r="BV150" s="2332"/>
      <c r="BW150" s="2332"/>
      <c r="BX150" s="2332"/>
      <c r="BY150" s="2332"/>
      <c r="BZ150" s="2332"/>
      <c r="CA150" s="2332"/>
      <c r="CB150" s="2332"/>
      <c r="CU150" s="2330"/>
      <c r="CV150" s="2330"/>
      <c r="CW150" s="2337"/>
      <c r="CX150" s="3721"/>
      <c r="CY150" s="2372"/>
      <c r="CZ150" s="2372"/>
      <c r="DA150" s="2372"/>
      <c r="DB150" s="2372"/>
      <c r="DC150" s="2372"/>
      <c r="DD150" s="2372"/>
      <c r="DE150" s="2372"/>
      <c r="DF150" s="2372"/>
      <c r="DG150" s="2372"/>
      <c r="DH150" s="2335"/>
      <c r="DI150" s="2330"/>
      <c r="DJ150" s="2330"/>
      <c r="DK150" s="2330"/>
      <c r="DS150" s="2330"/>
      <c r="DT150" s="2330"/>
      <c r="DU150" s="2330"/>
      <c r="DV150" s="2330"/>
      <c r="DW150" s="2330"/>
      <c r="DX150" s="2330"/>
      <c r="DY150" s="2330"/>
      <c r="DZ150" s="2330"/>
      <c r="EA150" s="2330"/>
      <c r="EB150" s="2330"/>
      <c r="EC150" s="2330"/>
      <c r="ED150" s="2330"/>
      <c r="EE150" s="2330"/>
      <c r="EF150" s="2330"/>
      <c r="EI150" s="2330"/>
      <c r="EJ150" s="2330"/>
      <c r="EK150" s="2330"/>
      <c r="EL150" s="2330"/>
      <c r="EM150" s="2330"/>
      <c r="EN150" s="2330"/>
      <c r="EO150" s="2330"/>
      <c r="EP150" s="2330"/>
      <c r="EQ150" s="2330"/>
      <c r="ER150" s="2330"/>
      <c r="ES150" s="2330"/>
      <c r="ET150" s="2330"/>
      <c r="EU150" s="2330"/>
      <c r="EV150" s="2330"/>
      <c r="EY150" s="2330"/>
      <c r="EZ150" s="2330"/>
      <c r="FA150" s="2330"/>
      <c r="FB150" s="2330"/>
      <c r="FC150" s="2330"/>
      <c r="FD150" s="2330"/>
      <c r="FE150" s="2330"/>
      <c r="FF150" s="2330"/>
      <c r="FG150" s="2330"/>
      <c r="FH150" s="2330"/>
      <c r="FI150" s="2330"/>
      <c r="FJ150" s="2330"/>
      <c r="FK150" s="2330"/>
      <c r="FN150" s="2336"/>
      <c r="FO150" s="2330"/>
      <c r="FP150" s="2330"/>
      <c r="FQ150" s="2330"/>
      <c r="FR150" s="2330"/>
      <c r="FS150" s="2330"/>
      <c r="FT150" s="2330"/>
      <c r="FU150" s="2330"/>
      <c r="FV150" s="2330"/>
      <c r="FW150" s="2330"/>
      <c r="FX150" s="2330"/>
      <c r="FY150" s="2330"/>
      <c r="FZ150" s="2330"/>
      <c r="GA150" s="2330"/>
    </row>
    <row r="151" spans="1:183">
      <c r="A151" s="2272"/>
      <c r="B151" s="2272"/>
      <c r="C151" s="2272"/>
      <c r="D151" s="9"/>
      <c r="E151" s="2272"/>
      <c r="F151" s="2276"/>
      <c r="G151" s="2276"/>
      <c r="H151" s="2276"/>
      <c r="I151" s="2276"/>
      <c r="J151" s="2276"/>
      <c r="K151" s="2276"/>
      <c r="L151" s="2276"/>
      <c r="M151" s="2276"/>
      <c r="N151" s="9"/>
      <c r="O151" s="9"/>
      <c r="P151" s="9"/>
      <c r="Q151" s="9"/>
      <c r="R151" s="9"/>
      <c r="S151" s="9"/>
      <c r="T151" s="2332"/>
      <c r="U151" s="9"/>
      <c r="V151" s="2335" t="s">
        <v>1988</v>
      </c>
      <c r="W151" s="9"/>
      <c r="X151" s="9"/>
      <c r="Y151" s="9"/>
      <c r="Z151" s="9"/>
      <c r="AA151" s="9"/>
      <c r="AB151" s="9"/>
      <c r="AC151" s="9"/>
      <c r="AD151" s="9"/>
      <c r="AE151" s="9"/>
      <c r="AF151" s="9"/>
      <c r="AG151" s="9"/>
      <c r="AH151" s="9"/>
      <c r="AI151" s="9"/>
      <c r="AU151" s="2270"/>
      <c r="AV151" s="2270"/>
      <c r="AW151" s="2270"/>
      <c r="AX151" s="2270"/>
      <c r="AY151" s="2270"/>
      <c r="AZ151" s="2270"/>
      <c r="BA151" s="2270"/>
      <c r="BB151" s="2270"/>
      <c r="BC151" s="2270"/>
      <c r="BD151" s="2805"/>
      <c r="BE151" s="2270"/>
      <c r="BF151" s="2270"/>
      <c r="BG151" s="2349"/>
      <c r="BH151" s="2270"/>
      <c r="BI151" s="2270"/>
      <c r="BJ151" s="2332"/>
      <c r="BK151" s="2332"/>
      <c r="BL151" s="2332"/>
      <c r="BM151" s="2332"/>
      <c r="BN151" s="2332"/>
      <c r="BO151" s="2332"/>
      <c r="BP151" s="2332"/>
      <c r="BR151" s="2332"/>
      <c r="BS151" s="2332"/>
      <c r="BT151" s="2332"/>
      <c r="BU151" s="2332"/>
      <c r="BV151" s="2332"/>
      <c r="BW151" s="2332"/>
      <c r="BX151" s="2332"/>
      <c r="BY151" s="2332"/>
      <c r="BZ151" s="2332"/>
      <c r="CA151" s="2332"/>
      <c r="CB151" s="2332"/>
      <c r="DS151" s="2330"/>
      <c r="DT151" s="2330"/>
      <c r="DU151" s="2330"/>
      <c r="DV151" s="2330"/>
      <c r="DW151" s="2330"/>
      <c r="DX151" s="2330"/>
      <c r="DY151" s="2330"/>
      <c r="DZ151" s="2330"/>
      <c r="EA151" s="2330"/>
      <c r="EB151" s="2330"/>
      <c r="EC151" s="2330"/>
      <c r="ED151" s="2330"/>
      <c r="EE151" s="2330"/>
      <c r="EF151" s="2330"/>
      <c r="EI151" s="2330"/>
      <c r="EJ151" s="2330"/>
      <c r="EK151" s="2330"/>
      <c r="EL151" s="2330"/>
      <c r="EM151" s="2330"/>
      <c r="EN151" s="2330"/>
      <c r="EO151" s="2330"/>
      <c r="EP151" s="2330"/>
      <c r="EQ151" s="2330"/>
      <c r="ER151" s="2330"/>
      <c r="ES151" s="2330"/>
      <c r="ET151" s="2330"/>
      <c r="EU151" s="2330"/>
      <c r="EV151" s="2330"/>
      <c r="EY151" s="2330"/>
      <c r="EZ151" s="2330"/>
      <c r="FA151" s="2330"/>
      <c r="FB151" s="2330"/>
      <c r="FC151" s="2330"/>
      <c r="FD151" s="2330"/>
      <c r="FE151" s="2330"/>
      <c r="FF151" s="2330"/>
      <c r="FG151" s="2330"/>
      <c r="FH151" s="2330"/>
      <c r="FI151" s="2330"/>
      <c r="FJ151" s="2330"/>
      <c r="FK151" s="2330"/>
      <c r="FN151" s="2336"/>
      <c r="FO151" s="2330"/>
      <c r="FP151" s="2330"/>
      <c r="FQ151" s="2330"/>
      <c r="FR151" s="2330"/>
      <c r="FS151" s="2330"/>
      <c r="FT151" s="2330"/>
      <c r="FU151" s="2330"/>
      <c r="FV151" s="2330"/>
      <c r="FW151" s="2330"/>
      <c r="FX151" s="2330"/>
      <c r="FY151" s="2330"/>
      <c r="FZ151" s="2330"/>
      <c r="GA151" s="2330"/>
    </row>
    <row r="152" spans="1:183" ht="26.25" thickBot="1">
      <c r="A152" s="2272"/>
      <c r="B152" s="2272"/>
      <c r="C152" s="2272"/>
      <c r="D152" s="9"/>
      <c r="E152" s="2272"/>
      <c r="F152" s="2276"/>
      <c r="G152" s="2276"/>
      <c r="H152" s="2276"/>
      <c r="I152" s="2276"/>
      <c r="J152" s="2276"/>
      <c r="K152" s="2276"/>
      <c r="L152" s="2276"/>
      <c r="M152" s="2276"/>
      <c r="N152" s="9"/>
      <c r="O152" s="9"/>
      <c r="P152" s="9"/>
      <c r="Q152" s="9"/>
      <c r="R152" s="9"/>
      <c r="S152" s="9"/>
      <c r="T152" s="2332"/>
      <c r="U152" s="9"/>
      <c r="V152" s="2351" t="str">
        <f>CostScenario</f>
        <v>Mid Case</v>
      </c>
      <c r="W152" s="2330"/>
      <c r="X152" s="2330"/>
      <c r="Y152" s="2330"/>
      <c r="Z152" s="2330"/>
      <c r="AA152" s="2330"/>
      <c r="AB152" s="2330"/>
      <c r="AC152" s="2330"/>
      <c r="AD152" s="2343"/>
      <c r="AE152" s="2343"/>
      <c r="AF152" s="2343"/>
      <c r="AG152" s="2343"/>
      <c r="AH152" s="2334"/>
      <c r="AI152" s="2334"/>
      <c r="AU152" s="2270"/>
      <c r="AV152" s="2270"/>
      <c r="AW152" s="2270"/>
      <c r="AX152" s="2270"/>
      <c r="AY152" s="2270"/>
      <c r="AZ152" s="2270"/>
      <c r="BA152" s="2270"/>
      <c r="BB152" s="2270"/>
      <c r="BC152" s="2270"/>
      <c r="BD152" s="2805"/>
      <c r="BE152" s="2270"/>
      <c r="BF152" s="2270"/>
      <c r="BG152" s="2349"/>
      <c r="BH152" s="2270"/>
      <c r="BI152" s="2270"/>
      <c r="BJ152" s="2351" t="str">
        <f>CostScenario</f>
        <v>Mid Case</v>
      </c>
      <c r="BK152" s="2330"/>
      <c r="BL152" s="2330"/>
      <c r="BM152" s="2330"/>
      <c r="BN152" s="2330"/>
      <c r="BO152" s="2330"/>
      <c r="BP152" s="2330"/>
      <c r="BQ152" s="1370"/>
      <c r="BR152" s="2343"/>
      <c r="BS152" s="2343"/>
      <c r="BT152" s="2343"/>
      <c r="BU152" s="2343"/>
      <c r="BV152" s="2334"/>
      <c r="BW152" s="2334"/>
      <c r="BX152" s="2332"/>
      <c r="BY152" s="2332"/>
      <c r="BZ152" s="2332"/>
      <c r="CA152" s="2332"/>
      <c r="CB152" s="2332"/>
      <c r="DS152" s="2330"/>
      <c r="DT152" s="2330"/>
      <c r="DU152" s="2330"/>
      <c r="DV152" s="2330"/>
      <c r="DW152" s="2330"/>
      <c r="DX152" s="2330"/>
      <c r="DY152" s="2330"/>
      <c r="DZ152" s="2330"/>
      <c r="EA152" s="2330"/>
      <c r="EB152" s="2330"/>
      <c r="EC152" s="2330"/>
      <c r="ED152" s="2330"/>
      <c r="EE152" s="2330"/>
      <c r="EF152" s="2330"/>
      <c r="EI152" s="2330"/>
      <c r="EJ152" s="2330"/>
      <c r="EK152" s="2330"/>
      <c r="EL152" s="2330"/>
      <c r="EM152" s="2330"/>
      <c r="EN152" s="2330"/>
      <c r="EO152" s="2330"/>
      <c r="EP152" s="2330"/>
      <c r="EQ152" s="2330"/>
      <c r="ER152" s="2330"/>
      <c r="ES152" s="2330"/>
      <c r="ET152" s="2330"/>
      <c r="EU152" s="2330"/>
      <c r="EV152" s="2330"/>
      <c r="EY152" s="2330"/>
      <c r="EZ152" s="2330"/>
      <c r="FA152" s="2330"/>
      <c r="FB152" s="2330"/>
      <c r="FC152" s="2330"/>
      <c r="FD152" s="2330"/>
      <c r="FE152" s="2330"/>
      <c r="FF152" s="2330"/>
      <c r="FG152" s="2330"/>
      <c r="FH152" s="2330"/>
      <c r="FI152" s="2330"/>
      <c r="FJ152" s="2330"/>
      <c r="FK152" s="2330"/>
      <c r="FN152" s="2336"/>
      <c r="FO152" s="2330"/>
      <c r="FP152" s="2330"/>
      <c r="FQ152" s="2330"/>
      <c r="FR152" s="2330"/>
      <c r="FS152" s="2330"/>
      <c r="FT152" s="2330"/>
      <c r="FU152" s="2330"/>
      <c r="FV152" s="2330"/>
      <c r="FW152" s="2330"/>
      <c r="FX152" s="2330"/>
      <c r="FY152" s="2330"/>
      <c r="FZ152" s="2330"/>
      <c r="GA152" s="2330"/>
    </row>
    <row r="153" spans="1:183" ht="39" thickBot="1">
      <c r="A153" s="2272"/>
      <c r="B153" s="2272"/>
      <c r="C153" s="2272"/>
      <c r="D153" s="9"/>
      <c r="E153" s="2272"/>
      <c r="F153" s="2276"/>
      <c r="G153" s="2276"/>
      <c r="H153" s="2276"/>
      <c r="I153" s="2276"/>
      <c r="J153" s="2276"/>
      <c r="K153" s="2276"/>
      <c r="L153" s="2276"/>
      <c r="M153" s="2276"/>
      <c r="N153" s="9"/>
      <c r="O153" s="9"/>
      <c r="P153" s="9"/>
      <c r="Q153" s="9"/>
      <c r="R153" s="9"/>
      <c r="S153" s="9"/>
      <c r="T153" s="2332"/>
      <c r="U153" s="9"/>
      <c r="V153" s="2360" t="s">
        <v>1561</v>
      </c>
      <c r="W153" s="4492" t="s">
        <v>1562</v>
      </c>
      <c r="X153" s="4506" t="s">
        <v>1563</v>
      </c>
      <c r="Y153" s="4496" t="s">
        <v>1564</v>
      </c>
      <c r="Z153" s="4497"/>
      <c r="AA153" s="4497"/>
      <c r="AB153" s="4496" t="s">
        <v>1969</v>
      </c>
      <c r="AC153" s="4497"/>
      <c r="AD153" s="4497"/>
      <c r="AE153" s="4497"/>
      <c r="AF153" s="4497"/>
      <c r="AG153" s="4497"/>
      <c r="AH153" s="4498"/>
      <c r="AI153" s="4511" t="s">
        <v>969</v>
      </c>
      <c r="AJ153" s="4494" t="s">
        <v>970</v>
      </c>
      <c r="AK153" s="3594" t="s">
        <v>1905</v>
      </c>
      <c r="AL153" s="3892" t="s">
        <v>1906</v>
      </c>
      <c r="AM153" s="3533"/>
      <c r="AN153" s="2332"/>
      <c r="AO153" s="2332"/>
      <c r="AV153" s="2270"/>
      <c r="AW153" s="2270"/>
      <c r="AX153" s="2270"/>
      <c r="AY153" s="2270"/>
      <c r="AZ153" s="2270"/>
      <c r="BA153" s="2270"/>
      <c r="BB153" s="2270"/>
      <c r="BC153" s="2270"/>
      <c r="BD153" s="2805"/>
      <c r="BE153" s="2270"/>
      <c r="BF153" s="2270"/>
      <c r="BG153" s="2349"/>
      <c r="BH153" s="2270"/>
      <c r="BI153" s="2270"/>
      <c r="BJ153" s="2360" t="s">
        <v>1561</v>
      </c>
      <c r="BK153" s="4492" t="s">
        <v>1562</v>
      </c>
      <c r="BL153" s="4506" t="s">
        <v>1563</v>
      </c>
      <c r="BM153" s="4496" t="s">
        <v>1564</v>
      </c>
      <c r="BN153" s="4497"/>
      <c r="BO153" s="4498"/>
      <c r="BP153" s="4516" t="s">
        <v>1968</v>
      </c>
      <c r="BQ153" s="4504"/>
      <c r="BR153" s="4504"/>
      <c r="BS153" s="4504"/>
      <c r="BT153" s="4504"/>
      <c r="BU153" s="4504"/>
      <c r="BV153" s="4505"/>
      <c r="BW153" s="4511" t="s">
        <v>969</v>
      </c>
      <c r="BX153" s="4494" t="s">
        <v>970</v>
      </c>
      <c r="BZ153" s="2332"/>
      <c r="CA153" s="2332"/>
      <c r="CB153" s="2332"/>
      <c r="CC153" s="2335"/>
      <c r="CD153" s="2332"/>
      <c r="CE153" s="2332"/>
      <c r="CF153" s="2332"/>
      <c r="CG153" s="2332"/>
      <c r="CH153" s="2332"/>
      <c r="DS153" s="2330"/>
      <c r="DT153" s="2330"/>
      <c r="DU153" s="2330"/>
      <c r="DV153" s="2330"/>
      <c r="DW153" s="2330"/>
      <c r="DX153" s="2330"/>
      <c r="DY153" s="2330"/>
      <c r="DZ153" s="2330"/>
      <c r="EA153" s="2330"/>
      <c r="EB153" s="2330"/>
      <c r="EC153" s="2330"/>
      <c r="ED153" s="2330"/>
      <c r="EE153" s="2330"/>
      <c r="EF153" s="2330"/>
      <c r="EI153" s="2330"/>
      <c r="EJ153" s="2330"/>
      <c r="EK153" s="2330"/>
      <c r="EL153" s="2330"/>
      <c r="EM153" s="2330"/>
      <c r="EN153" s="2330"/>
      <c r="EO153" s="2330"/>
      <c r="EP153" s="2330"/>
      <c r="EQ153" s="2330"/>
      <c r="ER153" s="2330"/>
      <c r="ES153" s="2330"/>
      <c r="ET153" s="2330"/>
      <c r="EU153" s="2330"/>
      <c r="EV153" s="2330"/>
      <c r="EY153" s="2330"/>
      <c r="EZ153" s="2330"/>
      <c r="FA153" s="2330"/>
      <c r="FB153" s="2330"/>
      <c r="FC153" s="2330"/>
      <c r="FD153" s="2330"/>
      <c r="FE153" s="2330"/>
      <c r="FF153" s="2330"/>
      <c r="FG153" s="2330"/>
      <c r="FH153" s="2330"/>
      <c r="FI153" s="2330"/>
      <c r="FJ153" s="2330"/>
      <c r="FK153" s="2330"/>
      <c r="FN153" s="2336"/>
      <c r="FO153" s="2330"/>
      <c r="FP153" s="2330"/>
      <c r="FQ153" s="2330"/>
      <c r="FR153" s="2330"/>
      <c r="FS153" s="2330"/>
      <c r="FT153" s="2330"/>
      <c r="FU153" s="2330"/>
      <c r="FV153" s="2330"/>
      <c r="FW153" s="2330"/>
      <c r="FX153" s="2330"/>
      <c r="FY153" s="2330"/>
      <c r="FZ153" s="2330"/>
      <c r="GA153" s="2330"/>
    </row>
    <row r="154" spans="1:183" ht="30.75" customHeight="1" thickBot="1">
      <c r="A154" s="2272"/>
      <c r="B154" s="2272"/>
      <c r="C154" s="2272"/>
      <c r="D154" s="9"/>
      <c r="E154" s="2272"/>
      <c r="F154" s="2276"/>
      <c r="G154" s="2276"/>
      <c r="H154" s="2276"/>
      <c r="I154" s="2276"/>
      <c r="J154" s="2276"/>
      <c r="K154" s="2276"/>
      <c r="L154" s="2276"/>
      <c r="M154" s="2276"/>
      <c r="N154" s="9"/>
      <c r="O154" s="9"/>
      <c r="P154" s="9"/>
      <c r="Q154" s="9"/>
      <c r="R154" s="9"/>
      <c r="S154" s="9"/>
      <c r="T154" s="2332"/>
      <c r="U154" s="9"/>
      <c r="V154" s="2344" t="str">
        <f>("Start Year = "&amp;StartYr&amp;" "&amp;"("&amp;StartYr&amp;" Dollars)")</f>
        <v>Start Year = 2013 (2013 Dollars)</v>
      </c>
      <c r="W154" s="4522"/>
      <c r="X154" s="4523"/>
      <c r="Y154" s="3896" t="s">
        <v>128</v>
      </c>
      <c r="Z154" s="3897" t="s">
        <v>127</v>
      </c>
      <c r="AA154" s="3897" t="s">
        <v>1380</v>
      </c>
      <c r="AB154" s="3546" t="s">
        <v>1967</v>
      </c>
      <c r="AC154" s="3595" t="s">
        <v>1565</v>
      </c>
      <c r="AD154" s="3595" t="s">
        <v>1566</v>
      </c>
      <c r="AE154" s="3595" t="s">
        <v>1567</v>
      </c>
      <c r="AF154" s="3595" t="s">
        <v>1568</v>
      </c>
      <c r="AG154" s="3596" t="s">
        <v>1569</v>
      </c>
      <c r="AH154" s="3600" t="s">
        <v>1570</v>
      </c>
      <c r="AI154" s="4512"/>
      <c r="AJ154" s="4495"/>
      <c r="AK154" s="3594"/>
      <c r="AL154" s="3892"/>
      <c r="AM154" s="3533"/>
      <c r="AN154" s="2332"/>
      <c r="AO154" s="2332"/>
      <c r="AV154" s="2270"/>
      <c r="AW154" s="2270"/>
      <c r="AX154" s="2270"/>
      <c r="AY154" s="2270"/>
      <c r="AZ154" s="2270"/>
      <c r="BA154" s="2270"/>
      <c r="BB154" s="2270"/>
      <c r="BC154" s="2270"/>
      <c r="BD154" s="2805"/>
      <c r="BE154" s="2270"/>
      <c r="BF154" s="2270"/>
      <c r="BG154" s="2349"/>
      <c r="BH154" s="2270"/>
      <c r="BI154" s="2270"/>
      <c r="BJ154" s="2344" t="str">
        <f>("Start Year = "&amp;StartYr&amp;" "&amp;"("&amp;StartYr&amp;" Dollars)")</f>
        <v>Start Year = 2013 (2013 Dollars)</v>
      </c>
      <c r="BK154" s="4493"/>
      <c r="BL154" s="4507"/>
      <c r="BM154" s="3546" t="s">
        <v>128</v>
      </c>
      <c r="BN154" s="3547" t="s">
        <v>127</v>
      </c>
      <c r="BO154" s="3548" t="s">
        <v>1380</v>
      </c>
      <c r="BP154" s="3559" t="s">
        <v>1967</v>
      </c>
      <c r="BQ154" s="2364" t="s">
        <v>1565</v>
      </c>
      <c r="BR154" s="4295" t="s">
        <v>1566</v>
      </c>
      <c r="BS154" s="4296" t="s">
        <v>1567</v>
      </c>
      <c r="BT154" s="4296" t="s">
        <v>1568</v>
      </c>
      <c r="BU154" s="4297" t="s">
        <v>1569</v>
      </c>
      <c r="BV154" s="3888" t="s">
        <v>1570</v>
      </c>
      <c r="BW154" s="4512"/>
      <c r="BX154" s="4495"/>
      <c r="BZ154" s="2332"/>
      <c r="CA154" s="2332"/>
      <c r="CB154" s="2332"/>
      <c r="CC154" s="2335"/>
      <c r="CD154" s="2332"/>
      <c r="CE154" s="2332"/>
      <c r="CF154" s="2332"/>
      <c r="CG154" s="2332"/>
      <c r="CH154" s="2332"/>
      <c r="DS154" s="2330"/>
      <c r="DT154" s="2330"/>
      <c r="DU154" s="2330"/>
      <c r="DV154" s="2330"/>
      <c r="DW154" s="2330"/>
      <c r="DX154" s="2330"/>
      <c r="DY154" s="2330"/>
      <c r="DZ154" s="2330"/>
      <c r="EA154" s="2330"/>
      <c r="EB154" s="2330"/>
      <c r="EC154" s="2330"/>
      <c r="ED154" s="2330"/>
      <c r="EE154" s="2330"/>
      <c r="EF154" s="2330"/>
      <c r="EY154" s="2330"/>
      <c r="EZ154" s="2330"/>
      <c r="FA154" s="2330"/>
      <c r="FB154" s="2330"/>
      <c r="FC154" s="2330"/>
      <c r="FD154" s="2330"/>
      <c r="FE154" s="2330"/>
      <c r="FF154" s="2330"/>
      <c r="FG154" s="2330"/>
      <c r="FH154" s="2330"/>
      <c r="FI154" s="2330"/>
      <c r="FJ154" s="2330"/>
      <c r="FK154" s="2330"/>
    </row>
    <row r="155" spans="1:183">
      <c r="A155" s="2272"/>
      <c r="B155" s="2272"/>
      <c r="C155" s="2272"/>
      <c r="D155" s="9"/>
      <c r="E155" s="2272"/>
      <c r="F155" s="2276"/>
      <c r="G155" s="2276"/>
      <c r="H155" s="2276"/>
      <c r="I155" s="2276"/>
      <c r="J155" s="2276"/>
      <c r="K155" s="2276"/>
      <c r="L155" s="2276"/>
      <c r="M155" s="2276"/>
      <c r="N155" s="9"/>
      <c r="O155" s="9"/>
      <c r="P155" s="9"/>
      <c r="Q155" s="9"/>
      <c r="R155" s="9"/>
      <c r="S155" s="9"/>
      <c r="T155" s="2332"/>
      <c r="U155" s="9"/>
      <c r="V155" s="3601" t="str">
        <f>V119</f>
        <v>Generation Turbine 49.9 MW</v>
      </c>
      <c r="W155" s="4262">
        <f>W119</f>
        <v>49.9</v>
      </c>
      <c r="X155" s="3898">
        <f>AL9</f>
        <v>1224.4188767980133</v>
      </c>
      <c r="Y155" s="3899">
        <f>AM9</f>
        <v>1309.931421816184</v>
      </c>
      <c r="Z155" s="3900">
        <f>AM46</f>
        <v>1320.2935272842324</v>
      </c>
      <c r="AA155" s="3901">
        <f>AM83</f>
        <v>1311.6355938093936</v>
      </c>
      <c r="AB155" s="3611">
        <f t="array" ref="AB155:AB174">TRANSPOSE('Plant Type Assumptions'!D38:V38)</f>
        <v>9</v>
      </c>
      <c r="AC155" s="3597">
        <f t="array" ref="AC155:AH176">TRANSPOSE('Plant Type Assumptions'!D25:AA30)</f>
        <v>1</v>
      </c>
      <c r="AD155" s="3597">
        <v>0</v>
      </c>
      <c r="AE155" s="3597">
        <v>0</v>
      </c>
      <c r="AF155" s="3597">
        <v>0</v>
      </c>
      <c r="AG155" s="3598">
        <v>0</v>
      </c>
      <c r="AH155" s="3602">
        <v>0</v>
      </c>
      <c r="AI155" s="3607">
        <f t="shared" ref="AI155:AI176" si="529">AN9</f>
        <v>28.387672253011708</v>
      </c>
      <c r="AJ155" s="3608">
        <f t="shared" ref="AJ155:AJ176" si="530">AO9</f>
        <v>0</v>
      </c>
      <c r="AK155" s="3593">
        <f t="array" ref="AK155:AK176">TRANSPOSE('Plant Type Assumptions'!D14:X14)</f>
        <v>10</v>
      </c>
      <c r="AL155" s="3593">
        <f t="array" ref="AL155:AL176">TRANSPOSE('Plant Type Assumptions'!D15:X15)</f>
        <v>30</v>
      </c>
      <c r="AM155" s="339"/>
      <c r="AN155" s="339"/>
      <c r="AO155" s="2332"/>
      <c r="AV155" s="2270"/>
      <c r="AW155" s="2270"/>
      <c r="AX155" s="2270"/>
      <c r="AY155" s="2270"/>
      <c r="AZ155" s="2270"/>
      <c r="BA155" s="2270"/>
      <c r="BB155" s="2270"/>
      <c r="BC155" s="2270"/>
      <c r="BD155" s="2805"/>
      <c r="BE155" s="2270"/>
      <c r="BF155" s="2270"/>
      <c r="BG155" s="2349"/>
      <c r="BH155" s="2270"/>
      <c r="BI155" s="2270"/>
      <c r="BJ155" s="3549" t="str">
        <f>BJ119</f>
        <v>Generation Turbine 49.9 MW</v>
      </c>
      <c r="BK155" s="2402">
        <f t="shared" ref="BK155:BK176" si="531">BK188</f>
        <v>49.9</v>
      </c>
      <c r="BL155" s="2403">
        <f t="shared" ref="BL155" si="532">BZ9</f>
        <v>1224.4188767980133</v>
      </c>
      <c r="BM155" s="2404">
        <f t="shared" ref="BM155" si="533">CA9</f>
        <v>1309.931421816184</v>
      </c>
      <c r="BN155" s="3889">
        <f t="shared" ref="BN155" si="534">CA46</f>
        <v>1320.2935272842324</v>
      </c>
      <c r="BO155" s="3550">
        <f t="shared" ref="BO155:BO159" si="535">CA83</f>
        <v>1311.6355938093936</v>
      </c>
      <c r="BP155" s="2402">
        <f t="array" ref="BP155:BP174">TRANSPOSE('Plant Type Assumptions'!D38:V38)</f>
        <v>9</v>
      </c>
      <c r="BQ155" s="3553">
        <f t="array" ref="BQ155:BV176">TRANSPOSE('Plant Type Assumptions'!D25:AA30)</f>
        <v>1</v>
      </c>
      <c r="BR155" s="4298">
        <v>0</v>
      </c>
      <c r="BS155" s="4299">
        <v>0</v>
      </c>
      <c r="BT155" s="4299">
        <v>0</v>
      </c>
      <c r="BU155" s="4300">
        <v>0</v>
      </c>
      <c r="BV155" s="3890">
        <v>0</v>
      </c>
      <c r="BW155" s="3551">
        <f t="shared" ref="BW155:BW176" si="536">CB9</f>
        <v>28.387672253011708</v>
      </c>
      <c r="BX155" s="3526">
        <f t="shared" ref="BX155:BX176" si="537">CC9</f>
        <v>0</v>
      </c>
      <c r="BZ155" s="3362"/>
      <c r="CA155" s="3362"/>
      <c r="CB155" s="3893"/>
      <c r="CC155" s="3362"/>
      <c r="CD155" s="3362"/>
      <c r="CE155" s="3893"/>
      <c r="CF155" s="3362"/>
      <c r="CG155" s="3362"/>
      <c r="CH155" s="3893"/>
      <c r="DS155" s="2330"/>
      <c r="DT155" s="2330"/>
      <c r="DU155" s="2330"/>
      <c r="DV155" s="2330"/>
      <c r="DW155" s="2330"/>
      <c r="DX155" s="2330"/>
      <c r="DY155" s="2330"/>
      <c r="DZ155" s="2330"/>
      <c r="EA155" s="2330"/>
      <c r="EB155" s="2330"/>
      <c r="EC155" s="2330"/>
      <c r="ED155" s="2330"/>
      <c r="EE155" s="2330"/>
      <c r="EF155" s="2330"/>
      <c r="EY155" s="2330"/>
      <c r="EZ155" s="2330"/>
      <c r="FA155" s="2330"/>
      <c r="FB155" s="2330"/>
      <c r="FC155" s="2330"/>
      <c r="FD155" s="2330"/>
      <c r="FE155" s="2330"/>
      <c r="FF155" s="2330"/>
      <c r="FG155" s="2330"/>
      <c r="FH155" s="2330"/>
      <c r="FI155" s="2330"/>
      <c r="FJ155" s="2330"/>
      <c r="FK155" s="2330"/>
    </row>
    <row r="156" spans="1:183">
      <c r="A156" s="2272"/>
      <c r="B156" s="2272"/>
      <c r="C156" s="2272"/>
      <c r="D156" s="9"/>
      <c r="E156" s="2272"/>
      <c r="F156" s="2276"/>
      <c r="G156" s="2276"/>
      <c r="H156" s="2276"/>
      <c r="I156" s="2276"/>
      <c r="J156" s="2276"/>
      <c r="K156" s="2276"/>
      <c r="L156" s="2276"/>
      <c r="M156" s="2276"/>
      <c r="N156" s="9"/>
      <c r="O156" s="9"/>
      <c r="P156" s="9"/>
      <c r="Q156" s="9"/>
      <c r="R156" s="9"/>
      <c r="S156" s="9"/>
      <c r="T156" s="2332"/>
      <c r="U156" s="9"/>
      <c r="V156" s="3601" t="str">
        <f t="shared" ref="V156:W159" si="538">V120</f>
        <v>Generation Turbine 100 MW</v>
      </c>
      <c r="W156" s="4263">
        <f t="shared" si="538"/>
        <v>100</v>
      </c>
      <c r="X156" s="4264">
        <f t="shared" ref="X156:Y159" si="539">AL10</f>
        <v>1220.2149945722963</v>
      </c>
      <c r="Y156" s="4265">
        <f t="shared" si="539"/>
        <v>1305.4339434405792</v>
      </c>
      <c r="Z156" s="3894">
        <f t="shared" ref="Z156:Z159" si="540">AM47</f>
        <v>1315.7561051223868</v>
      </c>
      <c r="AA156" s="3902">
        <f t="shared" ref="AA156:AA159" si="541">AM84</f>
        <v>1307.1600398987216</v>
      </c>
      <c r="AB156" s="3611">
        <v>9</v>
      </c>
      <c r="AC156" s="3597">
        <v>1</v>
      </c>
      <c r="AD156" s="3597">
        <v>0</v>
      </c>
      <c r="AE156" s="3597">
        <v>0</v>
      </c>
      <c r="AF156" s="3597">
        <v>0</v>
      </c>
      <c r="AG156" s="3598">
        <v>0</v>
      </c>
      <c r="AH156" s="3602">
        <v>0</v>
      </c>
      <c r="AI156" s="3607">
        <f t="shared" si="529"/>
        <v>27.436130166318577</v>
      </c>
      <c r="AJ156" s="3608">
        <f t="shared" si="530"/>
        <v>0</v>
      </c>
      <c r="AK156" s="3593">
        <v>10</v>
      </c>
      <c r="AL156" s="3593">
        <v>30</v>
      </c>
      <c r="AM156" s="339"/>
      <c r="AN156" s="339"/>
      <c r="AO156" s="2332"/>
      <c r="AV156" s="2270"/>
      <c r="AW156" s="2270"/>
      <c r="AX156" s="2270"/>
      <c r="AY156" s="2270"/>
      <c r="AZ156" s="2270"/>
      <c r="BA156" s="2270"/>
      <c r="BB156" s="2270"/>
      <c r="BC156" s="2270"/>
      <c r="BD156" s="2805"/>
      <c r="BE156" s="2270"/>
      <c r="BF156" s="2270"/>
      <c r="BG156" s="2349"/>
      <c r="BH156" s="2270"/>
      <c r="BI156" s="2270"/>
      <c r="BJ156" s="3549" t="str">
        <f t="shared" ref="BJ156:BJ159" si="542">BJ120</f>
        <v>Generation Turbine 100 MW</v>
      </c>
      <c r="BK156" s="2402">
        <f t="shared" si="531"/>
        <v>100</v>
      </c>
      <c r="BL156" s="2403">
        <f t="shared" ref="BL156:BL159" si="543">BZ10</f>
        <v>1220.2149945722963</v>
      </c>
      <c r="BM156" s="2404">
        <f t="shared" ref="BM156:BM159" si="544">CA10</f>
        <v>1305.4339434405792</v>
      </c>
      <c r="BN156" s="3889">
        <f t="shared" ref="BN156:BN159" si="545">CA47</f>
        <v>1315.7561051223868</v>
      </c>
      <c r="BO156" s="3550">
        <f t="shared" si="535"/>
        <v>1307.1600398987216</v>
      </c>
      <c r="BP156" s="2402">
        <v>9</v>
      </c>
      <c r="BQ156" s="3553">
        <v>1</v>
      </c>
      <c r="BR156" s="3552">
        <v>0</v>
      </c>
      <c r="BS156" s="3553">
        <v>0</v>
      </c>
      <c r="BT156" s="3553">
        <v>0</v>
      </c>
      <c r="BU156" s="3554">
        <v>0</v>
      </c>
      <c r="BV156" s="3558">
        <v>0</v>
      </c>
      <c r="BW156" s="3551">
        <f t="shared" si="536"/>
        <v>27.436130166318577</v>
      </c>
      <c r="BX156" s="3526">
        <f t="shared" si="537"/>
        <v>0</v>
      </c>
      <c r="BZ156" s="3362"/>
      <c r="CA156" s="3362"/>
      <c r="CB156" s="3893"/>
      <c r="CC156" s="3362"/>
      <c r="CD156" s="3362"/>
      <c r="CE156" s="3893"/>
      <c r="CF156" s="3362"/>
      <c r="CG156" s="3362"/>
      <c r="CH156" s="3893"/>
      <c r="DS156" s="2330"/>
      <c r="DT156" s="2330"/>
      <c r="DU156" s="2330"/>
      <c r="DV156" s="2330"/>
      <c r="DW156" s="2330"/>
      <c r="DX156" s="2330"/>
      <c r="DY156" s="2330"/>
      <c r="DZ156" s="2330"/>
      <c r="EA156" s="2330"/>
      <c r="EB156" s="2330"/>
      <c r="EC156" s="2330"/>
      <c r="ED156" s="2330"/>
      <c r="EE156" s="2330"/>
      <c r="EF156" s="2330"/>
      <c r="EY156" s="2330"/>
      <c r="EZ156" s="2330"/>
      <c r="FA156" s="2330"/>
      <c r="FB156" s="2330"/>
      <c r="FC156" s="2330"/>
      <c r="FD156" s="2330"/>
      <c r="FE156" s="2330"/>
      <c r="FF156" s="2330"/>
      <c r="FG156" s="2330"/>
      <c r="FH156" s="2330"/>
      <c r="FI156" s="2330"/>
      <c r="FJ156" s="2330"/>
      <c r="FK156" s="2330"/>
    </row>
    <row r="157" spans="1:183">
      <c r="A157" s="2272"/>
      <c r="B157" s="2272"/>
      <c r="C157" s="2272"/>
      <c r="D157" s="9"/>
      <c r="E157" s="2272"/>
      <c r="F157" s="2276"/>
      <c r="G157" s="2276"/>
      <c r="H157" s="2276"/>
      <c r="I157" s="2276"/>
      <c r="J157" s="2276"/>
      <c r="K157" s="2276"/>
      <c r="L157" s="2276"/>
      <c r="M157" s="2276"/>
      <c r="N157" s="9"/>
      <c r="O157" s="9"/>
      <c r="P157" s="9"/>
      <c r="Q157" s="9"/>
      <c r="R157" s="9"/>
      <c r="S157" s="9"/>
      <c r="T157" s="2332"/>
      <c r="U157" s="9"/>
      <c r="V157" s="3601" t="str">
        <f t="shared" si="538"/>
        <v>Generation Turbine - Advanced 200 MW</v>
      </c>
      <c r="W157" s="4263">
        <f t="shared" si="538"/>
        <v>200</v>
      </c>
      <c r="X157" s="4264">
        <f t="shared" si="539"/>
        <v>987.24713727477865</v>
      </c>
      <c r="Y157" s="4265">
        <f t="shared" si="539"/>
        <v>1069.4709844719357</v>
      </c>
      <c r="Z157" s="3894">
        <f t="shared" si="540"/>
        <v>1085.452587588529</v>
      </c>
      <c r="AA157" s="3902">
        <f t="shared" si="541"/>
        <v>1063.9650830075288</v>
      </c>
      <c r="AB157" s="3611">
        <v>15</v>
      </c>
      <c r="AC157" s="3597">
        <v>0.75</v>
      </c>
      <c r="AD157" s="3597">
        <v>0.25</v>
      </c>
      <c r="AE157" s="3597">
        <v>0</v>
      </c>
      <c r="AF157" s="3597">
        <v>0</v>
      </c>
      <c r="AG157" s="3598">
        <v>0</v>
      </c>
      <c r="AH157" s="3602">
        <v>0</v>
      </c>
      <c r="AI157" s="3607">
        <f t="shared" si="529"/>
        <v>25.237010677072234</v>
      </c>
      <c r="AJ157" s="3608">
        <f t="shared" si="530"/>
        <v>0</v>
      </c>
      <c r="AK157" s="3593">
        <v>10</v>
      </c>
      <c r="AL157" s="3593">
        <v>30</v>
      </c>
      <c r="AM157" s="339"/>
      <c r="AN157" s="339"/>
      <c r="AO157" s="2332"/>
      <c r="AV157" s="2270"/>
      <c r="AW157" s="2270"/>
      <c r="AX157" s="2270"/>
      <c r="AY157" s="2270"/>
      <c r="AZ157" s="2270"/>
      <c r="BA157" s="2270"/>
      <c r="BB157" s="2270"/>
      <c r="BC157" s="2270"/>
      <c r="BD157" s="2805"/>
      <c r="BE157" s="2270"/>
      <c r="BF157" s="2270"/>
      <c r="BG157" s="2349"/>
      <c r="BH157" s="2270"/>
      <c r="BI157" s="2270"/>
      <c r="BJ157" s="3549" t="str">
        <f t="shared" si="542"/>
        <v>Generation Turbine - Advanced 200 MW</v>
      </c>
      <c r="BK157" s="2402">
        <f t="shared" si="531"/>
        <v>200</v>
      </c>
      <c r="BL157" s="2403">
        <f t="shared" si="543"/>
        <v>987.24713727477865</v>
      </c>
      <c r="BM157" s="2404">
        <f t="shared" si="544"/>
        <v>1069.4709844719357</v>
      </c>
      <c r="BN157" s="3889">
        <f t="shared" si="545"/>
        <v>1085.452587588529</v>
      </c>
      <c r="BO157" s="3550">
        <f t="shared" si="535"/>
        <v>1063.9650830075288</v>
      </c>
      <c r="BP157" s="2402">
        <v>15</v>
      </c>
      <c r="BQ157" s="3553">
        <v>0.75</v>
      </c>
      <c r="BR157" s="3552">
        <v>0.25</v>
      </c>
      <c r="BS157" s="3553">
        <v>0</v>
      </c>
      <c r="BT157" s="3553">
        <v>0</v>
      </c>
      <c r="BU157" s="3554">
        <v>0</v>
      </c>
      <c r="BV157" s="3558">
        <v>0</v>
      </c>
      <c r="BW157" s="3551">
        <f t="shared" si="536"/>
        <v>25.237010677072234</v>
      </c>
      <c r="BX157" s="3526">
        <f t="shared" si="537"/>
        <v>0</v>
      </c>
      <c r="BZ157" s="3362"/>
      <c r="CA157" s="3362"/>
      <c r="CB157" s="3893"/>
      <c r="CC157" s="3362"/>
      <c r="CD157" s="3362"/>
      <c r="CE157" s="3893"/>
      <c r="CF157" s="3362"/>
      <c r="CG157" s="3362"/>
      <c r="CH157" s="3893"/>
      <c r="DS157" s="2330"/>
      <c r="DT157" s="2330"/>
      <c r="DU157" s="2330"/>
      <c r="DV157" s="2330"/>
      <c r="DW157" s="2330"/>
      <c r="DX157" s="2330"/>
      <c r="DY157" s="2330"/>
      <c r="DZ157" s="2330"/>
      <c r="EA157" s="2330"/>
      <c r="EB157" s="2330"/>
      <c r="EC157" s="2330"/>
      <c r="ED157" s="2330"/>
      <c r="EE157" s="2330"/>
      <c r="EF157" s="2330"/>
      <c r="EY157" s="2330"/>
      <c r="EZ157" s="2330"/>
      <c r="FA157" s="2330"/>
      <c r="FB157" s="2330"/>
      <c r="FC157" s="2330"/>
      <c r="FD157" s="2330"/>
      <c r="FE157" s="2330"/>
      <c r="FF157" s="2330"/>
      <c r="FG157" s="2330"/>
      <c r="FH157" s="2330"/>
      <c r="FI157" s="2330"/>
      <c r="FJ157" s="2330"/>
      <c r="FK157" s="2330"/>
    </row>
    <row r="158" spans="1:183">
      <c r="A158" s="2272"/>
      <c r="B158" s="2272"/>
      <c r="C158" s="2272"/>
      <c r="D158" s="9"/>
      <c r="E158" s="2272"/>
      <c r="F158" s="2276"/>
      <c r="G158" s="2276"/>
      <c r="H158" s="2276"/>
      <c r="I158" s="2276"/>
      <c r="J158" s="2276"/>
      <c r="K158" s="2276"/>
      <c r="L158" s="2276"/>
      <c r="M158" s="2276"/>
      <c r="N158" s="9"/>
      <c r="O158" s="9"/>
      <c r="P158" s="9"/>
      <c r="Q158" s="9"/>
      <c r="R158" s="9"/>
      <c r="S158" s="9"/>
      <c r="T158" s="2332"/>
      <c r="U158" s="9"/>
      <c r="V158" s="3601" t="str">
        <f t="shared" si="538"/>
        <v>Combined Cycle - 2 CTs No Duct Firing 500 MW</v>
      </c>
      <c r="W158" s="4263">
        <f t="shared" si="538"/>
        <v>500</v>
      </c>
      <c r="X158" s="4264">
        <f t="shared" si="539"/>
        <v>1000.3773695024162</v>
      </c>
      <c r="Y158" s="4265">
        <f t="shared" si="539"/>
        <v>1088.3580357628634</v>
      </c>
      <c r="Z158" s="3894">
        <f t="shared" si="540"/>
        <v>1106.6354687743822</v>
      </c>
      <c r="AA158" s="3902">
        <f t="shared" si="541"/>
        <v>1083.7116930195466</v>
      </c>
      <c r="AB158" s="3611">
        <v>24</v>
      </c>
      <c r="AC158" s="3597">
        <v>0.75</v>
      </c>
      <c r="AD158" s="3597">
        <v>0.25</v>
      </c>
      <c r="AE158" s="3597">
        <v>0</v>
      </c>
      <c r="AF158" s="3597">
        <v>0</v>
      </c>
      <c r="AG158" s="3598">
        <v>0</v>
      </c>
      <c r="AH158" s="3602">
        <v>0</v>
      </c>
      <c r="AI158" s="3607">
        <f t="shared" si="529"/>
        <v>34.5621231266649</v>
      </c>
      <c r="AJ158" s="3608">
        <f t="shared" si="530"/>
        <v>0.61321601142446136</v>
      </c>
      <c r="AK158" s="3593">
        <v>10</v>
      </c>
      <c r="AL158" s="3593">
        <v>30</v>
      </c>
      <c r="AM158" s="339"/>
      <c r="AN158" s="339"/>
      <c r="AO158" s="2332"/>
      <c r="AV158" s="2270"/>
      <c r="AW158" s="2270"/>
      <c r="AX158" s="2270"/>
      <c r="AY158" s="2270"/>
      <c r="AZ158" s="2270"/>
      <c r="BA158" s="2270"/>
      <c r="BB158" s="2270"/>
      <c r="BC158" s="2270"/>
      <c r="BD158" s="2805"/>
      <c r="BE158" s="2270"/>
      <c r="BF158" s="2270"/>
      <c r="BG158" s="2349"/>
      <c r="BH158" s="2270"/>
      <c r="BI158" s="2270"/>
      <c r="BJ158" s="3549" t="str">
        <f t="shared" si="542"/>
        <v>Combined Cycle - 2 CTs No Duct Firing 500 MW</v>
      </c>
      <c r="BK158" s="2402">
        <f t="shared" si="531"/>
        <v>500</v>
      </c>
      <c r="BL158" s="2403">
        <f t="shared" si="543"/>
        <v>1000.3773695024162</v>
      </c>
      <c r="BM158" s="2404">
        <f t="shared" si="544"/>
        <v>1088.3580357628634</v>
      </c>
      <c r="BN158" s="3889">
        <f t="shared" si="545"/>
        <v>1106.6354687743822</v>
      </c>
      <c r="BO158" s="3550">
        <f t="shared" si="535"/>
        <v>1083.7116930195466</v>
      </c>
      <c r="BP158" s="2402">
        <v>24</v>
      </c>
      <c r="BQ158" s="3553">
        <v>0.75</v>
      </c>
      <c r="BR158" s="3552">
        <v>0.25</v>
      </c>
      <c r="BS158" s="3553">
        <v>0</v>
      </c>
      <c r="BT158" s="3553">
        <v>0</v>
      </c>
      <c r="BU158" s="3554">
        <v>0</v>
      </c>
      <c r="BV158" s="3558">
        <v>0</v>
      </c>
      <c r="BW158" s="3551">
        <f t="shared" si="536"/>
        <v>34.5621231266649</v>
      </c>
      <c r="BX158" s="3526">
        <f t="shared" si="537"/>
        <v>0.61321601142446136</v>
      </c>
      <c r="BZ158" s="3362"/>
      <c r="CA158" s="3362"/>
      <c r="CB158" s="3893"/>
      <c r="CC158" s="3362"/>
      <c r="CD158" s="3362"/>
      <c r="CE158" s="3893"/>
      <c r="CF158" s="3362"/>
      <c r="CG158" s="3362"/>
      <c r="CH158" s="3893"/>
      <c r="DS158" s="2330"/>
      <c r="DT158" s="2330"/>
      <c r="DU158" s="2330"/>
      <c r="DV158" s="2330"/>
      <c r="DW158" s="2330"/>
      <c r="DX158" s="2330"/>
      <c r="DY158" s="2330"/>
      <c r="DZ158" s="2330"/>
      <c r="EA158" s="2330"/>
      <c r="EB158" s="2330"/>
      <c r="EC158" s="2330"/>
      <c r="ED158" s="2330"/>
      <c r="EE158" s="2330"/>
      <c r="EF158" s="2330"/>
      <c r="EY158" s="2330"/>
      <c r="EZ158" s="2330"/>
      <c r="FA158" s="2330"/>
      <c r="FB158" s="2330"/>
      <c r="FC158" s="2330"/>
      <c r="FD158" s="2330"/>
      <c r="FE158" s="2330"/>
      <c r="FF158" s="2330"/>
      <c r="FG158" s="2330"/>
      <c r="FH158" s="2330"/>
      <c r="FI158" s="2330"/>
      <c r="FJ158" s="2330"/>
      <c r="FK158" s="2330"/>
    </row>
    <row r="159" spans="1:183" ht="13.15" customHeight="1">
      <c r="A159" s="2272"/>
      <c r="B159" s="2272"/>
      <c r="C159" s="2272"/>
      <c r="D159" s="9"/>
      <c r="E159" s="2272"/>
      <c r="F159" s="2276"/>
      <c r="G159" s="2276"/>
      <c r="H159" s="2276"/>
      <c r="I159" s="2276"/>
      <c r="J159" s="2276"/>
      <c r="K159" s="2276"/>
      <c r="L159" s="2276"/>
      <c r="M159" s="2276"/>
      <c r="N159" s="9"/>
      <c r="O159" s="9"/>
      <c r="P159" s="9"/>
      <c r="Q159" s="9"/>
      <c r="R159" s="9"/>
      <c r="S159" s="9"/>
      <c r="T159" s="2332"/>
      <c r="U159" s="9"/>
      <c r="V159" s="3601" t="str">
        <f t="shared" si="538"/>
        <v>Combined Cycle - 2 CTs With Duct Firing 550 MW</v>
      </c>
      <c r="W159" s="4263">
        <f t="shared" si="538"/>
        <v>550</v>
      </c>
      <c r="X159" s="4264">
        <f t="shared" si="539"/>
        <v>981.3064959251011</v>
      </c>
      <c r="Y159" s="4265">
        <f t="shared" si="539"/>
        <v>1067.6099269594702</v>
      </c>
      <c r="Z159" s="3894">
        <f t="shared" si="540"/>
        <v>1085.3956597281124</v>
      </c>
      <c r="AA159" s="3902">
        <f t="shared" si="541"/>
        <v>1063.8255841190062</v>
      </c>
      <c r="AB159" s="3611">
        <v>24</v>
      </c>
      <c r="AC159" s="3597">
        <v>0.75</v>
      </c>
      <c r="AD159" s="3597">
        <v>0.25</v>
      </c>
      <c r="AE159" s="3597">
        <v>0</v>
      </c>
      <c r="AF159" s="3597">
        <v>0</v>
      </c>
      <c r="AG159" s="3598">
        <v>0</v>
      </c>
      <c r="AH159" s="3602">
        <v>0</v>
      </c>
      <c r="AI159" s="3607">
        <f t="shared" si="529"/>
        <v>34.5621231266649</v>
      </c>
      <c r="AJ159" s="3608">
        <f t="shared" si="530"/>
        <v>0.61321601142446136</v>
      </c>
      <c r="AK159" s="3593">
        <v>10</v>
      </c>
      <c r="AL159" s="3593">
        <v>30</v>
      </c>
      <c r="AM159" s="339"/>
      <c r="AN159" s="339"/>
      <c r="AO159" s="2332"/>
      <c r="AV159" s="2270"/>
      <c r="AW159" s="2270"/>
      <c r="AX159" s="2270"/>
      <c r="AY159" s="2270"/>
      <c r="AZ159" s="2270"/>
      <c r="BA159" s="2270"/>
      <c r="BB159" s="2270"/>
      <c r="BC159" s="2270"/>
      <c r="BD159" s="2805"/>
      <c r="BE159" s="2270"/>
      <c r="BF159" s="2270"/>
      <c r="BG159" s="2349"/>
      <c r="BH159" s="2270"/>
      <c r="BI159" s="2270"/>
      <c r="BJ159" s="3549" t="str">
        <f t="shared" si="542"/>
        <v>Combined Cycle - 2 CTs With Duct Firing 550 MW</v>
      </c>
      <c r="BK159" s="2402">
        <f t="shared" si="531"/>
        <v>550</v>
      </c>
      <c r="BL159" s="2403">
        <f t="shared" si="543"/>
        <v>981.3064959251011</v>
      </c>
      <c r="BM159" s="2404">
        <f t="shared" si="544"/>
        <v>1067.6099269594702</v>
      </c>
      <c r="BN159" s="3889">
        <f t="shared" si="545"/>
        <v>1085.3956597281124</v>
      </c>
      <c r="BO159" s="3550">
        <f t="shared" si="535"/>
        <v>1063.8255841190062</v>
      </c>
      <c r="BP159" s="2402">
        <v>24</v>
      </c>
      <c r="BQ159" s="3553">
        <v>0.75</v>
      </c>
      <c r="BR159" s="3552">
        <v>0.25</v>
      </c>
      <c r="BS159" s="3553">
        <v>0</v>
      </c>
      <c r="BT159" s="3553">
        <v>0</v>
      </c>
      <c r="BU159" s="3554">
        <v>0</v>
      </c>
      <c r="BV159" s="3558">
        <v>0</v>
      </c>
      <c r="BW159" s="3551">
        <f t="shared" si="536"/>
        <v>34.5621231266649</v>
      </c>
      <c r="BX159" s="3526">
        <f t="shared" si="537"/>
        <v>0.61321601142446136</v>
      </c>
      <c r="BZ159" s="3362"/>
      <c r="CA159" s="3362"/>
      <c r="CB159" s="3893"/>
      <c r="CC159" s="3362"/>
      <c r="CD159" s="3362"/>
      <c r="CE159" s="3893"/>
      <c r="CF159" s="3362"/>
      <c r="CG159" s="3362"/>
      <c r="CH159" s="3893"/>
      <c r="DS159" s="2330"/>
      <c r="DT159" s="2330"/>
      <c r="DU159" s="2330"/>
      <c r="DV159" s="2330"/>
      <c r="DW159" s="2330"/>
      <c r="DX159" s="2330"/>
      <c r="DY159" s="2330"/>
      <c r="DZ159" s="2330"/>
      <c r="EA159" s="2330"/>
      <c r="EB159" s="2330"/>
      <c r="EC159" s="2330"/>
      <c r="ED159" s="2330"/>
      <c r="EE159" s="2330"/>
      <c r="EF159" s="2330"/>
      <c r="EY159" s="2330"/>
      <c r="EZ159" s="2330"/>
      <c r="FA159" s="2330"/>
      <c r="FB159" s="2330"/>
      <c r="FC159" s="2330"/>
      <c r="FD159" s="2330"/>
      <c r="FE159" s="2330"/>
      <c r="FF159" s="2330"/>
      <c r="FG159" s="2330"/>
      <c r="FH159" s="2330"/>
      <c r="FI159" s="2330"/>
      <c r="FJ159" s="2330"/>
      <c r="FK159" s="2330"/>
    </row>
    <row r="160" spans="1:183">
      <c r="A160" s="2272"/>
      <c r="B160" s="2272"/>
      <c r="C160" s="2272"/>
      <c r="D160" s="9"/>
      <c r="E160" s="2272"/>
      <c r="F160" s="2276"/>
      <c r="G160" s="2276"/>
      <c r="H160" s="2276"/>
      <c r="I160" s="2276"/>
      <c r="J160" s="2276"/>
      <c r="K160" s="2276"/>
      <c r="L160" s="2276"/>
      <c r="M160" s="2276"/>
      <c r="N160" s="9"/>
      <c r="O160" s="9"/>
      <c r="P160" s="9"/>
      <c r="Q160" s="9"/>
      <c r="R160" s="9"/>
      <c r="S160" s="9"/>
      <c r="T160" s="2332"/>
      <c r="U160" s="9"/>
      <c r="V160" s="3601" t="str">
        <f t="shared" ref="V160:W172" si="546">V124</f>
        <v>Biomass Fludized Bed Boiler 50 MW</v>
      </c>
      <c r="W160" s="4263">
        <f t="shared" si="546"/>
        <v>50</v>
      </c>
      <c r="X160" s="4264">
        <f t="shared" ref="X160:X173" si="547">AL14</f>
        <v>4498.0962092320124</v>
      </c>
      <c r="Y160" s="4265">
        <f t="shared" ref="Y160:Y173" si="548">AM14</f>
        <v>5068.2043773976393</v>
      </c>
      <c r="Z160" s="3894">
        <f t="shared" ref="Z160:Z173" si="549">AM51</f>
        <v>5102.7276551772857</v>
      </c>
      <c r="AA160" s="3902">
        <f t="shared" ref="AA160:AA173" si="550">AM88</f>
        <v>4916.6448317445675</v>
      </c>
      <c r="AB160" s="3611">
        <v>36</v>
      </c>
      <c r="AC160" s="3597">
        <v>0.5</v>
      </c>
      <c r="AD160" s="3597">
        <v>0.4</v>
      </c>
      <c r="AE160" s="3597">
        <v>0.1</v>
      </c>
      <c r="AF160" s="3597">
        <v>0</v>
      </c>
      <c r="AG160" s="3598">
        <v>0</v>
      </c>
      <c r="AH160" s="3602">
        <v>0</v>
      </c>
      <c r="AI160" s="3607">
        <f t="shared" ref="AI160:AI173" si="551">AN14</f>
        <v>106.25553301406616</v>
      </c>
      <c r="AJ160" s="3608">
        <f t="shared" si="530"/>
        <v>5.2863449260729434</v>
      </c>
      <c r="AK160" s="3593">
        <v>20</v>
      </c>
      <c r="AL160" s="3593">
        <v>30</v>
      </c>
      <c r="AM160" s="339"/>
      <c r="AN160" s="339"/>
      <c r="AO160" s="2332"/>
      <c r="AV160" s="2270"/>
      <c r="AW160" s="2270"/>
      <c r="AX160" s="2270"/>
      <c r="AY160" s="2270"/>
      <c r="AZ160" s="2270"/>
      <c r="BA160" s="2270"/>
      <c r="BB160" s="2270"/>
      <c r="BC160" s="2270"/>
      <c r="BD160" s="2805"/>
      <c r="BE160" s="2270"/>
      <c r="BF160" s="2270"/>
      <c r="BG160" s="2349"/>
      <c r="BH160" s="2270"/>
      <c r="BI160" s="2270"/>
      <c r="BJ160" s="3549" t="str">
        <f t="shared" ref="BJ160:BJ173" si="552">BJ124</f>
        <v>Biomass Fludized Bed Boiler 50 MW</v>
      </c>
      <c r="BK160" s="2402">
        <f t="shared" ref="BK160:BK173" si="553">BK194</f>
        <v>30</v>
      </c>
      <c r="BL160" s="2403">
        <f t="shared" ref="BL160:BL173" si="554">BZ14</f>
        <v>4498.0962092320124</v>
      </c>
      <c r="BM160" s="2404">
        <f t="shared" ref="BM160:BM173" si="555">CA14</f>
        <v>5068.2043773976393</v>
      </c>
      <c r="BN160" s="3889">
        <f t="shared" ref="BN160:BN173" si="556">CA51</f>
        <v>5102.7276551772857</v>
      </c>
      <c r="BO160" s="3550">
        <f t="shared" ref="BO160:BO176" si="557">CA88</f>
        <v>4916.6448317445675</v>
      </c>
      <c r="BP160" s="2402">
        <v>36</v>
      </c>
      <c r="BQ160" s="3553">
        <v>0.5</v>
      </c>
      <c r="BR160" s="3552">
        <v>0.4</v>
      </c>
      <c r="BS160" s="3553">
        <v>0.1</v>
      </c>
      <c r="BT160" s="3553">
        <v>0</v>
      </c>
      <c r="BU160" s="3554">
        <v>0</v>
      </c>
      <c r="BV160" s="3558">
        <v>0</v>
      </c>
      <c r="BW160" s="3551">
        <f t="shared" ref="BW160:BW173" si="558">CB14</f>
        <v>106.25553301406616</v>
      </c>
      <c r="BX160" s="3526">
        <f t="shared" si="537"/>
        <v>5.2863449260729434</v>
      </c>
      <c r="BZ160" s="3362"/>
      <c r="CA160" s="3362"/>
      <c r="CB160" s="3893"/>
      <c r="CC160" s="3362"/>
      <c r="CD160" s="3362"/>
      <c r="CE160" s="3893"/>
      <c r="CF160" s="3362"/>
      <c r="CG160" s="3362"/>
      <c r="CH160" s="3893"/>
      <c r="DS160" s="2330"/>
      <c r="DT160" s="2330"/>
      <c r="DU160" s="2330"/>
      <c r="DV160" s="2330"/>
      <c r="DW160" s="2330"/>
      <c r="DX160" s="2330"/>
      <c r="DY160" s="2330"/>
      <c r="DZ160" s="2330"/>
      <c r="EA160" s="2330"/>
      <c r="EB160" s="2330"/>
      <c r="EC160" s="2330"/>
      <c r="ED160" s="2330"/>
      <c r="EE160" s="2330"/>
      <c r="EF160" s="2330"/>
      <c r="EY160" s="2330"/>
      <c r="EZ160" s="2330"/>
      <c r="FA160" s="2330"/>
      <c r="FB160" s="2330"/>
      <c r="FC160" s="2330"/>
      <c r="FD160" s="2330"/>
      <c r="FE160" s="2330"/>
      <c r="FF160" s="2330"/>
      <c r="FG160" s="2330"/>
      <c r="FH160" s="2330"/>
      <c r="FI160" s="2330"/>
      <c r="FJ160" s="2330"/>
      <c r="FK160" s="2330"/>
    </row>
    <row r="161" spans="1:167">
      <c r="A161" s="2272"/>
      <c r="B161" s="2272"/>
      <c r="C161" s="2272"/>
      <c r="D161" s="9"/>
      <c r="E161" s="2272"/>
      <c r="F161" s="2276"/>
      <c r="G161" s="2276"/>
      <c r="H161" s="2276"/>
      <c r="I161" s="2276"/>
      <c r="J161" s="2276"/>
      <c r="K161" s="2276"/>
      <c r="L161" s="2276"/>
      <c r="M161" s="2276"/>
      <c r="N161" s="9"/>
      <c r="O161" s="9"/>
      <c r="P161" s="9"/>
      <c r="Q161" s="9"/>
      <c r="R161" s="9"/>
      <c r="S161" s="9"/>
      <c r="T161" s="2332"/>
      <c r="U161" s="9"/>
      <c r="V161" s="3601" t="str">
        <f t="shared" si="546"/>
        <v>Geothermal  Binary 30 MW</v>
      </c>
      <c r="W161" s="4263">
        <f t="shared" si="546"/>
        <v>30</v>
      </c>
      <c r="X161" s="4264">
        <f t="shared" si="547"/>
        <v>5341.6931576446586</v>
      </c>
      <c r="Y161" s="4265">
        <f t="shared" si="548"/>
        <v>6742.5251789024896</v>
      </c>
      <c r="Z161" s="3894">
        <f t="shared" si="549"/>
        <v>6865.1179031257652</v>
      </c>
      <c r="AA161" s="3902">
        <f t="shared" si="550"/>
        <v>6160.2194525361319</v>
      </c>
      <c r="AB161" s="3611">
        <v>84</v>
      </c>
      <c r="AC161" s="3597">
        <v>0.20406260907892176</v>
      </c>
      <c r="AD161" s="3597">
        <v>0.20406260907892176</v>
      </c>
      <c r="AE161" s="3597">
        <v>0.17704708409707434</v>
      </c>
      <c r="AF161" s="3597">
        <v>0.16457730770429585</v>
      </c>
      <c r="AG161" s="3598">
        <v>4.9071429364634378E-2</v>
      </c>
      <c r="AH161" s="3602">
        <v>0.20117896067615176</v>
      </c>
      <c r="AI161" s="3607">
        <f t="shared" si="551"/>
        <v>89.79385491427503</v>
      </c>
      <c r="AJ161" s="3608">
        <f t="shared" si="530"/>
        <v>0</v>
      </c>
      <c r="AK161" s="3593">
        <v>20</v>
      </c>
      <c r="AL161" s="3593">
        <v>30</v>
      </c>
      <c r="AM161" s="339"/>
      <c r="AN161" s="339"/>
      <c r="AO161" s="2332"/>
      <c r="AV161" s="2270"/>
      <c r="AW161" s="2270"/>
      <c r="AX161" s="2270"/>
      <c r="AY161" s="2270"/>
      <c r="AZ161" s="2270"/>
      <c r="BA161" s="2270"/>
      <c r="BB161" s="2270"/>
      <c r="BC161" s="2270"/>
      <c r="BD161" s="2805"/>
      <c r="BE161" s="2270"/>
      <c r="BF161" s="2270"/>
      <c r="BG161" s="2349"/>
      <c r="BH161" s="2270"/>
      <c r="BI161" s="2270"/>
      <c r="BJ161" s="3549" t="str">
        <f t="shared" si="552"/>
        <v>Geothermal  Binary 30 MW</v>
      </c>
      <c r="BK161" s="2402">
        <f t="shared" si="553"/>
        <v>30</v>
      </c>
      <c r="BL161" s="2403">
        <f t="shared" si="554"/>
        <v>5341.6931576446586</v>
      </c>
      <c r="BM161" s="2404">
        <f t="shared" si="555"/>
        <v>6742.5251789024896</v>
      </c>
      <c r="BN161" s="3889">
        <f t="shared" si="556"/>
        <v>6865.1179031257652</v>
      </c>
      <c r="BO161" s="3550">
        <f t="shared" si="557"/>
        <v>6160.2194525361319</v>
      </c>
      <c r="BP161" s="2402">
        <v>84</v>
      </c>
      <c r="BQ161" s="3553">
        <v>0.20406260907892176</v>
      </c>
      <c r="BR161" s="3552">
        <v>0.20406260907892176</v>
      </c>
      <c r="BS161" s="3553">
        <v>0.17704708409707434</v>
      </c>
      <c r="BT161" s="3553">
        <v>0.16457730770429585</v>
      </c>
      <c r="BU161" s="3554">
        <v>4.9071429364634378E-2</v>
      </c>
      <c r="BV161" s="3558">
        <v>0.20117896067615176</v>
      </c>
      <c r="BW161" s="3551">
        <f t="shared" si="558"/>
        <v>89.79385491427503</v>
      </c>
      <c r="BX161" s="3526">
        <f t="shared" si="537"/>
        <v>0</v>
      </c>
      <c r="BZ161" s="3362"/>
      <c r="CA161" s="3362"/>
      <c r="CB161" s="3893"/>
      <c r="CC161" s="3362"/>
      <c r="CD161" s="3362"/>
      <c r="CE161" s="3893"/>
      <c r="CF161" s="3362"/>
      <c r="CG161" s="3362"/>
      <c r="CH161" s="3893"/>
      <c r="DS161" s="2330"/>
      <c r="DT161" s="2330"/>
      <c r="DU161" s="2330"/>
      <c r="DV161" s="2330"/>
      <c r="DW161" s="2330"/>
      <c r="DX161" s="2330"/>
      <c r="DY161" s="2330"/>
      <c r="DZ161" s="2330"/>
      <c r="EA161" s="2330"/>
      <c r="EB161" s="2330"/>
      <c r="EC161" s="2330"/>
      <c r="ED161" s="2330"/>
      <c r="EE161" s="2330"/>
      <c r="EF161" s="2330"/>
      <c r="EY161" s="2330"/>
      <c r="EZ161" s="2330"/>
      <c r="FA161" s="2330"/>
      <c r="FB161" s="2330"/>
      <c r="FC161" s="2330"/>
      <c r="FD161" s="2330"/>
      <c r="FE161" s="2330"/>
      <c r="FF161" s="2330"/>
      <c r="FG161" s="2330"/>
      <c r="FH161" s="2330"/>
      <c r="FI161" s="2330"/>
      <c r="FJ161" s="2330"/>
      <c r="FK161" s="2330"/>
    </row>
    <row r="162" spans="1:167">
      <c r="A162" s="2272"/>
      <c r="B162" s="2272"/>
      <c r="C162" s="2272"/>
      <c r="D162" s="9"/>
      <c r="E162" s="2272"/>
      <c r="F162" s="2276"/>
      <c r="G162" s="2276"/>
      <c r="H162" s="2276"/>
      <c r="I162" s="2276"/>
      <c r="J162" s="2276"/>
      <c r="K162" s="2276"/>
      <c r="L162" s="2276"/>
      <c r="M162" s="2276"/>
      <c r="N162" s="9"/>
      <c r="O162" s="9"/>
      <c r="P162" s="9"/>
      <c r="Q162" s="9"/>
      <c r="R162" s="9"/>
      <c r="S162" s="9"/>
      <c r="T162" s="2332"/>
      <c r="U162" s="9"/>
      <c r="V162" s="3601" t="str">
        <f t="shared" si="546"/>
        <v>Geothermal  Flash 30 MW</v>
      </c>
      <c r="W162" s="4263">
        <f t="shared" si="546"/>
        <v>30</v>
      </c>
      <c r="X162" s="4264">
        <f t="shared" si="547"/>
        <v>6039.2215589735306</v>
      </c>
      <c r="Y162" s="4265">
        <f t="shared" si="548"/>
        <v>7382.4667404576458</v>
      </c>
      <c r="Z162" s="3894">
        <f t="shared" si="549"/>
        <v>7492.8548939374177</v>
      </c>
      <c r="AA162" s="3902">
        <f t="shared" si="550"/>
        <v>6857.6566969737696</v>
      </c>
      <c r="AB162" s="3611">
        <v>78</v>
      </c>
      <c r="AC162" s="3597">
        <v>0.24265601841198373</v>
      </c>
      <c r="AD162" s="3597">
        <v>0.24082161296497639</v>
      </c>
      <c r="AE162" s="3597">
        <v>0.23898720751796906</v>
      </c>
      <c r="AF162" s="3597">
        <v>0.12930043034025682</v>
      </c>
      <c r="AG162" s="3598">
        <v>2.0896128898671401E-2</v>
      </c>
      <c r="AH162" s="3602">
        <v>0.1273386018661426</v>
      </c>
      <c r="AI162" s="3607">
        <f t="shared" si="551"/>
        <v>89.79385491427503</v>
      </c>
      <c r="AJ162" s="3608">
        <f t="shared" si="530"/>
        <v>0</v>
      </c>
      <c r="AK162" s="3593">
        <v>20</v>
      </c>
      <c r="AL162" s="3593">
        <v>30</v>
      </c>
      <c r="AM162" s="339"/>
      <c r="AN162" s="339"/>
      <c r="AO162" s="2332"/>
      <c r="AV162" s="2270"/>
      <c r="AW162" s="2270"/>
      <c r="AX162" s="2270"/>
      <c r="AY162" s="2270"/>
      <c r="AZ162" s="2270"/>
      <c r="BA162" s="2270"/>
      <c r="BB162" s="2270"/>
      <c r="BC162" s="2270"/>
      <c r="BD162" s="2805"/>
      <c r="BE162" s="2270"/>
      <c r="BF162" s="2270"/>
      <c r="BG162" s="2349"/>
      <c r="BH162" s="2270"/>
      <c r="BI162" s="2270"/>
      <c r="BJ162" s="3549" t="str">
        <f t="shared" si="552"/>
        <v>Geothermal  Flash 30 MW</v>
      </c>
      <c r="BK162" s="2402">
        <f t="shared" si="553"/>
        <v>250</v>
      </c>
      <c r="BL162" s="2403">
        <f t="shared" si="554"/>
        <v>6039.2215589735306</v>
      </c>
      <c r="BM162" s="2404">
        <f t="shared" si="555"/>
        <v>7382.4667404576458</v>
      </c>
      <c r="BN162" s="3889">
        <f t="shared" si="556"/>
        <v>7492.8548939374177</v>
      </c>
      <c r="BO162" s="3550">
        <f t="shared" si="557"/>
        <v>6857.6566969737696</v>
      </c>
      <c r="BP162" s="2402">
        <v>78</v>
      </c>
      <c r="BQ162" s="3553">
        <v>0.24265601841198373</v>
      </c>
      <c r="BR162" s="3552">
        <v>0.24082161296497639</v>
      </c>
      <c r="BS162" s="3553">
        <v>0.23898720751796906</v>
      </c>
      <c r="BT162" s="3553">
        <v>0.12930043034025682</v>
      </c>
      <c r="BU162" s="3554">
        <v>2.0896128898671401E-2</v>
      </c>
      <c r="BV162" s="3558">
        <v>0.1273386018661426</v>
      </c>
      <c r="BW162" s="3551">
        <f t="shared" si="558"/>
        <v>89.79385491427503</v>
      </c>
      <c r="BX162" s="3526">
        <f t="shared" si="537"/>
        <v>0</v>
      </c>
      <c r="BZ162" s="3362"/>
      <c r="CA162" s="3362"/>
      <c r="CB162" s="3893"/>
      <c r="CC162" s="3362"/>
      <c r="CD162" s="3362"/>
      <c r="CE162" s="3893"/>
      <c r="CF162" s="3362"/>
      <c r="CG162" s="3362"/>
      <c r="CH162" s="3893"/>
      <c r="DS162" s="2330"/>
      <c r="DT162" s="2330"/>
      <c r="DU162" s="2330"/>
      <c r="DV162" s="2330"/>
      <c r="DW162" s="2330"/>
      <c r="DX162" s="2330"/>
      <c r="DY162" s="2330"/>
      <c r="DZ162" s="2330"/>
      <c r="EA162" s="2330"/>
      <c r="EB162" s="2330"/>
      <c r="EC162" s="2330"/>
      <c r="ED162" s="2330"/>
      <c r="EE162" s="2330"/>
      <c r="EF162" s="2330"/>
      <c r="EY162" s="2330"/>
      <c r="EZ162" s="2330"/>
      <c r="FA162" s="2330"/>
      <c r="FB162" s="2330"/>
      <c r="FC162" s="2330"/>
      <c r="FD162" s="2330"/>
      <c r="FE162" s="2330"/>
      <c r="FF162" s="2330"/>
      <c r="FG162" s="2330"/>
      <c r="FH162" s="2330"/>
      <c r="FI162" s="2330"/>
      <c r="FJ162" s="2330"/>
      <c r="FK162" s="2330"/>
    </row>
    <row r="163" spans="1:167">
      <c r="A163" s="2272"/>
      <c r="B163" s="2272"/>
      <c r="C163" s="2272"/>
      <c r="D163" s="9"/>
      <c r="E163" s="2272"/>
      <c r="F163" s="2276"/>
      <c r="G163" s="2276"/>
      <c r="H163" s="2276"/>
      <c r="I163" s="2276"/>
      <c r="J163" s="2276"/>
      <c r="K163" s="2276"/>
      <c r="L163" s="2276"/>
      <c r="M163" s="2276"/>
      <c r="N163" s="9"/>
      <c r="O163" s="9"/>
      <c r="P163" s="9"/>
      <c r="Q163" s="9"/>
      <c r="R163" s="9"/>
      <c r="S163" s="9"/>
      <c r="T163" s="2332"/>
      <c r="U163" s="9"/>
      <c r="V163" s="3601" t="str">
        <f t="shared" si="546"/>
        <v>Solar Parabolic Trough W/O Storage 250 MW</v>
      </c>
      <c r="W163" s="4263">
        <f t="shared" si="546"/>
        <v>250</v>
      </c>
      <c r="X163" s="4264">
        <f t="shared" si="547"/>
        <v>3818.9349557772589</v>
      </c>
      <c r="Y163" s="4265">
        <f t="shared" si="548"/>
        <v>4258.5871764278154</v>
      </c>
      <c r="Z163" s="3894">
        <f t="shared" si="549"/>
        <v>4300.7791475624144</v>
      </c>
      <c r="AA163" s="3902">
        <f t="shared" si="550"/>
        <v>4147.1086848397726</v>
      </c>
      <c r="AB163" s="3611">
        <v>24</v>
      </c>
      <c r="AC163" s="3597">
        <v>0.5</v>
      </c>
      <c r="AD163" s="3597">
        <v>0.5</v>
      </c>
      <c r="AE163" s="3597">
        <v>0</v>
      </c>
      <c r="AF163" s="3597">
        <v>0</v>
      </c>
      <c r="AG163" s="3598">
        <v>0</v>
      </c>
      <c r="AH163" s="3602">
        <v>0</v>
      </c>
      <c r="AI163" s="3607">
        <f t="shared" si="551"/>
        <v>70.953321597751042</v>
      </c>
      <c r="AJ163" s="3608">
        <f t="shared" si="530"/>
        <v>0</v>
      </c>
      <c r="AK163" s="3593">
        <v>20</v>
      </c>
      <c r="AL163" s="3593">
        <v>30</v>
      </c>
      <c r="AM163" s="339"/>
      <c r="AN163" s="339"/>
      <c r="AO163" s="2332"/>
      <c r="AV163" s="2270"/>
      <c r="AW163" s="2270"/>
      <c r="AX163" s="2270"/>
      <c r="AY163" s="2270"/>
      <c r="AZ163" s="2270"/>
      <c r="BA163" s="2270"/>
      <c r="BB163" s="2270"/>
      <c r="BC163" s="2270"/>
      <c r="BD163" s="2805"/>
      <c r="BE163" s="2270"/>
      <c r="BF163" s="2270"/>
      <c r="BG163" s="2349"/>
      <c r="BH163" s="2270"/>
      <c r="BI163" s="2270"/>
      <c r="BJ163" s="3549" t="str">
        <f t="shared" si="552"/>
        <v>Solar Parabolic Trough W/O Storage 250 MW</v>
      </c>
      <c r="BK163" s="2402">
        <f t="shared" si="553"/>
        <v>250</v>
      </c>
      <c r="BL163" s="2403">
        <f t="shared" si="554"/>
        <v>3818.9349557772589</v>
      </c>
      <c r="BM163" s="2404">
        <f t="shared" si="555"/>
        <v>4258.5871764278154</v>
      </c>
      <c r="BN163" s="3889">
        <f t="shared" si="556"/>
        <v>4300.7791475624144</v>
      </c>
      <c r="BO163" s="3550">
        <f t="shared" si="557"/>
        <v>4147.1086848397726</v>
      </c>
      <c r="BP163" s="2402">
        <v>24</v>
      </c>
      <c r="BQ163" s="3553">
        <v>0.5</v>
      </c>
      <c r="BR163" s="3552">
        <v>0.5</v>
      </c>
      <c r="BS163" s="3553">
        <v>0</v>
      </c>
      <c r="BT163" s="3553">
        <v>0</v>
      </c>
      <c r="BU163" s="3554">
        <v>0</v>
      </c>
      <c r="BV163" s="3558">
        <v>0</v>
      </c>
      <c r="BW163" s="3551">
        <f t="shared" si="558"/>
        <v>70.953321597751042</v>
      </c>
      <c r="BX163" s="3526">
        <f t="shared" si="537"/>
        <v>0</v>
      </c>
      <c r="BZ163" s="3362"/>
      <c r="CA163" s="3362"/>
      <c r="CB163" s="3893"/>
      <c r="CC163" s="3362"/>
      <c r="CD163" s="3362"/>
      <c r="CE163" s="3893"/>
      <c r="CF163" s="3362"/>
      <c r="CG163" s="3362"/>
      <c r="CH163" s="3893"/>
      <c r="DS163" s="2330"/>
      <c r="DT163" s="2330"/>
      <c r="DU163" s="2330"/>
      <c r="DV163" s="2330"/>
      <c r="DW163" s="2330"/>
      <c r="DX163" s="2330"/>
      <c r="DY163" s="2330"/>
      <c r="DZ163" s="2330"/>
      <c r="EA163" s="2330"/>
      <c r="EB163" s="2330"/>
      <c r="EC163" s="2330"/>
      <c r="ED163" s="2330"/>
      <c r="EE163" s="2330"/>
      <c r="EF163" s="2330"/>
      <c r="EY163" s="2330"/>
      <c r="EZ163" s="2330"/>
      <c r="FA163" s="2330"/>
      <c r="FB163" s="2330"/>
      <c r="FC163" s="2330"/>
      <c r="FD163" s="2330"/>
      <c r="FE163" s="2330"/>
      <c r="FF163" s="2330"/>
      <c r="FG163" s="2330"/>
      <c r="FH163" s="2330"/>
      <c r="FI163" s="2330"/>
      <c r="FJ163" s="2330"/>
      <c r="FK163" s="2330"/>
    </row>
    <row r="164" spans="1:167">
      <c r="A164" s="2272"/>
      <c r="B164" s="2272"/>
      <c r="C164" s="2272"/>
      <c r="D164" s="9"/>
      <c r="E164" s="2272"/>
      <c r="F164" s="2276"/>
      <c r="G164" s="2276"/>
      <c r="H164" s="2276"/>
      <c r="I164" s="2276"/>
      <c r="J164" s="2276"/>
      <c r="K164" s="2276"/>
      <c r="L164" s="2276"/>
      <c r="M164" s="2276"/>
      <c r="N164" s="9"/>
      <c r="O164" s="9"/>
      <c r="P164" s="9"/>
      <c r="Q164" s="9"/>
      <c r="R164" s="9"/>
      <c r="S164" s="9"/>
      <c r="T164" s="2332"/>
      <c r="U164" s="9"/>
      <c r="V164" s="3601" t="str">
        <f t="shared" si="546"/>
        <v>Solar Parabolic Trough With Storage 250 MW</v>
      </c>
      <c r="W164" s="4263">
        <f t="shared" si="546"/>
        <v>250</v>
      </c>
      <c r="X164" s="4264">
        <f t="shared" si="547"/>
        <v>5465.1260453220157</v>
      </c>
      <c r="Y164" s="4265">
        <f t="shared" si="548"/>
        <v>6094.2948658923015</v>
      </c>
      <c r="Z164" s="3894">
        <f t="shared" si="549"/>
        <v>6154.6741190142611</v>
      </c>
      <c r="AA164" s="3902">
        <f t="shared" si="550"/>
        <v>5934.762426893999</v>
      </c>
      <c r="AB164" s="3611">
        <v>24</v>
      </c>
      <c r="AC164" s="3597">
        <v>0.5</v>
      </c>
      <c r="AD164" s="3597">
        <v>0.5</v>
      </c>
      <c r="AE164" s="3597">
        <v>0</v>
      </c>
      <c r="AF164" s="3597">
        <v>0</v>
      </c>
      <c r="AG164" s="3598">
        <v>0</v>
      </c>
      <c r="AH164" s="3602">
        <v>0</v>
      </c>
      <c r="AI164" s="3607">
        <f t="shared" si="551"/>
        <v>70.953321597751042</v>
      </c>
      <c r="AJ164" s="3608">
        <f t="shared" si="530"/>
        <v>0</v>
      </c>
      <c r="AK164" s="3593">
        <v>20</v>
      </c>
      <c r="AL164" s="3593">
        <v>30</v>
      </c>
      <c r="AM164" s="339"/>
      <c r="AN164" s="339"/>
      <c r="AO164" s="2332"/>
      <c r="AV164" s="2270"/>
      <c r="AW164" s="2270"/>
      <c r="AX164" s="2270"/>
      <c r="AY164" s="2270"/>
      <c r="AZ164" s="2270"/>
      <c r="BA164" s="2270"/>
      <c r="BB164" s="2270"/>
      <c r="BC164" s="2270"/>
      <c r="BD164" s="2805"/>
      <c r="BE164" s="2270"/>
      <c r="BF164" s="2270"/>
      <c r="BG164" s="2349"/>
      <c r="BH164" s="2270"/>
      <c r="BI164" s="2270"/>
      <c r="BJ164" s="3549" t="str">
        <f t="shared" si="552"/>
        <v>Solar Parabolic Trough With Storage 250 MW</v>
      </c>
      <c r="BK164" s="2402">
        <f t="shared" si="553"/>
        <v>100</v>
      </c>
      <c r="BL164" s="2403">
        <f t="shared" si="554"/>
        <v>5465.1260453220157</v>
      </c>
      <c r="BM164" s="2404">
        <f t="shared" si="555"/>
        <v>6094.2948658923015</v>
      </c>
      <c r="BN164" s="3889">
        <f t="shared" si="556"/>
        <v>6154.6741190142611</v>
      </c>
      <c r="BO164" s="3550">
        <f t="shared" si="557"/>
        <v>5934.762426893999</v>
      </c>
      <c r="BP164" s="2402">
        <v>24</v>
      </c>
      <c r="BQ164" s="3553">
        <v>0.5</v>
      </c>
      <c r="BR164" s="3552">
        <v>0.5</v>
      </c>
      <c r="BS164" s="3553">
        <v>0</v>
      </c>
      <c r="BT164" s="3553">
        <v>0</v>
      </c>
      <c r="BU164" s="3554">
        <v>0</v>
      </c>
      <c r="BV164" s="3558">
        <v>0</v>
      </c>
      <c r="BW164" s="3551">
        <f t="shared" si="558"/>
        <v>70.953321597751042</v>
      </c>
      <c r="BX164" s="3526">
        <f t="shared" si="537"/>
        <v>0</v>
      </c>
      <c r="BZ164" s="3362"/>
      <c r="CA164" s="3362"/>
      <c r="CB164" s="3893"/>
      <c r="CC164" s="3362"/>
      <c r="CD164" s="3362"/>
      <c r="CE164" s="3893"/>
      <c r="CF164" s="3362"/>
      <c r="CG164" s="3362"/>
      <c r="CH164" s="3893"/>
      <c r="DS164" s="2330"/>
      <c r="DT164" s="2330"/>
      <c r="DU164" s="2330"/>
      <c r="DV164" s="2330"/>
      <c r="DW164" s="2330"/>
      <c r="DX164" s="2330"/>
      <c r="DY164" s="2330"/>
      <c r="DZ164" s="2330"/>
      <c r="EA164" s="2330"/>
      <c r="EB164" s="2330"/>
      <c r="EC164" s="2330"/>
      <c r="ED164" s="2330"/>
      <c r="EE164" s="2330"/>
      <c r="EF164" s="2330"/>
      <c r="EY164" s="2330"/>
      <c r="EZ164" s="2330"/>
      <c r="FA164" s="2330"/>
      <c r="FB164" s="2330"/>
      <c r="FC164" s="2330"/>
      <c r="FD164" s="2330"/>
      <c r="FE164" s="2330"/>
      <c r="FF164" s="2330"/>
      <c r="FG164" s="2330"/>
      <c r="FH164" s="2330"/>
      <c r="FI164" s="2330"/>
      <c r="FJ164" s="2330"/>
      <c r="FK164" s="2330"/>
    </row>
    <row r="165" spans="1:167">
      <c r="A165" s="2272"/>
      <c r="B165" s="2272"/>
      <c r="C165" s="2272"/>
      <c r="D165" s="9"/>
      <c r="E165" s="2272"/>
      <c r="F165" s="2276"/>
      <c r="G165" s="2276"/>
      <c r="H165" s="2276"/>
      <c r="I165" s="2276"/>
      <c r="J165" s="2276"/>
      <c r="K165" s="2276"/>
      <c r="L165" s="2276"/>
      <c r="M165" s="2276"/>
      <c r="N165" s="9"/>
      <c r="O165" s="9"/>
      <c r="P165" s="9"/>
      <c r="Q165" s="9"/>
      <c r="R165" s="9"/>
      <c r="S165" s="9"/>
      <c r="T165" s="2332"/>
      <c r="U165" s="9"/>
      <c r="V165" s="3601" t="str">
        <f t="shared" si="546"/>
        <v>Solar Power Tower W/O Storage 100 MW</v>
      </c>
      <c r="W165" s="4263">
        <f t="shared" si="546"/>
        <v>100</v>
      </c>
      <c r="X165" s="4264">
        <f t="shared" si="547"/>
        <v>4166.2683965574515</v>
      </c>
      <c r="Y165" s="4265">
        <f t="shared" si="548"/>
        <v>4645.9071370920919</v>
      </c>
      <c r="Z165" s="3894">
        <f t="shared" si="549"/>
        <v>4691.936482436301</v>
      </c>
      <c r="AA165" s="3902">
        <f t="shared" si="550"/>
        <v>4524.2896385545628</v>
      </c>
      <c r="AB165" s="3611">
        <v>24</v>
      </c>
      <c r="AC165" s="3597">
        <v>0.5</v>
      </c>
      <c r="AD165" s="3597">
        <v>0.5</v>
      </c>
      <c r="AE165" s="3597">
        <v>0</v>
      </c>
      <c r="AF165" s="3597">
        <v>0</v>
      </c>
      <c r="AG165" s="3598">
        <v>0</v>
      </c>
      <c r="AH165" s="3602">
        <v>0</v>
      </c>
      <c r="AI165" s="3607">
        <f t="shared" si="551"/>
        <v>62.812350411598707</v>
      </c>
      <c r="AJ165" s="3608">
        <f t="shared" si="530"/>
        <v>0</v>
      </c>
      <c r="AK165" s="3593">
        <v>20</v>
      </c>
      <c r="AL165" s="3593">
        <v>30</v>
      </c>
      <c r="AM165" s="339"/>
      <c r="AN165" s="339"/>
      <c r="AO165" s="2332"/>
      <c r="AV165" s="2270"/>
      <c r="AW165" s="2270"/>
      <c r="AX165" s="2270"/>
      <c r="AY165" s="2270"/>
      <c r="AZ165" s="2270"/>
      <c r="BA165" s="2270"/>
      <c r="BB165" s="2270"/>
      <c r="BC165" s="2270"/>
      <c r="BD165" s="2805"/>
      <c r="BE165" s="2270"/>
      <c r="BF165" s="2270"/>
      <c r="BG165" s="2349"/>
      <c r="BH165" s="2270"/>
      <c r="BI165" s="2270"/>
      <c r="BJ165" s="3549" t="str">
        <f t="shared" si="552"/>
        <v>Solar Power Tower W/O Storage 100 MW</v>
      </c>
      <c r="BK165" s="2402">
        <f t="shared" si="553"/>
        <v>100</v>
      </c>
      <c r="BL165" s="2403">
        <f t="shared" si="554"/>
        <v>4166.2683965574515</v>
      </c>
      <c r="BM165" s="2404">
        <f t="shared" si="555"/>
        <v>4645.9071370920919</v>
      </c>
      <c r="BN165" s="3889">
        <f t="shared" si="556"/>
        <v>4691.936482436301</v>
      </c>
      <c r="BO165" s="3550">
        <f t="shared" si="557"/>
        <v>4524.2896385545628</v>
      </c>
      <c r="BP165" s="2402">
        <v>24</v>
      </c>
      <c r="BQ165" s="3553">
        <v>0.5</v>
      </c>
      <c r="BR165" s="3552">
        <v>0.5</v>
      </c>
      <c r="BS165" s="3553">
        <v>0</v>
      </c>
      <c r="BT165" s="3553">
        <v>0</v>
      </c>
      <c r="BU165" s="3554">
        <v>0</v>
      </c>
      <c r="BV165" s="3558">
        <v>0</v>
      </c>
      <c r="BW165" s="3551">
        <f t="shared" si="558"/>
        <v>62.812350411598707</v>
      </c>
      <c r="BX165" s="3526">
        <f t="shared" si="537"/>
        <v>0</v>
      </c>
      <c r="BZ165" s="3362"/>
      <c r="CA165" s="3362"/>
      <c r="CB165" s="3893"/>
      <c r="CC165" s="3362"/>
      <c r="CD165" s="3362"/>
      <c r="CE165" s="3893"/>
      <c r="CF165" s="3362"/>
      <c r="CG165" s="3362"/>
      <c r="CH165" s="3893"/>
      <c r="DS165" s="2330"/>
      <c r="DT165" s="2330"/>
      <c r="DU165" s="2330"/>
      <c r="DV165" s="2330"/>
      <c r="DW165" s="2330"/>
      <c r="DX165" s="2330"/>
      <c r="DY165" s="2330"/>
      <c r="DZ165" s="2330"/>
      <c r="EA165" s="2330"/>
      <c r="EB165" s="2330"/>
      <c r="EC165" s="2330"/>
      <c r="ED165" s="2330"/>
      <c r="EE165" s="2330"/>
      <c r="EF165" s="2330"/>
      <c r="EY165" s="2330"/>
      <c r="EZ165" s="2330"/>
      <c r="FA165" s="2330"/>
      <c r="FB165" s="2330"/>
      <c r="FC165" s="2330"/>
      <c r="FD165" s="2330"/>
      <c r="FE165" s="2330"/>
      <c r="FF165" s="2330"/>
      <c r="FG165" s="2330"/>
      <c r="FH165" s="2330"/>
      <c r="FI165" s="2330"/>
      <c r="FJ165" s="2330"/>
      <c r="FK165" s="2330"/>
    </row>
    <row r="166" spans="1:167">
      <c r="A166" s="2272"/>
      <c r="B166" s="2272"/>
      <c r="C166" s="2272"/>
      <c r="D166" s="9"/>
      <c r="E166" s="2272"/>
      <c r="F166" s="2276"/>
      <c r="G166" s="2276"/>
      <c r="H166" s="2276"/>
      <c r="I166" s="2276"/>
      <c r="J166" s="2276"/>
      <c r="K166" s="2276"/>
      <c r="L166" s="2276"/>
      <c r="M166" s="2276"/>
      <c r="N166" s="9"/>
      <c r="O166" s="9"/>
      <c r="P166" s="9"/>
      <c r="Q166" s="9"/>
      <c r="R166" s="9"/>
      <c r="S166" s="9"/>
      <c r="T166" s="2332"/>
      <c r="U166" s="9"/>
      <c r="V166" s="3601" t="str">
        <f t="shared" si="546"/>
        <v>Solar Power Tower With Storage 100 MW 6 HRs</v>
      </c>
      <c r="W166" s="4263">
        <f t="shared" si="546"/>
        <v>100</v>
      </c>
      <c r="X166" s="4264">
        <f t="shared" si="547"/>
        <v>5832.8251090127224</v>
      </c>
      <c r="Y166" s="4265">
        <f t="shared" si="548"/>
        <v>6504.3250275867067</v>
      </c>
      <c r="Z166" s="3894">
        <f t="shared" si="549"/>
        <v>6568.7666563346193</v>
      </c>
      <c r="AA166" s="3902">
        <f t="shared" si="550"/>
        <v>6334.0590889469468</v>
      </c>
      <c r="AB166" s="3611">
        <v>24</v>
      </c>
      <c r="AC166" s="3597">
        <v>0.5</v>
      </c>
      <c r="AD166" s="3597">
        <v>0.5</v>
      </c>
      <c r="AE166" s="3597">
        <v>0</v>
      </c>
      <c r="AF166" s="3597">
        <v>0</v>
      </c>
      <c r="AG166" s="3598">
        <v>0</v>
      </c>
      <c r="AH166" s="3602">
        <v>0</v>
      </c>
      <c r="AI166" s="3607">
        <f t="shared" si="551"/>
        <v>66.248474613546122</v>
      </c>
      <c r="AJ166" s="3608">
        <f t="shared" si="530"/>
        <v>0</v>
      </c>
      <c r="AK166" s="3593">
        <v>20</v>
      </c>
      <c r="AL166" s="3593">
        <v>30</v>
      </c>
      <c r="AM166" s="339"/>
      <c r="AN166" s="339"/>
      <c r="AO166" s="2332"/>
      <c r="AV166" s="2270"/>
      <c r="AW166" s="2270"/>
      <c r="AX166" s="2270"/>
      <c r="AY166" s="2270"/>
      <c r="AZ166" s="2270"/>
      <c r="BA166" s="2270"/>
      <c r="BB166" s="2270"/>
      <c r="BC166" s="2270"/>
      <c r="BD166" s="2805"/>
      <c r="BE166" s="2270"/>
      <c r="BF166" s="2270"/>
      <c r="BG166" s="2349"/>
      <c r="BH166" s="2270"/>
      <c r="BI166" s="2270"/>
      <c r="BJ166" s="3549" t="str">
        <f t="shared" si="552"/>
        <v>Solar Power Tower With Storage 100 MW 6 HRs</v>
      </c>
      <c r="BK166" s="2402">
        <f t="shared" si="553"/>
        <v>100</v>
      </c>
      <c r="BL166" s="2403">
        <f t="shared" si="554"/>
        <v>5832.8251090127224</v>
      </c>
      <c r="BM166" s="2404">
        <f t="shared" si="555"/>
        <v>6504.3250275867067</v>
      </c>
      <c r="BN166" s="3889">
        <f t="shared" si="556"/>
        <v>6568.7666563346193</v>
      </c>
      <c r="BO166" s="3550">
        <f t="shared" si="557"/>
        <v>6334.0590889469468</v>
      </c>
      <c r="BP166" s="2402">
        <v>24</v>
      </c>
      <c r="BQ166" s="3553">
        <v>0.5</v>
      </c>
      <c r="BR166" s="3552">
        <v>0.5</v>
      </c>
      <c r="BS166" s="3553">
        <v>0</v>
      </c>
      <c r="BT166" s="3553">
        <v>0</v>
      </c>
      <c r="BU166" s="3554">
        <v>0</v>
      </c>
      <c r="BV166" s="3558">
        <v>0</v>
      </c>
      <c r="BW166" s="3551">
        <f t="shared" si="558"/>
        <v>66.248474613546122</v>
      </c>
      <c r="BX166" s="3526">
        <f t="shared" si="537"/>
        <v>0</v>
      </c>
      <c r="BZ166" s="3362"/>
      <c r="CA166" s="3362"/>
      <c r="CB166" s="3893"/>
      <c r="CC166" s="3362"/>
      <c r="CD166" s="3362"/>
      <c r="CE166" s="3893"/>
      <c r="CF166" s="3362"/>
      <c r="CG166" s="3362"/>
      <c r="CH166" s="3893"/>
      <c r="DS166" s="2330"/>
      <c r="DT166" s="2330"/>
      <c r="DU166" s="2330"/>
      <c r="DV166" s="2330"/>
      <c r="DW166" s="2330"/>
      <c r="DX166" s="2330"/>
      <c r="DY166" s="2330"/>
      <c r="DZ166" s="2330"/>
      <c r="EA166" s="2330"/>
      <c r="EB166" s="2330"/>
      <c r="EC166" s="2330"/>
      <c r="ED166" s="2330"/>
      <c r="EE166" s="2330"/>
      <c r="EF166" s="2330"/>
      <c r="EY166" s="2330"/>
      <c r="EZ166" s="2330"/>
      <c r="FA166" s="2330"/>
      <c r="FB166" s="2330"/>
      <c r="FC166" s="2330"/>
      <c r="FD166" s="2330"/>
      <c r="FE166" s="2330"/>
      <c r="FF166" s="2330"/>
      <c r="FG166" s="2330"/>
      <c r="FH166" s="2330"/>
      <c r="FI166" s="2330"/>
      <c r="FJ166" s="2330"/>
      <c r="FK166" s="2330"/>
    </row>
    <row r="167" spans="1:167">
      <c r="A167" s="2272"/>
      <c r="B167" s="2272"/>
      <c r="C167" s="2272"/>
      <c r="D167" s="9"/>
      <c r="E167" s="2272"/>
      <c r="F167" s="2276"/>
      <c r="G167" s="2276"/>
      <c r="H167" s="2276"/>
      <c r="I167" s="2276"/>
      <c r="J167" s="2276"/>
      <c r="K167" s="2276"/>
      <c r="L167" s="2276"/>
      <c r="M167" s="2276"/>
      <c r="N167" s="9"/>
      <c r="O167" s="9"/>
      <c r="P167" s="9"/>
      <c r="Q167" s="9"/>
      <c r="R167" s="9"/>
      <c r="S167" s="9"/>
      <c r="T167" s="2332"/>
      <c r="U167" s="9"/>
      <c r="V167" s="3601" t="str">
        <f t="shared" si="546"/>
        <v>Solar Power Tower With Storage 100 MW 11 HRs</v>
      </c>
      <c r="W167" s="4263">
        <f t="shared" si="546"/>
        <v>100</v>
      </c>
      <c r="X167" s="4264">
        <f t="shared" si="547"/>
        <v>6486.8252597394476</v>
      </c>
      <c r="Y167" s="4265">
        <f t="shared" si="548"/>
        <v>7233.6164890852524</v>
      </c>
      <c r="Z167" s="3894">
        <f t="shared" si="549"/>
        <v>7305.2835761876604</v>
      </c>
      <c r="AA167" s="3902">
        <f t="shared" si="550"/>
        <v>7044.2596386741197</v>
      </c>
      <c r="AB167" s="3611">
        <v>24</v>
      </c>
      <c r="AC167" s="3597">
        <v>0.5</v>
      </c>
      <c r="AD167" s="3597">
        <v>0.5</v>
      </c>
      <c r="AE167" s="3597">
        <v>0</v>
      </c>
      <c r="AF167" s="3597">
        <v>0</v>
      </c>
      <c r="AG167" s="3598">
        <v>0</v>
      </c>
      <c r="AH167" s="3602">
        <v>0</v>
      </c>
      <c r="AI167" s="3607">
        <f t="shared" si="551"/>
        <v>66.248474613546122</v>
      </c>
      <c r="AJ167" s="3608">
        <f t="shared" si="530"/>
        <v>0</v>
      </c>
      <c r="AK167" s="3593">
        <v>20</v>
      </c>
      <c r="AL167" s="3593">
        <v>30</v>
      </c>
      <c r="AM167" s="339"/>
      <c r="AN167" s="339"/>
      <c r="AO167" s="2332"/>
      <c r="AV167" s="2270"/>
      <c r="AW167" s="2270"/>
      <c r="AX167" s="2270"/>
      <c r="AY167" s="2270"/>
      <c r="AZ167" s="2270"/>
      <c r="BA167" s="2270"/>
      <c r="BB167" s="2270"/>
      <c r="BC167" s="2270"/>
      <c r="BD167" s="2805"/>
      <c r="BE167" s="2270"/>
      <c r="BF167" s="2270"/>
      <c r="BG167" s="2349"/>
      <c r="BH167" s="2270"/>
      <c r="BI167" s="2270"/>
      <c r="BJ167" s="3549" t="str">
        <f t="shared" si="552"/>
        <v>Solar Power Tower With Storage 100 MW 11 HRs</v>
      </c>
      <c r="BK167" s="2402">
        <f t="shared" si="553"/>
        <v>100</v>
      </c>
      <c r="BL167" s="2403">
        <f t="shared" si="554"/>
        <v>6486.8252597394476</v>
      </c>
      <c r="BM167" s="2404">
        <f t="shared" si="555"/>
        <v>7233.6164890852524</v>
      </c>
      <c r="BN167" s="3889">
        <f t="shared" si="556"/>
        <v>7305.2835761876604</v>
      </c>
      <c r="BO167" s="3550">
        <f t="shared" si="557"/>
        <v>7044.2596386741197</v>
      </c>
      <c r="BP167" s="2402">
        <v>24</v>
      </c>
      <c r="BQ167" s="3553">
        <v>0.5</v>
      </c>
      <c r="BR167" s="3552">
        <v>0.5</v>
      </c>
      <c r="BS167" s="3553">
        <v>0</v>
      </c>
      <c r="BT167" s="3553">
        <v>0</v>
      </c>
      <c r="BU167" s="3554">
        <v>0</v>
      </c>
      <c r="BV167" s="3558">
        <v>0</v>
      </c>
      <c r="BW167" s="3551">
        <f t="shared" si="558"/>
        <v>66.248474613546122</v>
      </c>
      <c r="BX167" s="3526">
        <f t="shared" si="537"/>
        <v>0</v>
      </c>
      <c r="BZ167" s="3362"/>
      <c r="CA167" s="3362"/>
      <c r="CB167" s="3893"/>
      <c r="CC167" s="3362"/>
      <c r="CD167" s="3362"/>
      <c r="CE167" s="3893"/>
      <c r="CF167" s="3362"/>
      <c r="CG167" s="3362"/>
      <c r="CH167" s="3893"/>
      <c r="DS167" s="2330"/>
      <c r="DT167" s="2330"/>
      <c r="DU167" s="2330"/>
      <c r="DV167" s="2330"/>
      <c r="DW167" s="2330"/>
      <c r="DX167" s="2330"/>
      <c r="DY167" s="2330"/>
      <c r="DZ167" s="2330"/>
      <c r="EA167" s="2330"/>
      <c r="EB167" s="2330"/>
      <c r="EC167" s="2330"/>
      <c r="ED167" s="2330"/>
      <c r="EE167" s="2330"/>
      <c r="EF167" s="2330"/>
      <c r="EY167" s="2330"/>
      <c r="EZ167" s="2330"/>
      <c r="FA167" s="2330"/>
      <c r="FB167" s="2330"/>
      <c r="FC167" s="2330"/>
      <c r="FD167" s="2330"/>
      <c r="FE167" s="2330"/>
      <c r="FF167" s="2330"/>
      <c r="FG167" s="2330"/>
      <c r="FH167" s="2330"/>
      <c r="FI167" s="2330"/>
      <c r="FJ167" s="2330"/>
      <c r="FK167" s="2330"/>
    </row>
    <row r="168" spans="1:167">
      <c r="A168" s="9"/>
      <c r="B168" s="9"/>
      <c r="C168" s="9"/>
      <c r="D168" s="9"/>
      <c r="E168" s="9"/>
      <c r="F168" s="9"/>
      <c r="G168" s="9"/>
      <c r="H168" s="9"/>
      <c r="I168" s="9"/>
      <c r="J168" s="9"/>
      <c r="K168" s="9"/>
      <c r="L168" s="9"/>
      <c r="M168" s="9"/>
      <c r="N168" s="9"/>
      <c r="O168" s="9"/>
      <c r="P168" s="9"/>
      <c r="Q168" s="9"/>
      <c r="R168" s="9"/>
      <c r="S168" s="9"/>
      <c r="T168" s="2332"/>
      <c r="U168" s="9"/>
      <c r="V168" s="3601" t="str">
        <f t="shared" si="546"/>
        <v>Solar Photovoltaic (Thin-Film) 100 MW</v>
      </c>
      <c r="W168" s="4263">
        <f t="shared" si="546"/>
        <v>100</v>
      </c>
      <c r="X168" s="4264">
        <f t="shared" si="547"/>
        <v>3143.9300857037551</v>
      </c>
      <c r="Y168" s="4265">
        <f t="shared" si="548"/>
        <v>3366.3555938350896</v>
      </c>
      <c r="Z168" s="3894">
        <f t="shared" si="549"/>
        <v>3382.9905839851676</v>
      </c>
      <c r="AA168" s="3902">
        <f t="shared" si="550"/>
        <v>3322.0022857580157</v>
      </c>
      <c r="AB168" s="3611">
        <v>12</v>
      </c>
      <c r="AC168" s="3597">
        <v>1</v>
      </c>
      <c r="AD168" s="3597">
        <v>0</v>
      </c>
      <c r="AE168" s="3597">
        <v>0</v>
      </c>
      <c r="AF168" s="3597">
        <v>0</v>
      </c>
      <c r="AG168" s="3598">
        <v>0</v>
      </c>
      <c r="AH168" s="3602">
        <v>0</v>
      </c>
      <c r="AI168" s="3607">
        <f t="shared" si="551"/>
        <v>26.431724630364716</v>
      </c>
      <c r="AJ168" s="3608">
        <f t="shared" si="530"/>
        <v>0</v>
      </c>
      <c r="AK168" s="3593">
        <v>20</v>
      </c>
      <c r="AL168" s="3593">
        <v>30</v>
      </c>
      <c r="AM168" s="339"/>
      <c r="AN168" s="339"/>
      <c r="AO168" s="2332"/>
      <c r="AV168" s="2270"/>
      <c r="AW168" s="2270"/>
      <c r="AX168" s="2270"/>
      <c r="AY168" s="2270"/>
      <c r="AZ168" s="2270"/>
      <c r="BA168" s="2270"/>
      <c r="BB168" s="2270"/>
      <c r="BC168" s="2270"/>
      <c r="BD168" s="2805"/>
      <c r="BE168" s="2270"/>
      <c r="BF168" s="2270"/>
      <c r="BG168" s="2349"/>
      <c r="BH168" s="2270"/>
      <c r="BI168" s="2270"/>
      <c r="BJ168" s="3549" t="str">
        <f t="shared" si="552"/>
        <v>Solar Photovoltaic (Thin-Film) 100 MW</v>
      </c>
      <c r="BK168" s="2402">
        <f t="shared" si="553"/>
        <v>100</v>
      </c>
      <c r="BL168" s="2403">
        <f t="shared" si="554"/>
        <v>3143.9300857037551</v>
      </c>
      <c r="BM168" s="2404">
        <f t="shared" si="555"/>
        <v>3366.3555938350896</v>
      </c>
      <c r="BN168" s="3889">
        <f t="shared" si="556"/>
        <v>3382.9905839851676</v>
      </c>
      <c r="BO168" s="3550">
        <f t="shared" si="557"/>
        <v>3322.0022857580157</v>
      </c>
      <c r="BP168" s="2402">
        <v>12</v>
      </c>
      <c r="BQ168" s="3553">
        <v>1</v>
      </c>
      <c r="BR168" s="3552">
        <v>0</v>
      </c>
      <c r="BS168" s="3553">
        <v>0</v>
      </c>
      <c r="BT168" s="3553">
        <v>0</v>
      </c>
      <c r="BU168" s="3554">
        <v>0</v>
      </c>
      <c r="BV168" s="3558">
        <v>0</v>
      </c>
      <c r="BW168" s="3551">
        <f t="shared" si="558"/>
        <v>26.431724630364716</v>
      </c>
      <c r="BX168" s="3526">
        <f t="shared" si="537"/>
        <v>0</v>
      </c>
      <c r="BZ168" s="3362"/>
      <c r="CA168" s="3362"/>
      <c r="CB168" s="3893"/>
      <c r="CC168" s="3362"/>
      <c r="CD168" s="3362"/>
      <c r="CE168" s="3893"/>
      <c r="CF168" s="3362"/>
      <c r="CG168" s="3362"/>
      <c r="CH168" s="3893"/>
      <c r="DS168" s="2330"/>
      <c r="DT168" s="2330"/>
      <c r="DU168" s="2330"/>
      <c r="DV168" s="2330"/>
      <c r="DW168" s="2330"/>
      <c r="DX168" s="2330"/>
      <c r="DY168" s="2330"/>
      <c r="DZ168" s="2330"/>
      <c r="EA168" s="2330"/>
      <c r="EB168" s="2330"/>
      <c r="EC168" s="2330"/>
      <c r="ED168" s="2330"/>
      <c r="EE168" s="2330"/>
      <c r="EF168" s="2330"/>
      <c r="EY168" s="2330"/>
      <c r="EZ168" s="2330"/>
      <c r="FA168" s="2330"/>
      <c r="FB168" s="2330"/>
      <c r="FC168" s="2330"/>
      <c r="FD168" s="2330"/>
      <c r="FE168" s="2330"/>
      <c r="FF168" s="2330"/>
      <c r="FG168" s="2330"/>
      <c r="FH168" s="2330"/>
      <c r="FI168" s="2330"/>
      <c r="FJ168" s="2330"/>
      <c r="FK168" s="2330"/>
    </row>
    <row r="169" spans="1:167">
      <c r="A169" s="9"/>
      <c r="B169" s="9"/>
      <c r="C169" s="9"/>
      <c r="D169" s="9"/>
      <c r="E169" s="9"/>
      <c r="F169" s="9"/>
      <c r="G169" s="9"/>
      <c r="H169" s="9"/>
      <c r="I169" s="9"/>
      <c r="J169" s="9"/>
      <c r="K169" s="9"/>
      <c r="L169" s="9"/>
      <c r="M169" s="9"/>
      <c r="N169" s="9"/>
      <c r="O169" s="9"/>
      <c r="P169" s="9"/>
      <c r="Q169" s="9"/>
      <c r="R169" s="9"/>
      <c r="S169" s="9"/>
      <c r="T169" s="2332"/>
      <c r="U169" s="9"/>
      <c r="V169" s="3601" t="str">
        <f t="shared" si="546"/>
        <v>Solar Photovoltaic (Single Axis) 100 MW</v>
      </c>
      <c r="W169" s="4263">
        <f t="shared" si="546"/>
        <v>100</v>
      </c>
      <c r="X169" s="4264">
        <f t="shared" si="547"/>
        <v>3659.5057692068049</v>
      </c>
      <c r="Y169" s="4265">
        <f t="shared" si="548"/>
        <v>3918.4070195643403</v>
      </c>
      <c r="Z169" s="3894">
        <f t="shared" si="549"/>
        <v>3937.7699954465734</v>
      </c>
      <c r="AA169" s="3902">
        <f t="shared" si="550"/>
        <v>3866.7801759746776</v>
      </c>
      <c r="AB169" s="3611">
        <v>12</v>
      </c>
      <c r="AC169" s="3597">
        <v>1</v>
      </c>
      <c r="AD169" s="3597">
        <v>0</v>
      </c>
      <c r="AE169" s="3597">
        <v>0</v>
      </c>
      <c r="AF169" s="3597">
        <v>0</v>
      </c>
      <c r="AG169" s="3598">
        <v>0</v>
      </c>
      <c r="AH169" s="3602">
        <v>0</v>
      </c>
      <c r="AI169" s="3607">
        <f t="shared" si="551"/>
        <v>29.603531586008483</v>
      </c>
      <c r="AJ169" s="3608">
        <f t="shared" si="530"/>
        <v>0</v>
      </c>
      <c r="AK169" s="3593">
        <v>20</v>
      </c>
      <c r="AL169" s="3593">
        <v>30</v>
      </c>
      <c r="AM169" s="339"/>
      <c r="AN169" s="339"/>
      <c r="AO169" s="2332"/>
      <c r="AV169" s="2270"/>
      <c r="AW169" s="2270"/>
      <c r="AX169" s="2270"/>
      <c r="AY169" s="2270"/>
      <c r="AZ169" s="2270"/>
      <c r="BA169" s="2270"/>
      <c r="BB169" s="2270"/>
      <c r="BC169" s="2270"/>
      <c r="BD169" s="2805"/>
      <c r="BE169" s="30"/>
      <c r="BF169" s="30"/>
      <c r="BG169" s="2335"/>
      <c r="BH169" s="30"/>
      <c r="BI169" s="30"/>
      <c r="BJ169" s="3549" t="str">
        <f t="shared" si="552"/>
        <v>Solar Photovoltaic (Single Axis) 100 MW</v>
      </c>
      <c r="BK169" s="2402">
        <f t="shared" si="553"/>
        <v>20</v>
      </c>
      <c r="BL169" s="2403">
        <f t="shared" si="554"/>
        <v>3659.5057692068049</v>
      </c>
      <c r="BM169" s="2404">
        <f t="shared" si="555"/>
        <v>3918.4070195643403</v>
      </c>
      <c r="BN169" s="3889">
        <f t="shared" si="556"/>
        <v>3937.7699954465734</v>
      </c>
      <c r="BO169" s="3550">
        <f t="shared" si="557"/>
        <v>3866.7801759746776</v>
      </c>
      <c r="BP169" s="2402">
        <v>12</v>
      </c>
      <c r="BQ169" s="3553">
        <v>1</v>
      </c>
      <c r="BR169" s="3552">
        <v>0</v>
      </c>
      <c r="BS169" s="3553">
        <v>0</v>
      </c>
      <c r="BT169" s="3553">
        <v>0</v>
      </c>
      <c r="BU169" s="3554">
        <v>0</v>
      </c>
      <c r="BV169" s="3558">
        <v>0</v>
      </c>
      <c r="BW169" s="3551">
        <f t="shared" si="558"/>
        <v>29.603531586008483</v>
      </c>
      <c r="BX169" s="3526">
        <f t="shared" si="537"/>
        <v>0</v>
      </c>
      <c r="BZ169" s="3362"/>
      <c r="CA169" s="3362"/>
      <c r="CB169" s="3893"/>
      <c r="CC169" s="3362"/>
      <c r="CD169" s="3362"/>
      <c r="CE169" s="3893"/>
      <c r="CF169" s="3362"/>
      <c r="CG169" s="3362"/>
      <c r="CH169" s="3893"/>
      <c r="DS169" s="2330"/>
      <c r="DT169" s="2330"/>
      <c r="DU169" s="2330"/>
      <c r="DV169" s="2330"/>
      <c r="DW169" s="2330"/>
      <c r="DX169" s="2330"/>
      <c r="DY169" s="2330"/>
      <c r="DZ169" s="2330"/>
      <c r="EA169" s="2330"/>
      <c r="EB169" s="2330"/>
      <c r="EC169" s="2330"/>
      <c r="ED169" s="2330"/>
      <c r="EE169" s="2330"/>
      <c r="EF169" s="2330"/>
      <c r="EY169" s="2330"/>
      <c r="EZ169" s="2330"/>
      <c r="FA169" s="2330"/>
      <c r="FB169" s="2330"/>
      <c r="FC169" s="2330"/>
      <c r="FD169" s="2330"/>
      <c r="FE169" s="2330"/>
      <c r="FF169" s="2330"/>
      <c r="FG169" s="2330"/>
      <c r="FH169" s="2330"/>
      <c r="FI169" s="2330"/>
      <c r="FJ169" s="2330"/>
      <c r="FK169" s="2330"/>
    </row>
    <row r="170" spans="1:167">
      <c r="A170" s="9"/>
      <c r="B170" s="9"/>
      <c r="C170" s="9"/>
      <c r="D170" s="9"/>
      <c r="E170" s="9"/>
      <c r="F170" s="9"/>
      <c r="G170" s="9"/>
      <c r="H170" s="9"/>
      <c r="I170" s="9"/>
      <c r="J170" s="9"/>
      <c r="K170" s="9"/>
      <c r="L170" s="9"/>
      <c r="M170" s="9"/>
      <c r="N170" s="9"/>
      <c r="O170" s="9"/>
      <c r="P170" s="9"/>
      <c r="Q170" s="9"/>
      <c r="R170" s="9"/>
      <c r="S170" s="9"/>
      <c r="T170" s="2332"/>
      <c r="U170" s="9"/>
      <c r="V170" s="3601" t="str">
        <f t="shared" si="546"/>
        <v>Solar Photovoltaic (Thin-Film) 20 MW</v>
      </c>
      <c r="W170" s="4263">
        <f t="shared" si="546"/>
        <v>20</v>
      </c>
      <c r="X170" s="4264">
        <f t="shared" si="547"/>
        <v>3469.2206711903382</v>
      </c>
      <c r="Y170" s="4265">
        <f t="shared" si="548"/>
        <v>3714.6597075474442</v>
      </c>
      <c r="Z170" s="3894">
        <f t="shared" si="549"/>
        <v>3733.0158573728249</v>
      </c>
      <c r="AA170" s="3902">
        <f t="shared" si="550"/>
        <v>3665.7173300065601</v>
      </c>
      <c r="AB170" s="3611">
        <v>12</v>
      </c>
      <c r="AC170" s="3597">
        <v>1</v>
      </c>
      <c r="AD170" s="3597">
        <v>0</v>
      </c>
      <c r="AE170" s="3597">
        <v>0</v>
      </c>
      <c r="AF170" s="3597">
        <v>0</v>
      </c>
      <c r="AG170" s="3598">
        <v>0</v>
      </c>
      <c r="AH170" s="3602">
        <v>0</v>
      </c>
      <c r="AI170" s="3607">
        <f t="shared" si="551"/>
        <v>26.431724630364716</v>
      </c>
      <c r="AJ170" s="3608">
        <f t="shared" si="530"/>
        <v>0</v>
      </c>
      <c r="AK170" s="3593">
        <v>20</v>
      </c>
      <c r="AL170" s="3593">
        <v>30</v>
      </c>
      <c r="AM170" s="339"/>
      <c r="AN170" s="339"/>
      <c r="AO170" s="2332"/>
      <c r="AV170" s="2271"/>
      <c r="AW170" s="2271"/>
      <c r="AX170" s="2271"/>
      <c r="AY170" s="2271"/>
      <c r="AZ170" s="2271"/>
      <c r="BA170" s="2271"/>
      <c r="BB170" s="2271"/>
      <c r="BC170" s="2271"/>
      <c r="BD170" s="2805"/>
      <c r="BE170" s="30"/>
      <c r="BF170" s="30"/>
      <c r="BG170" s="2335"/>
      <c r="BH170" s="30"/>
      <c r="BI170" s="30"/>
      <c r="BJ170" s="3549" t="str">
        <f t="shared" si="552"/>
        <v>Solar Photovoltaic (Thin-Film) 20 MW</v>
      </c>
      <c r="BK170" s="2402">
        <f t="shared" si="553"/>
        <v>20</v>
      </c>
      <c r="BL170" s="2403">
        <f t="shared" si="554"/>
        <v>3469.2206711903382</v>
      </c>
      <c r="BM170" s="2404">
        <f t="shared" si="555"/>
        <v>3714.6597075474442</v>
      </c>
      <c r="BN170" s="3889">
        <f t="shared" si="556"/>
        <v>3733.0158573728249</v>
      </c>
      <c r="BO170" s="3550">
        <f t="shared" si="557"/>
        <v>3665.7173300065601</v>
      </c>
      <c r="BP170" s="2402">
        <v>12</v>
      </c>
      <c r="BQ170" s="3553">
        <v>1</v>
      </c>
      <c r="BR170" s="3552">
        <v>0</v>
      </c>
      <c r="BS170" s="3553">
        <v>0</v>
      </c>
      <c r="BT170" s="3553">
        <v>0</v>
      </c>
      <c r="BU170" s="3554">
        <v>0</v>
      </c>
      <c r="BV170" s="3558">
        <v>0</v>
      </c>
      <c r="BW170" s="3551">
        <f t="shared" si="558"/>
        <v>26.431724630364716</v>
      </c>
      <c r="BX170" s="3526">
        <f t="shared" si="537"/>
        <v>0</v>
      </c>
      <c r="BZ170" s="3362"/>
      <c r="CA170" s="3362"/>
      <c r="CB170" s="3893"/>
      <c r="CC170" s="3362"/>
      <c r="CD170" s="3362"/>
      <c r="CE170" s="3893"/>
      <c r="CF170" s="3362"/>
      <c r="CG170" s="3362"/>
      <c r="CH170" s="3893"/>
      <c r="DS170" s="2330"/>
      <c r="DT170" s="2330"/>
      <c r="DU170" s="2330"/>
      <c r="DV170" s="2330"/>
      <c r="DW170" s="2330"/>
      <c r="DX170" s="2330"/>
      <c r="DY170" s="2330"/>
      <c r="DZ170" s="2330"/>
      <c r="EA170" s="2330"/>
      <c r="EB170" s="2330"/>
      <c r="EC170" s="2330"/>
      <c r="ED170" s="2330"/>
      <c r="EE170" s="2330"/>
      <c r="EF170" s="2330"/>
      <c r="EY170" s="2330"/>
      <c r="EZ170" s="2330"/>
      <c r="FA170" s="2330"/>
      <c r="FB170" s="2330"/>
      <c r="FC170" s="2330"/>
      <c r="FD170" s="2330"/>
      <c r="FE170" s="2330"/>
      <c r="FF170" s="2330"/>
      <c r="FG170" s="2330"/>
      <c r="FH170" s="2330"/>
      <c r="FI170" s="2330"/>
      <c r="FJ170" s="2330"/>
      <c r="FK170" s="2330"/>
    </row>
    <row r="171" spans="1:167">
      <c r="A171" s="9"/>
      <c r="B171" s="9"/>
      <c r="C171" s="9"/>
      <c r="D171" s="9"/>
      <c r="E171" s="9"/>
      <c r="F171" s="9"/>
      <c r="G171" s="9"/>
      <c r="H171" s="9"/>
      <c r="I171" s="9"/>
      <c r="J171" s="9"/>
      <c r="K171" s="9"/>
      <c r="L171" s="9"/>
      <c r="M171" s="9"/>
      <c r="N171" s="9"/>
      <c r="O171" s="9"/>
      <c r="P171" s="9"/>
      <c r="Q171" s="9"/>
      <c r="R171" s="9"/>
      <c r="S171" s="9"/>
      <c r="T171" s="2332"/>
      <c r="U171" s="9"/>
      <c r="V171" s="3601" t="str">
        <f t="shared" si="546"/>
        <v>Solar Photovoltaic (Single Axis) 20 MW</v>
      </c>
      <c r="W171" s="4263">
        <f t="shared" si="546"/>
        <v>20</v>
      </c>
      <c r="X171" s="4264">
        <f t="shared" si="547"/>
        <v>3984.7963543793553</v>
      </c>
      <c r="Y171" s="4265">
        <f t="shared" si="548"/>
        <v>4266.7111329404443</v>
      </c>
      <c r="Z171" s="3894">
        <f t="shared" si="549"/>
        <v>4287.7952684963184</v>
      </c>
      <c r="AA171" s="3902">
        <f t="shared" si="550"/>
        <v>4210.4952198914025</v>
      </c>
      <c r="AB171" s="3611">
        <v>12</v>
      </c>
      <c r="AC171" s="3597">
        <v>1</v>
      </c>
      <c r="AD171" s="3597">
        <v>0</v>
      </c>
      <c r="AE171" s="3597">
        <v>0</v>
      </c>
      <c r="AF171" s="3597">
        <v>0</v>
      </c>
      <c r="AG171" s="3598">
        <v>0</v>
      </c>
      <c r="AH171" s="3602">
        <v>0</v>
      </c>
      <c r="AI171" s="3607">
        <f t="shared" si="551"/>
        <v>29.603531586008483</v>
      </c>
      <c r="AJ171" s="3608">
        <f t="shared" si="530"/>
        <v>0</v>
      </c>
      <c r="AK171" s="3593">
        <v>20</v>
      </c>
      <c r="AL171" s="3593">
        <v>30</v>
      </c>
      <c r="AM171" s="339"/>
      <c r="AN171" s="339"/>
      <c r="AO171" s="2332"/>
      <c r="AV171" s="2270"/>
      <c r="AW171" s="2270"/>
      <c r="AX171" s="2270"/>
      <c r="AY171" s="2270"/>
      <c r="AZ171" s="2270"/>
      <c r="BA171" s="2270"/>
      <c r="BB171" s="2270"/>
      <c r="BC171" s="2270"/>
      <c r="BD171" s="2805"/>
      <c r="BE171" s="30"/>
      <c r="BF171" s="30"/>
      <c r="BG171" s="2335"/>
      <c r="BH171" s="30"/>
      <c r="BI171" s="30"/>
      <c r="BJ171" s="3549" t="str">
        <f t="shared" si="552"/>
        <v>Solar Photovoltaic (Single Axis) 20 MW</v>
      </c>
      <c r="BK171" s="2402">
        <f t="shared" si="553"/>
        <v>100</v>
      </c>
      <c r="BL171" s="2403">
        <f t="shared" si="554"/>
        <v>3984.7963543793553</v>
      </c>
      <c r="BM171" s="2404">
        <f t="shared" si="555"/>
        <v>4266.7111329404443</v>
      </c>
      <c r="BN171" s="3889">
        <f t="shared" si="556"/>
        <v>4287.7952684963184</v>
      </c>
      <c r="BO171" s="3550">
        <f t="shared" si="557"/>
        <v>4210.4952198914025</v>
      </c>
      <c r="BP171" s="2402">
        <v>12</v>
      </c>
      <c r="BQ171" s="3553">
        <v>1</v>
      </c>
      <c r="BR171" s="3552">
        <v>0</v>
      </c>
      <c r="BS171" s="3553">
        <v>0</v>
      </c>
      <c r="BT171" s="3553">
        <v>0</v>
      </c>
      <c r="BU171" s="3554">
        <v>0</v>
      </c>
      <c r="BV171" s="3558">
        <v>0</v>
      </c>
      <c r="BW171" s="3551">
        <f t="shared" si="558"/>
        <v>29.603531586008483</v>
      </c>
      <c r="BX171" s="3526">
        <f t="shared" si="537"/>
        <v>0</v>
      </c>
      <c r="BZ171" s="3362"/>
      <c r="CA171" s="3362"/>
      <c r="CB171" s="3893"/>
      <c r="CC171" s="3362"/>
      <c r="CD171" s="3362"/>
      <c r="CE171" s="3893"/>
      <c r="CF171" s="3362"/>
      <c r="CG171" s="3362"/>
      <c r="CH171" s="3893"/>
      <c r="DS171" s="2330"/>
      <c r="DT171" s="2330"/>
      <c r="DU171" s="2330"/>
      <c r="DV171" s="2330"/>
      <c r="DW171" s="2330"/>
      <c r="DX171" s="2330"/>
      <c r="DY171" s="2330"/>
      <c r="DZ171" s="2330"/>
      <c r="EA171" s="2330"/>
      <c r="EB171" s="2330"/>
      <c r="EC171" s="2330"/>
      <c r="ED171" s="2330"/>
      <c r="EE171" s="2330"/>
      <c r="EF171" s="2330"/>
      <c r="EY171" s="2330"/>
      <c r="EZ171" s="2330"/>
      <c r="FA171" s="2330"/>
      <c r="FB171" s="2330"/>
      <c r="FC171" s="2330"/>
      <c r="FD171" s="2330"/>
      <c r="FE171" s="2330"/>
      <c r="FF171" s="2330"/>
      <c r="FG171" s="2330"/>
      <c r="FH171" s="2330"/>
      <c r="FI171" s="2330"/>
      <c r="FJ171" s="2330"/>
      <c r="FK171" s="2330"/>
    </row>
    <row r="172" spans="1:167">
      <c r="A172" s="9"/>
      <c r="B172" s="9"/>
      <c r="C172" s="9"/>
      <c r="D172" s="9"/>
      <c r="E172" s="9"/>
      <c r="F172" s="9"/>
      <c r="G172" s="9"/>
      <c r="H172" s="9"/>
      <c r="I172" s="9"/>
      <c r="J172" s="9"/>
      <c r="K172" s="9"/>
      <c r="L172" s="9"/>
      <c r="M172" s="9"/>
      <c r="N172" s="9"/>
      <c r="O172" s="9"/>
      <c r="P172" s="9"/>
      <c r="Q172" s="9"/>
      <c r="R172" s="9"/>
      <c r="S172" s="9"/>
      <c r="T172" s="2332"/>
      <c r="U172" s="9"/>
      <c r="V172" s="3601" t="str">
        <f t="shared" si="546"/>
        <v>Wind - Class 3 100 MW</v>
      </c>
      <c r="W172" s="4263">
        <f t="shared" si="546"/>
        <v>100</v>
      </c>
      <c r="X172" s="4264">
        <f t="shared" si="547"/>
        <v>1910.5228692064391</v>
      </c>
      <c r="Y172" s="4265">
        <f t="shared" si="548"/>
        <v>2073.8363425907637</v>
      </c>
      <c r="Z172" s="3894">
        <f t="shared" si="549"/>
        <v>2084.8615817812292</v>
      </c>
      <c r="AA172" s="3902">
        <f t="shared" si="550"/>
        <v>2044.4655497464905</v>
      </c>
      <c r="AB172" s="3611">
        <v>18</v>
      </c>
      <c r="AC172" s="3597">
        <v>0.95</v>
      </c>
      <c r="AD172" s="3597">
        <v>0.05</v>
      </c>
      <c r="AE172" s="3597">
        <v>0</v>
      </c>
      <c r="AF172" s="3597">
        <v>0</v>
      </c>
      <c r="AG172" s="3598">
        <v>0</v>
      </c>
      <c r="AH172" s="3602">
        <v>0</v>
      </c>
      <c r="AI172" s="3607">
        <f t="shared" si="551"/>
        <v>0</v>
      </c>
      <c r="AJ172" s="3608">
        <f t="shared" si="530"/>
        <v>9.5154208669312972</v>
      </c>
      <c r="AK172" s="3593">
        <v>20</v>
      </c>
      <c r="AL172" s="3593">
        <v>30</v>
      </c>
      <c r="AM172" s="339"/>
      <c r="AN172" s="339"/>
      <c r="AO172" s="2332"/>
      <c r="AV172" s="2286"/>
      <c r="AW172" s="2286"/>
      <c r="AX172" s="2287"/>
      <c r="AY172" s="2287"/>
      <c r="AZ172" s="2287"/>
      <c r="BA172" s="2287"/>
      <c r="BB172" s="2286"/>
      <c r="BC172" s="2286"/>
      <c r="BD172" s="2805"/>
      <c r="BE172" s="2270"/>
      <c r="BF172" s="2270"/>
      <c r="BG172" s="2349"/>
      <c r="BH172" s="2270"/>
      <c r="BI172" s="2270"/>
      <c r="BJ172" s="3549" t="str">
        <f t="shared" si="552"/>
        <v>Wind - Class 3 100 MW</v>
      </c>
      <c r="BK172" s="2402">
        <f t="shared" si="553"/>
        <v>100</v>
      </c>
      <c r="BL172" s="2403">
        <f t="shared" si="554"/>
        <v>1910.5228692064391</v>
      </c>
      <c r="BM172" s="2404">
        <f t="shared" si="555"/>
        <v>2073.8363425907637</v>
      </c>
      <c r="BN172" s="3889">
        <f t="shared" si="556"/>
        <v>2084.8615817812292</v>
      </c>
      <c r="BO172" s="3550">
        <f t="shared" si="557"/>
        <v>2044.4655497464905</v>
      </c>
      <c r="BP172" s="2402">
        <v>18</v>
      </c>
      <c r="BQ172" s="3553">
        <v>0.95</v>
      </c>
      <c r="BR172" s="3552">
        <v>0.05</v>
      </c>
      <c r="BS172" s="3553">
        <v>0</v>
      </c>
      <c r="BT172" s="3553">
        <v>0</v>
      </c>
      <c r="BU172" s="3554">
        <v>0</v>
      </c>
      <c r="BV172" s="3558">
        <v>0</v>
      </c>
      <c r="BW172" s="3551">
        <f t="shared" si="558"/>
        <v>0</v>
      </c>
      <c r="BX172" s="3526">
        <f t="shared" si="537"/>
        <v>9.5154208669312972</v>
      </c>
      <c r="BZ172" s="3362"/>
      <c r="CA172" s="3362"/>
      <c r="CB172" s="3893"/>
      <c r="CC172" s="3362"/>
      <c r="CD172" s="3362"/>
      <c r="CE172" s="3893"/>
      <c r="CF172" s="3362"/>
      <c r="CG172" s="3362"/>
      <c r="CH172" s="3893"/>
      <c r="DS172" s="2330"/>
      <c r="DT172" s="2330"/>
      <c r="DU172" s="2330"/>
      <c r="DV172" s="2330"/>
      <c r="DW172" s="2330"/>
      <c r="DX172" s="2330"/>
      <c r="DY172" s="2330"/>
      <c r="DZ172" s="2330"/>
      <c r="EA172" s="2330"/>
      <c r="EB172" s="2330"/>
      <c r="EC172" s="2330"/>
      <c r="ED172" s="2330"/>
      <c r="EE172" s="2330"/>
      <c r="EF172" s="2330"/>
      <c r="EY172" s="2330"/>
      <c r="EZ172" s="2330"/>
      <c r="FA172" s="2330"/>
      <c r="FB172" s="2330"/>
      <c r="FC172" s="2330"/>
      <c r="FD172" s="2330"/>
      <c r="FE172" s="2330"/>
      <c r="FF172" s="2330"/>
      <c r="FG172" s="2330"/>
      <c r="FH172" s="2330"/>
      <c r="FI172" s="2330"/>
      <c r="FJ172" s="2330"/>
      <c r="FK172" s="2330"/>
    </row>
    <row r="173" spans="1:167" ht="13.5" thickBot="1">
      <c r="A173" s="9"/>
      <c r="B173" s="9"/>
      <c r="C173" s="9"/>
      <c r="D173" s="9"/>
      <c r="E173" s="9"/>
      <c r="F173" s="9"/>
      <c r="G173" s="9"/>
      <c r="H173" s="9"/>
      <c r="I173" s="9"/>
      <c r="J173" s="9"/>
      <c r="K173" s="9"/>
      <c r="L173" s="9"/>
      <c r="M173" s="9"/>
      <c r="N173" s="9"/>
      <c r="O173" s="9"/>
      <c r="P173" s="9"/>
      <c r="Q173" s="9"/>
      <c r="R173" s="9"/>
      <c r="S173" s="9"/>
      <c r="T173" s="2332"/>
      <c r="U173" s="9"/>
      <c r="V173" s="3603" t="str">
        <f>V137</f>
        <v>Wind - Class 4 100 MW</v>
      </c>
      <c r="W173" s="3853">
        <f>W206</f>
        <v>100</v>
      </c>
      <c r="X173" s="2367">
        <f t="shared" si="547"/>
        <v>1822.2101398676496</v>
      </c>
      <c r="Y173" s="2368">
        <f t="shared" si="548"/>
        <v>1977.9745496920298</v>
      </c>
      <c r="Z173" s="2369">
        <f t="shared" si="549"/>
        <v>1988.490154069839</v>
      </c>
      <c r="AA173" s="4266">
        <f t="shared" si="550"/>
        <v>1949.9614034484475</v>
      </c>
      <c r="AB173" s="4267">
        <v>18</v>
      </c>
      <c r="AC173" s="3604">
        <v>0.95</v>
      </c>
      <c r="AD173" s="3604">
        <v>0.05</v>
      </c>
      <c r="AE173" s="3604">
        <v>0</v>
      </c>
      <c r="AF173" s="3604">
        <v>0</v>
      </c>
      <c r="AG173" s="3605">
        <v>0</v>
      </c>
      <c r="AH173" s="3606">
        <v>0</v>
      </c>
      <c r="AI173" s="3609">
        <f t="shared" si="551"/>
        <v>0</v>
      </c>
      <c r="AJ173" s="3610">
        <f t="shared" si="530"/>
        <v>9.5154208669312972</v>
      </c>
      <c r="AK173" s="3593">
        <v>20</v>
      </c>
      <c r="AL173" s="3593">
        <v>30</v>
      </c>
      <c r="AM173" s="339"/>
      <c r="AN173" s="339"/>
      <c r="AO173" s="2332"/>
      <c r="AV173" s="2286"/>
      <c r="AW173" s="2286"/>
      <c r="AX173" s="2287"/>
      <c r="AY173" s="2287"/>
      <c r="AZ173" s="2287"/>
      <c r="BA173" s="2287"/>
      <c r="BB173" s="2286"/>
      <c r="BC173" s="2286"/>
      <c r="BD173" s="2805"/>
      <c r="BE173" s="30"/>
      <c r="BF173" s="30"/>
      <c r="BG173" s="2335"/>
      <c r="BH173" s="30"/>
      <c r="BI173" s="30"/>
      <c r="BJ173" s="3555" t="str">
        <f t="shared" si="552"/>
        <v>Wind - Class 4 100 MW</v>
      </c>
      <c r="BK173" s="4301">
        <f t="shared" si="553"/>
        <v>0</v>
      </c>
      <c r="BL173" s="4302">
        <f t="shared" si="554"/>
        <v>1822.2101398676496</v>
      </c>
      <c r="BM173" s="4303">
        <f t="shared" si="555"/>
        <v>1977.9745496920298</v>
      </c>
      <c r="BN173" s="4304">
        <f t="shared" si="556"/>
        <v>1988.490154069839</v>
      </c>
      <c r="BO173" s="4305">
        <f t="shared" si="557"/>
        <v>1949.9614034484475</v>
      </c>
      <c r="BP173" s="3891">
        <v>18</v>
      </c>
      <c r="BQ173" s="4306">
        <v>0.95</v>
      </c>
      <c r="BR173" s="4307">
        <v>0.05</v>
      </c>
      <c r="BS173" s="4306">
        <v>0</v>
      </c>
      <c r="BT173" s="4306">
        <v>0</v>
      </c>
      <c r="BU173" s="4308">
        <v>0</v>
      </c>
      <c r="BV173" s="4309">
        <v>0</v>
      </c>
      <c r="BW173" s="3556">
        <f t="shared" si="558"/>
        <v>0</v>
      </c>
      <c r="BX173" s="3557">
        <f t="shared" si="537"/>
        <v>9.5154208669312972</v>
      </c>
      <c r="BZ173" s="3365"/>
      <c r="CA173" s="3362"/>
      <c r="CB173" s="3893"/>
      <c r="CC173" s="3362"/>
      <c r="CD173" s="3362"/>
      <c r="CE173" s="3893"/>
      <c r="CF173" s="3362"/>
      <c r="CG173" s="3362"/>
      <c r="CH173" s="3893"/>
      <c r="DS173" s="2330"/>
      <c r="DT173" s="2330"/>
      <c r="DU173" s="2330"/>
      <c r="DV173" s="2330"/>
      <c r="DW173" s="2330"/>
      <c r="DX173" s="2330"/>
      <c r="DY173" s="2330"/>
      <c r="DZ173" s="2330"/>
      <c r="EA173" s="2330"/>
      <c r="EB173" s="2330"/>
      <c r="EC173" s="2330"/>
      <c r="ED173" s="2330"/>
      <c r="EE173" s="2330"/>
      <c r="EF173" s="2330"/>
      <c r="EY173" s="2330"/>
      <c r="EZ173" s="2330"/>
      <c r="FA173" s="2330"/>
      <c r="FB173" s="2330"/>
      <c r="FC173" s="2330"/>
      <c r="FD173" s="2330"/>
      <c r="FE173" s="2330"/>
      <c r="FF173" s="2330"/>
      <c r="FG173" s="2330"/>
      <c r="FH173" s="2330"/>
      <c r="FI173" s="2330"/>
      <c r="FJ173" s="2330"/>
      <c r="FK173" s="2330"/>
    </row>
    <row r="174" spans="1:167">
      <c r="A174" s="9"/>
      <c r="B174" s="9"/>
      <c r="C174" s="9"/>
      <c r="D174" s="9"/>
      <c r="E174" s="9"/>
      <c r="F174" s="9"/>
      <c r="G174" s="9"/>
      <c r="H174" s="9"/>
      <c r="I174" s="9"/>
      <c r="J174" s="9"/>
      <c r="K174" s="9"/>
      <c r="L174" s="9"/>
      <c r="M174" s="9"/>
      <c r="N174" s="9"/>
      <c r="O174" s="9"/>
      <c r="P174" s="9"/>
      <c r="Q174" s="9"/>
      <c r="R174" s="9"/>
      <c r="S174" s="9"/>
      <c r="T174" s="2332"/>
      <c r="U174" s="9"/>
      <c r="AB174" s="4261" t="e">
        <v>#N/A</v>
      </c>
      <c r="AC174" s="3542">
        <v>0</v>
      </c>
      <c r="AD174" s="3542">
        <v>0</v>
      </c>
      <c r="AE174" s="3542">
        <v>0</v>
      </c>
      <c r="AF174" s="3542">
        <v>0</v>
      </c>
      <c r="AG174" s="3544">
        <v>0</v>
      </c>
      <c r="AH174" s="3544">
        <v>0</v>
      </c>
      <c r="AK174" s="3593">
        <v>0</v>
      </c>
      <c r="AL174" s="3593">
        <v>0</v>
      </c>
      <c r="AM174" s="339"/>
      <c r="AN174" s="339"/>
      <c r="AV174" s="2286"/>
      <c r="AW174" s="2286"/>
      <c r="AX174" s="2287"/>
      <c r="AY174" s="2287"/>
      <c r="AZ174" s="2287"/>
      <c r="BA174" s="2287"/>
      <c r="BB174" s="2286"/>
      <c r="BC174" s="2286"/>
      <c r="BD174" s="2805"/>
      <c r="BE174" s="30"/>
      <c r="BF174" s="30"/>
      <c r="BG174" s="2335"/>
      <c r="BH174" s="30"/>
      <c r="BI174" s="30"/>
      <c r="BO174" s="3541">
        <f t="shared" si="557"/>
        <v>0</v>
      </c>
      <c r="BP174" s="3534" t="e">
        <v>#N/A</v>
      </c>
      <c r="BQ174" s="3542">
        <v>0</v>
      </c>
      <c r="BR174" s="3543">
        <v>0</v>
      </c>
      <c r="BS174" s="3542">
        <v>0</v>
      </c>
      <c r="BT174" s="3542">
        <v>0</v>
      </c>
      <c r="BU174" s="3544">
        <v>0</v>
      </c>
      <c r="BV174" s="3544">
        <v>0</v>
      </c>
      <c r="BZ174" s="2332"/>
      <c r="CA174" s="3365"/>
      <c r="CB174" s="3893"/>
      <c r="CC174" s="3365"/>
      <c r="CD174" s="3365"/>
      <c r="CE174" s="3893"/>
      <c r="CF174" s="3365"/>
      <c r="CG174" s="3365"/>
      <c r="CH174" s="3893"/>
      <c r="DS174" s="2330"/>
      <c r="DT174" s="2330"/>
      <c r="DU174" s="2330"/>
      <c r="DV174" s="2330"/>
      <c r="DW174" s="2330"/>
      <c r="DX174" s="2330"/>
      <c r="DY174" s="2330"/>
      <c r="DZ174" s="2330"/>
      <c r="EA174" s="2330"/>
      <c r="EB174" s="2330"/>
      <c r="EC174" s="2330"/>
      <c r="ED174" s="2330"/>
      <c r="EE174" s="2330"/>
      <c r="EF174" s="2330"/>
      <c r="EY174" s="2330"/>
      <c r="EZ174" s="2330"/>
      <c r="FA174" s="2330"/>
      <c r="FB174" s="2330"/>
      <c r="FC174" s="2330"/>
      <c r="FD174" s="2330"/>
      <c r="FE174" s="2330"/>
      <c r="FF174" s="2330"/>
      <c r="FG174" s="2330"/>
      <c r="FH174" s="2330"/>
      <c r="FI174" s="2330"/>
      <c r="FJ174" s="2330"/>
      <c r="FK174" s="2330"/>
    </row>
    <row r="175" spans="1:167">
      <c r="A175" s="9"/>
      <c r="B175" s="9"/>
      <c r="C175" s="9"/>
      <c r="D175" s="9"/>
      <c r="E175" s="9"/>
      <c r="F175" s="9"/>
      <c r="G175" s="9"/>
      <c r="H175" s="9"/>
      <c r="I175" s="9"/>
      <c r="J175" s="9"/>
      <c r="K175" s="9"/>
      <c r="L175" s="9"/>
      <c r="M175" s="9"/>
      <c r="N175" s="9"/>
      <c r="O175" s="9"/>
      <c r="P175" s="9"/>
      <c r="Q175" s="9"/>
      <c r="R175" s="9"/>
      <c r="S175" s="9"/>
      <c r="T175" s="2332"/>
      <c r="U175" s="9"/>
      <c r="V175" s="3895" t="str">
        <f>V138</f>
        <v/>
      </c>
      <c r="W175" s="3534">
        <f t="shared" ref="W175:W177" si="559">W207</f>
        <v>0</v>
      </c>
      <c r="X175" s="3539">
        <f t="shared" ref="X175:X177" si="560">AL28</f>
        <v>0</v>
      </c>
      <c r="Y175" s="3540">
        <f t="shared" ref="Y175:Y177" si="561">AM28</f>
        <v>0</v>
      </c>
      <c r="Z175" s="3540">
        <f t="shared" ref="Z175:Z177" si="562">AM65</f>
        <v>2913.7172583199126</v>
      </c>
      <c r="AA175" s="3599">
        <f t="shared" ref="AA175:AA176" si="563">AM103</f>
        <v>0</v>
      </c>
      <c r="AB175" s="3537"/>
      <c r="AC175" s="3542">
        <v>0</v>
      </c>
      <c r="AD175" s="3542">
        <v>0</v>
      </c>
      <c r="AE175" s="3542">
        <v>0</v>
      </c>
      <c r="AF175" s="3542">
        <v>0</v>
      </c>
      <c r="AG175" s="3544">
        <v>0</v>
      </c>
      <c r="AH175" s="3544">
        <v>0</v>
      </c>
      <c r="AI175" s="3545">
        <f t="shared" si="529"/>
        <v>0</v>
      </c>
      <c r="AJ175" s="3545">
        <f t="shared" si="530"/>
        <v>0</v>
      </c>
      <c r="AK175" s="3593">
        <v>0</v>
      </c>
      <c r="AL175" s="3593">
        <v>0</v>
      </c>
      <c r="AM175" s="3533"/>
      <c r="AV175" s="2286"/>
      <c r="AW175" s="2286"/>
      <c r="AX175" s="2287"/>
      <c r="AY175" s="2287"/>
      <c r="AZ175" s="2287"/>
      <c r="BA175" s="2287"/>
      <c r="BB175" s="2286"/>
      <c r="BC175" s="2286"/>
      <c r="BD175" s="2805"/>
      <c r="BE175" s="30"/>
      <c r="BF175" s="30"/>
      <c r="BG175" s="2335"/>
      <c r="BH175" s="30"/>
      <c r="BI175" s="30"/>
      <c r="BJ175" s="3538" t="str">
        <f t="shared" ref="BJ175:BJ177" si="564">BJ138</f>
        <v/>
      </c>
      <c r="BK175" s="3534">
        <f t="shared" si="531"/>
        <v>0</v>
      </c>
      <c r="BL175" s="3534">
        <f>BZ28</f>
        <v>0</v>
      </c>
      <c r="BM175" s="3540">
        <f>CA29</f>
        <v>0</v>
      </c>
      <c r="BN175" s="3540">
        <f>CA66</f>
        <v>0</v>
      </c>
      <c r="BO175" s="3541">
        <f t="shared" si="557"/>
        <v>0</v>
      </c>
      <c r="BP175" s="3533"/>
      <c r="BQ175" s="3542">
        <v>0</v>
      </c>
      <c r="BR175" s="3543">
        <v>0</v>
      </c>
      <c r="BS175" s="3542">
        <v>0</v>
      </c>
      <c r="BT175" s="3542">
        <v>0</v>
      </c>
      <c r="BU175" s="3544">
        <v>0</v>
      </c>
      <c r="BV175" s="3544">
        <v>0</v>
      </c>
      <c r="BW175" s="3545">
        <f t="shared" si="536"/>
        <v>0</v>
      </c>
      <c r="BX175" s="3545">
        <f t="shared" si="537"/>
        <v>0</v>
      </c>
      <c r="BZ175" s="2332"/>
      <c r="CA175" s="2332"/>
      <c r="CB175" s="2332"/>
      <c r="CC175" s="2335"/>
      <c r="CD175" s="2332"/>
      <c r="CE175" s="2332"/>
      <c r="CF175" s="2332"/>
      <c r="CG175" s="2332"/>
      <c r="CH175" s="2332"/>
      <c r="DS175" s="2330"/>
      <c r="DT175" s="2330"/>
      <c r="DU175" s="2330"/>
      <c r="DV175" s="2330"/>
      <c r="DW175" s="2330"/>
      <c r="DX175" s="2330"/>
      <c r="DY175" s="2330"/>
      <c r="DZ175" s="2330"/>
      <c r="EA175" s="2330"/>
      <c r="EB175" s="2330"/>
      <c r="EC175" s="2330"/>
      <c r="ED175" s="2330"/>
      <c r="EE175" s="2330"/>
      <c r="EF175" s="2330"/>
      <c r="EY175" s="2330"/>
      <c r="EZ175" s="2330"/>
      <c r="FA175" s="2330"/>
      <c r="FB175" s="2330"/>
      <c r="FC175" s="2330"/>
      <c r="FD175" s="2330"/>
      <c r="FE175" s="2330"/>
      <c r="FF175" s="2330"/>
      <c r="FG175" s="2330"/>
      <c r="FH175" s="2330"/>
      <c r="FI175" s="2330"/>
      <c r="FJ175" s="2330"/>
      <c r="FK175" s="2330"/>
    </row>
    <row r="176" spans="1:167">
      <c r="A176" s="9"/>
      <c r="B176" s="9"/>
      <c r="C176" s="9"/>
      <c r="D176" s="9"/>
      <c r="E176" s="9"/>
      <c r="F176" s="9"/>
      <c r="G176" s="9"/>
      <c r="H176" s="9"/>
      <c r="I176" s="9"/>
      <c r="J176" s="9"/>
      <c r="K176" s="9"/>
      <c r="L176" s="9"/>
      <c r="M176" s="9"/>
      <c r="N176" s="9"/>
      <c r="O176" s="9"/>
      <c r="P176" s="9"/>
      <c r="Q176" s="9"/>
      <c r="R176" s="9"/>
      <c r="S176" s="9"/>
      <c r="T176" s="2332"/>
      <c r="U176" s="9"/>
      <c r="V176" s="3538" t="str">
        <f>V139</f>
        <v/>
      </c>
      <c r="W176" s="3534">
        <f t="shared" si="559"/>
        <v>0</v>
      </c>
      <c r="X176" s="3539">
        <f t="shared" si="560"/>
        <v>0</v>
      </c>
      <c r="Y176" s="3540">
        <f t="shared" si="561"/>
        <v>0</v>
      </c>
      <c r="Z176" s="3540">
        <f t="shared" si="562"/>
        <v>0</v>
      </c>
      <c r="AA176" s="3599">
        <f t="shared" si="563"/>
        <v>0</v>
      </c>
      <c r="AB176" s="3537"/>
      <c r="AC176" s="3542">
        <v>0</v>
      </c>
      <c r="AD176" s="3542">
        <v>0</v>
      </c>
      <c r="AE176" s="3542">
        <v>0</v>
      </c>
      <c r="AF176" s="3542">
        <v>0</v>
      </c>
      <c r="AG176" s="3544">
        <v>0</v>
      </c>
      <c r="AH176" s="3544">
        <v>0</v>
      </c>
      <c r="AI176" s="3545">
        <f t="shared" si="529"/>
        <v>0</v>
      </c>
      <c r="AJ176" s="3545">
        <f t="shared" si="530"/>
        <v>0</v>
      </c>
      <c r="AK176" s="3593" t="e">
        <v>#N/A</v>
      </c>
      <c r="AL176" s="3593" t="e">
        <v>#N/A</v>
      </c>
      <c r="AM176" s="3533"/>
      <c r="AV176" s="2286"/>
      <c r="AW176" s="2286"/>
      <c r="AX176" s="2287"/>
      <c r="AY176" s="2287"/>
      <c r="AZ176" s="2287"/>
      <c r="BA176" s="2287"/>
      <c r="BB176" s="2286"/>
      <c r="BC176" s="2286"/>
      <c r="BD176" s="2805"/>
      <c r="BE176" s="30"/>
      <c r="BF176" s="30"/>
      <c r="BG176" s="2335"/>
      <c r="BH176" s="30"/>
      <c r="BI176" s="30"/>
      <c r="BJ176" s="3538" t="str">
        <f t="shared" si="564"/>
        <v/>
      </c>
      <c r="BK176" s="3534">
        <f t="shared" si="531"/>
        <v>0</v>
      </c>
      <c r="BL176" s="3539">
        <f>BZ29</f>
        <v>0</v>
      </c>
      <c r="BM176" s="3540">
        <f>CA30</f>
        <v>0</v>
      </c>
      <c r="BN176" s="3540">
        <f>CA67</f>
        <v>0</v>
      </c>
      <c r="BO176" s="3541">
        <f t="shared" si="557"/>
        <v>0</v>
      </c>
      <c r="BP176" s="2335" t="s">
        <v>1988</v>
      </c>
      <c r="BQ176" s="3542">
        <v>0</v>
      </c>
      <c r="BR176" s="3543">
        <v>0</v>
      </c>
      <c r="BS176" s="3542">
        <v>0</v>
      </c>
      <c r="BT176" s="3542">
        <v>0</v>
      </c>
      <c r="BU176" s="3544">
        <v>0</v>
      </c>
      <c r="BV176" s="3544">
        <v>0</v>
      </c>
      <c r="BW176" s="3545">
        <f t="shared" si="536"/>
        <v>0</v>
      </c>
      <c r="BX176" s="3545">
        <f t="shared" si="537"/>
        <v>0</v>
      </c>
      <c r="BZ176" s="2332"/>
      <c r="CA176" s="2332"/>
      <c r="CB176" s="2332"/>
      <c r="CC176" s="2335"/>
      <c r="CD176" s="2332"/>
      <c r="CE176" s="2332"/>
      <c r="CF176" s="2332"/>
      <c r="CG176" s="2332"/>
      <c r="CH176" s="2332"/>
      <c r="DS176" s="2330"/>
      <c r="DT176" s="2330"/>
      <c r="DU176" s="2330"/>
      <c r="DV176" s="2330"/>
      <c r="DW176" s="2330"/>
      <c r="DX176" s="2330"/>
      <c r="DY176" s="2330"/>
      <c r="DZ176" s="2330"/>
      <c r="EA176" s="2330"/>
      <c r="EB176" s="2330"/>
      <c r="EC176" s="2330"/>
      <c r="ED176" s="2330"/>
      <c r="EE176" s="2330"/>
      <c r="EF176" s="2330"/>
      <c r="EY176" s="2330"/>
      <c r="EZ176" s="2330"/>
      <c r="FA176" s="2330"/>
      <c r="FB176" s="2330"/>
      <c r="FC176" s="2330"/>
      <c r="FD176" s="2330"/>
      <c r="FE176" s="2330"/>
      <c r="FF176" s="2330"/>
      <c r="FG176" s="2330"/>
      <c r="FH176" s="2330"/>
      <c r="FI176" s="2330"/>
      <c r="FJ176" s="2330"/>
      <c r="FK176" s="2330"/>
    </row>
    <row r="177" spans="1:167">
      <c r="A177" s="9"/>
      <c r="B177" s="9"/>
      <c r="C177" s="9"/>
      <c r="D177" s="9"/>
      <c r="E177" s="9"/>
      <c r="F177" s="9"/>
      <c r="G177" s="9"/>
      <c r="H177" s="9"/>
      <c r="I177" s="9"/>
      <c r="J177" s="9"/>
      <c r="K177" s="9"/>
      <c r="L177" s="9"/>
      <c r="M177" s="9"/>
      <c r="N177" s="9"/>
      <c r="O177" s="9"/>
      <c r="P177" s="9"/>
      <c r="Q177" s="9"/>
      <c r="R177" s="9"/>
      <c r="S177" s="9"/>
      <c r="T177" s="2332"/>
      <c r="U177" s="9"/>
      <c r="V177" s="3538" t="str">
        <f>V140</f>
        <v/>
      </c>
      <c r="W177" s="3534">
        <f t="shared" si="559"/>
        <v>0</v>
      </c>
      <c r="X177" s="3539">
        <f t="shared" si="560"/>
        <v>0</v>
      </c>
      <c r="Y177" s="3540">
        <f t="shared" si="561"/>
        <v>0</v>
      </c>
      <c r="Z177" s="3540">
        <f t="shared" si="562"/>
        <v>0</v>
      </c>
      <c r="AA177" s="3535"/>
      <c r="AB177" s="3535"/>
      <c r="AC177" s="3535"/>
      <c r="AD177" s="3535"/>
      <c r="AE177" s="3535"/>
      <c r="AF177" s="3535"/>
      <c r="AG177" s="3535"/>
      <c r="AH177" s="3537"/>
      <c r="AI177" s="3537"/>
      <c r="AJ177" s="3537"/>
      <c r="AK177" s="3533"/>
      <c r="AL177" s="3533"/>
      <c r="AM177" s="3533"/>
      <c r="AU177" s="2286"/>
      <c r="AV177" s="2286"/>
      <c r="AW177" s="2286"/>
      <c r="AX177" s="2287"/>
      <c r="AY177" s="2287"/>
      <c r="AZ177" s="2287"/>
      <c r="BA177" s="2287"/>
      <c r="BB177" s="2286"/>
      <c r="BC177" s="2286"/>
      <c r="BD177" s="2805"/>
      <c r="BE177" s="30"/>
      <c r="BF177" s="30"/>
      <c r="BG177" s="2335"/>
      <c r="BH177" s="30"/>
      <c r="BI177" s="30"/>
      <c r="BJ177" s="3538" t="str">
        <f t="shared" si="564"/>
        <v/>
      </c>
      <c r="BK177" s="3534"/>
      <c r="BL177" s="3535"/>
      <c r="BM177" s="3535"/>
      <c r="BN177" s="3535"/>
      <c r="BO177" s="3535"/>
      <c r="BP177" s="3535"/>
      <c r="BQ177" s="3536"/>
      <c r="BR177" s="3535"/>
      <c r="BS177" s="3535"/>
      <c r="BT177" s="3535"/>
      <c r="BU177" s="3535"/>
      <c r="BV177" s="3537"/>
      <c r="BW177" s="3537"/>
      <c r="BX177" s="3537"/>
      <c r="BY177" s="3537"/>
      <c r="BZ177" s="3533"/>
      <c r="CA177" s="2332"/>
      <c r="CB177" s="2332"/>
      <c r="CC177" s="2335"/>
      <c r="CD177" s="2332"/>
      <c r="CE177" s="2332"/>
      <c r="CF177" s="2332"/>
      <c r="CG177" s="2332"/>
      <c r="CH177" s="2332"/>
      <c r="DS177" s="2330"/>
      <c r="DT177" s="2330"/>
      <c r="DU177" s="2330"/>
      <c r="DV177" s="2330"/>
      <c r="DW177" s="2330"/>
      <c r="DX177" s="2330"/>
      <c r="DY177" s="2330"/>
      <c r="DZ177" s="2330"/>
      <c r="EA177" s="2330"/>
      <c r="EB177" s="2330"/>
      <c r="EC177" s="2330"/>
      <c r="ED177" s="2330"/>
      <c r="EE177" s="2330"/>
      <c r="EF177" s="2330"/>
      <c r="EY177" s="2330"/>
      <c r="EZ177" s="2330"/>
      <c r="FA177" s="2330"/>
      <c r="FB177" s="2330"/>
      <c r="FC177" s="2330"/>
      <c r="FD177" s="2330"/>
      <c r="FE177" s="2330"/>
      <c r="FF177" s="2330"/>
      <c r="FG177" s="2330"/>
      <c r="FH177" s="2330"/>
      <c r="FI177" s="2330"/>
      <c r="FJ177" s="2330"/>
      <c r="FK177" s="2330"/>
    </row>
    <row r="178" spans="1:167">
      <c r="A178" s="9"/>
      <c r="B178" s="9"/>
      <c r="C178" s="9"/>
      <c r="D178" s="9"/>
      <c r="E178" s="9"/>
      <c r="F178" s="9"/>
      <c r="G178" s="9"/>
      <c r="H178" s="9"/>
      <c r="I178" s="9"/>
      <c r="J178" s="9"/>
      <c r="K178" s="9"/>
      <c r="L178" s="9"/>
      <c r="M178" s="9"/>
      <c r="N178" s="9"/>
      <c r="O178" s="9"/>
      <c r="P178" s="9"/>
      <c r="Q178" s="9"/>
      <c r="R178" s="9"/>
      <c r="S178" s="9"/>
      <c r="T178" s="2332"/>
      <c r="U178" s="9"/>
      <c r="V178" s="3533"/>
      <c r="W178" s="3534"/>
      <c r="X178" s="3535"/>
      <c r="Y178" s="3535"/>
      <c r="Z178" s="3535"/>
      <c r="AA178" s="2330"/>
      <c r="AB178" s="2330"/>
      <c r="AC178" s="2330"/>
      <c r="AD178" s="2330"/>
      <c r="AE178" s="2330"/>
      <c r="AF178" s="2330"/>
      <c r="AG178" s="2330"/>
      <c r="AH178" s="2330"/>
      <c r="AI178" s="2330"/>
      <c r="AJ178" s="2330"/>
      <c r="AK178" s="2330"/>
      <c r="AL178" s="2330"/>
      <c r="AM178" s="2330"/>
      <c r="AU178" s="2286"/>
      <c r="AV178" s="2286"/>
      <c r="AW178" s="2286"/>
      <c r="AX178" s="2287"/>
      <c r="AY178" s="2287"/>
      <c r="AZ178" s="2287"/>
      <c r="BA178" s="2287"/>
      <c r="BB178" s="2286"/>
      <c r="BC178" s="2286"/>
      <c r="BD178" s="2805"/>
      <c r="BE178" s="30"/>
      <c r="BF178" s="30"/>
      <c r="BG178" s="2335"/>
      <c r="BH178" s="30"/>
      <c r="BI178" s="30"/>
      <c r="BJ178" s="2330"/>
      <c r="BK178" s="2330"/>
      <c r="BL178" s="2330"/>
      <c r="BM178" s="2330"/>
      <c r="BN178" s="2330"/>
      <c r="BO178" s="2330"/>
      <c r="BP178" s="2330"/>
      <c r="BQ178" s="1370"/>
      <c r="BR178" s="2330"/>
      <c r="BS178" s="2330"/>
      <c r="BT178" s="2330"/>
      <c r="BU178" s="2330"/>
      <c r="BV178" s="2330"/>
      <c r="BW178" s="2330"/>
      <c r="BX178" s="2330"/>
      <c r="BY178" s="2330"/>
      <c r="BZ178" s="2330"/>
      <c r="CA178" s="3533"/>
      <c r="CB178" s="2332"/>
      <c r="DS178" s="2330"/>
      <c r="DT178" s="2330"/>
      <c r="DU178" s="2330"/>
      <c r="DV178" s="2330"/>
      <c r="DW178" s="2330"/>
      <c r="DX178" s="2330"/>
      <c r="DY178" s="2330"/>
      <c r="DZ178" s="2330"/>
      <c r="EA178" s="2330"/>
      <c r="EB178" s="2330"/>
      <c r="EC178" s="2330"/>
      <c r="ED178" s="2330"/>
      <c r="EE178" s="2330"/>
      <c r="EF178" s="2330"/>
      <c r="EY178" s="2330"/>
      <c r="EZ178" s="2330"/>
      <c r="FA178" s="2330"/>
      <c r="FB178" s="2330"/>
      <c r="FC178" s="2330"/>
      <c r="FD178" s="2330"/>
      <c r="FE178" s="2330"/>
      <c r="FF178" s="2330"/>
      <c r="FG178" s="2330"/>
      <c r="FH178" s="2330"/>
      <c r="FI178" s="2330"/>
      <c r="FJ178" s="2330"/>
      <c r="FK178" s="2330"/>
    </row>
    <row r="179" spans="1:167">
      <c r="A179" s="9"/>
      <c r="B179" s="9"/>
      <c r="C179" s="9"/>
      <c r="D179" s="9"/>
      <c r="E179" s="9"/>
      <c r="F179" s="9"/>
      <c r="G179" s="9"/>
      <c r="H179" s="9"/>
      <c r="I179" s="9"/>
      <c r="J179" s="9"/>
      <c r="K179" s="9"/>
      <c r="L179" s="9"/>
      <c r="M179" s="9"/>
      <c r="N179" s="9"/>
      <c r="O179" s="9"/>
      <c r="P179" s="9"/>
      <c r="Q179" s="9"/>
      <c r="R179" s="9"/>
      <c r="S179" s="9"/>
      <c r="T179" s="2332"/>
      <c r="U179" s="9"/>
      <c r="V179" s="2330"/>
      <c r="W179" s="2330"/>
      <c r="X179" s="2330"/>
      <c r="Y179" s="2330"/>
      <c r="Z179" s="2330"/>
      <c r="AA179" s="2330"/>
      <c r="AB179" s="2330"/>
      <c r="AC179" s="2330"/>
      <c r="AD179" s="2330"/>
      <c r="AE179" s="2330"/>
      <c r="AF179" s="2330"/>
      <c r="AG179" s="2330"/>
      <c r="AH179" s="2330"/>
      <c r="AI179" s="2330"/>
      <c r="AJ179" s="2330"/>
      <c r="AK179" s="2330"/>
      <c r="AL179" s="2330"/>
      <c r="AM179" s="2330"/>
      <c r="AU179" s="2286"/>
      <c r="AV179" s="2286"/>
      <c r="AW179" s="2286"/>
      <c r="AX179" s="2287"/>
      <c r="AY179" s="2287"/>
      <c r="AZ179" s="2287"/>
      <c r="BA179" s="2287"/>
      <c r="BB179" s="2286"/>
      <c r="BC179" s="2286"/>
      <c r="BD179" s="2805"/>
      <c r="BE179" s="30"/>
      <c r="BF179" s="30"/>
      <c r="BG179" s="2335"/>
      <c r="BH179" s="30"/>
      <c r="BI179" s="30"/>
      <c r="BJ179" s="2330"/>
      <c r="BK179" s="2330"/>
      <c r="BL179" s="2330"/>
      <c r="BM179" s="2330"/>
      <c r="BN179" s="2330"/>
      <c r="BO179" s="2330"/>
      <c r="BP179" s="2330"/>
      <c r="BQ179" s="1370"/>
      <c r="BR179" s="2330"/>
      <c r="BS179" s="2330"/>
      <c r="BT179" s="2330"/>
      <c r="BU179" s="2330"/>
      <c r="BV179" s="2330"/>
      <c r="BW179" s="2330"/>
      <c r="BX179" s="2330"/>
      <c r="BY179" s="2330"/>
      <c r="BZ179" s="2330"/>
      <c r="CA179" s="2332"/>
      <c r="CB179" s="2332"/>
      <c r="DS179" s="2330"/>
      <c r="DT179" s="2330"/>
      <c r="DU179" s="2330"/>
      <c r="DV179" s="2330"/>
      <c r="DW179" s="2330"/>
      <c r="DX179" s="2330"/>
      <c r="DY179" s="2330"/>
      <c r="DZ179" s="2330"/>
      <c r="EA179" s="2330"/>
      <c r="EB179" s="2330"/>
      <c r="EC179" s="2330"/>
      <c r="ED179" s="2330"/>
      <c r="EE179" s="2330"/>
      <c r="EF179" s="2330"/>
      <c r="EY179" s="2330"/>
      <c r="EZ179" s="2330"/>
      <c r="FA179" s="2330"/>
      <c r="FB179" s="2330"/>
      <c r="FC179" s="2330"/>
      <c r="FD179" s="2330"/>
      <c r="FE179" s="2330"/>
      <c r="FF179" s="2330"/>
      <c r="FG179" s="2330"/>
      <c r="FH179" s="2330"/>
      <c r="FI179" s="2330"/>
      <c r="FJ179" s="2330"/>
      <c r="FK179" s="2330"/>
    </row>
    <row r="180" spans="1:167">
      <c r="A180" s="9"/>
      <c r="B180" s="9"/>
      <c r="C180" s="9"/>
      <c r="D180" s="9"/>
      <c r="E180" s="9"/>
      <c r="F180" s="9"/>
      <c r="G180" s="9"/>
      <c r="H180" s="9"/>
      <c r="I180" s="9"/>
      <c r="J180" s="9"/>
      <c r="K180" s="9"/>
      <c r="L180" s="9"/>
      <c r="M180" s="9"/>
      <c r="N180" s="9"/>
      <c r="O180" s="9"/>
      <c r="P180" s="9"/>
      <c r="Q180" s="9"/>
      <c r="R180" s="9"/>
      <c r="S180" s="9"/>
      <c r="T180" s="2332"/>
      <c r="U180" s="9"/>
      <c r="V180" s="2330"/>
      <c r="W180" s="2330"/>
      <c r="X180" s="2330"/>
      <c r="Y180" s="2330"/>
      <c r="Z180" s="2330"/>
      <c r="AA180" s="2330"/>
      <c r="AB180" s="2330"/>
      <c r="AC180" s="2330"/>
      <c r="AD180" s="2330"/>
      <c r="AE180" s="2330"/>
      <c r="AF180" s="2330"/>
      <c r="AG180" s="2330"/>
      <c r="AH180" s="2330"/>
      <c r="AI180" s="2330"/>
      <c r="AJ180" s="2330"/>
      <c r="AK180" s="2330"/>
      <c r="AL180" s="2330"/>
      <c r="AM180" s="2330"/>
      <c r="AU180" s="2286"/>
      <c r="AV180" s="2286"/>
      <c r="AW180" s="2286"/>
      <c r="AX180" s="2287"/>
      <c r="AY180" s="2287"/>
      <c r="AZ180" s="2287"/>
      <c r="BA180" s="2287"/>
      <c r="BB180" s="2286"/>
      <c r="BC180" s="2286"/>
      <c r="BD180" s="2805"/>
      <c r="BE180" s="30"/>
      <c r="BF180" s="30"/>
      <c r="BG180" s="2335"/>
      <c r="BH180" s="30"/>
      <c r="BI180" s="30"/>
      <c r="BJ180" s="2330"/>
      <c r="BK180" s="2330"/>
      <c r="BL180" s="2330"/>
      <c r="BM180" s="2330"/>
      <c r="BN180" s="2330"/>
      <c r="BO180" s="2330"/>
      <c r="BP180" s="2330"/>
      <c r="BQ180" s="1370"/>
      <c r="BR180" s="2330"/>
      <c r="BS180" s="2330"/>
      <c r="BT180" s="2330"/>
      <c r="BU180" s="2330"/>
      <c r="BV180" s="2330"/>
      <c r="BW180" s="2330"/>
      <c r="BX180" s="2330"/>
      <c r="BY180" s="2330"/>
      <c r="BZ180" s="2330"/>
      <c r="CA180" s="2332"/>
      <c r="CB180" s="2332"/>
      <c r="DS180" s="2330"/>
      <c r="DT180" s="2330"/>
      <c r="DU180" s="2330"/>
      <c r="DV180" s="2330"/>
      <c r="DW180" s="2330"/>
      <c r="DX180" s="2330"/>
      <c r="DY180" s="2330"/>
      <c r="DZ180" s="2330"/>
      <c r="EA180" s="2330"/>
      <c r="EB180" s="2330"/>
      <c r="EC180" s="2330"/>
      <c r="ED180" s="2330"/>
      <c r="EE180" s="2330"/>
      <c r="EF180" s="2330"/>
      <c r="EY180" s="2330"/>
      <c r="EZ180" s="2330"/>
      <c r="FA180" s="2330"/>
      <c r="FB180" s="2330"/>
      <c r="FC180" s="2330"/>
      <c r="FD180" s="2330"/>
      <c r="FE180" s="2330"/>
      <c r="FF180" s="2330"/>
      <c r="FG180" s="2330"/>
      <c r="FH180" s="2330"/>
      <c r="FI180" s="2330"/>
      <c r="FJ180" s="2330"/>
      <c r="FK180" s="2330"/>
    </row>
    <row r="181" spans="1:167">
      <c r="A181" s="9"/>
      <c r="B181" s="9"/>
      <c r="C181" s="9"/>
      <c r="D181" s="9"/>
      <c r="E181" s="9"/>
      <c r="F181" s="9"/>
      <c r="G181" s="9"/>
      <c r="H181" s="9"/>
      <c r="I181" s="9"/>
      <c r="J181" s="9"/>
      <c r="K181" s="9"/>
      <c r="L181" s="9"/>
      <c r="M181" s="9"/>
      <c r="N181" s="9"/>
      <c r="O181" s="9"/>
      <c r="P181" s="9"/>
      <c r="Q181" s="9"/>
      <c r="R181" s="9"/>
      <c r="S181" s="9"/>
      <c r="T181" s="2332"/>
      <c r="U181" s="9"/>
      <c r="V181" s="2330"/>
      <c r="W181" s="2330"/>
      <c r="X181" s="2330"/>
      <c r="Y181" s="2330"/>
      <c r="Z181" s="2330"/>
      <c r="AA181" s="2330"/>
      <c r="AB181" s="2330"/>
      <c r="AC181" s="2330"/>
      <c r="AD181" s="2330"/>
      <c r="AE181" s="2330"/>
      <c r="AF181" s="2330"/>
      <c r="AG181" s="2330"/>
      <c r="AH181" s="2330"/>
      <c r="AI181" s="2330"/>
      <c r="AJ181" s="2330"/>
      <c r="AK181" s="2330"/>
      <c r="AL181" s="2330"/>
      <c r="AM181" s="2330"/>
      <c r="AU181" s="2286"/>
      <c r="AV181" s="2286"/>
      <c r="AW181" s="2286"/>
      <c r="AX181" s="2287"/>
      <c r="AY181" s="2287"/>
      <c r="AZ181" s="2287"/>
      <c r="BA181" s="2287"/>
      <c r="BB181" s="2286"/>
      <c r="BC181" s="2286"/>
      <c r="BD181" s="2805"/>
      <c r="BE181" s="30"/>
      <c r="BF181" s="30"/>
      <c r="BG181" s="2335"/>
      <c r="BH181" s="30"/>
      <c r="BI181" s="30"/>
      <c r="BJ181" s="2330"/>
      <c r="BK181" s="2330"/>
      <c r="BL181" s="2330"/>
      <c r="BM181" s="2330"/>
      <c r="BN181" s="2330"/>
      <c r="BO181" s="2330"/>
      <c r="BP181" s="2330"/>
      <c r="BQ181" s="1370"/>
      <c r="BR181" s="2330"/>
      <c r="BS181" s="2330"/>
      <c r="BT181" s="2330"/>
      <c r="BU181" s="2330"/>
      <c r="BV181" s="2330"/>
      <c r="BW181" s="2330"/>
      <c r="BX181" s="2330"/>
      <c r="BY181" s="2330"/>
      <c r="BZ181" s="2330"/>
      <c r="CA181" s="2332"/>
      <c r="CB181" s="2332"/>
      <c r="DS181" s="2330"/>
      <c r="DT181" s="2330"/>
      <c r="DU181" s="2330"/>
      <c r="DV181" s="2330"/>
      <c r="DW181" s="2330"/>
      <c r="DX181" s="2330"/>
      <c r="DY181" s="2330"/>
      <c r="DZ181" s="2330"/>
      <c r="EA181" s="2330"/>
      <c r="EB181" s="2330"/>
      <c r="EC181" s="2330"/>
      <c r="ED181" s="2330"/>
      <c r="EE181" s="2330"/>
      <c r="EF181" s="2330"/>
      <c r="EY181" s="2330"/>
      <c r="EZ181" s="2330"/>
      <c r="FA181" s="2330"/>
      <c r="FB181" s="2330"/>
      <c r="FC181" s="2330"/>
      <c r="FD181" s="2330"/>
      <c r="FE181" s="2330"/>
      <c r="FF181" s="2330"/>
      <c r="FG181" s="2330"/>
      <c r="FH181" s="2330"/>
      <c r="FI181" s="2330"/>
      <c r="FJ181" s="2330"/>
      <c r="FK181" s="2330"/>
    </row>
    <row r="182" spans="1:167">
      <c r="A182" s="9"/>
      <c r="B182" s="9"/>
      <c r="C182" s="9"/>
      <c r="D182" s="9"/>
      <c r="E182" s="9"/>
      <c r="F182" s="9"/>
      <c r="G182" s="9"/>
      <c r="H182" s="9"/>
      <c r="I182" s="9"/>
      <c r="J182" s="9"/>
      <c r="K182" s="9"/>
      <c r="L182" s="9"/>
      <c r="M182" s="9"/>
      <c r="N182" s="9"/>
      <c r="O182" s="9"/>
      <c r="P182" s="9"/>
      <c r="Q182" s="9"/>
      <c r="R182" s="9"/>
      <c r="S182" s="9"/>
      <c r="T182" s="2332"/>
      <c r="U182" s="9"/>
      <c r="V182" s="2330"/>
      <c r="W182" s="2330"/>
      <c r="X182" s="2330"/>
      <c r="Y182" s="2330"/>
      <c r="Z182" s="2330"/>
      <c r="AA182" s="2330"/>
      <c r="AB182" s="2330"/>
      <c r="AC182" s="2330"/>
      <c r="AD182" s="2330"/>
      <c r="AE182" s="2330"/>
      <c r="AF182" s="2330"/>
      <c r="AG182" s="2330"/>
      <c r="AH182" s="2330"/>
      <c r="AI182" s="2330"/>
      <c r="AJ182" s="2330"/>
      <c r="AK182" s="2330"/>
      <c r="AL182" s="2330"/>
      <c r="AM182" s="2330"/>
      <c r="AU182" s="2286"/>
      <c r="AV182" s="2286"/>
      <c r="AW182" s="2286"/>
      <c r="AX182" s="2287"/>
      <c r="AY182" s="2287"/>
      <c r="AZ182" s="2287"/>
      <c r="BA182" s="2287"/>
      <c r="BB182" s="2286"/>
      <c r="BC182" s="2286"/>
      <c r="BD182" s="2805"/>
      <c r="BE182" s="30"/>
      <c r="BF182" s="30"/>
      <c r="BG182" s="2335"/>
      <c r="BH182" s="30"/>
      <c r="BI182" s="30"/>
      <c r="BJ182" s="2330"/>
      <c r="BK182" s="2330"/>
      <c r="BL182" s="2330"/>
      <c r="BM182" s="2330"/>
      <c r="BN182" s="2330"/>
      <c r="BO182" s="2330"/>
      <c r="BP182" s="2330"/>
      <c r="BQ182" s="1370"/>
      <c r="BR182" s="2330"/>
      <c r="BS182" s="2330"/>
      <c r="BT182" s="2330"/>
      <c r="BU182" s="2330"/>
      <c r="BV182" s="2330"/>
      <c r="BW182" s="2330"/>
      <c r="BX182" s="2330"/>
      <c r="BY182" s="2330"/>
      <c r="BZ182" s="2330"/>
      <c r="CA182" s="2332"/>
      <c r="CB182" s="2332"/>
      <c r="DS182" s="2330"/>
      <c r="DT182" s="2330"/>
      <c r="DU182" s="2330"/>
      <c r="DV182" s="2330"/>
      <c r="DW182" s="2330"/>
      <c r="DX182" s="2330"/>
      <c r="DY182" s="2330"/>
      <c r="DZ182" s="2330"/>
      <c r="EA182" s="2330"/>
      <c r="EB182" s="2330"/>
      <c r="EC182" s="2330"/>
      <c r="ED182" s="2330"/>
      <c r="EE182" s="2330"/>
      <c r="EF182" s="2330"/>
      <c r="EY182" s="2330"/>
      <c r="EZ182" s="2330"/>
      <c r="FA182" s="2330"/>
      <c r="FB182" s="2330"/>
      <c r="FC182" s="2330"/>
      <c r="FD182" s="2330"/>
      <c r="FE182" s="2330"/>
      <c r="FF182" s="2330"/>
      <c r="FG182" s="2330"/>
      <c r="FH182" s="2330"/>
      <c r="FI182" s="2330"/>
      <c r="FJ182" s="2330"/>
      <c r="FK182" s="2330"/>
    </row>
    <row r="183" spans="1:167">
      <c r="A183" s="9"/>
      <c r="B183" s="9"/>
      <c r="C183" s="9"/>
      <c r="D183" s="9"/>
      <c r="E183" s="9"/>
      <c r="F183" s="9"/>
      <c r="G183" s="9"/>
      <c r="H183" s="9"/>
      <c r="I183" s="9"/>
      <c r="J183" s="9"/>
      <c r="K183" s="9"/>
      <c r="L183" s="9"/>
      <c r="M183" s="9"/>
      <c r="N183" s="9"/>
      <c r="O183" s="9"/>
      <c r="P183" s="9"/>
      <c r="Q183" s="9"/>
      <c r="R183" s="9"/>
      <c r="S183" s="9"/>
      <c r="T183" s="2332"/>
      <c r="U183" s="9"/>
      <c r="V183" s="2330"/>
      <c r="W183" s="2330"/>
      <c r="X183" s="2330"/>
      <c r="Y183" s="2330"/>
      <c r="Z183" s="2330"/>
      <c r="AA183" s="2330"/>
      <c r="AB183" s="2330"/>
      <c r="AC183" s="2330"/>
      <c r="AD183" s="2330"/>
      <c r="AE183" s="2330"/>
      <c r="AF183" s="2330"/>
      <c r="AG183" s="2330"/>
      <c r="AH183" s="2330"/>
      <c r="AI183" s="2330"/>
      <c r="AJ183" s="2330"/>
      <c r="AK183" s="2330"/>
      <c r="AL183" s="2330"/>
      <c r="AM183" s="2330"/>
      <c r="AU183" s="2286"/>
      <c r="AV183" s="2286"/>
      <c r="AW183" s="2286"/>
      <c r="AX183" s="2287"/>
      <c r="AY183" s="2287"/>
      <c r="AZ183" s="2287"/>
      <c r="BA183" s="2287"/>
      <c r="BB183" s="2286"/>
      <c r="BC183" s="2286"/>
      <c r="BD183" s="2805"/>
      <c r="BE183" s="30"/>
      <c r="BF183" s="30"/>
      <c r="BG183" s="2335"/>
      <c r="BH183" s="30"/>
      <c r="BI183" s="30"/>
      <c r="BJ183" s="2330"/>
      <c r="BK183" s="2330"/>
      <c r="BL183" s="2330"/>
      <c r="BM183" s="2330"/>
      <c r="BN183" s="2330"/>
      <c r="BO183" s="2330"/>
      <c r="BP183" s="2330"/>
      <c r="BQ183" s="1370"/>
      <c r="BR183" s="2330"/>
      <c r="BS183" s="2330"/>
      <c r="BT183" s="2330"/>
      <c r="BU183" s="2330"/>
      <c r="BV183" s="2330"/>
      <c r="BW183" s="2330"/>
      <c r="BX183" s="2330"/>
      <c r="BY183" s="2330"/>
      <c r="BZ183" s="2330"/>
      <c r="CA183" s="2332"/>
      <c r="CB183" s="2332"/>
      <c r="DS183" s="2330"/>
      <c r="DT183" s="2330"/>
      <c r="DU183" s="2330"/>
      <c r="DV183" s="2330"/>
      <c r="DW183" s="2330"/>
      <c r="DX183" s="2330"/>
      <c r="DY183" s="2330"/>
      <c r="DZ183" s="2330"/>
      <c r="EA183" s="2330"/>
      <c r="EB183" s="2330"/>
      <c r="EC183" s="2330"/>
      <c r="ED183" s="2330"/>
      <c r="EE183" s="2330"/>
      <c r="EF183" s="2330"/>
      <c r="EY183" s="2330"/>
      <c r="EZ183" s="2330"/>
      <c r="FA183" s="2330"/>
      <c r="FB183" s="2330"/>
      <c r="FC183" s="2330"/>
      <c r="FD183" s="2330"/>
      <c r="FE183" s="2330"/>
      <c r="FF183" s="2330"/>
      <c r="FG183" s="2330"/>
      <c r="FH183" s="2330"/>
      <c r="FI183" s="2330"/>
      <c r="FJ183" s="2330"/>
      <c r="FK183" s="2330"/>
    </row>
    <row r="184" spans="1:167">
      <c r="A184" s="9"/>
      <c r="B184" s="9"/>
      <c r="C184" s="9"/>
      <c r="D184" s="9"/>
      <c r="E184" s="9"/>
      <c r="F184" s="9"/>
      <c r="G184" s="9"/>
      <c r="H184" s="9"/>
      <c r="I184" s="9"/>
      <c r="J184" s="9"/>
      <c r="K184" s="9"/>
      <c r="L184" s="9"/>
      <c r="M184" s="9"/>
      <c r="N184" s="9"/>
      <c r="O184" s="9"/>
      <c r="P184" s="9"/>
      <c r="Q184" s="9"/>
      <c r="R184" s="9"/>
      <c r="S184" s="9"/>
      <c r="T184" s="2332"/>
      <c r="U184" s="9"/>
      <c r="V184" s="2330"/>
      <c r="W184" s="2330"/>
      <c r="X184" s="2330"/>
      <c r="Y184" s="2330"/>
      <c r="Z184" s="2330"/>
      <c r="AA184" s="2330"/>
      <c r="AB184" s="2330"/>
      <c r="AC184" s="2330"/>
      <c r="AD184" s="2330"/>
      <c r="AE184" s="2330"/>
      <c r="AF184" s="2330"/>
      <c r="AG184" s="2330"/>
      <c r="AH184" s="2330"/>
      <c r="AI184" s="2330"/>
      <c r="AJ184" s="2330"/>
      <c r="AK184" s="2330"/>
      <c r="AL184" s="2330"/>
      <c r="AM184" s="2330"/>
      <c r="AU184" s="2286"/>
      <c r="AV184" s="2286"/>
      <c r="AW184" s="2286"/>
      <c r="AX184" s="2287"/>
      <c r="AY184" s="2287"/>
      <c r="AZ184" s="2287"/>
      <c r="BA184" s="2287"/>
      <c r="BB184" s="2286"/>
      <c r="BC184" s="2286"/>
      <c r="BD184" s="2805"/>
      <c r="BE184" s="30"/>
      <c r="BF184" s="30"/>
      <c r="BG184" s="2335"/>
      <c r="BH184" s="30"/>
      <c r="BI184" s="30"/>
      <c r="BJ184" s="2330"/>
      <c r="BK184" s="2330"/>
      <c r="BL184" s="2330"/>
      <c r="BM184" s="2330"/>
      <c r="BN184" s="2330"/>
      <c r="BO184" s="2330"/>
      <c r="BP184" s="1370"/>
      <c r="BQ184" s="2330"/>
      <c r="BR184" s="2330"/>
      <c r="BS184" s="2330"/>
      <c r="BT184" s="2332"/>
      <c r="BU184" s="2330"/>
      <c r="BV184" s="2330"/>
      <c r="BW184" s="2330"/>
      <c r="BX184" s="2330"/>
      <c r="BY184" s="2330"/>
      <c r="BZ184" s="2330"/>
      <c r="CB184" s="2332"/>
      <c r="DS184" s="2330"/>
      <c r="DT184" s="2330"/>
      <c r="DU184" s="2330"/>
      <c r="DV184" s="2330"/>
      <c r="DW184" s="2330"/>
      <c r="DX184" s="2330"/>
      <c r="DY184" s="2330"/>
      <c r="DZ184" s="2330"/>
      <c r="EA184" s="2330"/>
      <c r="EB184" s="2330"/>
      <c r="EC184" s="2330"/>
      <c r="ED184" s="2330"/>
      <c r="EE184" s="2330"/>
      <c r="EF184" s="2330"/>
      <c r="EY184" s="2330"/>
      <c r="EZ184" s="2330"/>
      <c r="FA184" s="2330"/>
      <c r="FB184" s="2330"/>
      <c r="FC184" s="2330"/>
      <c r="FD184" s="2330"/>
      <c r="FE184" s="2330"/>
      <c r="FF184" s="2330"/>
      <c r="FG184" s="2330"/>
      <c r="FH184" s="2330"/>
      <c r="FI184" s="2330"/>
      <c r="FJ184" s="2330"/>
      <c r="FK184" s="2330"/>
    </row>
    <row r="185" spans="1:167" ht="26.25" thickBot="1">
      <c r="A185" s="9"/>
      <c r="B185" s="9"/>
      <c r="C185" s="9"/>
      <c r="D185" s="9"/>
      <c r="E185" s="9"/>
      <c r="F185" s="9"/>
      <c r="G185" s="9"/>
      <c r="H185" s="9"/>
      <c r="I185" s="9"/>
      <c r="J185" s="9"/>
      <c r="K185" s="9"/>
      <c r="L185" s="9"/>
      <c r="M185" s="9"/>
      <c r="N185" s="9"/>
      <c r="O185" s="9"/>
      <c r="P185" s="9"/>
      <c r="Q185" s="9"/>
      <c r="R185" s="9"/>
      <c r="S185" s="9"/>
      <c r="T185" s="2332"/>
      <c r="U185" s="9"/>
      <c r="V185" s="2351" t="str">
        <f>CostScenario</f>
        <v>Mid Case</v>
      </c>
      <c r="W185" s="2348"/>
      <c r="X185" s="2343"/>
      <c r="Y185" s="2343"/>
      <c r="Z185" s="2343"/>
      <c r="AA185" s="2343"/>
      <c r="AB185" s="2343"/>
      <c r="AC185" s="2343"/>
      <c r="AD185" s="2343"/>
      <c r="AE185" s="2343"/>
      <c r="AF185" s="2343"/>
      <c r="AG185" s="2343"/>
      <c r="AH185" s="2334"/>
      <c r="AI185" s="2334"/>
      <c r="AJ185" s="2334"/>
      <c r="AK185" s="2334"/>
      <c r="AL185" s="2334"/>
      <c r="AM185" s="2334"/>
      <c r="AU185" s="2286"/>
      <c r="AV185" s="2286"/>
      <c r="AW185" s="2286"/>
      <c r="AX185" s="2287"/>
      <c r="AY185" s="2287"/>
      <c r="AZ185" s="2287"/>
      <c r="BA185" s="2287"/>
      <c r="BB185" s="2286"/>
      <c r="BC185" s="2286"/>
      <c r="BD185" s="2805"/>
      <c r="BE185" s="30"/>
      <c r="BF185" s="30"/>
      <c r="BG185" s="2335"/>
      <c r="BH185" s="30"/>
      <c r="BI185" s="30"/>
      <c r="BJ185" s="2351" t="str">
        <f>CostScenario</f>
        <v>Mid Case</v>
      </c>
      <c r="BK185" s="2348"/>
      <c r="BL185" s="2343"/>
      <c r="BM185" s="2343"/>
      <c r="BN185" s="2343"/>
      <c r="BO185" s="2343"/>
      <c r="BP185" s="2801"/>
      <c r="BQ185" s="2343"/>
      <c r="BR185" s="2343"/>
      <c r="BS185" s="2343"/>
      <c r="BT185" s="2343"/>
      <c r="BU185" s="2343"/>
      <c r="BV185" s="2334"/>
      <c r="BW185" s="2334"/>
      <c r="BX185" s="2334"/>
      <c r="BY185" s="2334"/>
      <c r="BZ185" s="2334"/>
      <c r="CB185" s="2332"/>
      <c r="DS185" s="2330"/>
      <c r="DT185" s="2330"/>
      <c r="DU185" s="2330"/>
      <c r="DV185" s="2330"/>
      <c r="DW185" s="2330"/>
      <c r="DX185" s="2330"/>
      <c r="DY185" s="2330"/>
      <c r="DZ185" s="2330"/>
      <c r="EA185" s="2330"/>
      <c r="EB185" s="2330"/>
      <c r="EC185" s="2330"/>
      <c r="ED185" s="2330"/>
      <c r="EE185" s="2330"/>
      <c r="EF185" s="2330"/>
      <c r="EY185" s="2330"/>
      <c r="EZ185" s="2330"/>
      <c r="FA185" s="2330"/>
      <c r="FB185" s="2330"/>
      <c r="FC185" s="2330"/>
      <c r="FD185" s="2330"/>
      <c r="FE185" s="2330"/>
      <c r="FF185" s="2330"/>
      <c r="FG185" s="2330"/>
      <c r="FH185" s="2330"/>
      <c r="FI185" s="2330"/>
      <c r="FJ185" s="2330"/>
      <c r="FK185" s="2330"/>
    </row>
    <row r="186" spans="1:167" ht="51.75" thickBot="1">
      <c r="A186" s="9"/>
      <c r="B186" s="9"/>
      <c r="C186" s="9"/>
      <c r="D186" s="9"/>
      <c r="E186" s="9"/>
      <c r="F186" s="9"/>
      <c r="G186" s="9"/>
      <c r="H186" s="9"/>
      <c r="I186" s="9"/>
      <c r="J186" s="9"/>
      <c r="K186" s="9"/>
      <c r="L186" s="9"/>
      <c r="M186" s="9"/>
      <c r="N186" s="9"/>
      <c r="O186" s="9"/>
      <c r="P186" s="9"/>
      <c r="Q186" s="9"/>
      <c r="R186" s="9"/>
      <c r="S186" s="9"/>
      <c r="T186" s="2332"/>
      <c r="U186" s="9"/>
      <c r="V186" s="2754" t="s">
        <v>1571</v>
      </c>
      <c r="W186" s="4492" t="s">
        <v>1562</v>
      </c>
      <c r="X186" s="4527" t="s">
        <v>1572</v>
      </c>
      <c r="Y186" s="4492" t="s">
        <v>444</v>
      </c>
      <c r="Z186" s="4492" t="s">
        <v>1029</v>
      </c>
      <c r="AA186" s="4232" t="s">
        <v>1573</v>
      </c>
      <c r="AB186" s="4492" t="s">
        <v>1030</v>
      </c>
      <c r="AC186" s="4232" t="s">
        <v>1574</v>
      </c>
      <c r="AD186" s="4513" t="s">
        <v>1575</v>
      </c>
      <c r="AE186" s="4526"/>
      <c r="AF186" s="4492" t="s">
        <v>1987</v>
      </c>
      <c r="AG186" s="4504" t="s">
        <v>1576</v>
      </c>
      <c r="AH186" s="4504"/>
      <c r="AI186" s="4504"/>
      <c r="AJ186" s="4504"/>
      <c r="AK186" s="4504"/>
      <c r="AL186" s="4505"/>
      <c r="AU186" s="2286"/>
      <c r="AV186" s="2286"/>
      <c r="AW186" s="2286"/>
      <c r="AX186" s="2287"/>
      <c r="AY186" s="2287"/>
      <c r="AZ186" s="2287"/>
      <c r="BA186" s="2287"/>
      <c r="BB186" s="2286"/>
      <c r="BC186" s="2286"/>
      <c r="BD186" s="2805"/>
      <c r="BE186" s="30"/>
      <c r="BF186" s="30"/>
      <c r="BG186" s="2335"/>
      <c r="BH186" s="30"/>
      <c r="BI186" s="30"/>
      <c r="BJ186" s="2358" t="s">
        <v>1571</v>
      </c>
      <c r="BK186" s="4229" t="s">
        <v>1562</v>
      </c>
      <c r="BL186" s="4229" t="s">
        <v>1572</v>
      </c>
      <c r="BM186" s="4229" t="s">
        <v>444</v>
      </c>
      <c r="BN186" s="4229" t="s">
        <v>1029</v>
      </c>
      <c r="BO186" s="4229" t="s">
        <v>1573</v>
      </c>
      <c r="BP186" s="2802" t="s">
        <v>1030</v>
      </c>
      <c r="BQ186" s="4229" t="s">
        <v>1574</v>
      </c>
      <c r="BR186" s="4513" t="s">
        <v>1575</v>
      </c>
      <c r="BS186" s="4514"/>
      <c r="BT186" s="4229" t="s">
        <v>98</v>
      </c>
      <c r="BU186" s="4516" t="s">
        <v>1576</v>
      </c>
      <c r="BV186" s="4504"/>
      <c r="BW186" s="4504"/>
      <c r="BX186" s="4504"/>
      <c r="BY186" s="4504"/>
      <c r="BZ186" s="4505"/>
      <c r="CB186" s="2332"/>
      <c r="DS186" s="2330"/>
      <c r="DT186" s="2330"/>
      <c r="DU186" s="2330"/>
      <c r="DV186" s="2330"/>
      <c r="DW186" s="2330"/>
      <c r="DX186" s="2330"/>
      <c r="DY186" s="2330"/>
      <c r="DZ186" s="2330"/>
      <c r="EA186" s="2330"/>
      <c r="EB186" s="2330"/>
      <c r="EC186" s="2330"/>
      <c r="ED186" s="2330"/>
      <c r="EE186" s="2330"/>
      <c r="EF186" s="2330"/>
      <c r="EY186" s="2330"/>
      <c r="EZ186" s="2330"/>
      <c r="FA186" s="2330"/>
      <c r="FB186" s="2330"/>
      <c r="FC186" s="2330"/>
      <c r="FD186" s="2330"/>
      <c r="FE186" s="2330"/>
      <c r="FF186" s="2330"/>
      <c r="FG186" s="2330"/>
      <c r="FH186" s="2330"/>
      <c r="FI186" s="2330"/>
      <c r="FJ186" s="2330"/>
      <c r="FK186" s="2330"/>
    </row>
    <row r="187" spans="1:167" ht="25.5">
      <c r="A187" s="9"/>
      <c r="B187" s="9"/>
      <c r="C187" s="9"/>
      <c r="D187" s="9"/>
      <c r="E187" s="9"/>
      <c r="F187" s="9"/>
      <c r="G187" s="9"/>
      <c r="H187" s="9"/>
      <c r="I187" s="9"/>
      <c r="J187" s="9"/>
      <c r="K187" s="9"/>
      <c r="L187" s="9"/>
      <c r="M187" s="9"/>
      <c r="N187" s="9"/>
      <c r="O187" s="9"/>
      <c r="P187" s="9"/>
      <c r="Q187" s="9"/>
      <c r="R187" s="9"/>
      <c r="S187" s="9"/>
      <c r="T187" s="2332"/>
      <c r="U187" s="9"/>
      <c r="V187" s="2755"/>
      <c r="W187" s="4493"/>
      <c r="X187" s="4528"/>
      <c r="Y187" s="4493"/>
      <c r="Z187" s="4493"/>
      <c r="AA187" s="4233"/>
      <c r="AB187" s="4493"/>
      <c r="AC187" s="4233"/>
      <c r="AD187" s="4268" t="s">
        <v>1021</v>
      </c>
      <c r="AE187" s="4269" t="s">
        <v>1271</v>
      </c>
      <c r="AF187" s="4493"/>
      <c r="AG187" s="3866" t="s">
        <v>1577</v>
      </c>
      <c r="AH187" s="3859" t="s">
        <v>1578</v>
      </c>
      <c r="AI187" s="3859" t="s">
        <v>1343</v>
      </c>
      <c r="AJ187" s="3859" t="s">
        <v>1579</v>
      </c>
      <c r="AK187" s="3859" t="s">
        <v>387</v>
      </c>
      <c r="AL187" s="4270" t="s">
        <v>375</v>
      </c>
      <c r="AU187" s="2286"/>
      <c r="AV187" s="2286"/>
      <c r="AW187" s="2286"/>
      <c r="AX187" s="2287"/>
      <c r="AY187" s="2287"/>
      <c r="AZ187" s="2287"/>
      <c r="BA187" s="2287"/>
      <c r="BB187" s="2286"/>
      <c r="BC187" s="2286"/>
      <c r="BD187" s="2805"/>
      <c r="BE187" s="30"/>
      <c r="BF187" s="30"/>
      <c r="BG187" s="2335"/>
      <c r="BH187" s="30"/>
      <c r="BI187" s="30"/>
      <c r="BJ187" s="2359"/>
      <c r="BK187" s="4230"/>
      <c r="BL187" s="4230"/>
      <c r="BM187" s="4230"/>
      <c r="BN187" s="4230"/>
      <c r="BO187" s="4230"/>
      <c r="BP187" s="2803"/>
      <c r="BQ187" s="4230"/>
      <c r="BR187" s="4231" t="s">
        <v>1021</v>
      </c>
      <c r="BS187" s="4269" t="s">
        <v>1271</v>
      </c>
      <c r="BT187" s="4230"/>
      <c r="BU187" s="2357" t="s">
        <v>1577</v>
      </c>
      <c r="BV187" s="3859" t="s">
        <v>1578</v>
      </c>
      <c r="BW187" s="3859" t="s">
        <v>1343</v>
      </c>
      <c r="BX187" s="3859" t="s">
        <v>1579</v>
      </c>
      <c r="BY187" s="3859" t="s">
        <v>387</v>
      </c>
      <c r="BZ187" s="4270" t="s">
        <v>375</v>
      </c>
      <c r="CB187" s="2332"/>
      <c r="DS187" s="2330"/>
      <c r="DT187" s="2330"/>
      <c r="DU187" s="2330"/>
      <c r="DV187" s="2330"/>
      <c r="DW187" s="2330"/>
      <c r="DX187" s="2330"/>
      <c r="DY187" s="2330"/>
      <c r="DZ187" s="2330"/>
      <c r="EA187" s="2330"/>
      <c r="EB187" s="2330"/>
      <c r="EC187" s="2330"/>
      <c r="ED187" s="2330"/>
      <c r="EE187" s="2330"/>
      <c r="EF187" s="2330"/>
      <c r="EY187" s="2330"/>
      <c r="EZ187" s="2330"/>
      <c r="FA187" s="2330"/>
      <c r="FB187" s="2330"/>
      <c r="FC187" s="2330"/>
      <c r="FD187" s="2330"/>
      <c r="FE187" s="2330"/>
      <c r="FF187" s="2330"/>
      <c r="FG187" s="2330"/>
      <c r="FH187" s="2330"/>
      <c r="FI187" s="2330"/>
      <c r="FJ187" s="2330"/>
      <c r="FK187" s="2330"/>
    </row>
    <row r="188" spans="1:167" ht="13.5" thickBot="1">
      <c r="A188" s="9"/>
      <c r="B188" s="9"/>
      <c r="C188" s="9"/>
      <c r="D188" s="9"/>
      <c r="E188" s="9"/>
      <c r="F188" s="9"/>
      <c r="G188" s="9"/>
      <c r="H188" s="9"/>
      <c r="I188" s="9"/>
      <c r="J188" s="9"/>
      <c r="K188" s="9"/>
      <c r="L188" s="9"/>
      <c r="M188" s="9"/>
      <c r="N188" s="9"/>
      <c r="O188" s="9"/>
      <c r="P188" s="9"/>
      <c r="Q188" s="9"/>
      <c r="R188" s="9"/>
      <c r="S188" s="9"/>
      <c r="T188" s="2332"/>
      <c r="U188" s="9"/>
      <c r="V188" s="3700" t="str">
        <f>V155</f>
        <v>Generation Turbine 49.9 MW</v>
      </c>
      <c r="W188" s="3864">
        <f t="array" ref="W188:W209">TRANSPOSE('Plant Type Assumptions'!D7:AA7)</f>
        <v>49.9</v>
      </c>
      <c r="X188" s="3702">
        <f t="array" ref="X188:X209">TRANSPOSE('Plant Type Assumptions'!D8:AA8)</f>
        <v>3.4000000000000002E-2</v>
      </c>
      <c r="Y188" s="3705">
        <f>'General Assumptions'!$D$15</f>
        <v>5.0000000000000001E-3</v>
      </c>
      <c r="Z188" s="3705">
        <f t="array" ref="Z188:Z209">TRANSPOSE('Plant Type Assumptions'!D45:AA45)</f>
        <v>2.7199999999999998E-2</v>
      </c>
      <c r="AA188" s="3702">
        <f t="array" ref="AA188:AA209">TRANSPOSE('Plant Type Assumptions'!D46:AA46)</f>
        <v>5.5599999999999997E-2</v>
      </c>
      <c r="AB188" s="3703">
        <f t="array" ref="AB188:AB209">TRANSPOSE('Plant Type Assumptions'!D40:AA40)</f>
        <v>0.05</v>
      </c>
      <c r="AC188" s="3873">
        <f t="array" ref="AC188:AC209">TRANSPOSE('Plant Type Assumptions'!D19:AA19)</f>
        <v>10585</v>
      </c>
      <c r="AD188" s="3870">
        <f t="array" ref="AD188:AD209">TRANSPOSE('Plant Type Assumptions'!D9:AA9)</f>
        <v>5.5000000000000003E-4</v>
      </c>
      <c r="AE188" s="3704">
        <f t="array" ref="AE188:AE209">TRANSPOSE('Plant Type Assumptions'!D22:AA22)</f>
        <v>5.5000000000000003E-4</v>
      </c>
      <c r="AF188" s="3705">
        <f t="array" ref="AF188:AF207">TRANSPOSE('Plant Type Assumptions'!D79:V79)</f>
        <v>6.528423328497528E-3</v>
      </c>
      <c r="AG188" s="3867">
        <f t="array" ref="AG188:AJ209">TRANSPOSE('Plant Type Assumptions'!D203:V206)</f>
        <v>1.9109589041095891</v>
      </c>
      <c r="AH188" s="3854">
        <v>0.36986301369863012</v>
      </c>
      <c r="AI188" s="3854">
        <v>2.5205479452054789</v>
      </c>
      <c r="AJ188" s="3855">
        <v>1239.2918</v>
      </c>
      <c r="AK188" s="3854">
        <f t="array" ref="AK188:AL209">TRANSPOSE('Plant Type Assumptions'!D210:AA211)</f>
        <v>8.9041095890410954E-2</v>
      </c>
      <c r="AL188" s="3699">
        <v>0.91780821917808209</v>
      </c>
      <c r="AU188" s="2286"/>
      <c r="AV188" s="2286"/>
      <c r="AW188" s="2286"/>
      <c r="AX188" s="2287"/>
      <c r="AY188" s="2287"/>
      <c r="AZ188" s="2287"/>
      <c r="BA188" s="2287"/>
      <c r="BB188" s="2286"/>
      <c r="BC188" s="2286"/>
      <c r="BD188" s="2805"/>
      <c r="BE188" s="30"/>
      <c r="BF188" s="30"/>
      <c r="BG188" s="2335"/>
      <c r="BH188" s="30"/>
      <c r="BI188" s="30"/>
      <c r="BJ188" s="2405" t="str">
        <f t="shared" ref="BJ188:BJ206" si="565">BJ155</f>
        <v>Generation Turbine 49.9 MW</v>
      </c>
      <c r="BK188" s="2406">
        <f t="array" ref="BK188:BK209">TRANSPOSE('Plant Type Assumptions'!D7:AA7)</f>
        <v>49.9</v>
      </c>
      <c r="BL188" s="4274">
        <f t="array" ref="BL188:BL209">TRANSPOSE('Plant Type Assumptions'!D8:AA8)</f>
        <v>3.4000000000000002E-2</v>
      </c>
      <c r="BM188" s="2407">
        <f>'General Assumptions'!$D$15</f>
        <v>5.0000000000000001E-3</v>
      </c>
      <c r="BN188" s="2408">
        <f t="array" ref="BN188:BN209">TRANSPOSE('Plant Type Assumptions'!D45:AA45)</f>
        <v>2.7199999999999998E-2</v>
      </c>
      <c r="BO188" s="4275">
        <f t="array" ref="BO188:BO209">TRANSPOSE('Plant Type Assumptions'!D46:AA46)</f>
        <v>5.5599999999999997E-2</v>
      </c>
      <c r="BP188" s="4276">
        <f t="array" ref="BP188:BP209">TRANSPOSE('Plant Type Assumptions'!D40:AA40)</f>
        <v>0.05</v>
      </c>
      <c r="BQ188" s="4277">
        <f t="array" ref="BQ188:BQ209">TRANSPOSE('Plant Type Assumptions'!D19:AA19)</f>
        <v>10585</v>
      </c>
      <c r="BR188" s="4278">
        <f t="array" ref="BR188:BR209">TRANSPOSE('Plant Type Assumptions'!D9:AA9)</f>
        <v>5.5000000000000003E-4</v>
      </c>
      <c r="BS188" s="4279">
        <f t="array" ref="BS188:BS209">TRANSPOSE('Plant Type Assumptions'!D22:AA22)</f>
        <v>5.5000000000000003E-4</v>
      </c>
      <c r="BT188" s="3904">
        <f t="array" ref="BT188:BT207">TRANSPOSE('Plant Type Assumptions'!D79:V79)</f>
        <v>6.528423328497528E-3</v>
      </c>
      <c r="BU188" s="2409">
        <f t="array" ref="BU188:BX209">TRANSPOSE('Plant Type Assumptions'!D203:AA206)</f>
        <v>1.9109589041095891</v>
      </c>
      <c r="BV188" s="4280">
        <v>0.36986301369863012</v>
      </c>
      <c r="BW188" s="4280">
        <v>2.5205479452054789</v>
      </c>
      <c r="BX188" s="4281">
        <v>1239.2918</v>
      </c>
      <c r="BY188" s="4280">
        <f t="array" ref="BY188:BZ209">TRANSPOSE('Plant Type Assumptions'!D210:AA211)</f>
        <v>8.9041095890410954E-2</v>
      </c>
      <c r="BZ188" s="3566">
        <v>0.91780821917808209</v>
      </c>
      <c r="CB188" s="2332"/>
      <c r="DS188" s="2330"/>
      <c r="DT188" s="2330"/>
      <c r="DU188" s="2330"/>
      <c r="DV188" s="2330"/>
      <c r="DW188" s="2330"/>
      <c r="DX188" s="2330"/>
      <c r="DY188" s="2330"/>
      <c r="DZ188" s="2330"/>
      <c r="EA188" s="2330"/>
      <c r="EB188" s="2330"/>
      <c r="EC188" s="2330"/>
      <c r="ED188" s="2330"/>
      <c r="EE188" s="2330"/>
      <c r="EF188" s="2330"/>
      <c r="EY188" s="2330"/>
      <c r="EZ188" s="2330"/>
      <c r="FA188" s="2330"/>
      <c r="FB188" s="2330"/>
      <c r="FC188" s="2330"/>
      <c r="FD188" s="2330"/>
      <c r="FE188" s="2330"/>
      <c r="FF188" s="2330"/>
      <c r="FG188" s="2330"/>
      <c r="FH188" s="2330"/>
      <c r="FI188" s="2330"/>
      <c r="FJ188" s="2330"/>
      <c r="FK188" s="2330"/>
    </row>
    <row r="189" spans="1:167">
      <c r="A189" s="9"/>
      <c r="B189" s="9"/>
      <c r="C189" s="9"/>
      <c r="D189" s="9"/>
      <c r="E189" s="9"/>
      <c r="F189" s="9"/>
      <c r="G189" s="9"/>
      <c r="H189" s="9"/>
      <c r="I189" s="9"/>
      <c r="J189" s="9"/>
      <c r="K189" s="9"/>
      <c r="L189" s="9"/>
      <c r="M189" s="9"/>
      <c r="N189" s="9"/>
      <c r="O189" s="9"/>
      <c r="P189" s="9"/>
      <c r="Q189" s="9"/>
      <c r="R189" s="9"/>
      <c r="S189" s="9"/>
      <c r="T189" s="2332"/>
      <c r="U189" s="9"/>
      <c r="V189" s="3700" t="str">
        <f t="shared" ref="V189:V192" si="566">V156</f>
        <v>Generation Turbine 100 MW</v>
      </c>
      <c r="W189" s="3701">
        <v>100</v>
      </c>
      <c r="X189" s="3702">
        <v>3.4000000000000002E-2</v>
      </c>
      <c r="Y189" s="3705">
        <f>'General Assumptions'!$D$15</f>
        <v>5.0000000000000001E-3</v>
      </c>
      <c r="Z189" s="3703">
        <v>3.1800000000000002E-2</v>
      </c>
      <c r="AA189" s="3702">
        <v>4.1300000000000003E-2</v>
      </c>
      <c r="AB189" s="3703">
        <v>0.05</v>
      </c>
      <c r="AC189" s="3873">
        <v>10585</v>
      </c>
      <c r="AD189" s="3870">
        <v>5.5000000000000003E-4</v>
      </c>
      <c r="AE189" s="3704">
        <v>5.5000000000000003E-4</v>
      </c>
      <c r="AF189" s="3705">
        <v>9.6867686685003819E-3</v>
      </c>
      <c r="AG189" s="3867">
        <v>1.9109589041095891</v>
      </c>
      <c r="AH189" s="3854">
        <v>0.36986301369863012</v>
      </c>
      <c r="AI189" s="3854">
        <v>2.5205479452054789</v>
      </c>
      <c r="AJ189" s="3855">
        <v>1239.2918</v>
      </c>
      <c r="AK189" s="3854">
        <v>8.9041095890410954E-2</v>
      </c>
      <c r="AL189" s="3699">
        <v>0.91780821917808209</v>
      </c>
      <c r="AU189" s="2286"/>
      <c r="AV189" s="2286"/>
      <c r="AW189" s="2286"/>
      <c r="AX189" s="2287"/>
      <c r="AY189" s="2287"/>
      <c r="AZ189" s="2287"/>
      <c r="BA189" s="2287"/>
      <c r="BB189" s="2286"/>
      <c r="BC189" s="2286"/>
      <c r="BD189" s="2805"/>
      <c r="BE189" s="30"/>
      <c r="BF189" s="30"/>
      <c r="BG189" s="2335"/>
      <c r="BH189" s="30"/>
      <c r="BI189" s="30"/>
      <c r="BJ189" s="3549" t="str">
        <f t="shared" si="565"/>
        <v>Generation Turbine 100 MW</v>
      </c>
      <c r="BK189" s="3567">
        <v>100</v>
      </c>
      <c r="BL189" s="3568">
        <v>3.4000000000000002E-2</v>
      </c>
      <c r="BM189" s="2407">
        <f>'General Assumptions'!$D$15</f>
        <v>5.0000000000000001E-3</v>
      </c>
      <c r="BN189" s="3569">
        <v>3.1800000000000002E-2</v>
      </c>
      <c r="BO189" s="3570">
        <v>4.1300000000000003E-2</v>
      </c>
      <c r="BP189" s="3571">
        <v>0.05</v>
      </c>
      <c r="BQ189" s="3572">
        <v>10585</v>
      </c>
      <c r="BR189" s="3573">
        <v>5.5000000000000003E-4</v>
      </c>
      <c r="BS189" s="3574">
        <v>5.5000000000000003E-4</v>
      </c>
      <c r="BT189" s="2407">
        <v>9.6867686685003819E-3</v>
      </c>
      <c r="BU189" s="3575">
        <v>1.9109589041095891</v>
      </c>
      <c r="BV189" s="3576">
        <v>0.36986301369863012</v>
      </c>
      <c r="BW189" s="3576">
        <v>2.5205479452054789</v>
      </c>
      <c r="BX189" s="3577">
        <v>1239.2918</v>
      </c>
      <c r="BY189" s="3576">
        <v>8.9041095890410954E-2</v>
      </c>
      <c r="BZ189" s="3566">
        <v>0.91780821917808209</v>
      </c>
      <c r="CB189" s="2332"/>
      <c r="DS189" s="2330"/>
      <c r="DT189" s="2330"/>
      <c r="DU189" s="2330"/>
      <c r="DV189" s="2330"/>
      <c r="DW189" s="2330"/>
      <c r="DX189" s="2330"/>
      <c r="DY189" s="2330"/>
      <c r="DZ189" s="2330"/>
      <c r="EA189" s="2330"/>
      <c r="EB189" s="2330"/>
      <c r="EC189" s="2330"/>
      <c r="ED189" s="2330"/>
      <c r="EE189" s="2330"/>
      <c r="EF189" s="2330"/>
      <c r="EY189" s="2330"/>
      <c r="EZ189" s="2330"/>
      <c r="FA189" s="2330"/>
      <c r="FB189" s="2330"/>
      <c r="FC189" s="2330"/>
      <c r="FD189" s="2330"/>
      <c r="FE189" s="2330"/>
      <c r="FF189" s="2330"/>
      <c r="FG189" s="2330"/>
      <c r="FH189" s="2330"/>
      <c r="FI189" s="2330"/>
      <c r="FJ189" s="2330"/>
      <c r="FK189" s="2330"/>
    </row>
    <row r="190" spans="1:167">
      <c r="A190" s="9"/>
      <c r="B190" s="9"/>
      <c r="C190" s="9"/>
      <c r="D190" s="9"/>
      <c r="E190" s="9"/>
      <c r="F190" s="9"/>
      <c r="G190" s="9"/>
      <c r="H190" s="9"/>
      <c r="I190" s="9"/>
      <c r="J190" s="9"/>
      <c r="K190" s="9"/>
      <c r="L190" s="9"/>
      <c r="M190" s="9"/>
      <c r="N190" s="9"/>
      <c r="O190" s="9"/>
      <c r="P190" s="9"/>
      <c r="Q190" s="9"/>
      <c r="R190" s="9"/>
      <c r="S190" s="9"/>
      <c r="T190" s="2332"/>
      <c r="U190" s="9"/>
      <c r="V190" s="3700" t="str">
        <f t="shared" si="566"/>
        <v>Generation Turbine - Advanced 200 MW</v>
      </c>
      <c r="W190" s="3701">
        <v>200</v>
      </c>
      <c r="X190" s="3702">
        <v>3.4000000000000002E-2</v>
      </c>
      <c r="Y190" s="3705">
        <f>'General Assumptions'!$D$15</f>
        <v>5.0000000000000001E-3</v>
      </c>
      <c r="Z190" s="3703">
        <v>3.1800000000000002E-2</v>
      </c>
      <c r="AA190" s="3702">
        <v>4.1300000000000003E-2</v>
      </c>
      <c r="AB190" s="3703">
        <v>7.5000000000000011E-2</v>
      </c>
      <c r="AC190" s="3873">
        <v>9880</v>
      </c>
      <c r="AD190" s="3870">
        <v>8.1999999999999998E-4</v>
      </c>
      <c r="AE190" s="3704">
        <v>8.1999999999999998E-4</v>
      </c>
      <c r="AF190" s="3705">
        <v>2.1744186812078727E-3</v>
      </c>
      <c r="AG190" s="3867">
        <v>0.45205479452054786</v>
      </c>
      <c r="AH190" s="3854">
        <v>0.14155251141552508</v>
      </c>
      <c r="AI190" s="3854">
        <v>0.86757990867579893</v>
      </c>
      <c r="AJ190" s="3855">
        <v>1156.7503999999999</v>
      </c>
      <c r="AK190" s="3854">
        <v>3.6529680365296802E-2</v>
      </c>
      <c r="AL190" s="3699">
        <v>0.28310502283105016</v>
      </c>
      <c r="AU190" s="2286"/>
      <c r="AV190" s="2286"/>
      <c r="AW190" s="2286"/>
      <c r="AX190" s="2287"/>
      <c r="AY190" s="2287"/>
      <c r="AZ190" s="2287"/>
      <c r="BA190" s="2287"/>
      <c r="BB190" s="2286"/>
      <c r="BC190" s="2286"/>
      <c r="BD190" s="2805"/>
      <c r="BE190" s="30"/>
      <c r="BF190" s="30"/>
      <c r="BG190" s="2335"/>
      <c r="BH190" s="30"/>
      <c r="BI190" s="30"/>
      <c r="BJ190" s="3549" t="str">
        <f t="shared" si="565"/>
        <v>Generation Turbine - Advanced 200 MW</v>
      </c>
      <c r="BK190" s="3567">
        <v>200</v>
      </c>
      <c r="BL190" s="3568">
        <v>3.4000000000000002E-2</v>
      </c>
      <c r="BM190" s="2407">
        <f>'General Assumptions'!$D$15</f>
        <v>5.0000000000000001E-3</v>
      </c>
      <c r="BN190" s="3569">
        <v>3.1800000000000002E-2</v>
      </c>
      <c r="BO190" s="3570">
        <v>4.1300000000000003E-2</v>
      </c>
      <c r="BP190" s="3571">
        <v>7.5000000000000011E-2</v>
      </c>
      <c r="BQ190" s="3572">
        <v>9880</v>
      </c>
      <c r="BR190" s="3573">
        <v>8.1999999999999998E-4</v>
      </c>
      <c r="BS190" s="3574">
        <v>8.1999999999999998E-4</v>
      </c>
      <c r="BT190" s="2407">
        <v>2.1744186812078727E-3</v>
      </c>
      <c r="BU190" s="3575">
        <v>0.45205479452054786</v>
      </c>
      <c r="BV190" s="3576">
        <v>0.14155251141552508</v>
      </c>
      <c r="BW190" s="3576">
        <v>0.86757990867579893</v>
      </c>
      <c r="BX190" s="3577">
        <v>1156.7503999999999</v>
      </c>
      <c r="BY190" s="3576">
        <v>3.6529680365296802E-2</v>
      </c>
      <c r="BZ190" s="3566">
        <v>0.28310502283105016</v>
      </c>
      <c r="CB190" s="2332"/>
      <c r="DS190" s="2330"/>
      <c r="DT190" s="2330"/>
      <c r="DU190" s="2330"/>
      <c r="DV190" s="2330"/>
      <c r="DW190" s="2330"/>
      <c r="DX190" s="2330"/>
      <c r="DY190" s="2330"/>
      <c r="DZ190" s="2330"/>
      <c r="EA190" s="2330"/>
      <c r="EB190" s="2330"/>
      <c r="EC190" s="2330"/>
      <c r="ED190" s="2330"/>
      <c r="EE190" s="2330"/>
      <c r="EF190" s="2330"/>
      <c r="EY190" s="2330"/>
      <c r="EZ190" s="2330"/>
      <c r="FA190" s="2330"/>
      <c r="FB190" s="2330"/>
      <c r="FC190" s="2330"/>
      <c r="FD190" s="2330"/>
      <c r="FE190" s="2330"/>
      <c r="FF190" s="2330"/>
      <c r="FG190" s="2330"/>
      <c r="FH190" s="2330"/>
      <c r="FI190" s="2330"/>
      <c r="FJ190" s="2330"/>
      <c r="FK190" s="2330"/>
    </row>
    <row r="191" spans="1:167">
      <c r="A191" s="9"/>
      <c r="B191" s="9"/>
      <c r="C191" s="9"/>
      <c r="D191" s="9"/>
      <c r="E191" s="9"/>
      <c r="F191" s="9"/>
      <c r="G191" s="9"/>
      <c r="H191" s="9"/>
      <c r="I191" s="9"/>
      <c r="J191" s="9"/>
      <c r="K191" s="9"/>
      <c r="L191" s="9"/>
      <c r="M191" s="9"/>
      <c r="N191" s="9"/>
      <c r="O191" s="9"/>
      <c r="P191" s="9"/>
      <c r="Q191" s="9"/>
      <c r="R191" s="9"/>
      <c r="S191" s="9"/>
      <c r="T191" s="2332"/>
      <c r="U191" s="9"/>
      <c r="V191" s="3700" t="str">
        <f t="shared" si="566"/>
        <v>Combined Cycle - 2 CTs No Duct Firing 500 MW</v>
      </c>
      <c r="W191" s="3701">
        <v>500</v>
      </c>
      <c r="X191" s="3702">
        <v>2.9000000000000001E-2</v>
      </c>
      <c r="Y191" s="3705">
        <f>'General Assumptions'!$D$15</f>
        <v>5.0000000000000001E-3</v>
      </c>
      <c r="Z191" s="3705">
        <v>6.0199999999999997E-2</v>
      </c>
      <c r="AA191" s="3702">
        <v>2.24E-2</v>
      </c>
      <c r="AB191" s="3703">
        <v>0.56999999999999995</v>
      </c>
      <c r="AC191" s="3873">
        <v>7250</v>
      </c>
      <c r="AD191" s="3870">
        <v>1.7799999999999999E-3</v>
      </c>
      <c r="AE191" s="3704">
        <v>1.7799999999999999E-3</v>
      </c>
      <c r="AF191" s="3705">
        <v>9.2784271321233187E-4</v>
      </c>
      <c r="AG191" s="3867">
        <v>0.11052631578947372</v>
      </c>
      <c r="AH191" s="3854">
        <v>3.7894736842105266E-2</v>
      </c>
      <c r="AI191" s="3854">
        <v>0.328421052631579</v>
      </c>
      <c r="AJ191" s="3855">
        <v>848.83</v>
      </c>
      <c r="AK191" s="3854">
        <v>7.8947368421052651E-3</v>
      </c>
      <c r="AL191" s="3699">
        <v>5.8421052631578943E-2</v>
      </c>
      <c r="AU191" s="2286"/>
      <c r="AV191" s="2286"/>
      <c r="AW191" s="2286"/>
      <c r="AX191" s="2287"/>
      <c r="AY191" s="2287"/>
      <c r="AZ191" s="2287"/>
      <c r="BA191" s="2287"/>
      <c r="BB191" s="2286"/>
      <c r="BC191" s="2286"/>
      <c r="BD191" s="2805"/>
      <c r="BE191" s="30"/>
      <c r="BF191" s="30"/>
      <c r="BG191" s="2335"/>
      <c r="BH191" s="30"/>
      <c r="BI191" s="30"/>
      <c r="BJ191" s="3549" t="str">
        <f t="shared" si="565"/>
        <v>Combined Cycle - 2 CTs No Duct Firing 500 MW</v>
      </c>
      <c r="BK191" s="3567">
        <v>500</v>
      </c>
      <c r="BL191" s="3568">
        <v>2.9000000000000001E-2</v>
      </c>
      <c r="BM191" s="2407">
        <f>'General Assumptions'!$D$15</f>
        <v>5.0000000000000001E-3</v>
      </c>
      <c r="BN191" s="2408">
        <v>6.0199999999999997E-2</v>
      </c>
      <c r="BO191" s="4275">
        <v>2.24E-2</v>
      </c>
      <c r="BP191" s="4276">
        <v>0.56999999999999995</v>
      </c>
      <c r="BQ191" s="4277">
        <v>7250</v>
      </c>
      <c r="BR191" s="4278">
        <v>1.7799999999999999E-3</v>
      </c>
      <c r="BS191" s="4279">
        <v>1.7799999999999999E-3</v>
      </c>
      <c r="BT191" s="2407">
        <v>9.2784271321233187E-4</v>
      </c>
      <c r="BU191" s="2409">
        <v>0.11052631578947372</v>
      </c>
      <c r="BV191" s="4280">
        <v>3.7894736842105266E-2</v>
      </c>
      <c r="BW191" s="4280">
        <v>0.328421052631579</v>
      </c>
      <c r="BX191" s="4281">
        <v>848.83</v>
      </c>
      <c r="BY191" s="3576">
        <v>7.8947368421052651E-3</v>
      </c>
      <c r="BZ191" s="3566">
        <v>5.8421052631578943E-2</v>
      </c>
      <c r="CB191" s="2332"/>
      <c r="DS191" s="2330"/>
      <c r="DT191" s="2330"/>
      <c r="DU191" s="2330"/>
      <c r="DV191" s="2330"/>
      <c r="DW191" s="2330"/>
      <c r="DX191" s="2330"/>
      <c r="DY191" s="2330"/>
      <c r="DZ191" s="2330"/>
      <c r="EA191" s="2330"/>
      <c r="EB191" s="2330"/>
      <c r="EC191" s="2330"/>
      <c r="ED191" s="2330"/>
      <c r="EE191" s="2330"/>
      <c r="EF191" s="2330"/>
      <c r="EY191" s="2330"/>
      <c r="EZ191" s="2330"/>
      <c r="FA191" s="2330"/>
      <c r="FB191" s="2330"/>
      <c r="FC191" s="2330"/>
      <c r="FD191" s="2330"/>
      <c r="FE191" s="2330"/>
      <c r="FF191" s="2330"/>
      <c r="FG191" s="2330"/>
      <c r="FH191" s="2330"/>
      <c r="FI191" s="2330"/>
      <c r="FJ191" s="2330"/>
      <c r="FK191" s="2330"/>
    </row>
    <row r="192" spans="1:167" ht="13.15" customHeight="1">
      <c r="A192" s="9"/>
      <c r="B192" s="9"/>
      <c r="C192" s="9"/>
      <c r="D192" s="9"/>
      <c r="E192" s="9"/>
      <c r="F192" s="9"/>
      <c r="G192" s="9"/>
      <c r="H192" s="9"/>
      <c r="I192" s="9"/>
      <c r="J192" s="9"/>
      <c r="K192" s="9"/>
      <c r="L192" s="9"/>
      <c r="M192" s="9"/>
      <c r="N192" s="9"/>
      <c r="O192" s="9"/>
      <c r="P192" s="9"/>
      <c r="Q192" s="9"/>
      <c r="R192" s="9"/>
      <c r="S192" s="9"/>
      <c r="T192" s="2332"/>
      <c r="U192" s="9"/>
      <c r="V192" s="3700" t="str">
        <f t="shared" si="566"/>
        <v>Combined Cycle - 2 CTs With Duct Firing 550 MW</v>
      </c>
      <c r="W192" s="3701">
        <v>550</v>
      </c>
      <c r="X192" s="3702">
        <v>2.9000000000000001E-2</v>
      </c>
      <c r="Y192" s="3705">
        <f>'General Assumptions'!$D$15</f>
        <v>5.0000000000000001E-3</v>
      </c>
      <c r="Z192" s="3705">
        <v>6.0199999999999997E-2</v>
      </c>
      <c r="AA192" s="3702">
        <v>2.24E-2</v>
      </c>
      <c r="AB192" s="3703">
        <v>0.56999999999999995</v>
      </c>
      <c r="AC192" s="3873">
        <v>7250</v>
      </c>
      <c r="AD192" s="3870">
        <v>1.7799999999999999E-3</v>
      </c>
      <c r="AE192" s="3704">
        <v>1.7799999999999999E-3</v>
      </c>
      <c r="AF192" s="3705">
        <v>9.2784271321233187E-4</v>
      </c>
      <c r="AG192" s="3867">
        <v>0.12000000000000001</v>
      </c>
      <c r="AH192" s="3854">
        <v>2.8421052631578948E-2</v>
      </c>
      <c r="AI192" s="3854">
        <v>0.49736842105263168</v>
      </c>
      <c r="AJ192" s="3855">
        <v>848.83</v>
      </c>
      <c r="AK192" s="3854">
        <v>8.2894736842105271E-3</v>
      </c>
      <c r="AL192" s="3699">
        <v>6.6315789473684217E-2</v>
      </c>
      <c r="AU192" s="2286"/>
      <c r="AV192" s="2286"/>
      <c r="AW192" s="2286"/>
      <c r="AX192" s="2287"/>
      <c r="AY192" s="2287"/>
      <c r="AZ192" s="2287"/>
      <c r="BA192" s="2287"/>
      <c r="BB192" s="2286"/>
      <c r="BC192" s="2286"/>
      <c r="BD192" s="2805"/>
      <c r="BE192" s="30"/>
      <c r="BF192" s="30"/>
      <c r="BG192" s="2335"/>
      <c r="BH192" s="30"/>
      <c r="BI192" s="30"/>
      <c r="BJ192" s="3549" t="str">
        <f t="shared" si="565"/>
        <v>Combined Cycle - 2 CTs With Duct Firing 550 MW</v>
      </c>
      <c r="BK192" s="3567">
        <v>550</v>
      </c>
      <c r="BL192" s="3568">
        <v>2.9000000000000001E-2</v>
      </c>
      <c r="BM192" s="2407">
        <f>'General Assumptions'!$D$15</f>
        <v>5.0000000000000001E-3</v>
      </c>
      <c r="BN192" s="3578">
        <v>6.0199999999999997E-2</v>
      </c>
      <c r="BO192" s="3570">
        <v>2.24E-2</v>
      </c>
      <c r="BP192" s="3571">
        <v>0.56999999999999995</v>
      </c>
      <c r="BQ192" s="3572">
        <v>7250</v>
      </c>
      <c r="BR192" s="3573">
        <v>1.7799999999999999E-3</v>
      </c>
      <c r="BS192" s="3574">
        <v>1.7799999999999999E-3</v>
      </c>
      <c r="BT192" s="2407">
        <v>9.2784271321233187E-4</v>
      </c>
      <c r="BU192" s="3575">
        <v>0.12000000000000001</v>
      </c>
      <c r="BV192" s="3576">
        <v>2.8421052631578948E-2</v>
      </c>
      <c r="BW192" s="3576">
        <v>0.49736842105263168</v>
      </c>
      <c r="BX192" s="3577">
        <v>848.83</v>
      </c>
      <c r="BY192" s="3576">
        <v>8.2894736842105271E-3</v>
      </c>
      <c r="BZ192" s="3566">
        <v>6.6315789473684217E-2</v>
      </c>
      <c r="CB192" s="2332"/>
      <c r="DS192" s="2330"/>
      <c r="DT192" s="2330"/>
      <c r="DU192" s="2330"/>
      <c r="DV192" s="2330"/>
      <c r="DW192" s="2330"/>
      <c r="DX192" s="2330"/>
      <c r="DY192" s="2330"/>
      <c r="DZ192" s="2330"/>
      <c r="EA192" s="2330"/>
      <c r="EB192" s="2330"/>
      <c r="EC192" s="2330"/>
      <c r="ED192" s="2330"/>
      <c r="EE192" s="2330"/>
      <c r="EF192" s="2330"/>
      <c r="EY192" s="2330"/>
      <c r="EZ192" s="2330"/>
      <c r="FA192" s="2330"/>
      <c r="FB192" s="2330"/>
      <c r="FC192" s="2330"/>
      <c r="FD192" s="2330"/>
      <c r="FE192" s="2330"/>
      <c r="FF192" s="2330"/>
      <c r="FG192" s="2330"/>
      <c r="FH192" s="2330"/>
      <c r="FI192" s="2330"/>
      <c r="FJ192" s="2330"/>
      <c r="FK192" s="2330"/>
    </row>
    <row r="193" spans="1:167">
      <c r="A193" s="9"/>
      <c r="B193" s="9"/>
      <c r="C193" s="9"/>
      <c r="D193" s="9"/>
      <c r="E193" s="9"/>
      <c r="F193" s="9"/>
      <c r="G193" s="9"/>
      <c r="H193" s="9"/>
      <c r="I193" s="9"/>
      <c r="J193" s="9"/>
      <c r="K193" s="9"/>
      <c r="L193" s="9"/>
      <c r="M193" s="9"/>
      <c r="N193" s="9"/>
      <c r="O193" s="9"/>
      <c r="P193" s="9"/>
      <c r="Q193" s="9"/>
      <c r="R193" s="9"/>
      <c r="S193" s="9"/>
      <c r="T193" s="2332"/>
      <c r="U193" s="9"/>
      <c r="V193" s="3700" t="str">
        <f t="shared" ref="V193:V206" si="567">V160</f>
        <v>Biomass Fludized Bed Boiler 50 MW</v>
      </c>
      <c r="W193" s="3701">
        <v>50</v>
      </c>
      <c r="X193" s="3702">
        <v>0.04</v>
      </c>
      <c r="Y193" s="3705">
        <f>'General Assumptions'!$D$15</f>
        <v>5.0000000000000001E-3</v>
      </c>
      <c r="Z193" s="3705">
        <v>7.5999999999999998E-2</v>
      </c>
      <c r="AA193" s="3702">
        <v>0.09</v>
      </c>
      <c r="AB193" s="3703">
        <v>0.80700000000000005</v>
      </c>
      <c r="AC193" s="3873">
        <v>14500</v>
      </c>
      <c r="AD193" s="3870">
        <v>1E-3</v>
      </c>
      <c r="AE193" s="3704">
        <v>1.5E-3</v>
      </c>
      <c r="AF193" s="3705">
        <v>4.7104212722508705E-3</v>
      </c>
      <c r="AG193" s="3867">
        <v>7.4999999999999997E-2</v>
      </c>
      <c r="AH193" s="3854">
        <v>1.2E-2</v>
      </c>
      <c r="AI193" s="3854">
        <v>0.105</v>
      </c>
      <c r="AJ193" s="3855">
        <v>195</v>
      </c>
      <c r="AK193" s="3854">
        <v>3.4000000000000002E-2</v>
      </c>
      <c r="AL193" s="3699">
        <v>0.1</v>
      </c>
      <c r="AU193" s="2286"/>
      <c r="AV193" s="2286"/>
      <c r="AW193" s="2286"/>
      <c r="AX193" s="2287"/>
      <c r="AY193" s="2287"/>
      <c r="AZ193" s="2287"/>
      <c r="BA193" s="2287"/>
      <c r="BB193" s="2286"/>
      <c r="BC193" s="2286"/>
      <c r="BD193" s="2805"/>
      <c r="BE193" s="30"/>
      <c r="BF193" s="30"/>
      <c r="BG193" s="2335"/>
      <c r="BH193" s="30"/>
      <c r="BI193" s="30"/>
      <c r="BJ193" s="3549" t="str">
        <f t="shared" si="565"/>
        <v>Biomass Fludized Bed Boiler 50 MW</v>
      </c>
      <c r="BK193" s="3567">
        <v>50</v>
      </c>
      <c r="BL193" s="3568">
        <v>0.04</v>
      </c>
      <c r="BM193" s="2407">
        <f>'General Assumptions'!$D$15</f>
        <v>5.0000000000000001E-3</v>
      </c>
      <c r="BN193" s="3578">
        <v>7.5999999999999998E-2</v>
      </c>
      <c r="BO193" s="3570">
        <v>0.09</v>
      </c>
      <c r="BP193" s="3571">
        <v>0.80700000000000005</v>
      </c>
      <c r="BQ193" s="3572">
        <v>14500</v>
      </c>
      <c r="BR193" s="3573">
        <v>1E-3</v>
      </c>
      <c r="BS193" s="3574">
        <v>1.5E-3</v>
      </c>
      <c r="BT193" s="2407">
        <v>4.7104212722508705E-3</v>
      </c>
      <c r="BU193" s="3575">
        <v>7.4999999999999997E-2</v>
      </c>
      <c r="BV193" s="3576">
        <v>1.2E-2</v>
      </c>
      <c r="BW193" s="3576">
        <v>0.105</v>
      </c>
      <c r="BX193" s="3577">
        <v>195</v>
      </c>
      <c r="BY193" s="3576">
        <v>3.4000000000000002E-2</v>
      </c>
      <c r="BZ193" s="3566">
        <v>0.1</v>
      </c>
      <c r="CB193" s="2332"/>
      <c r="DS193" s="2330"/>
      <c r="DT193" s="2330"/>
      <c r="DU193" s="2330"/>
      <c r="DV193" s="2330"/>
      <c r="DW193" s="2330"/>
      <c r="DX193" s="2330"/>
      <c r="DY193" s="2330"/>
      <c r="DZ193" s="2330"/>
      <c r="EA193" s="2330"/>
      <c r="EB193" s="2330"/>
      <c r="EC193" s="2330"/>
      <c r="ED193" s="2330"/>
      <c r="EE193" s="2330"/>
      <c r="EF193" s="2330"/>
      <c r="EY193" s="2330"/>
      <c r="EZ193" s="2330"/>
      <c r="FA193" s="2330"/>
      <c r="FB193" s="2330"/>
      <c r="FC193" s="2330"/>
      <c r="FD193" s="2330"/>
      <c r="FE193" s="2330"/>
      <c r="FF193" s="2330"/>
      <c r="FG193" s="2330"/>
      <c r="FH193" s="2330"/>
      <c r="FI193" s="2330"/>
      <c r="FJ193" s="2330"/>
      <c r="FK193" s="2330"/>
    </row>
    <row r="194" spans="1:167">
      <c r="A194" s="9"/>
      <c r="B194" s="9"/>
      <c r="C194" s="9"/>
      <c r="D194" s="9"/>
      <c r="E194" s="9"/>
      <c r="F194" s="9"/>
      <c r="G194" s="9"/>
      <c r="H194" s="9"/>
      <c r="I194" s="9"/>
      <c r="J194" s="9"/>
      <c r="K194" s="9"/>
      <c r="L194" s="9"/>
      <c r="M194" s="9"/>
      <c r="N194" s="9"/>
      <c r="O194" s="9"/>
      <c r="P194" s="9"/>
      <c r="Q194" s="9"/>
      <c r="R194" s="9"/>
      <c r="S194" s="9"/>
      <c r="T194" s="2332"/>
      <c r="U194" s="9"/>
      <c r="V194" s="3700" t="str">
        <f t="shared" si="567"/>
        <v>Geothermal  Binary 30 MW</v>
      </c>
      <c r="W194" s="3701">
        <v>30</v>
      </c>
      <c r="X194" s="3706">
        <v>0.115</v>
      </c>
      <c r="Y194" s="3705">
        <f>'General Assumptions'!$D$15</f>
        <v>5.0000000000000001E-3</v>
      </c>
      <c r="Z194" s="3703">
        <v>0.04</v>
      </c>
      <c r="AA194" s="3706">
        <v>2.5000000000000001E-2</v>
      </c>
      <c r="AB194" s="3703">
        <v>0.85</v>
      </c>
      <c r="AC194" s="3874">
        <v>34376.5</v>
      </c>
      <c r="AD194" s="3871">
        <v>5.0000000000000001E-3</v>
      </c>
      <c r="AE194" s="3707">
        <v>0.03</v>
      </c>
      <c r="AF194" s="3705">
        <v>9.420842544501741E-3</v>
      </c>
      <c r="AG194" s="3867">
        <v>0</v>
      </c>
      <c r="AH194" s="3854">
        <v>0</v>
      </c>
      <c r="AI194" s="3854">
        <v>0</v>
      </c>
      <c r="AJ194" s="3855">
        <v>0</v>
      </c>
      <c r="AK194" s="3854">
        <v>0</v>
      </c>
      <c r="AL194" s="3699">
        <v>0</v>
      </c>
      <c r="AU194" s="30"/>
      <c r="AV194" s="30"/>
      <c r="AW194" s="30"/>
      <c r="AX194" s="30"/>
      <c r="AY194" s="30"/>
      <c r="AZ194" s="30"/>
      <c r="BA194" s="30"/>
      <c r="BB194" s="30"/>
      <c r="BC194" s="30"/>
      <c r="BD194" s="2805"/>
      <c r="BE194" s="30"/>
      <c r="BF194" s="30"/>
      <c r="BG194" s="2335"/>
      <c r="BH194" s="30"/>
      <c r="BI194" s="30"/>
      <c r="BJ194" s="3549" t="str">
        <f t="shared" si="565"/>
        <v>Geothermal  Binary 30 MW</v>
      </c>
      <c r="BK194" s="3567">
        <v>30</v>
      </c>
      <c r="BL194" s="3579">
        <v>0.115</v>
      </c>
      <c r="BM194" s="2407">
        <f>'General Assumptions'!$D$15</f>
        <v>5.0000000000000001E-3</v>
      </c>
      <c r="BN194" s="3569">
        <v>0.04</v>
      </c>
      <c r="BO194" s="3580">
        <v>2.5000000000000001E-2</v>
      </c>
      <c r="BP194" s="3571">
        <v>0.85</v>
      </c>
      <c r="BQ194" s="3581">
        <v>34376.5</v>
      </c>
      <c r="BR194" s="3568">
        <v>5.0000000000000001E-3</v>
      </c>
      <c r="BS194" s="3582">
        <v>0.03</v>
      </c>
      <c r="BT194" s="2407">
        <v>9.420842544501741E-3</v>
      </c>
      <c r="BU194" s="3575">
        <v>0</v>
      </c>
      <c r="BV194" s="3576">
        <v>0</v>
      </c>
      <c r="BW194" s="3576">
        <v>0</v>
      </c>
      <c r="BX194" s="3577">
        <v>0</v>
      </c>
      <c r="BY194" s="3576">
        <v>0</v>
      </c>
      <c r="BZ194" s="3566">
        <v>0</v>
      </c>
      <c r="CB194" s="2332"/>
      <c r="DS194" s="2330"/>
      <c r="DT194" s="2330"/>
      <c r="DU194" s="2330"/>
      <c r="DV194" s="2330"/>
      <c r="DW194" s="2330"/>
      <c r="DX194" s="2330"/>
      <c r="DY194" s="2330"/>
      <c r="DZ194" s="2330"/>
      <c r="EA194" s="2330"/>
      <c r="EB194" s="2330"/>
      <c r="EC194" s="2330"/>
      <c r="ED194" s="2330"/>
      <c r="EE194" s="2330"/>
      <c r="EF194" s="2330"/>
      <c r="EY194" s="2330"/>
      <c r="EZ194" s="2330"/>
      <c r="FA194" s="2330"/>
      <c r="FB194" s="2330"/>
      <c r="FC194" s="2330"/>
      <c r="FD194" s="2330"/>
      <c r="FE194" s="2330"/>
      <c r="FF194" s="2330"/>
      <c r="FG194" s="2330"/>
      <c r="FH194" s="2330"/>
      <c r="FI194" s="2330"/>
      <c r="FJ194" s="2330"/>
      <c r="FK194" s="2330"/>
    </row>
    <row r="195" spans="1:167">
      <c r="A195" s="9"/>
      <c r="B195" s="9"/>
      <c r="C195" s="9"/>
      <c r="D195" s="9"/>
      <c r="E195" s="9"/>
      <c r="F195" s="9"/>
      <c r="G195" s="9"/>
      <c r="H195" s="9"/>
      <c r="I195" s="9"/>
      <c r="J195" s="9"/>
      <c r="K195" s="9"/>
      <c r="L195" s="9"/>
      <c r="M195" s="9"/>
      <c r="N195" s="9"/>
      <c r="O195" s="9"/>
      <c r="P195" s="9"/>
      <c r="Q195" s="9"/>
      <c r="R195" s="9"/>
      <c r="S195" s="9"/>
      <c r="T195" s="2332"/>
      <c r="U195" s="9"/>
      <c r="V195" s="3700" t="str">
        <f t="shared" si="567"/>
        <v>Geothermal  Flash 30 MW</v>
      </c>
      <c r="W195" s="3701">
        <v>30</v>
      </c>
      <c r="X195" s="3706">
        <v>0.17</v>
      </c>
      <c r="Y195" s="3705">
        <f>'General Assumptions'!$D$15</f>
        <v>5.0000000000000001E-3</v>
      </c>
      <c r="Z195" s="3703">
        <v>0.04</v>
      </c>
      <c r="AA195" s="3706">
        <v>2.5000000000000001E-2</v>
      </c>
      <c r="AB195" s="3703">
        <v>0.85</v>
      </c>
      <c r="AC195" s="3874">
        <v>34376.5</v>
      </c>
      <c r="AD195" s="3871">
        <v>5.0000000000000001E-3</v>
      </c>
      <c r="AE195" s="3707">
        <v>0.03</v>
      </c>
      <c r="AF195" s="3705">
        <v>9.420842544501741E-3</v>
      </c>
      <c r="AG195" s="3867">
        <v>0.191</v>
      </c>
      <c r="AH195" s="3854">
        <v>1.0999999999999999E-2</v>
      </c>
      <c r="AI195" s="3854">
        <v>5.8000000000000003E-2</v>
      </c>
      <c r="AJ195" s="3855">
        <v>264.51600000000002</v>
      </c>
      <c r="AK195" s="3854">
        <v>2.5999999999999999E-2</v>
      </c>
      <c r="AL195" s="3699">
        <v>0</v>
      </c>
      <c r="AU195" s="2270"/>
      <c r="AV195" s="2270"/>
      <c r="AW195" s="2270"/>
      <c r="AX195" s="2270"/>
      <c r="AY195" s="2270"/>
      <c r="AZ195" s="2270"/>
      <c r="BA195" s="2270"/>
      <c r="BB195" s="2270"/>
      <c r="BC195" s="2270"/>
      <c r="BD195" s="2805"/>
      <c r="BE195" s="30"/>
      <c r="BF195" s="30"/>
      <c r="BG195" s="2335"/>
      <c r="BH195" s="30"/>
      <c r="BI195" s="30"/>
      <c r="BJ195" s="3549" t="str">
        <f t="shared" si="565"/>
        <v>Geothermal  Flash 30 MW</v>
      </c>
      <c r="BK195" s="3567">
        <v>30</v>
      </c>
      <c r="BL195" s="3579">
        <v>0.17</v>
      </c>
      <c r="BM195" s="2407">
        <f>'General Assumptions'!$D$15</f>
        <v>5.0000000000000001E-3</v>
      </c>
      <c r="BN195" s="3569">
        <v>0.04</v>
      </c>
      <c r="BO195" s="3580">
        <v>2.5000000000000001E-2</v>
      </c>
      <c r="BP195" s="3571">
        <v>0.85</v>
      </c>
      <c r="BQ195" s="3581">
        <v>34376.5</v>
      </c>
      <c r="BR195" s="3568">
        <v>5.0000000000000001E-3</v>
      </c>
      <c r="BS195" s="3582">
        <v>0.03</v>
      </c>
      <c r="BT195" s="2407">
        <v>9.420842544501741E-3</v>
      </c>
      <c r="BU195" s="3575">
        <v>0.191</v>
      </c>
      <c r="BV195" s="3576">
        <v>1.0999999999999999E-2</v>
      </c>
      <c r="BW195" s="3576">
        <v>5.8000000000000003E-2</v>
      </c>
      <c r="BX195" s="3577">
        <v>264.51600000000002</v>
      </c>
      <c r="BY195" s="3576">
        <v>2.5999999999999999E-2</v>
      </c>
      <c r="BZ195" s="3566">
        <v>0</v>
      </c>
      <c r="CB195" s="2332"/>
      <c r="DS195" s="2330"/>
      <c r="DT195" s="2330"/>
      <c r="DU195" s="2330"/>
      <c r="DV195" s="2330"/>
      <c r="DW195" s="2330"/>
      <c r="DX195" s="2330"/>
      <c r="DY195" s="2330"/>
      <c r="DZ195" s="2330"/>
      <c r="EA195" s="2330"/>
      <c r="EB195" s="2330"/>
      <c r="EC195" s="2330"/>
      <c r="ED195" s="2330"/>
      <c r="EE195" s="2330"/>
      <c r="EF195" s="2330"/>
      <c r="EY195" s="2330"/>
      <c r="EZ195" s="2330"/>
      <c r="FA195" s="2330"/>
      <c r="FB195" s="2330"/>
      <c r="FC195" s="2330"/>
      <c r="FD195" s="2330"/>
      <c r="FE195" s="2330"/>
      <c r="FF195" s="2330"/>
      <c r="FG195" s="2330"/>
      <c r="FH195" s="2330"/>
      <c r="FI195" s="2330"/>
      <c r="FJ195" s="2330"/>
      <c r="FK195" s="2330"/>
    </row>
    <row r="196" spans="1:167">
      <c r="A196" s="9"/>
      <c r="B196" s="9"/>
      <c r="C196" s="9"/>
      <c r="D196" s="9"/>
      <c r="E196" s="9"/>
      <c r="F196" s="9"/>
      <c r="G196" s="9"/>
      <c r="H196" s="9"/>
      <c r="I196" s="9"/>
      <c r="J196" s="9"/>
      <c r="K196" s="9"/>
      <c r="L196" s="9"/>
      <c r="M196" s="9"/>
      <c r="N196" s="9"/>
      <c r="O196" s="9"/>
      <c r="P196" s="9"/>
      <c r="Q196" s="9"/>
      <c r="R196" s="9"/>
      <c r="S196" s="9"/>
      <c r="T196" s="2332"/>
      <c r="U196" s="9"/>
      <c r="V196" s="3700" t="str">
        <f t="shared" si="567"/>
        <v>Solar Parabolic Trough W/O Storage 250 MW</v>
      </c>
      <c r="W196" s="3701">
        <v>250</v>
      </c>
      <c r="X196" s="3706">
        <v>0.1071</v>
      </c>
      <c r="Y196" s="3705">
        <f>'General Assumptions'!$D$15</f>
        <v>5.0000000000000001E-3</v>
      </c>
      <c r="Z196" s="3703">
        <v>0.02</v>
      </c>
      <c r="AA196" s="3706">
        <v>0.06</v>
      </c>
      <c r="AB196" s="3703">
        <v>0.26500000000000001</v>
      </c>
      <c r="AC196" s="3874" t="str">
        <v/>
      </c>
      <c r="AD196" s="3871">
        <v>5.0000000000000001E-3</v>
      </c>
      <c r="AE196" s="3707">
        <v>0</v>
      </c>
      <c r="AF196" s="3705">
        <v>2.1744186812078727E-3</v>
      </c>
      <c r="AG196" s="3867">
        <v>0</v>
      </c>
      <c r="AH196" s="3854">
        <v>0</v>
      </c>
      <c r="AI196" s="3854">
        <v>0</v>
      </c>
      <c r="AJ196" s="3855">
        <v>0</v>
      </c>
      <c r="AK196" s="3854">
        <v>0</v>
      </c>
      <c r="AL196" s="3699">
        <v>0</v>
      </c>
      <c r="AU196" s="2270"/>
      <c r="AV196" s="2270"/>
      <c r="AW196" s="2270"/>
      <c r="AX196" s="2270"/>
      <c r="AY196" s="2270"/>
      <c r="AZ196" s="2270"/>
      <c r="BA196" s="2270"/>
      <c r="BB196" s="2270"/>
      <c r="BC196" s="2270"/>
      <c r="BD196" s="2805"/>
      <c r="BE196" s="30"/>
      <c r="BF196" s="30"/>
      <c r="BG196" s="2335"/>
      <c r="BH196" s="30"/>
      <c r="BI196" s="30"/>
      <c r="BJ196" s="3549" t="str">
        <f t="shared" si="565"/>
        <v>Solar Parabolic Trough W/O Storage 250 MW</v>
      </c>
      <c r="BK196" s="3567">
        <v>250</v>
      </c>
      <c r="BL196" s="3579">
        <v>0.1071</v>
      </c>
      <c r="BM196" s="2407">
        <f>'General Assumptions'!$D$15</f>
        <v>5.0000000000000001E-3</v>
      </c>
      <c r="BN196" s="3569">
        <v>0.02</v>
      </c>
      <c r="BO196" s="3580">
        <v>0.06</v>
      </c>
      <c r="BP196" s="3571">
        <v>0.26500000000000001</v>
      </c>
      <c r="BQ196" s="3581" t="str">
        <v/>
      </c>
      <c r="BR196" s="3568">
        <v>5.0000000000000001E-3</v>
      </c>
      <c r="BS196" s="3582">
        <v>0</v>
      </c>
      <c r="BT196" s="2407">
        <v>2.1744186812078727E-3</v>
      </c>
      <c r="BU196" s="3575">
        <v>0</v>
      </c>
      <c r="BV196" s="3576">
        <v>0</v>
      </c>
      <c r="BW196" s="3576">
        <v>0</v>
      </c>
      <c r="BX196" s="3577">
        <v>0</v>
      </c>
      <c r="BY196" s="3576">
        <v>0</v>
      </c>
      <c r="BZ196" s="3566">
        <v>0</v>
      </c>
      <c r="CB196" s="2332"/>
      <c r="DS196" s="2330"/>
      <c r="DT196" s="2330"/>
      <c r="DU196" s="2330"/>
      <c r="DV196" s="2330"/>
      <c r="DW196" s="2330"/>
      <c r="DX196" s="2330"/>
      <c r="DY196" s="2330"/>
      <c r="DZ196" s="2330"/>
      <c r="EA196" s="2330"/>
      <c r="EB196" s="2330"/>
      <c r="EC196" s="2330"/>
      <c r="ED196" s="2330"/>
      <c r="EE196" s="2330"/>
      <c r="EF196" s="2330"/>
      <c r="EY196" s="2330"/>
      <c r="EZ196" s="2330"/>
      <c r="FA196" s="2330"/>
      <c r="FB196" s="2330"/>
      <c r="FC196" s="2330"/>
      <c r="FD196" s="2330"/>
      <c r="FE196" s="2330"/>
      <c r="FF196" s="2330"/>
      <c r="FG196" s="2330"/>
      <c r="FH196" s="2330"/>
      <c r="FI196" s="2330"/>
      <c r="FJ196" s="2330"/>
      <c r="FK196" s="2330"/>
    </row>
    <row r="197" spans="1:167">
      <c r="A197" s="9"/>
      <c r="B197" s="9"/>
      <c r="C197" s="9"/>
      <c r="D197" s="9"/>
      <c r="E197" s="9"/>
      <c r="F197" s="9"/>
      <c r="G197" s="9"/>
      <c r="H197" s="9"/>
      <c r="I197" s="9"/>
      <c r="J197" s="9"/>
      <c r="K197" s="9"/>
      <c r="L197" s="9"/>
      <c r="M197" s="9"/>
      <c r="N197" s="9"/>
      <c r="O197" s="9"/>
      <c r="P197" s="9"/>
      <c r="Q197" s="9"/>
      <c r="R197" s="9"/>
      <c r="S197" s="9"/>
      <c r="T197" s="2332"/>
      <c r="U197" s="9"/>
      <c r="V197" s="3708" t="str">
        <f t="shared" si="567"/>
        <v>Solar Parabolic Trough With Storage 250 MW</v>
      </c>
      <c r="W197" s="3709">
        <v>250</v>
      </c>
      <c r="X197" s="3710">
        <v>0.1071</v>
      </c>
      <c r="Y197" s="3705">
        <f>'General Assumptions'!$D$15</f>
        <v>5.0000000000000001E-3</v>
      </c>
      <c r="Z197" s="3703">
        <v>0.02</v>
      </c>
      <c r="AA197" s="3710">
        <v>0.06</v>
      </c>
      <c r="AB197" s="3876">
        <v>0.43</v>
      </c>
      <c r="AC197" s="3874" t="str">
        <v/>
      </c>
      <c r="AD197" s="3871">
        <v>5.0000000000000001E-3</v>
      </c>
      <c r="AE197" s="3707">
        <v>0</v>
      </c>
      <c r="AF197" s="3705">
        <v>2.1744186812078727E-3</v>
      </c>
      <c r="AG197" s="3868">
        <v>0</v>
      </c>
      <c r="AH197" s="3857">
        <v>0</v>
      </c>
      <c r="AI197" s="3857">
        <v>0</v>
      </c>
      <c r="AJ197" s="3858">
        <v>0</v>
      </c>
      <c r="AK197" s="3854">
        <v>0</v>
      </c>
      <c r="AL197" s="3699">
        <v>0</v>
      </c>
      <c r="AU197" s="30"/>
      <c r="AV197" s="30"/>
      <c r="AW197" s="30"/>
      <c r="AX197" s="30"/>
      <c r="AY197" s="30"/>
      <c r="AZ197" s="30"/>
      <c r="BA197" s="30"/>
      <c r="BB197" s="30"/>
      <c r="BC197" s="30"/>
      <c r="BD197" s="70"/>
      <c r="BE197" s="30"/>
      <c r="BF197" s="30"/>
      <c r="BG197" s="2335"/>
      <c r="BH197" s="30"/>
      <c r="BI197" s="30"/>
      <c r="BJ197" s="3549" t="str">
        <f t="shared" si="565"/>
        <v>Solar Parabolic Trough With Storage 250 MW</v>
      </c>
      <c r="BK197" s="3567">
        <v>250</v>
      </c>
      <c r="BL197" s="3579">
        <v>0.1071</v>
      </c>
      <c r="BM197" s="2407">
        <f>'General Assumptions'!$D$15</f>
        <v>5.0000000000000001E-3</v>
      </c>
      <c r="BN197" s="3569">
        <v>0.02</v>
      </c>
      <c r="BO197" s="3580">
        <v>0.06</v>
      </c>
      <c r="BP197" s="3571">
        <v>0.43</v>
      </c>
      <c r="BQ197" s="3581" t="str">
        <v/>
      </c>
      <c r="BR197" s="3568">
        <v>5.0000000000000001E-3</v>
      </c>
      <c r="BS197" s="3582">
        <v>0</v>
      </c>
      <c r="BT197" s="2407">
        <v>2.1744186812078727E-3</v>
      </c>
      <c r="BU197" s="3575">
        <v>0</v>
      </c>
      <c r="BV197" s="3576">
        <v>0</v>
      </c>
      <c r="BW197" s="3576">
        <v>0</v>
      </c>
      <c r="BX197" s="3577">
        <v>0</v>
      </c>
      <c r="BY197" s="3576">
        <v>0</v>
      </c>
      <c r="BZ197" s="3566">
        <v>0</v>
      </c>
      <c r="CB197" s="2332"/>
      <c r="DS197" s="2330"/>
      <c r="DT197" s="2330"/>
      <c r="DU197" s="2330"/>
      <c r="DV197" s="2330"/>
      <c r="DW197" s="2330"/>
      <c r="DX197" s="2330"/>
      <c r="DY197" s="2330"/>
      <c r="DZ197" s="2330"/>
      <c r="EA197" s="2330"/>
      <c r="EB197" s="2330"/>
      <c r="EC197" s="2330"/>
      <c r="ED197" s="2330"/>
      <c r="EE197" s="2330"/>
      <c r="EF197" s="2330"/>
      <c r="EY197" s="2330"/>
      <c r="EZ197" s="2330"/>
      <c r="FA197" s="2330"/>
      <c r="FB197" s="2330"/>
      <c r="FC197" s="2330"/>
      <c r="FD197" s="2330"/>
      <c r="FE197" s="2330"/>
      <c r="FF197" s="2330"/>
      <c r="FG197" s="2330"/>
      <c r="FH197" s="2330"/>
      <c r="FI197" s="2330"/>
      <c r="FJ197" s="2330"/>
      <c r="FK197" s="2330"/>
    </row>
    <row r="198" spans="1:167">
      <c r="A198" s="9"/>
      <c r="B198" s="9"/>
      <c r="C198" s="9"/>
      <c r="D198" s="9"/>
      <c r="E198" s="9"/>
      <c r="F198" s="9"/>
      <c r="G198" s="9"/>
      <c r="H198" s="9"/>
      <c r="I198" s="9"/>
      <c r="J198" s="9"/>
      <c r="K198" s="9"/>
      <c r="L198" s="9"/>
      <c r="M198" s="9"/>
      <c r="N198" s="9"/>
      <c r="O198" s="9"/>
      <c r="P198" s="9"/>
      <c r="Q198" s="9"/>
      <c r="R198" s="9"/>
      <c r="S198" s="9"/>
      <c r="T198" s="2332"/>
      <c r="U198" s="9"/>
      <c r="V198" s="3700" t="str">
        <f t="shared" si="567"/>
        <v>Solar Power Tower W/O Storage 100 MW</v>
      </c>
      <c r="W198" s="3701">
        <v>100</v>
      </c>
      <c r="X198" s="3706">
        <v>0.12</v>
      </c>
      <c r="Y198" s="3705">
        <f>'General Assumptions'!$D$15</f>
        <v>5.0000000000000001E-3</v>
      </c>
      <c r="Z198" s="3703">
        <v>0.02</v>
      </c>
      <c r="AA198" s="3706">
        <v>0.06</v>
      </c>
      <c r="AB198" s="3703">
        <v>0.31</v>
      </c>
      <c r="AC198" s="3874" t="str">
        <v/>
      </c>
      <c r="AD198" s="3870">
        <v>5.0000000000000001E-3</v>
      </c>
      <c r="AE198" s="3704">
        <v>0</v>
      </c>
      <c r="AF198" s="3705">
        <v>9.6867686685003819E-3</v>
      </c>
      <c r="AG198" s="3867">
        <v>0</v>
      </c>
      <c r="AH198" s="3854">
        <v>0</v>
      </c>
      <c r="AI198" s="3854">
        <v>0</v>
      </c>
      <c r="AJ198" s="3855">
        <v>0</v>
      </c>
      <c r="AK198" s="3854">
        <v>0</v>
      </c>
      <c r="AL198" s="3699">
        <v>0</v>
      </c>
      <c r="AU198" s="30"/>
      <c r="AV198" s="30"/>
      <c r="AW198" s="30"/>
      <c r="AX198" s="30"/>
      <c r="AY198" s="30"/>
      <c r="AZ198" s="30"/>
      <c r="BA198" s="30"/>
      <c r="BB198" s="30"/>
      <c r="BC198" s="30"/>
      <c r="BD198" s="70"/>
      <c r="BE198" s="30"/>
      <c r="BF198" s="30"/>
      <c r="BG198" s="2335"/>
      <c r="BH198" s="30"/>
      <c r="BI198" s="30"/>
      <c r="BJ198" s="3549" t="str">
        <f t="shared" si="565"/>
        <v>Solar Power Tower W/O Storage 100 MW</v>
      </c>
      <c r="BK198" s="3567">
        <v>100</v>
      </c>
      <c r="BL198" s="3579">
        <v>0.12</v>
      </c>
      <c r="BM198" s="2407">
        <f>'General Assumptions'!$D$15</f>
        <v>5.0000000000000001E-3</v>
      </c>
      <c r="BN198" s="3569">
        <v>0.02</v>
      </c>
      <c r="BO198" s="3580">
        <v>0.06</v>
      </c>
      <c r="BP198" s="3571">
        <v>0.31</v>
      </c>
      <c r="BQ198" s="3581" t="str">
        <v/>
      </c>
      <c r="BR198" s="3573">
        <v>5.0000000000000001E-3</v>
      </c>
      <c r="BS198" s="3574">
        <v>0</v>
      </c>
      <c r="BT198" s="2407">
        <v>9.6867686685003819E-3</v>
      </c>
      <c r="BU198" s="3575">
        <v>0</v>
      </c>
      <c r="BV198" s="3576">
        <v>0</v>
      </c>
      <c r="BW198" s="3576">
        <v>0</v>
      </c>
      <c r="BX198" s="3577">
        <v>0</v>
      </c>
      <c r="BY198" s="3576">
        <v>0</v>
      </c>
      <c r="BZ198" s="3566">
        <v>0</v>
      </c>
      <c r="CB198" s="2332"/>
      <c r="DS198" s="2330"/>
      <c r="DT198" s="2330"/>
      <c r="DU198" s="2330"/>
      <c r="DV198" s="2330"/>
      <c r="DW198" s="2330"/>
      <c r="DX198" s="2330"/>
      <c r="DY198" s="2330"/>
      <c r="DZ198" s="2330"/>
      <c r="EA198" s="2330"/>
      <c r="EB198" s="2330"/>
      <c r="EC198" s="2330"/>
      <c r="ED198" s="2330"/>
      <c r="EE198" s="2330"/>
      <c r="EF198" s="2330"/>
      <c r="EY198" s="2330"/>
      <c r="EZ198" s="2330"/>
      <c r="FA198" s="2330"/>
      <c r="FB198" s="2330"/>
      <c r="FC198" s="2330"/>
      <c r="FD198" s="2330"/>
      <c r="FE198" s="2330"/>
      <c r="FF198" s="2330"/>
      <c r="FG198" s="2330"/>
      <c r="FH198" s="2330"/>
      <c r="FI198" s="2330"/>
      <c r="FJ198" s="2330"/>
      <c r="FK198" s="2330"/>
    </row>
    <row r="199" spans="1:167">
      <c r="A199" s="9"/>
      <c r="B199" s="9"/>
      <c r="C199" s="9"/>
      <c r="D199" s="9"/>
      <c r="E199" s="9"/>
      <c r="F199" s="9"/>
      <c r="G199" s="9"/>
      <c r="H199" s="9"/>
      <c r="I199" s="9"/>
      <c r="J199" s="9"/>
      <c r="K199" s="9"/>
      <c r="L199" s="9"/>
      <c r="M199" s="9"/>
      <c r="N199" s="9"/>
      <c r="O199" s="9"/>
      <c r="P199" s="9"/>
      <c r="Q199" s="9"/>
      <c r="R199" s="9"/>
      <c r="S199" s="9"/>
      <c r="T199" s="2332"/>
      <c r="U199" s="9"/>
      <c r="V199" s="3700" t="str">
        <f t="shared" si="567"/>
        <v>Solar Power Tower With Storage 100 MW 6 HRs</v>
      </c>
      <c r="W199" s="3701">
        <v>100</v>
      </c>
      <c r="X199" s="3706">
        <v>0.12</v>
      </c>
      <c r="Y199" s="3705">
        <f>'General Assumptions'!$D$15</f>
        <v>5.0000000000000001E-3</v>
      </c>
      <c r="Z199" s="3703">
        <v>0.02</v>
      </c>
      <c r="AA199" s="3706">
        <v>0.06</v>
      </c>
      <c r="AB199" s="3703">
        <v>0.4</v>
      </c>
      <c r="AC199" s="3873" t="str">
        <v/>
      </c>
      <c r="AD199" s="3870">
        <v>5.0000000000000001E-3</v>
      </c>
      <c r="AE199" s="3707">
        <v>0</v>
      </c>
      <c r="AF199" s="3705">
        <v>9.6867686685003819E-3</v>
      </c>
      <c r="AG199" s="3867">
        <v>0</v>
      </c>
      <c r="AH199" s="3854">
        <v>0</v>
      </c>
      <c r="AI199" s="3854">
        <v>0</v>
      </c>
      <c r="AJ199" s="3855">
        <v>0</v>
      </c>
      <c r="AK199" s="3854">
        <v>0</v>
      </c>
      <c r="AL199" s="3699">
        <v>0</v>
      </c>
      <c r="AU199" s="30"/>
      <c r="AV199" s="30"/>
      <c r="AW199" s="30"/>
      <c r="AX199" s="30"/>
      <c r="AY199" s="30"/>
      <c r="AZ199" s="30"/>
      <c r="BA199" s="30"/>
      <c r="BB199" s="30"/>
      <c r="BC199" s="30"/>
      <c r="BD199" s="70"/>
      <c r="BE199" s="30"/>
      <c r="BF199" s="30"/>
      <c r="BG199" s="2335"/>
      <c r="BH199" s="30"/>
      <c r="BI199" s="30"/>
      <c r="BJ199" s="3549" t="str">
        <f t="shared" si="565"/>
        <v>Solar Power Tower With Storage 100 MW 6 HRs</v>
      </c>
      <c r="BK199" s="3567">
        <v>100</v>
      </c>
      <c r="BL199" s="3579">
        <v>0.12</v>
      </c>
      <c r="BM199" s="2407">
        <f>'General Assumptions'!$D$15</f>
        <v>5.0000000000000001E-3</v>
      </c>
      <c r="BN199" s="3569">
        <v>0.02</v>
      </c>
      <c r="BO199" s="3580">
        <v>0.06</v>
      </c>
      <c r="BP199" s="3571">
        <v>0.4</v>
      </c>
      <c r="BQ199" s="3572" t="str">
        <v/>
      </c>
      <c r="BR199" s="3573">
        <v>5.0000000000000001E-3</v>
      </c>
      <c r="BS199" s="3582">
        <v>0</v>
      </c>
      <c r="BT199" s="2407">
        <v>9.6867686685003819E-3</v>
      </c>
      <c r="BU199" s="3575">
        <v>0</v>
      </c>
      <c r="BV199" s="3576">
        <v>0</v>
      </c>
      <c r="BW199" s="3576">
        <v>0</v>
      </c>
      <c r="BX199" s="3577">
        <v>0</v>
      </c>
      <c r="BY199" s="3576">
        <v>0</v>
      </c>
      <c r="BZ199" s="3566">
        <v>0</v>
      </c>
      <c r="CB199" s="2332"/>
      <c r="DS199" s="2330"/>
      <c r="DT199" s="2330"/>
      <c r="DU199" s="2330"/>
      <c r="DV199" s="2330"/>
      <c r="DW199" s="2330"/>
      <c r="DX199" s="2330"/>
      <c r="DY199" s="2330"/>
      <c r="DZ199" s="2330"/>
      <c r="EA199" s="2330"/>
      <c r="EB199" s="2330"/>
      <c r="EC199" s="2330"/>
      <c r="ED199" s="2330"/>
      <c r="EE199" s="2330"/>
      <c r="EF199" s="2330"/>
      <c r="EY199" s="2330"/>
      <c r="EZ199" s="2330"/>
      <c r="FA199" s="2330"/>
      <c r="FB199" s="2330"/>
      <c r="FC199" s="2330"/>
      <c r="FD199" s="2330"/>
      <c r="FE199" s="2330"/>
      <c r="FF199" s="2330"/>
      <c r="FG199" s="2330"/>
      <c r="FH199" s="2330"/>
      <c r="FI199" s="2330"/>
      <c r="FJ199" s="2330"/>
      <c r="FK199" s="2330"/>
    </row>
    <row r="200" spans="1:167">
      <c r="A200" s="9"/>
      <c r="B200" s="9"/>
      <c r="C200" s="9"/>
      <c r="D200" s="9"/>
      <c r="E200" s="9"/>
      <c r="F200" s="9"/>
      <c r="G200" s="9"/>
      <c r="H200" s="9"/>
      <c r="I200" s="9"/>
      <c r="J200" s="9"/>
      <c r="K200" s="9"/>
      <c r="L200" s="9"/>
      <c r="M200" s="9"/>
      <c r="N200" s="9"/>
      <c r="O200" s="9"/>
      <c r="P200" s="9"/>
      <c r="Q200" s="9"/>
      <c r="R200" s="9"/>
      <c r="S200" s="9"/>
      <c r="T200" s="2332"/>
      <c r="U200" s="9"/>
      <c r="V200" s="3700" t="str">
        <f t="shared" si="567"/>
        <v>Solar Power Tower With Storage 100 MW 11 HRs</v>
      </c>
      <c r="W200" s="3701">
        <v>100</v>
      </c>
      <c r="X200" s="3706">
        <v>0.125</v>
      </c>
      <c r="Y200" s="3705">
        <f>'General Assumptions'!$D$15</f>
        <v>5.0000000000000001E-3</v>
      </c>
      <c r="Z200" s="3703">
        <v>0.02</v>
      </c>
      <c r="AA200" s="3706">
        <v>0.06</v>
      </c>
      <c r="AB200" s="3703">
        <v>0.56000000000000005</v>
      </c>
      <c r="AC200" s="3873" t="str">
        <v/>
      </c>
      <c r="AD200" s="3870">
        <v>5.0000000000000001E-3</v>
      </c>
      <c r="AE200" s="3707">
        <v>0</v>
      </c>
      <c r="AF200" s="3705">
        <v>9.6867686685003819E-3</v>
      </c>
      <c r="AG200" s="3867">
        <v>0</v>
      </c>
      <c r="AH200" s="3854">
        <v>0</v>
      </c>
      <c r="AI200" s="3854">
        <v>0</v>
      </c>
      <c r="AJ200" s="3855">
        <v>0</v>
      </c>
      <c r="AK200" s="3854">
        <v>0</v>
      </c>
      <c r="AL200" s="3699">
        <v>0</v>
      </c>
      <c r="AU200" s="30"/>
      <c r="AV200" s="30"/>
      <c r="AW200" s="30"/>
      <c r="AX200" s="30"/>
      <c r="AY200" s="30"/>
      <c r="AZ200" s="30"/>
      <c r="BA200" s="30"/>
      <c r="BB200" s="30"/>
      <c r="BC200" s="30"/>
      <c r="BD200" s="70"/>
      <c r="BE200" s="30"/>
      <c r="BF200" s="30"/>
      <c r="BG200" s="2335"/>
      <c r="BH200" s="30"/>
      <c r="BI200" s="30"/>
      <c r="BJ200" s="3549" t="str">
        <f t="shared" si="565"/>
        <v>Solar Power Tower With Storage 100 MW 11 HRs</v>
      </c>
      <c r="BK200" s="3567">
        <v>100</v>
      </c>
      <c r="BL200" s="3583">
        <v>0.125</v>
      </c>
      <c r="BM200" s="2407">
        <f>'General Assumptions'!$D$15</f>
        <v>5.0000000000000001E-3</v>
      </c>
      <c r="BN200" s="3569">
        <v>0.02</v>
      </c>
      <c r="BO200" s="3580">
        <v>0.06</v>
      </c>
      <c r="BP200" s="3571">
        <v>0.56000000000000005</v>
      </c>
      <c r="BQ200" s="3572" t="str">
        <v/>
      </c>
      <c r="BR200" s="3573">
        <v>5.0000000000000001E-3</v>
      </c>
      <c r="BS200" s="3582">
        <v>0</v>
      </c>
      <c r="BT200" s="2407">
        <v>9.6867686685003819E-3</v>
      </c>
      <c r="BU200" s="3575">
        <v>0</v>
      </c>
      <c r="BV200" s="3576">
        <v>0</v>
      </c>
      <c r="BW200" s="3576">
        <v>0</v>
      </c>
      <c r="BX200" s="3577">
        <v>0</v>
      </c>
      <c r="BY200" s="3576">
        <v>0</v>
      </c>
      <c r="BZ200" s="3566">
        <v>0</v>
      </c>
      <c r="CB200" s="2332"/>
      <c r="DS200" s="2330"/>
      <c r="DT200" s="2330"/>
      <c r="DU200" s="2330"/>
      <c r="DV200" s="2330"/>
      <c r="DW200" s="2330"/>
      <c r="DX200" s="2330"/>
      <c r="DY200" s="2330"/>
      <c r="DZ200" s="2330"/>
      <c r="EA200" s="2330"/>
      <c r="EB200" s="2330"/>
      <c r="EC200" s="2330"/>
      <c r="ED200" s="2330"/>
      <c r="EE200" s="2330"/>
      <c r="EF200" s="2330"/>
      <c r="EY200" s="2330"/>
      <c r="EZ200" s="2330"/>
      <c r="FA200" s="2330"/>
      <c r="FB200" s="2330"/>
      <c r="FC200" s="2330"/>
      <c r="FD200" s="2330"/>
      <c r="FE200" s="2330"/>
      <c r="FF200" s="2330"/>
      <c r="FG200" s="2330"/>
      <c r="FH200" s="2330"/>
      <c r="FI200" s="2330"/>
      <c r="FJ200" s="2330"/>
      <c r="FK200" s="2330"/>
    </row>
    <row r="201" spans="1:167">
      <c r="A201" s="9"/>
      <c r="B201" s="9"/>
      <c r="C201" s="9"/>
      <c r="D201" s="9"/>
      <c r="E201" s="9"/>
      <c r="F201" s="9"/>
      <c r="G201" s="9"/>
      <c r="H201" s="9"/>
      <c r="I201" s="9"/>
      <c r="J201" s="9"/>
      <c r="K201" s="9"/>
      <c r="L201" s="9"/>
      <c r="M201" s="9"/>
      <c r="N201" s="9"/>
      <c r="O201" s="9"/>
      <c r="P201" s="9"/>
      <c r="Q201" s="9"/>
      <c r="R201" s="9"/>
      <c r="S201" s="9"/>
      <c r="T201" s="2332"/>
      <c r="U201" s="9"/>
      <c r="V201" s="3700" t="str">
        <f t="shared" si="567"/>
        <v>Solar Photovoltaic (Thin-Film) 100 MW</v>
      </c>
      <c r="W201" s="3701">
        <v>100</v>
      </c>
      <c r="X201" s="3706">
        <v>1.4999999999999999E-2</v>
      </c>
      <c r="Y201" s="3705">
        <f>'General Assumptions'!$D$15</f>
        <v>5.0000000000000001E-3</v>
      </c>
      <c r="Z201" s="3703">
        <v>1.4999999999999999E-2</v>
      </c>
      <c r="AA201" s="3706">
        <v>0</v>
      </c>
      <c r="AB201" s="3703">
        <v>0.24</v>
      </c>
      <c r="AC201" s="3873" t="str">
        <v/>
      </c>
      <c r="AD201" s="3870">
        <v>9.4999999999999998E-3</v>
      </c>
      <c r="AE201" s="3704">
        <v>0</v>
      </c>
      <c r="AF201" s="3705">
        <v>9.6867686685003819E-3</v>
      </c>
      <c r="AG201" s="3867">
        <v>0</v>
      </c>
      <c r="AH201" s="3854">
        <v>0</v>
      </c>
      <c r="AI201" s="3854">
        <v>0</v>
      </c>
      <c r="AJ201" s="3855">
        <v>0</v>
      </c>
      <c r="AK201" s="3854">
        <v>0</v>
      </c>
      <c r="AL201" s="3699">
        <v>0</v>
      </c>
      <c r="AU201" s="28"/>
      <c r="AV201" s="28"/>
      <c r="AW201" s="2"/>
      <c r="AX201" s="2"/>
      <c r="AY201" s="2"/>
      <c r="AZ201" s="2"/>
      <c r="BA201" s="2"/>
      <c r="BB201" s="2"/>
      <c r="BC201" s="2"/>
      <c r="BD201" s="1370"/>
      <c r="BE201" s="2"/>
      <c r="BF201" s="2"/>
      <c r="BG201" s="2330"/>
      <c r="BH201" s="2"/>
      <c r="BI201" s="2"/>
      <c r="BJ201" s="3549" t="str">
        <f t="shared" si="565"/>
        <v>Solar Photovoltaic (Thin-Film) 100 MW</v>
      </c>
      <c r="BK201" s="3567">
        <v>100</v>
      </c>
      <c r="BL201" s="3579">
        <v>1.4999999999999999E-2</v>
      </c>
      <c r="BM201" s="2407">
        <f>'General Assumptions'!$D$15</f>
        <v>5.0000000000000001E-3</v>
      </c>
      <c r="BN201" s="3569">
        <v>1.4999999999999999E-2</v>
      </c>
      <c r="BO201" s="3580">
        <v>0</v>
      </c>
      <c r="BP201" s="3571">
        <v>0.24</v>
      </c>
      <c r="BQ201" s="3572" t="str">
        <v/>
      </c>
      <c r="BR201" s="3573">
        <v>9.4999999999999998E-3</v>
      </c>
      <c r="BS201" s="3574">
        <v>0</v>
      </c>
      <c r="BT201" s="2407">
        <v>9.6867686685003819E-3</v>
      </c>
      <c r="BU201" s="3575">
        <v>0</v>
      </c>
      <c r="BV201" s="3576">
        <v>0</v>
      </c>
      <c r="BW201" s="3576">
        <v>0</v>
      </c>
      <c r="BX201" s="3577">
        <v>0</v>
      </c>
      <c r="BY201" s="3576">
        <v>0</v>
      </c>
      <c r="BZ201" s="3566">
        <v>0</v>
      </c>
      <c r="CB201" s="2332"/>
      <c r="DS201" s="2330"/>
      <c r="DT201" s="2330"/>
      <c r="DU201" s="2330"/>
      <c r="DV201" s="2330"/>
      <c r="DW201" s="2330"/>
      <c r="DX201" s="2330"/>
      <c r="DY201" s="2330"/>
      <c r="DZ201" s="2330"/>
      <c r="EA201" s="2330"/>
      <c r="EB201" s="2330"/>
      <c r="EC201" s="2330"/>
      <c r="ED201" s="2330"/>
      <c r="EE201" s="2330"/>
      <c r="EF201" s="2330"/>
      <c r="EY201" s="2330"/>
      <c r="EZ201" s="2330"/>
      <c r="FA201" s="2330"/>
      <c r="FB201" s="2330"/>
      <c r="FC201" s="2330"/>
      <c r="FD201" s="2330"/>
      <c r="FE201" s="2330"/>
      <c r="FF201" s="2330"/>
      <c r="FG201" s="2330"/>
      <c r="FH201" s="2330"/>
      <c r="FI201" s="2330"/>
      <c r="FJ201" s="2330"/>
      <c r="FK201" s="2330"/>
    </row>
    <row r="202" spans="1:167">
      <c r="A202" s="9"/>
      <c r="B202" s="9"/>
      <c r="C202" s="9"/>
      <c r="D202" s="9"/>
      <c r="E202" s="9"/>
      <c r="F202" s="9"/>
      <c r="G202" s="9"/>
      <c r="H202" s="9"/>
      <c r="I202" s="9"/>
      <c r="J202" s="9"/>
      <c r="K202" s="9"/>
      <c r="L202" s="9"/>
      <c r="M202" s="9"/>
      <c r="N202" s="9"/>
      <c r="O202" s="9"/>
      <c r="P202" s="9"/>
      <c r="Q202" s="9"/>
      <c r="R202" s="9"/>
      <c r="S202" s="9"/>
      <c r="T202" s="2332"/>
      <c r="U202" s="9"/>
      <c r="V202" s="3700" t="str">
        <f t="shared" si="567"/>
        <v>Solar Photovoltaic (Single Axis) 100 MW</v>
      </c>
      <c r="W202" s="3701">
        <v>100</v>
      </c>
      <c r="X202" s="3706">
        <v>0.03</v>
      </c>
      <c r="Y202" s="3705">
        <f>'General Assumptions'!$D$15</f>
        <v>5.0000000000000001E-3</v>
      </c>
      <c r="Z202" s="3703">
        <v>1.4999999999999999E-2</v>
      </c>
      <c r="AA202" s="3706">
        <v>0</v>
      </c>
      <c r="AB202" s="3703">
        <v>0.28000000000000003</v>
      </c>
      <c r="AC202" s="3873" t="str">
        <v/>
      </c>
      <c r="AD202" s="3870">
        <v>5.4999999999999997E-3</v>
      </c>
      <c r="AE202" s="3704">
        <v>0</v>
      </c>
      <c r="AF202" s="3705">
        <v>9.6867686685003819E-3</v>
      </c>
      <c r="AG202" s="3867">
        <v>0</v>
      </c>
      <c r="AH202" s="3854">
        <v>0</v>
      </c>
      <c r="AI202" s="3854">
        <v>0</v>
      </c>
      <c r="AJ202" s="3855">
        <v>0</v>
      </c>
      <c r="AK202" s="3854">
        <v>0</v>
      </c>
      <c r="AL202" s="3699">
        <v>0</v>
      </c>
      <c r="AU202" s="28"/>
      <c r="AV202" s="28"/>
      <c r="AW202" s="2"/>
      <c r="AX202" s="2"/>
      <c r="AY202" s="2"/>
      <c r="AZ202" s="2"/>
      <c r="BA202" s="2"/>
      <c r="BB202" s="2"/>
      <c r="BC202" s="2"/>
      <c r="BD202" s="1370"/>
      <c r="BE202" s="2"/>
      <c r="BF202" s="2"/>
      <c r="BG202" s="2330"/>
      <c r="BH202" s="2"/>
      <c r="BI202" s="2"/>
      <c r="BJ202" s="3549" t="str">
        <f t="shared" si="565"/>
        <v>Solar Photovoltaic (Single Axis) 100 MW</v>
      </c>
      <c r="BK202" s="3567">
        <v>100</v>
      </c>
      <c r="BL202" s="3579">
        <v>0.03</v>
      </c>
      <c r="BM202" s="2407">
        <f>'General Assumptions'!$D$15</f>
        <v>5.0000000000000001E-3</v>
      </c>
      <c r="BN202" s="3569">
        <v>1.4999999999999999E-2</v>
      </c>
      <c r="BO202" s="3580">
        <v>0</v>
      </c>
      <c r="BP202" s="3571">
        <v>0.28000000000000003</v>
      </c>
      <c r="BQ202" s="3572" t="str">
        <v/>
      </c>
      <c r="BR202" s="3573">
        <v>5.4999999999999997E-3</v>
      </c>
      <c r="BS202" s="3574">
        <v>0</v>
      </c>
      <c r="BT202" s="2407">
        <v>9.6867686685003819E-3</v>
      </c>
      <c r="BU202" s="3575">
        <v>0</v>
      </c>
      <c r="BV202" s="3576">
        <v>0</v>
      </c>
      <c r="BW202" s="3576">
        <v>0</v>
      </c>
      <c r="BX202" s="3577">
        <v>0</v>
      </c>
      <c r="BY202" s="3576">
        <v>0</v>
      </c>
      <c r="BZ202" s="3566">
        <v>0</v>
      </c>
      <c r="CB202" s="2332"/>
      <c r="DS202" s="2330"/>
      <c r="DT202" s="2330"/>
      <c r="DU202" s="2330"/>
      <c r="DV202" s="2330"/>
      <c r="DW202" s="2330"/>
      <c r="DX202" s="2330"/>
      <c r="DY202" s="2330"/>
      <c r="DZ202" s="2330"/>
      <c r="EA202" s="2330"/>
      <c r="EB202" s="2330"/>
      <c r="EC202" s="2330"/>
      <c r="ED202" s="2330"/>
      <c r="EE202" s="2330"/>
      <c r="EF202" s="2330"/>
      <c r="EY202" s="2330"/>
      <c r="EZ202" s="2330"/>
      <c r="FA202" s="2330"/>
      <c r="FB202" s="2330"/>
      <c r="FC202" s="2330"/>
      <c r="FD202" s="2330"/>
      <c r="FE202" s="2330"/>
      <c r="FF202" s="2330"/>
      <c r="FG202" s="2330"/>
      <c r="FH202" s="2330"/>
      <c r="FI202" s="2330"/>
      <c r="FJ202" s="2330"/>
      <c r="FK202" s="2330"/>
    </row>
    <row r="203" spans="1:167">
      <c r="A203" s="9"/>
      <c r="B203" s="9"/>
      <c r="C203" s="9"/>
      <c r="D203" s="9"/>
      <c r="E203" s="9"/>
      <c r="F203" s="9"/>
      <c r="G203" s="9"/>
      <c r="H203" s="9"/>
      <c r="I203" s="9"/>
      <c r="J203" s="9"/>
      <c r="K203" s="9"/>
      <c r="L203" s="9"/>
      <c r="M203" s="9"/>
      <c r="N203" s="9"/>
      <c r="O203" s="9"/>
      <c r="P203" s="9"/>
      <c r="Q203" s="9"/>
      <c r="R203" s="9"/>
      <c r="S203" s="9"/>
      <c r="T203" s="2332"/>
      <c r="U203" s="9"/>
      <c r="V203" s="3700" t="str">
        <f t="shared" si="567"/>
        <v>Solar Photovoltaic (Thin-Film) 20 MW</v>
      </c>
      <c r="W203" s="3701">
        <v>20</v>
      </c>
      <c r="X203" s="3706">
        <v>1.4999999999999999E-2</v>
      </c>
      <c r="Y203" s="3705">
        <f>'General Assumptions'!$D$15</f>
        <v>5.0000000000000001E-3</v>
      </c>
      <c r="Z203" s="3703">
        <v>1.4999999999999999E-2</v>
      </c>
      <c r="AA203" s="3706">
        <v>0</v>
      </c>
      <c r="AB203" s="3703">
        <v>0.24</v>
      </c>
      <c r="AC203" s="3873" t="str">
        <v/>
      </c>
      <c r="AD203" s="3870">
        <v>9.4999999999999998E-3</v>
      </c>
      <c r="AE203" s="3704">
        <v>0</v>
      </c>
      <c r="AF203" s="3705">
        <v>1.3668098648176776E-2</v>
      </c>
      <c r="AG203" s="3867">
        <v>0</v>
      </c>
      <c r="AH203" s="3854">
        <v>0</v>
      </c>
      <c r="AI203" s="3854">
        <v>0</v>
      </c>
      <c r="AJ203" s="3855">
        <v>0</v>
      </c>
      <c r="AK203" s="3854">
        <v>0</v>
      </c>
      <c r="AL203" s="3699">
        <v>0</v>
      </c>
      <c r="AU203" s="28"/>
      <c r="AV203" s="28"/>
      <c r="AW203" s="2"/>
      <c r="AX203" s="2"/>
      <c r="AY203" s="2"/>
      <c r="AZ203" s="2"/>
      <c r="BA203" s="2"/>
      <c r="BB203" s="2"/>
      <c r="BC203" s="2"/>
      <c r="BD203" s="1370"/>
      <c r="BE203" s="2"/>
      <c r="BF203" s="2"/>
      <c r="BG203" s="2330"/>
      <c r="BH203" s="2"/>
      <c r="BI203" s="2"/>
      <c r="BJ203" s="3549" t="str">
        <f t="shared" si="565"/>
        <v>Solar Photovoltaic (Thin-Film) 20 MW</v>
      </c>
      <c r="BK203" s="3567">
        <v>20</v>
      </c>
      <c r="BL203" s="3579">
        <v>1.4999999999999999E-2</v>
      </c>
      <c r="BM203" s="2407">
        <f>'General Assumptions'!$D$15</f>
        <v>5.0000000000000001E-3</v>
      </c>
      <c r="BN203" s="3569">
        <v>1.4999999999999999E-2</v>
      </c>
      <c r="BO203" s="3580">
        <v>0</v>
      </c>
      <c r="BP203" s="3571">
        <v>0.24</v>
      </c>
      <c r="BQ203" s="3572" t="str">
        <v/>
      </c>
      <c r="BR203" s="3573">
        <v>9.4999999999999998E-3</v>
      </c>
      <c r="BS203" s="3574">
        <v>0</v>
      </c>
      <c r="BT203" s="2407">
        <v>1.3668098648176776E-2</v>
      </c>
      <c r="BU203" s="3575">
        <v>0</v>
      </c>
      <c r="BV203" s="3576">
        <v>0</v>
      </c>
      <c r="BW203" s="3576">
        <v>0</v>
      </c>
      <c r="BX203" s="3577">
        <v>0</v>
      </c>
      <c r="BY203" s="3576">
        <v>0</v>
      </c>
      <c r="BZ203" s="3566">
        <v>0</v>
      </c>
      <c r="CB203" s="2332"/>
      <c r="DS203" s="2330"/>
      <c r="DT203" s="2330"/>
      <c r="DU203" s="2330"/>
      <c r="DV203" s="2330"/>
      <c r="DW203" s="2330"/>
      <c r="DX203" s="2330"/>
      <c r="DY203" s="2330"/>
      <c r="DZ203" s="2330"/>
      <c r="EA203" s="2330"/>
      <c r="EB203" s="2330"/>
      <c r="EC203" s="2330"/>
      <c r="ED203" s="2330"/>
      <c r="EE203" s="2330"/>
      <c r="EF203" s="2330"/>
      <c r="EY203" s="2330"/>
      <c r="EZ203" s="2330"/>
      <c r="FA203" s="2330"/>
      <c r="FB203" s="2330"/>
      <c r="FC203" s="2330"/>
      <c r="FD203" s="2330"/>
      <c r="FE203" s="2330"/>
      <c r="FF203" s="2330"/>
      <c r="FG203" s="2330"/>
      <c r="FH203" s="2330"/>
      <c r="FI203" s="2330"/>
      <c r="FJ203" s="2330"/>
      <c r="FK203" s="2330"/>
    </row>
    <row r="204" spans="1:167">
      <c r="A204" s="9"/>
      <c r="B204" s="9"/>
      <c r="C204" s="9"/>
      <c r="D204" s="9"/>
      <c r="E204" s="9"/>
      <c r="F204" s="9"/>
      <c r="G204" s="9"/>
      <c r="H204" s="9"/>
      <c r="I204" s="9"/>
      <c r="J204" s="9"/>
      <c r="K204" s="9"/>
      <c r="L204" s="9"/>
      <c r="M204" s="9"/>
      <c r="N204" s="9"/>
      <c r="O204" s="9"/>
      <c r="P204" s="9"/>
      <c r="Q204" s="9"/>
      <c r="R204" s="9"/>
      <c r="S204" s="9"/>
      <c r="T204" s="2332"/>
      <c r="U204" s="9"/>
      <c r="V204" s="3700" t="str">
        <f t="shared" si="567"/>
        <v>Solar Photovoltaic (Single Axis) 20 MW</v>
      </c>
      <c r="W204" s="3701">
        <v>20</v>
      </c>
      <c r="X204" s="3706">
        <v>0.03</v>
      </c>
      <c r="Y204" s="3705">
        <f>'General Assumptions'!$D$15</f>
        <v>5.0000000000000001E-3</v>
      </c>
      <c r="Z204" s="3703">
        <v>1.4999999999999999E-2</v>
      </c>
      <c r="AA204" s="3706">
        <v>0</v>
      </c>
      <c r="AB204" s="3703">
        <v>0.28000000000000003</v>
      </c>
      <c r="AC204" s="3873" t="str">
        <v/>
      </c>
      <c r="AD204" s="3870">
        <v>5.4999999999999997E-3</v>
      </c>
      <c r="AE204" s="3704">
        <v>0</v>
      </c>
      <c r="AF204" s="3705">
        <v>1.3668098648176776E-2</v>
      </c>
      <c r="AG204" s="3867">
        <v>0</v>
      </c>
      <c r="AH204" s="3854">
        <v>0</v>
      </c>
      <c r="AI204" s="3854">
        <v>0</v>
      </c>
      <c r="AJ204" s="3855">
        <v>0</v>
      </c>
      <c r="AK204" s="3854">
        <v>0</v>
      </c>
      <c r="AL204" s="3699">
        <v>0</v>
      </c>
      <c r="AU204" s="28"/>
      <c r="AV204" s="28"/>
      <c r="AW204" s="2"/>
      <c r="AX204" s="2"/>
      <c r="AY204" s="2"/>
      <c r="AZ204" s="2"/>
      <c r="BA204" s="2"/>
      <c r="BB204" s="2"/>
      <c r="BC204" s="2"/>
      <c r="BD204" s="1370"/>
      <c r="BE204" s="2"/>
      <c r="BF204" s="2"/>
      <c r="BG204" s="2330"/>
      <c r="BH204" s="2"/>
      <c r="BI204" s="2"/>
      <c r="BJ204" s="3549" t="str">
        <f t="shared" si="565"/>
        <v>Solar Photovoltaic (Single Axis) 20 MW</v>
      </c>
      <c r="BK204" s="3567">
        <v>20</v>
      </c>
      <c r="BL204" s="3579">
        <v>0.03</v>
      </c>
      <c r="BM204" s="2407">
        <f>'General Assumptions'!$D$15</f>
        <v>5.0000000000000001E-3</v>
      </c>
      <c r="BN204" s="3569">
        <v>1.4999999999999999E-2</v>
      </c>
      <c r="BO204" s="3580">
        <v>0</v>
      </c>
      <c r="BP204" s="3571">
        <v>0.28000000000000003</v>
      </c>
      <c r="BQ204" s="3572" t="str">
        <v/>
      </c>
      <c r="BR204" s="3573">
        <v>5.4999999999999997E-3</v>
      </c>
      <c r="BS204" s="3574">
        <v>0</v>
      </c>
      <c r="BT204" s="2407">
        <v>1.3668098648176776E-2</v>
      </c>
      <c r="BU204" s="3575">
        <v>0</v>
      </c>
      <c r="BV204" s="3576">
        <v>0</v>
      </c>
      <c r="BW204" s="3576">
        <v>0</v>
      </c>
      <c r="BX204" s="3577">
        <v>0</v>
      </c>
      <c r="BY204" s="3576">
        <v>0</v>
      </c>
      <c r="BZ204" s="3566">
        <v>0</v>
      </c>
      <c r="CB204" s="2332"/>
      <c r="DS204" s="2330"/>
      <c r="DT204" s="2330"/>
      <c r="DU204" s="2330"/>
      <c r="DV204" s="2330"/>
      <c r="DW204" s="2330"/>
      <c r="DX204" s="2330"/>
      <c r="DY204" s="2330"/>
      <c r="DZ204" s="2330"/>
      <c r="EA204" s="2330"/>
      <c r="EB204" s="2330"/>
      <c r="EC204" s="2330"/>
      <c r="ED204" s="2330"/>
      <c r="EE204" s="2330"/>
      <c r="EF204" s="2330"/>
      <c r="EY204" s="2330"/>
      <c r="EZ204" s="2330"/>
      <c r="FA204" s="2330"/>
      <c r="FB204" s="2330"/>
      <c r="FC204" s="2330"/>
      <c r="FD204" s="2330"/>
      <c r="FE204" s="2330"/>
      <c r="FF204" s="2330"/>
      <c r="FG204" s="2330"/>
      <c r="FH204" s="2330"/>
      <c r="FI204" s="2330"/>
      <c r="FJ204" s="2330"/>
      <c r="FK204" s="2330"/>
    </row>
    <row r="205" spans="1:167">
      <c r="A205" s="9"/>
      <c r="B205" s="9"/>
      <c r="C205" s="9"/>
      <c r="D205" s="9"/>
      <c r="E205" s="9"/>
      <c r="F205" s="9"/>
      <c r="G205" s="9"/>
      <c r="H205" s="9"/>
      <c r="I205" s="9"/>
      <c r="J205" s="9"/>
      <c r="K205" s="9"/>
      <c r="L205" s="9"/>
      <c r="M205" s="9"/>
      <c r="N205" s="9"/>
      <c r="O205" s="9"/>
      <c r="P205" s="9"/>
      <c r="Q205" s="9"/>
      <c r="R205" s="9"/>
      <c r="S205" s="9"/>
      <c r="T205" s="2332"/>
      <c r="U205" s="9"/>
      <c r="V205" s="3700" t="str">
        <f t="shared" si="567"/>
        <v>Wind - Class 3 100 MW</v>
      </c>
      <c r="W205" s="3701">
        <v>100</v>
      </c>
      <c r="X205" s="3706">
        <v>0.02</v>
      </c>
      <c r="Y205" s="3705">
        <f>'General Assumptions'!$D$15</f>
        <v>5.0000000000000001E-3</v>
      </c>
      <c r="Z205" s="3703">
        <v>0</v>
      </c>
      <c r="AA205" s="3706">
        <v>0.01</v>
      </c>
      <c r="AB205" s="3703">
        <v>0.26</v>
      </c>
      <c r="AC205" s="3873" t="str">
        <v/>
      </c>
      <c r="AD205" s="3870">
        <v>3.0000000000000001E-3</v>
      </c>
      <c r="AE205" s="3704">
        <v>0</v>
      </c>
      <c r="AF205" s="3705">
        <v>9.6867686685003819E-3</v>
      </c>
      <c r="AG205" s="3867">
        <v>0</v>
      </c>
      <c r="AH205" s="3854">
        <v>0</v>
      </c>
      <c r="AI205" s="3854">
        <v>0</v>
      </c>
      <c r="AJ205" s="3855">
        <v>0</v>
      </c>
      <c r="AK205" s="3854">
        <v>0</v>
      </c>
      <c r="AL205" s="3699">
        <v>0</v>
      </c>
      <c r="AU205" s="28"/>
      <c r="AV205" s="28"/>
      <c r="AW205" s="2"/>
      <c r="AX205" s="2"/>
      <c r="AY205" s="2"/>
      <c r="AZ205" s="2"/>
      <c r="BA205" s="2"/>
      <c r="BB205" s="2"/>
      <c r="BC205" s="2"/>
      <c r="BD205" s="1370"/>
      <c r="BE205" s="2"/>
      <c r="BF205" s="2"/>
      <c r="BG205" s="2330"/>
      <c r="BH205" s="2"/>
      <c r="BI205" s="2"/>
      <c r="BJ205" s="3549" t="str">
        <f t="shared" si="565"/>
        <v>Wind - Class 3 100 MW</v>
      </c>
      <c r="BK205" s="3567">
        <v>100</v>
      </c>
      <c r="BL205" s="3579">
        <v>0.02</v>
      </c>
      <c r="BM205" s="2407">
        <f>'General Assumptions'!$D$15</f>
        <v>5.0000000000000001E-3</v>
      </c>
      <c r="BN205" s="3569">
        <v>0</v>
      </c>
      <c r="BO205" s="3580">
        <v>0.01</v>
      </c>
      <c r="BP205" s="3571">
        <v>0.26</v>
      </c>
      <c r="BQ205" s="3572" t="str">
        <v/>
      </c>
      <c r="BR205" s="3573">
        <v>3.0000000000000001E-3</v>
      </c>
      <c r="BS205" s="3574">
        <v>0</v>
      </c>
      <c r="BT205" s="2407">
        <v>9.6867686685003819E-3</v>
      </c>
      <c r="BU205" s="3575">
        <v>0</v>
      </c>
      <c r="BV205" s="3576">
        <v>0</v>
      </c>
      <c r="BW205" s="3576">
        <v>0</v>
      </c>
      <c r="BX205" s="3577">
        <v>0</v>
      </c>
      <c r="BY205" s="3576">
        <v>0</v>
      </c>
      <c r="BZ205" s="3566">
        <v>0</v>
      </c>
      <c r="CB205" s="2332"/>
      <c r="DS205" s="2330"/>
      <c r="DT205" s="2330"/>
      <c r="DU205" s="2330"/>
      <c r="DV205" s="2330"/>
      <c r="DW205" s="2330"/>
      <c r="DX205" s="2330"/>
      <c r="DY205" s="2330"/>
      <c r="DZ205" s="2330"/>
      <c r="EA205" s="2330"/>
      <c r="EB205" s="2330"/>
      <c r="EC205" s="2330"/>
      <c r="ED205" s="2330"/>
      <c r="EE205" s="2330"/>
      <c r="EF205" s="2330"/>
      <c r="EY205" s="2330"/>
      <c r="EZ205" s="2330"/>
      <c r="FA205" s="2330"/>
      <c r="FB205" s="2330"/>
      <c r="FC205" s="2330"/>
      <c r="FD205" s="2330"/>
      <c r="FE205" s="2330"/>
      <c r="FF205" s="2330"/>
      <c r="FG205" s="2330"/>
      <c r="FH205" s="2330"/>
      <c r="FI205" s="2330"/>
      <c r="FJ205" s="2330"/>
      <c r="FK205" s="2330"/>
    </row>
    <row r="206" spans="1:167" ht="13.5" thickBot="1">
      <c r="A206" s="9"/>
      <c r="B206" s="9"/>
      <c r="C206" s="9"/>
      <c r="D206" s="9"/>
      <c r="E206" s="9"/>
      <c r="F206" s="9"/>
      <c r="G206" s="9"/>
      <c r="H206" s="9"/>
      <c r="I206" s="9"/>
      <c r="J206" s="9"/>
      <c r="K206" s="9"/>
      <c r="L206" s="9"/>
      <c r="M206" s="9"/>
      <c r="N206" s="9"/>
      <c r="O206" s="9"/>
      <c r="P206" s="9"/>
      <c r="Q206" s="9"/>
      <c r="R206" s="9"/>
      <c r="S206" s="9"/>
      <c r="T206" s="2332"/>
      <c r="U206" s="9"/>
      <c r="V206" s="3711" t="str">
        <f t="shared" si="567"/>
        <v>Wind - Class 4 100 MW</v>
      </c>
      <c r="W206" s="3712">
        <v>100</v>
      </c>
      <c r="X206" s="3713">
        <v>0.02</v>
      </c>
      <c r="Y206" s="3865">
        <f>'General Assumptions'!$D$15</f>
        <v>5.0000000000000001E-3</v>
      </c>
      <c r="Z206" s="3714">
        <v>0</v>
      </c>
      <c r="AA206" s="3713">
        <v>0.01</v>
      </c>
      <c r="AB206" s="3714">
        <v>0.25</v>
      </c>
      <c r="AC206" s="3875" t="str">
        <v/>
      </c>
      <c r="AD206" s="3872">
        <v>3.0000000000000001E-3</v>
      </c>
      <c r="AE206" s="3715">
        <v>0</v>
      </c>
      <c r="AF206" s="3865">
        <v>9.6867686685003819E-3</v>
      </c>
      <c r="AG206" s="3869">
        <v>0</v>
      </c>
      <c r="AH206" s="3862">
        <v>0</v>
      </c>
      <c r="AI206" s="3862">
        <v>0</v>
      </c>
      <c r="AJ206" s="3863">
        <v>0</v>
      </c>
      <c r="AK206" s="3862">
        <v>0</v>
      </c>
      <c r="AL206" s="3716">
        <v>0</v>
      </c>
      <c r="AU206" s="28"/>
      <c r="AV206" s="28"/>
      <c r="AW206" s="2"/>
      <c r="AX206" s="2"/>
      <c r="AY206" s="2"/>
      <c r="AZ206" s="2"/>
      <c r="BA206" s="2"/>
      <c r="BB206" s="2"/>
      <c r="BC206" s="2"/>
      <c r="BD206" s="1370"/>
      <c r="BE206" s="2"/>
      <c r="BF206" s="2"/>
      <c r="BG206" s="2330"/>
      <c r="BH206" s="2"/>
      <c r="BI206" s="2"/>
      <c r="BJ206" s="3555" t="str">
        <f t="shared" si="565"/>
        <v>Wind - Class 4 100 MW</v>
      </c>
      <c r="BK206" s="4282">
        <v>100</v>
      </c>
      <c r="BL206" s="4283">
        <v>0.02</v>
      </c>
      <c r="BM206" s="4284">
        <f>'General Assumptions'!$D$15</f>
        <v>5.0000000000000001E-3</v>
      </c>
      <c r="BN206" s="4285">
        <v>0</v>
      </c>
      <c r="BO206" s="4286">
        <v>0.01</v>
      </c>
      <c r="BP206" s="4287">
        <v>0.25</v>
      </c>
      <c r="BQ206" s="4288" t="str">
        <v/>
      </c>
      <c r="BR206" s="4289">
        <v>3.0000000000000001E-3</v>
      </c>
      <c r="BS206" s="4290">
        <v>0</v>
      </c>
      <c r="BT206" s="4284">
        <v>9.6867686685003819E-3</v>
      </c>
      <c r="BU206" s="4291">
        <v>0</v>
      </c>
      <c r="BV206" s="4292">
        <v>0</v>
      </c>
      <c r="BW206" s="4292">
        <v>0</v>
      </c>
      <c r="BX206" s="4293">
        <v>0</v>
      </c>
      <c r="BY206" s="4292">
        <v>0</v>
      </c>
      <c r="BZ206" s="4294">
        <v>0</v>
      </c>
      <c r="CB206" s="2332"/>
      <c r="DS206" s="2330"/>
      <c r="DT206" s="2330"/>
      <c r="DU206" s="2330"/>
      <c r="DV206" s="2330"/>
      <c r="DW206" s="2330"/>
      <c r="DX206" s="2330"/>
      <c r="DY206" s="2330"/>
      <c r="DZ206" s="2330"/>
      <c r="EA206" s="2330"/>
      <c r="EB206" s="2330"/>
      <c r="EC206" s="2330"/>
      <c r="ED206" s="2330"/>
      <c r="EE206" s="2330"/>
      <c r="EF206" s="2330"/>
      <c r="EY206" s="2330"/>
      <c r="EZ206" s="2330"/>
      <c r="FA206" s="2330"/>
      <c r="FB206" s="2330"/>
      <c r="FC206" s="2330"/>
      <c r="FD206" s="2330"/>
      <c r="FE206" s="2330"/>
      <c r="FF206" s="2330"/>
      <c r="FG206" s="2330"/>
      <c r="FH206" s="2330"/>
      <c r="FI206" s="2330"/>
      <c r="FJ206" s="2330"/>
      <c r="FK206" s="2330"/>
    </row>
    <row r="207" spans="1:167" s="3533" customFormat="1">
      <c r="W207" s="3534">
        <v>0</v>
      </c>
      <c r="X207" s="3560">
        <v>0</v>
      </c>
      <c r="Y207" s="3561">
        <f>'General Assumptions'!$D$15</f>
        <v>5.0000000000000001E-3</v>
      </c>
      <c r="Z207" s="3560">
        <v>0</v>
      </c>
      <c r="AA207" s="3560">
        <v>0</v>
      </c>
      <c r="AB207" s="3560">
        <v>0</v>
      </c>
      <c r="AC207" s="3540">
        <v>0</v>
      </c>
      <c r="AD207" s="3563">
        <v>0</v>
      </c>
      <c r="AE207" s="3563">
        <v>0</v>
      </c>
      <c r="AF207" s="3561" t="e">
        <v>#N/A</v>
      </c>
      <c r="AG207" s="3564" t="e">
        <v>#N/A</v>
      </c>
      <c r="AH207" s="3564" t="e">
        <v>#N/A</v>
      </c>
      <c r="AI207" s="3564" t="e">
        <v>#N/A</v>
      </c>
      <c r="AJ207" s="3565" t="e">
        <v>#N/A</v>
      </c>
      <c r="AK207" s="3564">
        <v>0</v>
      </c>
      <c r="AL207" s="3564">
        <v>0</v>
      </c>
      <c r="BD207" s="3698"/>
      <c r="BK207" s="3534">
        <v>0</v>
      </c>
      <c r="BL207" s="3560">
        <v>0</v>
      </c>
      <c r="BM207" s="3561">
        <f>'General Assumptions'!$D$15</f>
        <v>5.0000000000000001E-3</v>
      </c>
      <c r="BN207" s="3560">
        <v>0</v>
      </c>
      <c r="BO207" s="3560">
        <v>0</v>
      </c>
      <c r="BP207" s="3562">
        <v>0</v>
      </c>
      <c r="BQ207" s="3540">
        <v>0</v>
      </c>
      <c r="BR207" s="3563">
        <v>0</v>
      </c>
      <c r="BS207" s="3563">
        <v>0</v>
      </c>
      <c r="BT207" s="3561" t="e">
        <v>#N/A</v>
      </c>
      <c r="BU207" s="3564">
        <v>0</v>
      </c>
      <c r="BV207" s="3564">
        <v>0</v>
      </c>
      <c r="BW207" s="3564">
        <v>0</v>
      </c>
      <c r="BX207" s="3565">
        <v>0</v>
      </c>
      <c r="BY207" s="3564">
        <v>0</v>
      </c>
      <c r="BZ207" s="3564">
        <v>0</v>
      </c>
      <c r="CB207" s="2332"/>
      <c r="CC207" s="2336"/>
      <c r="CD207"/>
    </row>
    <row r="208" spans="1:167" s="3533" customFormat="1">
      <c r="V208" s="3538" t="str">
        <f t="shared" ref="V208:V210" si="568">V175</f>
        <v/>
      </c>
      <c r="W208" s="3534">
        <v>0</v>
      </c>
      <c r="X208" s="3560">
        <v>0</v>
      </c>
      <c r="Y208" s="3561"/>
      <c r="Z208" s="3560">
        <v>0</v>
      </c>
      <c r="AA208" s="3560">
        <v>0</v>
      </c>
      <c r="AB208" s="3560">
        <v>0</v>
      </c>
      <c r="AC208" s="3540">
        <v>0</v>
      </c>
      <c r="AD208" s="3563">
        <v>0</v>
      </c>
      <c r="AE208" s="3563">
        <v>0</v>
      </c>
      <c r="AF208" s="3903"/>
      <c r="AG208" s="3564" t="e">
        <v>#N/A</v>
      </c>
      <c r="AH208" s="3564" t="e">
        <v>#N/A</v>
      </c>
      <c r="AI208" s="3564" t="e">
        <v>#N/A</v>
      </c>
      <c r="AJ208" s="3565" t="e">
        <v>#N/A</v>
      </c>
      <c r="AK208" s="3564">
        <v>0</v>
      </c>
      <c r="AL208" s="3564">
        <v>0</v>
      </c>
      <c r="BD208" s="3698"/>
      <c r="BJ208" s="3538" t="str">
        <f t="shared" ref="BJ208:BJ209" si="569">BJ175</f>
        <v/>
      </c>
      <c r="BK208" s="3534">
        <v>0</v>
      </c>
      <c r="BL208" s="3560">
        <v>0</v>
      </c>
      <c r="BM208" s="3561"/>
      <c r="BN208" s="3560">
        <v>0</v>
      </c>
      <c r="BO208" s="3560">
        <v>0</v>
      </c>
      <c r="BP208" s="3562">
        <v>0</v>
      </c>
      <c r="BQ208" s="3540">
        <v>0</v>
      </c>
      <c r="BR208" s="3563">
        <v>0</v>
      </c>
      <c r="BS208" s="3563">
        <v>0</v>
      </c>
      <c r="BT208" s="3561"/>
      <c r="BU208" s="3564">
        <v>0</v>
      </c>
      <c r="BV208" s="3564">
        <v>0</v>
      </c>
      <c r="BW208" s="3564">
        <v>0</v>
      </c>
      <c r="BX208" s="3565">
        <v>0</v>
      </c>
      <c r="BY208" s="3564">
        <v>0</v>
      </c>
      <c r="BZ208" s="3564">
        <v>0</v>
      </c>
    </row>
    <row r="209" spans="1:168" s="3533" customFormat="1">
      <c r="V209" s="3538" t="str">
        <f t="shared" si="568"/>
        <v/>
      </c>
      <c r="W209" s="3534">
        <v>0</v>
      </c>
      <c r="X209" s="3560">
        <v>0</v>
      </c>
      <c r="Y209" s="3561"/>
      <c r="Z209" s="3560">
        <v>0</v>
      </c>
      <c r="AA209" s="3560">
        <v>0</v>
      </c>
      <c r="AB209" s="3560">
        <v>0</v>
      </c>
      <c r="AC209" s="3534">
        <v>0</v>
      </c>
      <c r="AD209" s="3563">
        <v>0</v>
      </c>
      <c r="AE209" s="3563">
        <v>0</v>
      </c>
      <c r="AF209" s="3563"/>
      <c r="AG209" s="3564" t="e">
        <v>#N/A</v>
      </c>
      <c r="AH209" s="3564" t="e">
        <v>#N/A</v>
      </c>
      <c r="AI209" s="3564" t="e">
        <v>#N/A</v>
      </c>
      <c r="AJ209" s="3565" t="e">
        <v>#N/A</v>
      </c>
      <c r="AK209" s="3564">
        <v>0</v>
      </c>
      <c r="AL209" s="3564">
        <v>0</v>
      </c>
      <c r="BD209" s="3698"/>
      <c r="BJ209" s="3538" t="str">
        <f t="shared" si="569"/>
        <v/>
      </c>
      <c r="BK209" s="3534">
        <v>0</v>
      </c>
      <c r="BL209" s="3560">
        <v>0</v>
      </c>
      <c r="BM209" s="3561"/>
      <c r="BN209" s="3560">
        <v>0</v>
      </c>
      <c r="BO209" s="3560">
        <v>0</v>
      </c>
      <c r="BP209" s="3562">
        <v>0</v>
      </c>
      <c r="BQ209" s="3534">
        <v>0</v>
      </c>
      <c r="BR209" s="3563">
        <v>0</v>
      </c>
      <c r="BS209" s="3563">
        <v>0</v>
      </c>
      <c r="BT209" s="3563"/>
      <c r="BU209" s="3564">
        <v>0</v>
      </c>
      <c r="BV209" s="3564">
        <v>0</v>
      </c>
      <c r="BW209" s="3564">
        <v>0</v>
      </c>
      <c r="BX209" s="3565">
        <v>0</v>
      </c>
      <c r="BY209" s="3564">
        <v>0</v>
      </c>
      <c r="BZ209" s="3564">
        <v>0</v>
      </c>
      <c r="CA209" s="3561"/>
    </row>
    <row r="210" spans="1:168">
      <c r="A210" s="9"/>
      <c r="B210" s="9"/>
      <c r="C210" s="9"/>
      <c r="D210" s="9"/>
      <c r="E210" s="9"/>
      <c r="F210" s="9"/>
      <c r="G210" s="9"/>
      <c r="H210" s="9"/>
      <c r="I210" s="9"/>
      <c r="J210" s="9"/>
      <c r="K210" s="9"/>
      <c r="L210" s="9"/>
      <c r="M210" s="9"/>
      <c r="N210" s="9"/>
      <c r="O210" s="9"/>
      <c r="P210" s="9"/>
      <c r="Q210" s="9"/>
      <c r="R210" s="9"/>
      <c r="S210" s="9"/>
      <c r="T210" s="2332"/>
      <c r="U210" s="9"/>
      <c r="V210" s="3538" t="str">
        <f t="shared" si="568"/>
        <v/>
      </c>
      <c r="W210" s="2330"/>
      <c r="X210" s="2330"/>
      <c r="Y210" s="2330"/>
      <c r="Z210" s="2330"/>
      <c r="AA210" s="2330"/>
      <c r="AB210" s="2330"/>
      <c r="AC210" s="2330"/>
      <c r="AF210" s="2329"/>
      <c r="AJ210"/>
      <c r="AK210" s="9"/>
      <c r="AL210" s="2332"/>
      <c r="AV210" s="28"/>
      <c r="AW210" s="28"/>
      <c r="AX210" s="2"/>
      <c r="AY210" s="2"/>
      <c r="AZ210" s="2"/>
      <c r="BA210" s="2"/>
      <c r="BB210" s="2"/>
      <c r="BC210" s="2"/>
      <c r="BD210" s="2"/>
      <c r="BE210" s="1370"/>
      <c r="BF210" s="2"/>
      <c r="BG210" s="2"/>
      <c r="BH210" s="2330"/>
      <c r="BI210" s="2"/>
      <c r="BJ210" s="2"/>
      <c r="BK210" s="3538" t="str">
        <f t="shared" ref="BK210" si="570">BJ177</f>
        <v/>
      </c>
      <c r="BL210" s="2330"/>
      <c r="BM210" s="2330"/>
      <c r="BN210" s="2330"/>
      <c r="BO210" s="2330"/>
      <c r="BP210" s="2330"/>
      <c r="BQ210" s="1370"/>
      <c r="BR210" s="2329"/>
      <c r="BS210" s="2329"/>
      <c r="BT210" s="2329"/>
      <c r="BU210" s="2329"/>
      <c r="BV210" s="2329"/>
      <c r="BW210" s="2329"/>
      <c r="BX210" s="2329"/>
      <c r="BY210" s="2332"/>
      <c r="BZ210" s="2332"/>
      <c r="CA210" s="2332"/>
      <c r="CB210" s="3533"/>
      <c r="CC210" s="3533"/>
      <c r="CD210" s="3533"/>
      <c r="CE210" s="3533"/>
      <c r="CS210"/>
      <c r="CT210" s="2329"/>
      <c r="DI210"/>
      <c r="DJ210" s="2329"/>
      <c r="DT210" s="2330"/>
      <c r="DU210" s="2330"/>
      <c r="DV210" s="2330"/>
      <c r="DW210" s="2330"/>
      <c r="DX210" s="2330"/>
      <c r="DY210" s="2330"/>
      <c r="DZ210" s="2330"/>
      <c r="EA210" s="2330"/>
      <c r="EB210" s="2330"/>
      <c r="EC210" s="2330"/>
      <c r="ED210" s="2330"/>
      <c r="EE210" s="2330"/>
      <c r="EF210" s="2330"/>
      <c r="EG210" s="2330"/>
      <c r="EU210"/>
      <c r="EV210" s="2329"/>
      <c r="EY210" s="2330"/>
      <c r="EZ210" s="2330"/>
      <c r="FA210" s="2330"/>
      <c r="FB210" s="2330"/>
      <c r="FC210" s="2330"/>
      <c r="FD210" s="2330"/>
      <c r="FE210" s="2330"/>
      <c r="FF210" s="2330"/>
      <c r="FG210" s="2330"/>
      <c r="FH210" s="2330"/>
      <c r="FI210" s="2330"/>
      <c r="FJ210" s="2330"/>
      <c r="FK210" s="2330"/>
      <c r="FL210" s="2330"/>
    </row>
    <row r="211" spans="1:168">
      <c r="A211" s="9"/>
      <c r="B211" s="9"/>
      <c r="C211" s="9"/>
      <c r="D211" s="9"/>
      <c r="E211" s="9"/>
      <c r="F211" s="9"/>
      <c r="G211" s="9"/>
      <c r="H211" s="9"/>
      <c r="I211" s="9"/>
      <c r="J211" s="9"/>
      <c r="K211" s="9"/>
      <c r="L211" s="9"/>
      <c r="M211" s="9"/>
      <c r="N211" s="9"/>
      <c r="O211" s="9"/>
      <c r="P211" s="9"/>
      <c r="Q211" s="9"/>
      <c r="R211" s="9"/>
      <c r="S211" s="9"/>
      <c r="T211" s="2332"/>
      <c r="U211" s="9"/>
      <c r="V211" s="2330"/>
      <c r="W211" s="2330"/>
      <c r="X211" s="2330"/>
      <c r="Y211" s="2330"/>
      <c r="Z211" s="2330"/>
      <c r="AA211" s="2330"/>
      <c r="AB211" s="2330"/>
      <c r="AC211" s="2330"/>
      <c r="AU211" s="28"/>
      <c r="AV211" s="28"/>
      <c r="AW211" s="2"/>
      <c r="AX211" s="2"/>
      <c r="AY211" s="2"/>
      <c r="AZ211" s="2"/>
      <c r="BA211" s="2"/>
      <c r="BB211" s="2"/>
      <c r="BC211" s="2"/>
      <c r="BD211" s="1370"/>
      <c r="BE211" s="2"/>
      <c r="BF211" s="2"/>
      <c r="BG211" s="2330"/>
      <c r="BH211" s="2"/>
      <c r="BI211" s="2"/>
      <c r="BJ211" s="2330"/>
      <c r="BK211" s="2330"/>
      <c r="BL211" s="2330"/>
      <c r="BM211" s="2330"/>
      <c r="BN211" s="2330"/>
      <c r="BO211" s="2330"/>
      <c r="BP211" s="1370"/>
      <c r="BQ211" s="2329"/>
      <c r="BR211" s="2329"/>
      <c r="BS211" s="2329"/>
      <c r="BT211" s="2329"/>
      <c r="BU211" s="2329"/>
      <c r="BV211" s="2329"/>
      <c r="BW211" s="2329"/>
      <c r="BX211" s="2332"/>
      <c r="BY211" s="2332"/>
      <c r="BZ211" s="2332"/>
      <c r="CA211" s="2332"/>
      <c r="CB211" s="2332"/>
      <c r="DS211" s="2330"/>
      <c r="DT211" s="2330"/>
      <c r="DU211" s="2330"/>
      <c r="DV211" s="2330"/>
      <c r="DW211" s="2330"/>
      <c r="DX211" s="2330"/>
      <c r="DY211" s="2330"/>
      <c r="DZ211" s="2330"/>
      <c r="EA211" s="2330"/>
      <c r="EB211" s="2330"/>
      <c r="EC211" s="2330"/>
      <c r="ED211" s="2330"/>
      <c r="EE211" s="2330"/>
      <c r="EF211" s="2330"/>
      <c r="EY211" s="2330"/>
      <c r="EZ211" s="2330"/>
      <c r="FA211" s="2330"/>
      <c r="FB211" s="2330"/>
      <c r="FC211" s="2330"/>
      <c r="FD211" s="2330"/>
      <c r="FE211" s="2330"/>
      <c r="FF211" s="2330"/>
      <c r="FG211" s="2330"/>
      <c r="FH211" s="2330"/>
      <c r="FI211" s="2330"/>
      <c r="FJ211" s="2330"/>
      <c r="FK211" s="2330"/>
    </row>
    <row r="212" spans="1:168" ht="14.25" customHeight="1">
      <c r="A212" s="9"/>
      <c r="B212" s="9"/>
      <c r="C212" s="9"/>
      <c r="D212" s="9"/>
      <c r="E212" s="9"/>
      <c r="F212" s="9"/>
      <c r="G212" s="9"/>
      <c r="H212" s="9"/>
      <c r="I212" s="9"/>
      <c r="J212" s="9"/>
      <c r="K212" s="9"/>
      <c r="L212" s="9"/>
      <c r="M212" s="9"/>
      <c r="N212" s="9"/>
      <c r="O212" s="9"/>
      <c r="P212" s="9"/>
      <c r="Q212" s="9"/>
      <c r="R212" s="9"/>
      <c r="S212" s="9"/>
      <c r="T212" s="2332"/>
      <c r="U212" s="9"/>
      <c r="V212" s="2330"/>
      <c r="W212" s="2330"/>
      <c r="X212" s="2330"/>
      <c r="Y212" s="2330"/>
      <c r="Z212" s="2330"/>
      <c r="AA212" s="2330"/>
      <c r="AB212" s="2330"/>
      <c r="AC212" s="2330"/>
      <c r="AP212" s="4532"/>
      <c r="AQ212" s="4532"/>
      <c r="AR212" s="4532"/>
      <c r="AS212" s="4532"/>
      <c r="AT212" s="4532"/>
      <c r="AU212" s="4532"/>
      <c r="AV212" s="4532"/>
      <c r="AW212" s="2"/>
      <c r="AX212" s="2"/>
      <c r="AY212" s="2"/>
      <c r="AZ212" s="2"/>
      <c r="BA212" s="2"/>
      <c r="BB212" s="2"/>
      <c r="BC212" s="2"/>
      <c r="BD212" s="1370"/>
      <c r="BE212" s="2"/>
      <c r="BF212" s="2"/>
      <c r="BG212" s="2330"/>
      <c r="BH212" s="2"/>
      <c r="BI212" s="2"/>
      <c r="BJ212" s="2330"/>
      <c r="BK212" s="2330"/>
      <c r="BL212" s="2330"/>
      <c r="BM212" s="2330"/>
      <c r="BN212" s="2330"/>
      <c r="BO212" s="2330"/>
      <c r="BP212" s="1370"/>
      <c r="BQ212" s="2329"/>
      <c r="BR212" s="2329"/>
      <c r="BS212" s="2329"/>
      <c r="BT212" s="2329"/>
      <c r="BU212" s="2329"/>
      <c r="BV212" s="2329"/>
      <c r="BW212" s="2332"/>
      <c r="BX212" s="2332"/>
      <c r="BY212" s="2332"/>
      <c r="BZ212" s="2332"/>
      <c r="CA212" s="2332"/>
      <c r="CB212" s="2336"/>
      <c r="CC212"/>
      <c r="CR212" s="2329"/>
      <c r="CS212"/>
      <c r="DH212" s="2329"/>
      <c r="DI212"/>
      <c r="DR212" s="2330"/>
      <c r="DS212" s="2330"/>
      <c r="DT212" s="2330"/>
      <c r="DU212" s="2330"/>
      <c r="DV212" s="2330"/>
      <c r="DW212" s="2330"/>
      <c r="DX212" s="2330"/>
      <c r="DY212" s="2330"/>
      <c r="DZ212" s="2330"/>
      <c r="EA212" s="2330"/>
      <c r="EB212" s="2330"/>
      <c r="EC212" s="2330"/>
      <c r="ED212" s="2330"/>
      <c r="EE212" s="2330"/>
      <c r="ET212" s="2329"/>
      <c r="EU212"/>
      <c r="EY212" s="2330"/>
      <c r="EZ212" s="2330"/>
      <c r="FA212" s="2330"/>
      <c r="FB212" s="2330"/>
      <c r="FC212" s="2330"/>
      <c r="FD212" s="2330"/>
      <c r="FE212" s="2330"/>
      <c r="FF212" s="2330"/>
      <c r="FG212" s="2330"/>
      <c r="FH212" s="2330"/>
      <c r="FI212" s="2330"/>
      <c r="FJ212" s="2330"/>
    </row>
    <row r="213" spans="1:168">
      <c r="A213" s="9"/>
      <c r="B213" s="9"/>
      <c r="C213" s="9"/>
      <c r="D213" s="9"/>
      <c r="E213" s="9"/>
      <c r="F213" s="9"/>
      <c r="G213" s="9"/>
      <c r="H213" s="9"/>
      <c r="I213" s="9"/>
      <c r="J213" s="9"/>
      <c r="K213" s="9"/>
      <c r="L213" s="9"/>
      <c r="M213" s="9"/>
      <c r="N213" s="9"/>
      <c r="O213" s="9"/>
      <c r="P213" s="9"/>
      <c r="Q213" s="9"/>
      <c r="R213" s="9"/>
      <c r="S213" s="9"/>
      <c r="T213" s="2332"/>
      <c r="U213" s="9"/>
      <c r="V213" s="2330"/>
      <c r="W213" s="2330"/>
      <c r="X213" s="2330"/>
      <c r="Y213" s="2330"/>
      <c r="Z213" s="2330"/>
      <c r="AA213" s="2330"/>
      <c r="AB213" s="2330"/>
      <c r="AC213" s="2330"/>
      <c r="AP213" s="4532"/>
      <c r="AQ213" s="3371"/>
      <c r="AR213" s="3371"/>
      <c r="AS213" s="3371"/>
      <c r="AT213" s="3371"/>
      <c r="AU213" s="3371"/>
      <c r="AV213" s="3371"/>
      <c r="AW213" s="2"/>
      <c r="AX213" s="2"/>
      <c r="AY213" s="2"/>
      <c r="AZ213" s="2"/>
      <c r="BA213" s="2"/>
      <c r="BB213" s="2"/>
      <c r="BC213" s="2"/>
      <c r="BD213" s="1370"/>
      <c r="BE213" s="2"/>
      <c r="BF213" s="2"/>
      <c r="BG213" s="2330"/>
      <c r="BH213" s="2"/>
      <c r="BI213" s="2"/>
      <c r="BJ213" s="2330"/>
      <c r="BK213" s="2330"/>
      <c r="BL213" s="2330"/>
      <c r="BM213" s="2330"/>
      <c r="BN213" s="2330"/>
      <c r="BO213" s="2330"/>
      <c r="BP213" s="2330"/>
      <c r="BQ213" s="1370"/>
      <c r="BR213" s="2329"/>
      <c r="BS213" s="2329"/>
      <c r="BT213" s="2329"/>
      <c r="BU213" s="2329"/>
      <c r="BV213" s="2329"/>
      <c r="BW213" s="2329"/>
      <c r="BX213" s="2332"/>
      <c r="BY213" s="2332"/>
      <c r="BZ213" s="2332"/>
      <c r="CA213" s="2332"/>
      <c r="CB213" s="2332"/>
      <c r="DS213" s="2330"/>
      <c r="DT213" s="2330"/>
      <c r="DU213" s="2330"/>
      <c r="DV213" s="2330"/>
      <c r="DW213" s="2330"/>
      <c r="DX213" s="2330"/>
      <c r="DY213" s="2330"/>
      <c r="DZ213" s="2330"/>
      <c r="EA213" s="2330"/>
      <c r="EB213" s="2330"/>
      <c r="EC213" s="2330"/>
      <c r="ED213" s="2330"/>
      <c r="EE213" s="2330"/>
      <c r="EF213" s="2330"/>
      <c r="EY213" s="2330"/>
      <c r="EZ213" s="2330"/>
      <c r="FA213" s="2330"/>
      <c r="FB213" s="2330"/>
      <c r="FC213" s="2330"/>
      <c r="FD213" s="2330"/>
      <c r="FE213" s="2330"/>
      <c r="FF213" s="2330"/>
      <c r="FG213" s="2330"/>
      <c r="FH213" s="2330"/>
      <c r="FI213" s="2330"/>
      <c r="FJ213" s="2330"/>
      <c r="FK213" s="2330"/>
    </row>
    <row r="214" spans="1:168">
      <c r="A214" s="9"/>
      <c r="B214" s="9"/>
      <c r="C214" s="9"/>
      <c r="D214" s="9"/>
      <c r="E214" s="9"/>
      <c r="F214" s="9"/>
      <c r="G214" s="9"/>
      <c r="H214" s="9"/>
      <c r="I214" s="9"/>
      <c r="J214" s="9"/>
      <c r="K214" s="9"/>
      <c r="L214" s="9"/>
      <c r="M214" s="9"/>
      <c r="N214" s="9"/>
      <c r="O214" s="9"/>
      <c r="P214" s="9"/>
      <c r="Q214" s="9"/>
      <c r="R214" s="9"/>
      <c r="S214" s="9"/>
      <c r="T214" s="2332"/>
      <c r="U214" s="9"/>
      <c r="V214" s="2330"/>
      <c r="W214" s="2330"/>
      <c r="X214" s="2330"/>
      <c r="Y214" s="2330"/>
      <c r="Z214" s="2330"/>
      <c r="AA214" s="2330"/>
      <c r="AB214" s="2330"/>
      <c r="AC214" s="2330"/>
      <c r="AP214" s="1501"/>
      <c r="AQ214" s="3371"/>
      <c r="AR214" s="3371"/>
      <c r="AS214" s="3371"/>
      <c r="AT214" s="3371"/>
      <c r="AU214" s="3371"/>
      <c r="AV214" s="3371"/>
      <c r="AW214" s="2"/>
      <c r="AX214" s="2"/>
      <c r="AY214" s="2"/>
      <c r="AZ214" s="2"/>
      <c r="BA214" s="2"/>
      <c r="BB214" s="2"/>
      <c r="BC214" s="2"/>
      <c r="BD214" s="1370"/>
      <c r="BE214" s="2"/>
      <c r="BF214" s="2"/>
      <c r="BG214" s="2330"/>
      <c r="BH214" s="2"/>
      <c r="BI214" s="2"/>
      <c r="BJ214" s="2330"/>
      <c r="BK214" s="2330"/>
      <c r="BL214" s="2330"/>
      <c r="BM214" s="2330"/>
      <c r="BN214" s="2330"/>
      <c r="BO214" s="2330"/>
      <c r="BP214" s="2330"/>
      <c r="BQ214" s="1370"/>
      <c r="BR214" s="2329"/>
      <c r="BS214" s="2329"/>
      <c r="BT214" s="2329"/>
      <c r="BU214" s="2329"/>
      <c r="BV214" s="2329"/>
      <c r="BW214" s="2329"/>
      <c r="BX214" s="2332"/>
      <c r="BY214" s="2332"/>
      <c r="BZ214" s="2332"/>
      <c r="CA214" s="2332"/>
      <c r="CB214" s="2332"/>
      <c r="DS214" s="2330"/>
      <c r="DT214" s="2330"/>
      <c r="DU214" s="2330"/>
      <c r="DV214" s="2330"/>
      <c r="DW214" s="2330"/>
      <c r="DX214" s="2330"/>
      <c r="DY214" s="2330"/>
      <c r="DZ214" s="2330"/>
      <c r="EA214" s="2330"/>
      <c r="EB214" s="2330"/>
      <c r="EC214" s="2330"/>
      <c r="ED214" s="2330"/>
      <c r="EE214" s="2330"/>
      <c r="EF214" s="2330"/>
      <c r="EY214" s="2330"/>
      <c r="EZ214" s="2330"/>
      <c r="FA214" s="2330"/>
      <c r="FB214" s="2330"/>
      <c r="FC214" s="2330"/>
      <c r="FD214" s="2330"/>
      <c r="FE214" s="2330"/>
      <c r="FF214" s="2330"/>
      <c r="FG214" s="2330"/>
      <c r="FH214" s="2330"/>
      <c r="FI214" s="2330"/>
      <c r="FJ214" s="2330"/>
      <c r="FK214" s="2330"/>
    </row>
    <row r="215" spans="1:168">
      <c r="A215" s="9"/>
      <c r="B215" s="9"/>
      <c r="C215" s="9"/>
      <c r="D215" s="9"/>
      <c r="E215" s="9"/>
      <c r="F215" s="9"/>
      <c r="G215" s="9"/>
      <c r="H215" s="9"/>
      <c r="I215" s="9"/>
      <c r="J215" s="9"/>
      <c r="K215" s="9"/>
      <c r="L215" s="9"/>
      <c r="M215" s="9"/>
      <c r="N215" s="9"/>
      <c r="O215" s="9"/>
      <c r="P215" s="9"/>
      <c r="Q215" s="9"/>
      <c r="R215" s="9"/>
      <c r="S215" s="9"/>
      <c r="T215" s="2332"/>
      <c r="U215" s="9"/>
      <c r="V215" s="2330"/>
      <c r="W215" s="2330"/>
      <c r="X215" s="2330"/>
      <c r="Y215" s="2330"/>
      <c r="Z215" s="2330"/>
      <c r="AA215" s="2330"/>
      <c r="AB215" s="2330"/>
      <c r="AC215" s="2330"/>
      <c r="AP215" s="1501"/>
      <c r="AQ215" s="3371"/>
      <c r="AR215" s="3371"/>
      <c r="AS215" s="3371"/>
      <c r="AT215" s="3371"/>
      <c r="AU215" s="3371"/>
      <c r="AV215" s="3371"/>
      <c r="AW215" s="2"/>
      <c r="AX215" s="2"/>
      <c r="AY215" s="2"/>
      <c r="AZ215" s="2"/>
      <c r="BA215" s="2"/>
      <c r="BB215" s="2"/>
      <c r="BC215" s="2"/>
      <c r="BD215" s="1370"/>
      <c r="BE215" s="2"/>
      <c r="BF215" s="2"/>
      <c r="BG215" s="2330"/>
      <c r="BH215" s="2"/>
      <c r="BI215" s="2"/>
      <c r="BJ215" s="2330"/>
      <c r="BK215" s="2330"/>
      <c r="BL215" s="2330"/>
      <c r="BM215" s="2330"/>
      <c r="BN215" s="2330"/>
      <c r="BO215" s="2330"/>
      <c r="BP215" s="2330"/>
      <c r="BQ215" s="1370"/>
      <c r="BR215" s="2329"/>
      <c r="BS215" s="2329"/>
      <c r="BT215" s="2329"/>
      <c r="BU215" s="2329"/>
      <c r="BV215" s="2329"/>
      <c r="BW215" s="2329"/>
      <c r="BX215" s="2332"/>
      <c r="BY215" s="2332"/>
      <c r="BZ215" s="2332"/>
      <c r="CA215" s="2332"/>
      <c r="CB215" s="2332"/>
      <c r="DS215" s="2330"/>
      <c r="DT215" s="2330"/>
      <c r="DU215" s="2330"/>
      <c r="DV215" s="2330"/>
      <c r="DW215" s="2330"/>
      <c r="DX215" s="2330"/>
      <c r="DY215" s="2330"/>
      <c r="DZ215" s="2330"/>
      <c r="EA215" s="2330"/>
      <c r="EB215" s="2330"/>
      <c r="EC215" s="2330"/>
      <c r="ED215" s="2330"/>
      <c r="EE215" s="2330"/>
      <c r="EF215" s="2330"/>
      <c r="EY215" s="2330"/>
      <c r="EZ215" s="2330"/>
      <c r="FA215" s="2330"/>
      <c r="FB215" s="2330"/>
      <c r="FC215" s="2330"/>
      <c r="FD215" s="2330"/>
      <c r="FE215" s="2330"/>
      <c r="FF215" s="2330"/>
      <c r="FG215" s="2330"/>
      <c r="FH215" s="2330"/>
      <c r="FI215" s="2330"/>
      <c r="FJ215" s="2330"/>
      <c r="FK215" s="2330"/>
    </row>
    <row r="216" spans="1:168">
      <c r="A216" s="9"/>
      <c r="B216" s="9"/>
      <c r="C216" s="9"/>
      <c r="D216" s="9"/>
      <c r="E216" s="9"/>
      <c r="F216" s="9"/>
      <c r="G216" s="9"/>
      <c r="H216" s="9"/>
      <c r="I216" s="9"/>
      <c r="J216" s="9"/>
      <c r="K216" s="9"/>
      <c r="L216" s="9"/>
      <c r="M216" s="9"/>
      <c r="N216" s="9"/>
      <c r="O216" s="9"/>
      <c r="P216" s="9"/>
      <c r="Q216" s="9"/>
      <c r="R216" s="9"/>
      <c r="S216" s="9"/>
      <c r="T216" s="2332"/>
      <c r="U216" s="9"/>
      <c r="V216" s="2330"/>
      <c r="W216" s="2330"/>
      <c r="X216" s="2330"/>
      <c r="Y216" s="2330"/>
      <c r="Z216" s="2330"/>
      <c r="AA216" s="2330"/>
      <c r="AB216" s="2330"/>
      <c r="AC216" s="2330"/>
      <c r="AP216" s="1501"/>
      <c r="AQ216" s="3371"/>
      <c r="AR216" s="3371"/>
      <c r="AS216" s="3371"/>
      <c r="AT216" s="3371"/>
      <c r="AU216" s="3371"/>
      <c r="AV216" s="3371"/>
      <c r="AW216" s="30"/>
      <c r="AX216" s="30"/>
      <c r="AY216" s="30"/>
      <c r="AZ216" s="30"/>
      <c r="BA216" s="30"/>
      <c r="BB216" s="30"/>
      <c r="BC216" s="30"/>
      <c r="BD216" s="70"/>
      <c r="BE216" s="30"/>
      <c r="BF216" s="2272"/>
      <c r="BG216" s="2272"/>
      <c r="BH216" s="2272"/>
      <c r="BI216" s="2272"/>
      <c r="BJ216" s="2330"/>
      <c r="BK216" s="2330"/>
      <c r="BL216" s="2330"/>
      <c r="BM216" s="2330"/>
      <c r="BN216" s="2330"/>
      <c r="BO216" s="2330"/>
      <c r="BP216" s="2330"/>
      <c r="BQ216" s="1370"/>
      <c r="BR216" s="2329"/>
      <c r="BS216" s="2329"/>
      <c r="BT216" s="2329"/>
      <c r="BU216" s="2329"/>
      <c r="BV216" s="2329"/>
      <c r="BW216" s="2329"/>
      <c r="BX216" s="2332"/>
      <c r="BY216" s="2332"/>
      <c r="BZ216" s="2332"/>
      <c r="CA216" s="2332"/>
      <c r="CB216" s="2332"/>
      <c r="DS216" s="2330"/>
      <c r="DT216" s="2330"/>
      <c r="DU216" s="2330"/>
      <c r="DV216" s="2330"/>
      <c r="DW216" s="2330"/>
      <c r="DX216" s="2330"/>
      <c r="DY216" s="2330"/>
      <c r="DZ216" s="2330"/>
      <c r="EA216" s="2330"/>
      <c r="EB216" s="2330"/>
      <c r="EC216" s="2330"/>
      <c r="ED216" s="2330"/>
      <c r="EE216" s="2330"/>
      <c r="EF216" s="2330"/>
      <c r="EY216" s="2330"/>
      <c r="EZ216" s="2330"/>
      <c r="FA216" s="2330"/>
      <c r="FB216" s="2330"/>
      <c r="FC216" s="2330"/>
      <c r="FD216" s="2330"/>
      <c r="FE216" s="2330"/>
      <c r="FF216" s="2330"/>
      <c r="FG216" s="2330"/>
      <c r="FH216" s="2330"/>
      <c r="FI216" s="2330"/>
      <c r="FJ216" s="2330"/>
      <c r="FK216" s="2330"/>
    </row>
    <row r="217" spans="1:168">
      <c r="A217" s="9"/>
      <c r="B217" s="9"/>
      <c r="C217" s="9"/>
      <c r="D217" s="9"/>
      <c r="E217" s="9"/>
      <c r="F217" s="9"/>
      <c r="G217" s="9"/>
      <c r="H217" s="9"/>
      <c r="I217" s="9"/>
      <c r="J217" s="9"/>
      <c r="K217" s="9"/>
      <c r="L217" s="9"/>
      <c r="M217" s="9"/>
      <c r="N217" s="9"/>
      <c r="O217" s="9"/>
      <c r="P217" s="9"/>
      <c r="Q217" s="9"/>
      <c r="R217" s="9"/>
      <c r="S217" s="9"/>
      <c r="T217" s="2332"/>
      <c r="U217" s="9"/>
      <c r="V217" s="2330"/>
      <c r="W217" s="2330"/>
      <c r="X217" s="2330"/>
      <c r="Y217" s="2330"/>
      <c r="Z217" s="2330"/>
      <c r="AA217" s="2330"/>
      <c r="AB217" s="2330"/>
      <c r="AC217" s="2330"/>
      <c r="AP217" s="1501"/>
      <c r="AQ217" s="3371"/>
      <c r="AR217" s="3371"/>
      <c r="AS217" s="3371"/>
      <c r="AT217" s="3371"/>
      <c r="AU217" s="3371"/>
      <c r="AV217" s="3371"/>
      <c r="AW217" s="30"/>
      <c r="AX217" s="30"/>
      <c r="AY217" s="30"/>
      <c r="AZ217" s="30"/>
      <c r="BA217" s="30"/>
      <c r="BB217" s="30"/>
      <c r="BC217" s="30"/>
      <c r="BD217" s="70"/>
      <c r="BE217" s="30"/>
      <c r="BF217" s="2272"/>
      <c r="BG217" s="2272"/>
      <c r="BH217" s="2272"/>
      <c r="BI217" s="2272"/>
      <c r="BJ217" s="2330"/>
      <c r="BK217" s="2330"/>
      <c r="BL217" s="2330"/>
      <c r="BM217" s="2330"/>
      <c r="BN217" s="2330"/>
      <c r="BO217" s="2330"/>
      <c r="BP217" s="2330"/>
      <c r="BQ217" s="1370"/>
      <c r="BR217" s="2329"/>
      <c r="BS217" s="2329"/>
      <c r="BT217" s="2329"/>
      <c r="BU217" s="2329"/>
      <c r="BV217" s="2329"/>
      <c r="BW217" s="2329"/>
      <c r="BX217" s="2332"/>
      <c r="BY217" s="2332"/>
      <c r="BZ217" s="2332"/>
      <c r="CA217" s="2332"/>
      <c r="CB217" s="2332"/>
      <c r="DS217" s="2330"/>
      <c r="DT217" s="2330"/>
      <c r="DU217" s="2330"/>
      <c r="DV217" s="2330"/>
      <c r="DW217" s="2330"/>
      <c r="DX217" s="2330"/>
      <c r="DY217" s="2330"/>
      <c r="DZ217" s="2330"/>
      <c r="EA217" s="2330"/>
      <c r="EB217" s="2330"/>
      <c r="EC217" s="2330"/>
      <c r="ED217" s="2330"/>
      <c r="EE217" s="2330"/>
      <c r="EF217" s="2330"/>
      <c r="EY217" s="2330"/>
      <c r="EZ217" s="2330"/>
      <c r="FA217" s="2330"/>
      <c r="FB217" s="2330"/>
      <c r="FC217" s="2330"/>
      <c r="FD217" s="2330"/>
      <c r="FE217" s="2330"/>
      <c r="FF217" s="2330"/>
      <c r="FG217" s="2330"/>
      <c r="FH217" s="2330"/>
      <c r="FI217" s="2330"/>
      <c r="FJ217" s="2330"/>
      <c r="FK217" s="2330"/>
    </row>
    <row r="218" spans="1:168">
      <c r="A218" s="9"/>
      <c r="B218" s="9"/>
      <c r="C218" s="9"/>
      <c r="D218" s="9"/>
      <c r="E218" s="9"/>
      <c r="F218" s="9"/>
      <c r="G218" s="9"/>
      <c r="H218" s="9"/>
      <c r="I218" s="9"/>
      <c r="J218" s="9"/>
      <c r="K218" s="9"/>
      <c r="L218" s="9"/>
      <c r="M218" s="9"/>
      <c r="N218" s="9"/>
      <c r="O218" s="9"/>
      <c r="P218" s="9"/>
      <c r="Q218" s="9"/>
      <c r="R218" s="9"/>
      <c r="S218" s="9"/>
      <c r="T218" s="2332"/>
      <c r="U218" s="9"/>
      <c r="V218" s="2330"/>
      <c r="W218" s="2330"/>
      <c r="X218" s="2330"/>
      <c r="Y218" s="2330"/>
      <c r="Z218" s="2330"/>
      <c r="AA218" s="2330"/>
      <c r="AB218" s="2330"/>
      <c r="AC218" s="2330"/>
      <c r="AP218" s="1501"/>
      <c r="AQ218" s="3371"/>
      <c r="AR218" s="3371"/>
      <c r="AS218" s="3371"/>
      <c r="AT218" s="3371"/>
      <c r="AU218" s="3371"/>
      <c r="AV218" s="3371"/>
      <c r="AW218" s="30"/>
      <c r="AX218" s="30"/>
      <c r="AY218" s="30"/>
      <c r="AZ218" s="30"/>
      <c r="BA218" s="30"/>
      <c r="BB218" s="30"/>
      <c r="BC218" s="30"/>
      <c r="BD218" s="70"/>
      <c r="BE218" s="30"/>
      <c r="BF218" s="2272"/>
      <c r="BG218" s="2272"/>
      <c r="BH218" s="2272"/>
      <c r="BI218" s="2272"/>
      <c r="BJ218" s="2330"/>
      <c r="BK218" s="2330"/>
      <c r="BL218" s="2330"/>
      <c r="BM218" s="2330"/>
      <c r="BN218" s="2330"/>
      <c r="BO218" s="2330"/>
      <c r="BP218" s="2330"/>
      <c r="BQ218" s="1370"/>
      <c r="BR218" s="2329"/>
      <c r="BS218" s="2329"/>
      <c r="BT218" s="2329"/>
      <c r="BU218" s="2329"/>
      <c r="BV218" s="2329"/>
      <c r="BW218" s="2329"/>
      <c r="BX218" s="2332"/>
      <c r="BY218" s="2332"/>
      <c r="BZ218" s="2332"/>
      <c r="CA218" s="2332"/>
      <c r="CB218" s="2332"/>
      <c r="DS218" s="2330"/>
      <c r="DT218" s="2330"/>
      <c r="DU218" s="2330"/>
      <c r="DV218" s="2330"/>
      <c r="DW218" s="2330"/>
      <c r="DX218" s="2330"/>
      <c r="DY218" s="2330"/>
      <c r="DZ218" s="2330"/>
      <c r="EA218" s="2330"/>
      <c r="EB218" s="2330"/>
      <c r="EC218" s="2330"/>
      <c r="ED218" s="2330"/>
      <c r="EE218" s="2330"/>
      <c r="EF218" s="2330"/>
      <c r="EY218" s="2330"/>
      <c r="EZ218" s="2330"/>
      <c r="FA218" s="2330"/>
      <c r="FB218" s="2330"/>
      <c r="FC218" s="2330"/>
      <c r="FD218" s="2330"/>
      <c r="FE218" s="2330"/>
      <c r="FF218" s="2330"/>
      <c r="FG218" s="2330"/>
      <c r="FH218" s="2330"/>
      <c r="FI218" s="2330"/>
      <c r="FJ218" s="2330"/>
      <c r="FK218" s="2330"/>
    </row>
    <row r="219" spans="1:168">
      <c r="A219" s="9"/>
      <c r="B219" s="9"/>
      <c r="C219" s="9"/>
      <c r="D219" s="9"/>
      <c r="E219" s="9"/>
      <c r="F219" s="9"/>
      <c r="G219" s="9"/>
      <c r="H219" s="9"/>
      <c r="I219" s="9"/>
      <c r="J219" s="9"/>
      <c r="K219" s="9"/>
      <c r="L219" s="9"/>
      <c r="M219" s="9"/>
      <c r="N219" s="9"/>
      <c r="O219" s="9"/>
      <c r="P219" s="9"/>
      <c r="Q219" s="9"/>
      <c r="R219" s="9"/>
      <c r="S219" s="9"/>
      <c r="T219" s="2332"/>
      <c r="U219" s="9"/>
      <c r="V219" s="2330"/>
      <c r="W219" s="2330"/>
      <c r="X219" s="2330"/>
      <c r="Y219" s="2330"/>
      <c r="Z219" s="2330"/>
      <c r="AA219" s="2330"/>
      <c r="AB219" s="2330"/>
      <c r="AC219" s="2330"/>
      <c r="AP219" s="1501"/>
      <c r="AQ219" s="3371"/>
      <c r="AR219" s="3371"/>
      <c r="AS219" s="3371"/>
      <c r="AT219" s="3371"/>
      <c r="AU219" s="3371"/>
      <c r="AV219" s="3371"/>
      <c r="AW219" s="30"/>
      <c r="AX219" s="30"/>
      <c r="AY219" s="30"/>
      <c r="AZ219" s="30"/>
      <c r="BA219" s="30"/>
      <c r="BB219" s="30"/>
      <c r="BC219" s="30"/>
      <c r="BD219" s="70"/>
      <c r="BE219" s="30"/>
      <c r="BF219" s="2272"/>
      <c r="BG219" s="2272"/>
      <c r="BH219" s="2272"/>
      <c r="BI219" s="2272"/>
      <c r="BJ219" s="2330"/>
      <c r="BK219" s="2330"/>
      <c r="BL219" s="2330"/>
      <c r="BM219" s="2330"/>
      <c r="BN219" s="2330"/>
      <c r="BO219" s="2330"/>
      <c r="BP219" s="2330"/>
      <c r="BQ219" s="1370"/>
      <c r="BR219" s="2329"/>
      <c r="BS219" s="2329"/>
      <c r="BT219" s="2329"/>
      <c r="BU219" s="2329"/>
      <c r="BV219" s="2329"/>
      <c r="BW219" s="2329"/>
      <c r="BX219" s="2332"/>
      <c r="BY219" s="2332"/>
      <c r="BZ219" s="2332"/>
      <c r="CA219" s="2332"/>
      <c r="CB219" s="2332"/>
      <c r="DS219" s="2330"/>
      <c r="DT219" s="2330"/>
      <c r="DU219" s="2330"/>
      <c r="DV219" s="2330"/>
      <c r="DW219" s="2330"/>
      <c r="DX219" s="2330"/>
      <c r="DY219" s="2330"/>
      <c r="DZ219" s="2330"/>
      <c r="EA219" s="2330"/>
      <c r="EB219" s="2330"/>
      <c r="EC219" s="2330"/>
      <c r="ED219" s="2330"/>
      <c r="EE219" s="2330"/>
      <c r="EF219" s="2330"/>
      <c r="EY219" s="2330"/>
      <c r="EZ219" s="2330"/>
      <c r="FA219" s="2330"/>
      <c r="FB219" s="2330"/>
      <c r="FC219" s="2330"/>
      <c r="FD219" s="2330"/>
      <c r="FE219" s="2330"/>
      <c r="FF219" s="2330"/>
      <c r="FG219" s="2330"/>
      <c r="FH219" s="2330"/>
      <c r="FI219" s="2330"/>
      <c r="FJ219" s="2330"/>
      <c r="FK219" s="2330"/>
    </row>
    <row r="220" spans="1:168">
      <c r="A220" s="9"/>
      <c r="B220" s="9"/>
      <c r="C220" s="9"/>
      <c r="D220" s="9"/>
      <c r="E220" s="9"/>
      <c r="F220" s="9"/>
      <c r="G220" s="9"/>
      <c r="H220" s="9"/>
      <c r="I220" s="9"/>
      <c r="J220" s="9"/>
      <c r="K220" s="9"/>
      <c r="L220" s="9"/>
      <c r="M220" s="9"/>
      <c r="N220" s="9"/>
      <c r="O220" s="9"/>
      <c r="P220" s="9"/>
      <c r="Q220" s="9"/>
      <c r="R220" s="9"/>
      <c r="S220" s="9"/>
      <c r="T220" s="2332"/>
      <c r="U220" s="9"/>
      <c r="V220" s="2330"/>
      <c r="W220" s="2330"/>
      <c r="X220" s="2330"/>
      <c r="Y220" s="2330"/>
      <c r="Z220" s="2330"/>
      <c r="AA220" s="2330"/>
      <c r="AB220" s="2330"/>
      <c r="AC220" s="2330"/>
      <c r="AP220" s="1501"/>
      <c r="AQ220" s="3371"/>
      <c r="AR220" s="3371"/>
      <c r="AS220" s="3371"/>
      <c r="AT220" s="3371"/>
      <c r="AU220" s="3371"/>
      <c r="AV220" s="3371"/>
      <c r="AW220" s="30"/>
      <c r="AX220" s="30"/>
      <c r="AY220" s="30"/>
      <c r="AZ220" s="30"/>
      <c r="BA220" s="30"/>
      <c r="BB220" s="30"/>
      <c r="BC220" s="30"/>
      <c r="BD220" s="70"/>
      <c r="BE220" s="30"/>
      <c r="BF220" s="2272"/>
      <c r="BG220" s="2272"/>
      <c r="BH220" s="2272"/>
      <c r="BI220" s="2272"/>
      <c r="BJ220" s="2330"/>
      <c r="BK220" s="2330"/>
      <c r="BL220" s="2330"/>
      <c r="BM220" s="2330"/>
      <c r="BN220" s="2330"/>
      <c r="BO220" s="2330"/>
      <c r="BP220" s="2330"/>
      <c r="BQ220" s="1370"/>
      <c r="BR220" s="2329"/>
      <c r="BS220" s="2329"/>
      <c r="BT220" s="2329"/>
      <c r="BU220" s="2329"/>
      <c r="BV220" s="2329"/>
      <c r="BW220" s="2329"/>
      <c r="BX220" s="2332"/>
      <c r="BY220" s="2332"/>
      <c r="BZ220" s="2332"/>
      <c r="CA220" s="2332"/>
      <c r="CB220" s="2332"/>
      <c r="DS220" s="2330"/>
      <c r="DT220" s="2330"/>
      <c r="DU220" s="2330"/>
      <c r="DV220" s="2330"/>
      <c r="DW220" s="2330"/>
      <c r="DX220" s="2330"/>
      <c r="DY220" s="2330"/>
      <c r="DZ220" s="2330"/>
      <c r="EA220" s="2330"/>
      <c r="EB220" s="2330"/>
      <c r="EC220" s="2330"/>
      <c r="ED220" s="2330"/>
      <c r="EE220" s="2330"/>
      <c r="EF220" s="2330"/>
      <c r="EY220" s="2330"/>
      <c r="EZ220" s="2330"/>
      <c r="FA220" s="2330"/>
      <c r="FB220" s="2330"/>
      <c r="FC220" s="2330"/>
      <c r="FD220" s="2330"/>
      <c r="FE220" s="2330"/>
      <c r="FF220" s="2330"/>
      <c r="FG220" s="2330"/>
      <c r="FH220" s="2330"/>
      <c r="FI220" s="2330"/>
      <c r="FJ220" s="2330"/>
      <c r="FK220" s="2330"/>
    </row>
    <row r="221" spans="1:168">
      <c r="A221" s="9"/>
      <c r="B221" s="9"/>
      <c r="C221" s="9"/>
      <c r="D221" s="9"/>
      <c r="E221" s="9"/>
      <c r="F221" s="9"/>
      <c r="G221" s="9"/>
      <c r="H221" s="9"/>
      <c r="I221" s="9"/>
      <c r="J221" s="9"/>
      <c r="K221" s="9"/>
      <c r="L221" s="9"/>
      <c r="M221" s="9"/>
      <c r="N221" s="9"/>
      <c r="O221" s="9"/>
      <c r="P221" s="9"/>
      <c r="Q221" s="9"/>
      <c r="R221" s="9"/>
      <c r="S221" s="9"/>
      <c r="T221" s="2332"/>
      <c r="U221" s="9"/>
      <c r="V221" s="2330"/>
      <c r="W221" s="2330"/>
      <c r="X221" s="2330"/>
      <c r="Y221" s="2330"/>
      <c r="Z221" s="2330"/>
      <c r="AA221" s="2330"/>
      <c r="AB221" s="2330"/>
      <c r="AC221" s="2330"/>
      <c r="AP221" s="1501"/>
      <c r="AQ221" s="3371"/>
      <c r="AR221" s="3371"/>
      <c r="AS221" s="3371"/>
      <c r="AT221" s="3371"/>
      <c r="AU221" s="3371"/>
      <c r="AV221" s="3371"/>
      <c r="AW221" s="30"/>
      <c r="AX221" s="30"/>
      <c r="AY221" s="30"/>
      <c r="AZ221" s="30"/>
      <c r="BA221" s="30"/>
      <c r="BB221" s="30"/>
      <c r="BC221" s="30"/>
      <c r="BD221" s="70"/>
      <c r="BE221" s="30"/>
      <c r="BF221" s="2272"/>
      <c r="BG221" s="2272"/>
      <c r="BH221" s="2272"/>
      <c r="BI221" s="2272"/>
      <c r="BJ221" s="2330"/>
      <c r="BK221" s="2330"/>
      <c r="BL221" s="2330"/>
      <c r="BM221" s="2330"/>
      <c r="BN221" s="2330"/>
      <c r="BO221" s="2330"/>
      <c r="BP221" s="2330"/>
      <c r="BQ221" s="1370"/>
      <c r="BR221" s="2329"/>
      <c r="BS221" s="2329"/>
      <c r="BT221" s="2329"/>
      <c r="BU221" s="2329"/>
      <c r="BV221" s="2329"/>
      <c r="BW221" s="2329"/>
      <c r="BX221" s="2332"/>
      <c r="BY221" s="2332"/>
      <c r="BZ221" s="2332"/>
      <c r="CA221" s="2332"/>
      <c r="CB221" s="2332"/>
      <c r="DS221" s="2330"/>
      <c r="DT221" s="2330"/>
      <c r="DU221" s="2330"/>
      <c r="DV221" s="2330"/>
      <c r="DW221" s="2330"/>
      <c r="DX221" s="2330"/>
      <c r="DY221" s="2330"/>
      <c r="DZ221" s="2330"/>
      <c r="EA221" s="2330"/>
      <c r="EB221" s="2330"/>
      <c r="EC221" s="2330"/>
      <c r="ED221" s="2330"/>
      <c r="EE221" s="2330"/>
      <c r="EF221" s="2330"/>
      <c r="EY221" s="2330"/>
      <c r="EZ221" s="2330"/>
      <c r="FA221" s="2330"/>
      <c r="FB221" s="2330"/>
      <c r="FC221" s="2330"/>
      <c r="FD221" s="2330"/>
      <c r="FE221" s="2330"/>
      <c r="FF221" s="2330"/>
      <c r="FG221" s="2330"/>
      <c r="FH221" s="2330"/>
      <c r="FI221" s="2330"/>
      <c r="FJ221" s="2330"/>
      <c r="FK221" s="2330"/>
    </row>
    <row r="222" spans="1:168">
      <c r="A222" s="9"/>
      <c r="B222" s="9"/>
      <c r="C222" s="9"/>
      <c r="D222" s="9"/>
      <c r="E222" s="9"/>
      <c r="F222" s="9"/>
      <c r="G222" s="9"/>
      <c r="H222" s="9"/>
      <c r="I222" s="9"/>
      <c r="J222" s="9"/>
      <c r="K222" s="9"/>
      <c r="L222" s="9"/>
      <c r="M222" s="9"/>
      <c r="N222" s="9"/>
      <c r="O222" s="9"/>
      <c r="P222" s="9"/>
      <c r="Q222" s="9"/>
      <c r="R222" s="9"/>
      <c r="S222" s="9"/>
      <c r="T222" s="2332"/>
      <c r="U222" s="9"/>
      <c r="V222" s="2335" t="s">
        <v>1988</v>
      </c>
      <c r="W222" s="2330"/>
      <c r="X222" s="2330"/>
      <c r="Y222" s="2330"/>
      <c r="Z222" s="2330"/>
      <c r="AA222" s="2330"/>
      <c r="AB222" s="2330"/>
      <c r="AC222" s="2330"/>
      <c r="AP222" s="1501"/>
      <c r="AQ222" s="3371"/>
      <c r="AR222" s="3371"/>
      <c r="AS222" s="3371"/>
      <c r="AT222" s="3371"/>
      <c r="AU222" s="3371"/>
      <c r="AV222" s="3371"/>
      <c r="AW222" s="30"/>
      <c r="AX222" s="30"/>
      <c r="AY222" s="30"/>
      <c r="AZ222" s="30"/>
      <c r="BA222" s="30"/>
      <c r="BB222" s="30"/>
      <c r="BC222" s="30"/>
      <c r="BD222" s="70"/>
      <c r="BE222" s="30"/>
      <c r="BF222" s="2272"/>
      <c r="BG222" s="2272"/>
      <c r="BH222" s="2272"/>
      <c r="BI222" s="2272"/>
      <c r="BJ222" s="2330"/>
      <c r="BK222" s="2330"/>
      <c r="BL222" s="2330"/>
      <c r="BM222" s="2330"/>
      <c r="BN222" s="2330"/>
      <c r="BO222" s="2330"/>
      <c r="BP222" s="2330"/>
      <c r="BQ222" s="1370"/>
      <c r="BR222" s="2329"/>
      <c r="BS222" s="2329"/>
      <c r="BT222" s="2329"/>
      <c r="BU222" s="2329"/>
      <c r="BV222" s="2329"/>
      <c r="BW222" s="2329"/>
      <c r="BX222" s="2332"/>
      <c r="BY222" s="2332"/>
      <c r="BZ222" s="2332"/>
      <c r="CA222" s="2332"/>
      <c r="CB222" s="2332"/>
      <c r="DS222" s="2330"/>
      <c r="DT222" s="2330"/>
      <c r="DU222" s="2330"/>
      <c r="DV222" s="2330"/>
      <c r="DW222" s="2330"/>
      <c r="DX222" s="2330"/>
      <c r="DY222" s="2330"/>
      <c r="DZ222" s="2330"/>
      <c r="EA222" s="2330"/>
      <c r="EB222" s="2330"/>
      <c r="EC222" s="2330"/>
      <c r="ED222" s="2330"/>
      <c r="EE222" s="2330"/>
      <c r="EF222" s="2330"/>
      <c r="EY222" s="2330"/>
      <c r="EZ222" s="2330"/>
      <c r="FA222" s="2330"/>
      <c r="FB222" s="2330"/>
      <c r="FC222" s="2330"/>
      <c r="FD222" s="2330"/>
      <c r="FE222" s="2330"/>
      <c r="FF222" s="2330"/>
      <c r="FG222" s="2330"/>
      <c r="FH222" s="2330"/>
      <c r="FI222" s="2330"/>
      <c r="FJ222" s="2330"/>
      <c r="FK222" s="2330"/>
    </row>
    <row r="223" spans="1:168">
      <c r="A223" s="9"/>
      <c r="B223" s="9"/>
      <c r="C223" s="9"/>
      <c r="D223" s="9"/>
      <c r="E223" s="9"/>
      <c r="F223" s="9"/>
      <c r="G223" s="9"/>
      <c r="H223" s="9"/>
      <c r="I223" s="9"/>
      <c r="J223" s="9"/>
      <c r="K223" s="9"/>
      <c r="L223" s="9"/>
      <c r="M223" s="9"/>
      <c r="N223" s="9"/>
      <c r="O223" s="9"/>
      <c r="P223" s="9"/>
      <c r="Q223" s="9"/>
      <c r="R223" s="9"/>
      <c r="S223" s="9"/>
      <c r="T223" s="2332"/>
      <c r="U223" s="9"/>
      <c r="V223" s="2330"/>
      <c r="W223" s="2330"/>
      <c r="X223" s="2330"/>
      <c r="Y223" s="2330"/>
      <c r="Z223" s="2330"/>
      <c r="AA223" s="2330"/>
      <c r="AB223" s="2330"/>
      <c r="AC223" s="2330"/>
      <c r="AP223" s="1501"/>
      <c r="AQ223" s="3371"/>
      <c r="AR223" s="3371"/>
      <c r="AS223" s="3371"/>
      <c r="AT223" s="3371"/>
      <c r="AU223" s="3371"/>
      <c r="AV223" s="3371"/>
      <c r="AW223" s="30"/>
      <c r="AX223" s="30"/>
      <c r="AY223" s="30"/>
      <c r="AZ223" s="30"/>
      <c r="BA223" s="30"/>
      <c r="BB223" s="30"/>
      <c r="BC223" s="30"/>
      <c r="BD223" s="70"/>
      <c r="BE223" s="30"/>
      <c r="BF223" s="2272"/>
      <c r="BG223" s="2272"/>
      <c r="BH223" s="2272"/>
      <c r="BI223" s="2272"/>
      <c r="BJ223" s="2330"/>
      <c r="BK223" s="2330"/>
      <c r="BL223" s="2330"/>
      <c r="BM223" s="2330"/>
      <c r="BN223" s="2330"/>
      <c r="BO223" s="2330"/>
      <c r="BP223" s="2330"/>
      <c r="BQ223" s="1370"/>
      <c r="BR223" s="2329"/>
      <c r="BS223" s="2329"/>
      <c r="BT223" s="2329"/>
      <c r="BU223" s="2329"/>
      <c r="BV223" s="2329"/>
      <c r="BW223" s="2329"/>
      <c r="BX223" s="2332"/>
      <c r="BY223" s="2332"/>
      <c r="BZ223" s="2332"/>
      <c r="CA223" s="2332"/>
      <c r="CB223" s="2332"/>
      <c r="DS223" s="2330"/>
      <c r="DT223" s="2330"/>
      <c r="DU223" s="2330"/>
      <c r="DV223" s="2330"/>
      <c r="DW223" s="2330"/>
      <c r="DX223" s="2330"/>
      <c r="DY223" s="2330"/>
      <c r="DZ223" s="2330"/>
      <c r="EA223" s="2330"/>
      <c r="EB223" s="2330"/>
      <c r="EC223" s="2330"/>
      <c r="ED223" s="2330"/>
      <c r="EE223" s="2330"/>
      <c r="EF223" s="2330"/>
      <c r="EY223" s="2330"/>
      <c r="EZ223" s="2330"/>
      <c r="FA223" s="2330"/>
      <c r="FB223" s="2330"/>
      <c r="FC223" s="2330"/>
      <c r="FD223" s="2330"/>
      <c r="FE223" s="2330"/>
      <c r="FF223" s="2330"/>
      <c r="FG223" s="2330"/>
      <c r="FH223" s="2330"/>
      <c r="FI223" s="2330"/>
      <c r="FJ223" s="2330"/>
      <c r="FK223" s="2330"/>
    </row>
    <row r="224" spans="1:168" ht="26.25" thickBot="1">
      <c r="A224" s="9"/>
      <c r="B224" s="9"/>
      <c r="C224" s="9"/>
      <c r="D224" s="9"/>
      <c r="E224" s="9"/>
      <c r="F224" s="9"/>
      <c r="G224" s="9"/>
      <c r="H224" s="9"/>
      <c r="I224" s="9"/>
      <c r="J224" s="9"/>
      <c r="K224" s="9"/>
      <c r="L224" s="9"/>
      <c r="M224" s="9"/>
      <c r="N224" s="9"/>
      <c r="O224" s="9"/>
      <c r="P224" s="9"/>
      <c r="Q224" s="9"/>
      <c r="R224" s="9"/>
      <c r="S224" s="9"/>
      <c r="T224" s="2332"/>
      <c r="U224" s="9"/>
      <c r="V224" s="2351" t="s">
        <v>2042</v>
      </c>
      <c r="W224" s="2330"/>
      <c r="X224" s="2330"/>
      <c r="Y224" s="2330"/>
      <c r="Z224" s="2330"/>
      <c r="AA224" s="2330"/>
      <c r="AB224" s="2330"/>
      <c r="AC224" s="2330"/>
      <c r="AP224" s="1501"/>
      <c r="AQ224" s="3371"/>
      <c r="AR224" s="3371"/>
      <c r="AS224" s="3371"/>
      <c r="AT224" s="3371"/>
      <c r="AU224" s="3371"/>
      <c r="AV224" s="3371"/>
      <c r="AW224" s="30"/>
      <c r="AX224" s="30"/>
      <c r="AY224" s="30"/>
      <c r="AZ224" s="30"/>
      <c r="BA224" s="30"/>
      <c r="BB224" s="30"/>
      <c r="BC224" s="30"/>
      <c r="BD224" s="70"/>
      <c r="BE224" s="30"/>
      <c r="BF224" s="2272"/>
      <c r="BG224" s="2272"/>
      <c r="BH224" s="2272"/>
      <c r="BI224" s="2272"/>
      <c r="BJ224" s="2330"/>
      <c r="BK224" s="2330"/>
      <c r="BL224" s="2330"/>
      <c r="BM224" s="2330"/>
      <c r="BN224" s="2330"/>
      <c r="BO224" s="2330"/>
      <c r="BP224" s="2330"/>
      <c r="BQ224" s="1370"/>
      <c r="BR224" s="2329"/>
      <c r="BS224" s="2329"/>
      <c r="BT224" s="2329"/>
      <c r="BU224" s="2329"/>
      <c r="BV224" s="2329"/>
      <c r="BW224" s="2329"/>
      <c r="BX224" s="2332"/>
      <c r="BY224" s="2332"/>
      <c r="BZ224" s="2332"/>
      <c r="CA224" s="2332"/>
      <c r="CB224" s="2332"/>
      <c r="DS224" s="2330"/>
      <c r="DT224" s="2330"/>
      <c r="DU224" s="2330"/>
      <c r="DV224" s="2330"/>
      <c r="DW224" s="2330"/>
      <c r="DX224" s="2330"/>
      <c r="DY224" s="2330"/>
      <c r="DZ224" s="2330"/>
      <c r="EA224" s="2330"/>
      <c r="EB224" s="2330"/>
      <c r="EC224" s="2330"/>
      <c r="ED224" s="2330"/>
      <c r="EE224" s="2330"/>
      <c r="EF224" s="2330"/>
      <c r="EY224" s="2330"/>
      <c r="EZ224" s="2330"/>
      <c r="FA224" s="2330"/>
      <c r="FB224" s="2330"/>
      <c r="FC224" s="2330"/>
      <c r="FD224" s="2330"/>
      <c r="FE224" s="2330"/>
      <c r="FF224" s="2330"/>
      <c r="FG224" s="2330"/>
      <c r="FH224" s="2330"/>
      <c r="FI224" s="2330"/>
      <c r="FJ224" s="2330"/>
      <c r="FK224" s="2330"/>
    </row>
    <row r="225" spans="1:167" ht="25.5">
      <c r="A225" s="9"/>
      <c r="B225" s="9"/>
      <c r="C225" s="9"/>
      <c r="D225" s="9"/>
      <c r="E225" s="9"/>
      <c r="F225" s="9"/>
      <c r="G225" s="9"/>
      <c r="H225" s="9"/>
      <c r="I225" s="9"/>
      <c r="J225" s="9"/>
      <c r="K225" s="9"/>
      <c r="L225" s="9"/>
      <c r="M225" s="9"/>
      <c r="N225" s="9"/>
      <c r="O225" s="9"/>
      <c r="P225" s="9"/>
      <c r="Q225" s="9"/>
      <c r="R225" s="9"/>
      <c r="S225" s="9"/>
      <c r="T225" s="2332"/>
      <c r="U225" s="9"/>
      <c r="V225" s="4474" t="s">
        <v>1580</v>
      </c>
      <c r="W225" s="4476" t="s">
        <v>2040</v>
      </c>
      <c r="X225" s="4477"/>
      <c r="Y225" s="4478"/>
      <c r="Z225" s="4476" t="s">
        <v>1582</v>
      </c>
      <c r="AA225" s="4477"/>
      <c r="AB225" s="4478"/>
      <c r="AC225" s="4476" t="s">
        <v>2041</v>
      </c>
      <c r="AD225" s="4477"/>
      <c r="AE225" s="4478"/>
      <c r="AF225" s="4476" t="s">
        <v>554</v>
      </c>
      <c r="AG225" s="4477"/>
      <c r="AH225" s="4515"/>
      <c r="AI225" s="2274"/>
      <c r="AJ225" s="4519"/>
      <c r="AK225" s="4519"/>
      <c r="AP225" s="1501"/>
      <c r="AQ225" s="3371"/>
      <c r="AR225" s="3371"/>
      <c r="AS225" s="3371"/>
      <c r="AT225" s="3371"/>
      <c r="AU225" s="3371"/>
      <c r="AV225" s="3371"/>
      <c r="AW225" s="30"/>
      <c r="AX225" s="30"/>
      <c r="AY225" s="30"/>
      <c r="AZ225" s="30"/>
      <c r="BA225" s="30"/>
      <c r="BB225" s="30"/>
      <c r="BC225" s="30"/>
      <c r="BD225" s="70"/>
      <c r="BE225" s="30"/>
      <c r="BF225" s="2272"/>
      <c r="BG225" s="2272"/>
      <c r="BH225" s="2272"/>
      <c r="BI225" s="2272"/>
      <c r="BJ225" s="4474" t="s">
        <v>1580</v>
      </c>
      <c r="BK225" s="4476" t="s">
        <v>1581</v>
      </c>
      <c r="BL225" s="4477"/>
      <c r="BM225" s="4478"/>
      <c r="BN225" s="2364" t="s">
        <v>1582</v>
      </c>
      <c r="BO225" s="2364" t="s">
        <v>1013</v>
      </c>
      <c r="BP225" s="4476" t="s">
        <v>1583</v>
      </c>
      <c r="BQ225" s="4515"/>
      <c r="BR225" s="2329"/>
      <c r="BS225" s="2329"/>
      <c r="BT225" s="2329"/>
      <c r="BU225" s="2329"/>
      <c r="BV225" s="2329"/>
      <c r="BW225" s="2329"/>
      <c r="BX225" s="2332"/>
      <c r="BY225" s="2332"/>
      <c r="BZ225" s="2332"/>
      <c r="CA225" s="2332"/>
      <c r="CB225" s="2332"/>
      <c r="DS225" s="2330"/>
      <c r="DT225" s="2330"/>
      <c r="DU225" s="2330"/>
      <c r="DV225" s="2330"/>
      <c r="DW225" s="2330"/>
      <c r="DX225" s="2330"/>
      <c r="DY225" s="2330"/>
      <c r="DZ225" s="2330"/>
      <c r="EA225" s="2330"/>
      <c r="EB225" s="2330"/>
      <c r="EC225" s="2330"/>
      <c r="ED225" s="2330"/>
      <c r="EE225" s="2330"/>
      <c r="EF225" s="2330"/>
      <c r="EY225" s="2330"/>
      <c r="EZ225" s="2330"/>
      <c r="FA225" s="2330"/>
      <c r="FB225" s="2330"/>
      <c r="FC225" s="2330"/>
      <c r="FD225" s="2330"/>
      <c r="FE225" s="2330"/>
      <c r="FF225" s="2330"/>
      <c r="FG225" s="2330"/>
      <c r="FH225" s="2330"/>
      <c r="FI225" s="2330"/>
      <c r="FJ225" s="2330"/>
      <c r="FK225" s="2330"/>
    </row>
    <row r="226" spans="1:167">
      <c r="A226" s="9"/>
      <c r="B226" s="9"/>
      <c r="C226" s="9"/>
      <c r="D226" s="9"/>
      <c r="E226" s="9"/>
      <c r="F226" s="9"/>
      <c r="G226" s="9"/>
      <c r="H226" s="9"/>
      <c r="I226" s="9"/>
      <c r="J226" s="9"/>
      <c r="K226" s="9"/>
      <c r="L226" s="9"/>
      <c r="M226" s="9"/>
      <c r="N226" s="9"/>
      <c r="O226" s="9"/>
      <c r="P226" s="9"/>
      <c r="Q226" s="9"/>
      <c r="R226" s="9"/>
      <c r="S226" s="9"/>
      <c r="T226" s="2332"/>
      <c r="U226" s="9"/>
      <c r="V226" s="4475"/>
      <c r="W226" s="2345" t="s">
        <v>1742</v>
      </c>
      <c r="X226" s="2345" t="s">
        <v>249</v>
      </c>
      <c r="Y226" s="2345" t="s">
        <v>248</v>
      </c>
      <c r="Z226" s="2345" t="s">
        <v>1742</v>
      </c>
      <c r="AA226" s="2345" t="s">
        <v>249</v>
      </c>
      <c r="AB226" s="2345" t="s">
        <v>248</v>
      </c>
      <c r="AC226" s="2345" t="s">
        <v>1742</v>
      </c>
      <c r="AD226" s="2345" t="s">
        <v>249</v>
      </c>
      <c r="AE226" s="2345" t="s">
        <v>248</v>
      </c>
      <c r="AF226" s="2345" t="s">
        <v>1742</v>
      </c>
      <c r="AG226" s="2345" t="s">
        <v>249</v>
      </c>
      <c r="AH226" s="4313" t="s">
        <v>248</v>
      </c>
      <c r="AI226" s="2274"/>
      <c r="AJ226" s="2274"/>
      <c r="AK226" s="2274"/>
      <c r="AP226" s="1501"/>
      <c r="AQ226" s="3371"/>
      <c r="AR226" s="3371"/>
      <c r="AS226" s="3371"/>
      <c r="AT226" s="3371"/>
      <c r="AU226" s="3371"/>
      <c r="AV226" s="3371"/>
      <c r="AW226" s="30"/>
      <c r="AX226" s="30"/>
      <c r="AY226" s="30"/>
      <c r="AZ226" s="30"/>
      <c r="BA226" s="30"/>
      <c r="BB226" s="30"/>
      <c r="BC226" s="30"/>
      <c r="BD226" s="70"/>
      <c r="BE226" s="30"/>
      <c r="BF226" s="2272"/>
      <c r="BG226" s="2272"/>
      <c r="BH226" s="2272"/>
      <c r="BI226" s="2272"/>
      <c r="BJ226" s="4475"/>
      <c r="BK226" s="2345" t="s">
        <v>1144</v>
      </c>
      <c r="BL226" s="2345" t="s">
        <v>249</v>
      </c>
      <c r="BM226" s="2345" t="s">
        <v>248</v>
      </c>
      <c r="BN226" s="3595"/>
      <c r="BO226" s="3595"/>
      <c r="BP226" s="3595" t="s">
        <v>1584</v>
      </c>
      <c r="BQ226" s="3880" t="s">
        <v>1239</v>
      </c>
      <c r="BR226" s="2329"/>
      <c r="BS226" s="2329"/>
      <c r="BT226" s="2329"/>
      <c r="BU226" s="2329"/>
      <c r="BV226" s="2329"/>
      <c r="BW226" s="2329"/>
      <c r="BX226" s="2332"/>
      <c r="BY226" s="2332"/>
      <c r="BZ226" s="2332"/>
      <c r="CA226" s="2332"/>
      <c r="CB226" s="2332"/>
      <c r="DS226" s="2330"/>
      <c r="DT226" s="2330"/>
      <c r="DU226" s="2330"/>
      <c r="DV226" s="2330"/>
      <c r="DW226" s="2330"/>
      <c r="DX226" s="2330"/>
      <c r="DY226" s="2330"/>
      <c r="DZ226" s="2330"/>
      <c r="EA226" s="2330"/>
      <c r="EB226" s="2330"/>
      <c r="EC226" s="2330"/>
      <c r="ED226" s="2330"/>
      <c r="EE226" s="2330"/>
      <c r="EF226" s="2330"/>
      <c r="EY226" s="2330"/>
      <c r="EZ226" s="2330"/>
      <c r="FA226" s="2330"/>
      <c r="FB226" s="2330"/>
      <c r="FC226" s="2330"/>
      <c r="FD226" s="2330"/>
      <c r="FE226" s="2330"/>
      <c r="FF226" s="2330"/>
      <c r="FG226" s="2330"/>
      <c r="FH226" s="2330"/>
      <c r="FI226" s="2330"/>
      <c r="FJ226" s="2330"/>
      <c r="FK226" s="2330"/>
    </row>
    <row r="227" spans="1:167">
      <c r="A227" s="9"/>
      <c r="B227" s="9"/>
      <c r="C227" s="9"/>
      <c r="D227" s="9"/>
      <c r="E227" s="9"/>
      <c r="F227" s="9"/>
      <c r="G227" s="9"/>
      <c r="H227" s="9"/>
      <c r="I227" s="9"/>
      <c r="J227" s="9"/>
      <c r="K227" s="9"/>
      <c r="L227" s="9"/>
      <c r="M227" s="9"/>
      <c r="N227" s="9"/>
      <c r="O227" s="9"/>
      <c r="P227" s="9"/>
      <c r="Q227" s="9"/>
      <c r="R227" s="9"/>
      <c r="S227" s="9"/>
      <c r="T227" s="2332"/>
      <c r="U227" s="9"/>
      <c r="V227" s="3860" t="str">
        <f t="shared" ref="V227:V231" si="571">V119</f>
        <v>Generation Turbine 49.9 MW</v>
      </c>
      <c r="W227" s="3877">
        <f t="array" ref="W227:W248">TRANSPOSE('PTA-Mid'!D14:Z14)</f>
        <v>10</v>
      </c>
      <c r="X227" s="3878">
        <f t="array" ref="X227:X248">TRANSPOSE('PTA-Hi'!D14:AB14)</f>
        <v>7</v>
      </c>
      <c r="Y227" s="3878">
        <f t="array" ref="Y227:Y248">TRANSPOSE('PTA-Lo'!D14:AC14)</f>
        <v>20</v>
      </c>
      <c r="Z227" s="3877">
        <f t="array" ref="Z227:Z248">TRANSPOSE('Plant Type Assumptions'!D15:AA15)</f>
        <v>30</v>
      </c>
      <c r="AA227" s="3878">
        <f t="array" ref="AA227:AA248">TRANSPOSE('PTA-Hi'!D15:Y15)</f>
        <v>20</v>
      </c>
      <c r="AB227" s="3878">
        <f t="array" ref="AB227:AB248">TRANSPOSE('PTA-Lo'!D15:Y15)</f>
        <v>30</v>
      </c>
      <c r="AC227" s="3877">
        <f t="array" ref="AC227:AC248">TRANSPOSE('PTA-Mid'!D16:Y16)</f>
        <v>15</v>
      </c>
      <c r="AD227" s="3878">
        <f t="array" ref="AD227:AD248">TRANSPOSE('PTA-Hi'!D16:Y16)</f>
        <v>20</v>
      </c>
      <c r="AE227" s="3878">
        <f t="array" ref="AE227:AE248">TRANSPOSE('PTA-Lo'!D16:Y16)</f>
        <v>20</v>
      </c>
      <c r="AF227" s="3877">
        <f t="array" ref="AF227:AF248">TRANSPOSE('PTA-Mid'!D17:Y17)</f>
        <v>15</v>
      </c>
      <c r="AG227" s="3878">
        <f t="array" ref="AG227:AG248">TRANSPOSE('PTA-Hi'!D17:Y17)</f>
        <v>20</v>
      </c>
      <c r="AH227" s="4314">
        <f t="array" ref="AH227:AH248">TRANSPOSE('PTA-Lo'!D17:Y17)</f>
        <v>20</v>
      </c>
      <c r="AI227" s="4311"/>
      <c r="AJ227" s="4009"/>
      <c r="AK227" s="4009"/>
      <c r="AP227" s="1501"/>
      <c r="AQ227" s="3371"/>
      <c r="AR227" s="3371"/>
      <c r="AS227" s="3371"/>
      <c r="AT227" s="3371"/>
      <c r="AU227" s="3371"/>
      <c r="AV227" s="3371"/>
      <c r="AW227" s="30"/>
      <c r="AX227" s="30"/>
      <c r="AY227" s="30"/>
      <c r="AZ227" s="30"/>
      <c r="BA227" s="30"/>
      <c r="BB227" s="30"/>
      <c r="BC227" s="30"/>
      <c r="BD227" s="70"/>
      <c r="BE227" s="30"/>
      <c r="BF227" s="2272"/>
      <c r="BG227" s="2272"/>
      <c r="BH227" s="2272"/>
      <c r="BI227" s="2272"/>
      <c r="BJ227" s="4272" t="str">
        <f t="shared" ref="BJ227:BJ245" si="572">BJ119</f>
        <v>Generation Turbine 49.9 MW</v>
      </c>
      <c r="BK227" s="3881">
        <f t="array" ref="BK227:BK248">TRANSPOSE('PTA-Mid'!D14:Z14)</f>
        <v>10</v>
      </c>
      <c r="BL227" s="3882">
        <f t="array" ref="BL227:BL248">TRANSPOSE('PTA-Hi'!D14:AB14)</f>
        <v>7</v>
      </c>
      <c r="BM227" s="3882">
        <f t="array" ref="BM227:BM248">TRANSPOSE('PTA-Lo'!D14:AC14)</f>
        <v>20</v>
      </c>
      <c r="BN227" s="3882">
        <f t="array" ref="BN227:BN248">TRANSPOSE('Plant Type Assumptions'!D15:AA15)</f>
        <v>30</v>
      </c>
      <c r="BO227" s="3882">
        <f t="array" ref="BO227:BO248">TRANSPOSE('Plant Type Assumptions'!D42:AA42)</f>
        <v>30</v>
      </c>
      <c r="BP227" s="3881">
        <f t="array" ref="BP227:BQ248">TRANSPOSE('Plant Type Assumptions'!D16:AA17)</f>
        <v>15</v>
      </c>
      <c r="BQ227" s="3886">
        <v>15</v>
      </c>
      <c r="BR227" s="2329"/>
      <c r="BS227" s="2329"/>
      <c r="BT227" s="2329"/>
      <c r="BU227" s="2329"/>
      <c r="BV227" s="2329"/>
      <c r="BW227" s="2329"/>
      <c r="BX227" s="2332"/>
      <c r="BY227" s="2332"/>
      <c r="BZ227" s="2332"/>
      <c r="CA227" s="2332"/>
      <c r="CB227" s="2332"/>
      <c r="DS227" s="2330"/>
      <c r="DT227" s="2330"/>
      <c r="DU227" s="2330"/>
      <c r="DV227" s="2330"/>
      <c r="DW227" s="2330"/>
      <c r="DX227" s="2330"/>
      <c r="DY227" s="2330"/>
      <c r="DZ227" s="2330"/>
      <c r="EA227" s="2330"/>
      <c r="EB227" s="2330"/>
      <c r="EC227" s="2330"/>
      <c r="ED227" s="2330"/>
      <c r="EE227" s="2330"/>
      <c r="EF227" s="2330"/>
      <c r="EY227" s="2330"/>
      <c r="EZ227" s="2330"/>
      <c r="FA227" s="2330"/>
      <c r="FB227" s="2330"/>
      <c r="FC227" s="2330"/>
      <c r="FD227" s="2330"/>
      <c r="FE227" s="2330"/>
      <c r="FF227" s="2330"/>
      <c r="FG227" s="2330"/>
      <c r="FH227" s="2330"/>
      <c r="FI227" s="2330"/>
      <c r="FJ227" s="2330"/>
      <c r="FK227" s="2330"/>
    </row>
    <row r="228" spans="1:167">
      <c r="A228" s="9"/>
      <c r="B228" s="9"/>
      <c r="C228" s="9"/>
      <c r="D228" s="9"/>
      <c r="E228" s="9"/>
      <c r="F228" s="9"/>
      <c r="G228" s="9"/>
      <c r="H228" s="9"/>
      <c r="I228" s="9"/>
      <c r="J228" s="9"/>
      <c r="K228" s="9"/>
      <c r="L228" s="9"/>
      <c r="M228" s="9"/>
      <c r="N228" s="9"/>
      <c r="O228" s="9"/>
      <c r="P228" s="9"/>
      <c r="Q228" s="9"/>
      <c r="R228" s="9"/>
      <c r="S228" s="9"/>
      <c r="T228" s="2332"/>
      <c r="U228" s="9"/>
      <c r="V228" s="3860" t="str">
        <f t="shared" si="571"/>
        <v>Generation Turbine 100 MW</v>
      </c>
      <c r="W228" s="3877">
        <v>10</v>
      </c>
      <c r="X228" s="3878">
        <v>7</v>
      </c>
      <c r="Y228" s="3878">
        <v>20</v>
      </c>
      <c r="Z228" s="3877">
        <v>30</v>
      </c>
      <c r="AA228" s="3878">
        <v>20</v>
      </c>
      <c r="AB228" s="3878">
        <v>30</v>
      </c>
      <c r="AC228" s="3877">
        <v>15</v>
      </c>
      <c r="AD228" s="3878">
        <v>20</v>
      </c>
      <c r="AE228" s="3878">
        <v>20</v>
      </c>
      <c r="AF228" s="3877">
        <v>15</v>
      </c>
      <c r="AG228" s="3878">
        <v>20</v>
      </c>
      <c r="AH228" s="4314">
        <v>20</v>
      </c>
      <c r="AI228" s="4009"/>
      <c r="AJ228" s="4009"/>
      <c r="AK228" s="4009"/>
      <c r="AP228" s="1501"/>
      <c r="AQ228" s="3371"/>
      <c r="AR228" s="3371"/>
      <c r="AS228" s="3371"/>
      <c r="AT228" s="3371"/>
      <c r="AU228" s="3371"/>
      <c r="AV228" s="3371"/>
      <c r="AW228" s="30"/>
      <c r="AX228" s="30"/>
      <c r="AY228" s="30"/>
      <c r="AZ228" s="30"/>
      <c r="BA228" s="30"/>
      <c r="BB228" s="30"/>
      <c r="BC228" s="30"/>
      <c r="BD228" s="70"/>
      <c r="BE228" s="30"/>
      <c r="BF228" s="2272"/>
      <c r="BG228" s="2272"/>
      <c r="BH228" s="2272"/>
      <c r="BI228" s="2272"/>
      <c r="BJ228" s="4272" t="str">
        <f t="shared" si="572"/>
        <v>Generation Turbine 100 MW</v>
      </c>
      <c r="BK228" s="3881">
        <v>10</v>
      </c>
      <c r="BL228" s="3882">
        <v>7</v>
      </c>
      <c r="BM228" s="3882">
        <v>20</v>
      </c>
      <c r="BN228" s="3881">
        <v>30</v>
      </c>
      <c r="BO228" s="3881">
        <v>30</v>
      </c>
      <c r="BP228" s="3881">
        <v>15</v>
      </c>
      <c r="BQ228" s="3886">
        <v>15</v>
      </c>
      <c r="BR228" s="2329"/>
      <c r="BS228" s="2329"/>
      <c r="BT228" s="2329"/>
      <c r="BU228" s="2329"/>
      <c r="BV228" s="2329"/>
      <c r="BW228" s="2329"/>
      <c r="BX228" s="2332"/>
      <c r="BY228" s="2332"/>
      <c r="BZ228" s="2332"/>
      <c r="CA228" s="2332"/>
      <c r="CB228" s="2332"/>
      <c r="DS228" s="2330"/>
      <c r="DT228" s="2330"/>
      <c r="DU228" s="2330"/>
      <c r="DV228" s="2330"/>
      <c r="DW228" s="2330"/>
      <c r="DX228" s="2330"/>
      <c r="DY228" s="2330"/>
      <c r="DZ228" s="2330"/>
      <c r="EA228" s="2330"/>
      <c r="EB228" s="2330"/>
      <c r="EC228" s="2330"/>
      <c r="ED228" s="2330"/>
      <c r="EE228" s="2330"/>
      <c r="EF228" s="2330"/>
      <c r="EY228" s="2330"/>
      <c r="EZ228" s="2330"/>
      <c r="FA228" s="2330"/>
      <c r="FB228" s="2330"/>
      <c r="FC228" s="2330"/>
      <c r="FD228" s="2330"/>
      <c r="FE228" s="2330"/>
      <c r="FF228" s="2330"/>
      <c r="FG228" s="2330"/>
      <c r="FH228" s="2330"/>
      <c r="FI228" s="2330"/>
      <c r="FJ228" s="2330"/>
      <c r="FK228" s="2330"/>
    </row>
    <row r="229" spans="1:167">
      <c r="A229" s="9"/>
      <c r="B229" s="9"/>
      <c r="C229" s="9"/>
      <c r="D229" s="9"/>
      <c r="E229" s="9"/>
      <c r="F229" s="9"/>
      <c r="G229" s="9"/>
      <c r="H229" s="9"/>
      <c r="I229" s="9"/>
      <c r="J229" s="9"/>
      <c r="K229" s="9"/>
      <c r="L229" s="9"/>
      <c r="M229" s="9"/>
      <c r="N229" s="9"/>
      <c r="O229" s="9"/>
      <c r="P229" s="9"/>
      <c r="Q229" s="9"/>
      <c r="R229" s="9"/>
      <c r="S229" s="9"/>
      <c r="T229" s="2332"/>
      <c r="U229" s="9"/>
      <c r="V229" s="3860" t="str">
        <f t="shared" si="571"/>
        <v>Generation Turbine - Advanced 200 MW</v>
      </c>
      <c r="W229" s="3877">
        <v>10</v>
      </c>
      <c r="X229" s="3878">
        <v>7</v>
      </c>
      <c r="Y229" s="3878">
        <v>20</v>
      </c>
      <c r="Z229" s="3877">
        <v>30</v>
      </c>
      <c r="AA229" s="3878">
        <v>20</v>
      </c>
      <c r="AB229" s="3878">
        <v>30</v>
      </c>
      <c r="AC229" s="3877">
        <v>15</v>
      </c>
      <c r="AD229" s="3878">
        <v>20</v>
      </c>
      <c r="AE229" s="3878">
        <v>20</v>
      </c>
      <c r="AF229" s="3877">
        <v>15</v>
      </c>
      <c r="AG229" s="3878">
        <v>20</v>
      </c>
      <c r="AH229" s="4314">
        <v>20</v>
      </c>
      <c r="AI229" s="4009"/>
      <c r="AJ229" s="4009"/>
      <c r="AK229" s="4009"/>
      <c r="AP229" s="1501"/>
      <c r="AQ229" s="3371"/>
      <c r="AR229" s="3371"/>
      <c r="AS229" s="3371"/>
      <c r="AT229" s="3371"/>
      <c r="AU229" s="3371"/>
      <c r="AV229" s="3371"/>
      <c r="AW229" s="30"/>
      <c r="AX229" s="30"/>
      <c r="AY229" s="30"/>
      <c r="AZ229" s="30"/>
      <c r="BA229" s="30"/>
      <c r="BB229" s="30"/>
      <c r="BC229" s="30"/>
      <c r="BD229" s="70"/>
      <c r="BE229" s="30"/>
      <c r="BF229" s="2272"/>
      <c r="BG229" s="2272"/>
      <c r="BH229" s="2272"/>
      <c r="BI229" s="2272"/>
      <c r="BJ229" s="4272" t="str">
        <f t="shared" si="572"/>
        <v>Generation Turbine - Advanced 200 MW</v>
      </c>
      <c r="BK229" s="3881">
        <v>10</v>
      </c>
      <c r="BL229" s="3882">
        <v>7</v>
      </c>
      <c r="BM229" s="3882">
        <v>20</v>
      </c>
      <c r="BN229" s="3881">
        <v>30</v>
      </c>
      <c r="BO229" s="3881">
        <v>30</v>
      </c>
      <c r="BP229" s="3881">
        <v>15</v>
      </c>
      <c r="BQ229" s="3886">
        <v>15</v>
      </c>
      <c r="BR229" s="2329"/>
      <c r="BS229" s="2329"/>
      <c r="BT229" s="2329"/>
      <c r="BU229" s="2329"/>
      <c r="BV229" s="2329"/>
      <c r="BW229" s="2329"/>
      <c r="BX229" s="2332"/>
      <c r="BY229" s="2332"/>
      <c r="BZ229" s="2332"/>
      <c r="CA229" s="2332"/>
      <c r="CB229" s="2332"/>
      <c r="DS229" s="2330"/>
      <c r="DT229" s="2330"/>
      <c r="DU229" s="2330"/>
      <c r="DV229" s="2330"/>
      <c r="DW229" s="2330"/>
      <c r="DX229" s="2330"/>
      <c r="DY229" s="2330"/>
      <c r="DZ229" s="2330"/>
      <c r="EA229" s="2330"/>
      <c r="EB229" s="2330"/>
      <c r="EC229" s="2330"/>
      <c r="ED229" s="2330"/>
      <c r="EE229" s="2330"/>
      <c r="EF229" s="2330"/>
      <c r="EY229" s="2330"/>
      <c r="EZ229" s="2330"/>
      <c r="FA229" s="2330"/>
      <c r="FB229" s="2330"/>
      <c r="FC229" s="2330"/>
      <c r="FD229" s="2330"/>
      <c r="FE229" s="2330"/>
      <c r="FF229" s="2330"/>
      <c r="FG229" s="2330"/>
      <c r="FH229" s="2330"/>
      <c r="FI229" s="2330"/>
      <c r="FJ229" s="2330"/>
      <c r="FK229" s="2330"/>
    </row>
    <row r="230" spans="1:167">
      <c r="A230" s="9"/>
      <c r="B230" s="9"/>
      <c r="C230" s="9"/>
      <c r="D230" s="9"/>
      <c r="E230" s="9"/>
      <c r="F230" s="9"/>
      <c r="G230" s="9"/>
      <c r="H230" s="9"/>
      <c r="I230" s="9"/>
      <c r="J230" s="9"/>
      <c r="K230" s="9"/>
      <c r="L230" s="9"/>
      <c r="M230" s="9"/>
      <c r="N230" s="9"/>
      <c r="O230" s="9"/>
      <c r="P230" s="9"/>
      <c r="Q230" s="9"/>
      <c r="R230" s="9"/>
      <c r="S230" s="9"/>
      <c r="T230" s="2332"/>
      <c r="U230" s="9"/>
      <c r="V230" s="3860" t="str">
        <f t="shared" si="571"/>
        <v>Combined Cycle - 2 CTs No Duct Firing 500 MW</v>
      </c>
      <c r="W230" s="3877">
        <v>10</v>
      </c>
      <c r="X230" s="3878">
        <v>7</v>
      </c>
      <c r="Y230" s="3878">
        <v>20</v>
      </c>
      <c r="Z230" s="3877">
        <v>30</v>
      </c>
      <c r="AA230" s="3878">
        <v>20</v>
      </c>
      <c r="AB230" s="3878">
        <v>30</v>
      </c>
      <c r="AC230" s="3877">
        <v>20</v>
      </c>
      <c r="AD230" s="3878">
        <v>20</v>
      </c>
      <c r="AE230" s="3878">
        <v>20</v>
      </c>
      <c r="AF230" s="3877">
        <v>20</v>
      </c>
      <c r="AG230" s="3878">
        <v>20</v>
      </c>
      <c r="AH230" s="4314">
        <v>20</v>
      </c>
      <c r="AI230" s="4009"/>
      <c r="AJ230" s="4009"/>
      <c r="AK230" s="4009"/>
      <c r="AP230" s="1501"/>
      <c r="AQ230" s="3371"/>
      <c r="AR230" s="3371"/>
      <c r="AS230" s="3371"/>
      <c r="AT230" s="3371"/>
      <c r="AU230" s="3371"/>
      <c r="AV230" s="3371"/>
      <c r="AW230" s="30"/>
      <c r="AX230" s="30"/>
      <c r="AY230" s="30"/>
      <c r="AZ230" s="30"/>
      <c r="BA230" s="30"/>
      <c r="BB230" s="30"/>
      <c r="BC230" s="30"/>
      <c r="BD230" s="70"/>
      <c r="BE230" s="30"/>
      <c r="BF230" s="2272"/>
      <c r="BG230" s="2272"/>
      <c r="BH230" s="2272"/>
      <c r="BI230" s="2272"/>
      <c r="BJ230" s="4272" t="str">
        <f t="shared" si="572"/>
        <v>Combined Cycle - 2 CTs No Duct Firing 500 MW</v>
      </c>
      <c r="BK230" s="3881">
        <v>10</v>
      </c>
      <c r="BL230" s="3882">
        <v>7</v>
      </c>
      <c r="BM230" s="3882">
        <v>20</v>
      </c>
      <c r="BN230" s="3881">
        <v>30</v>
      </c>
      <c r="BO230" s="3881">
        <v>30</v>
      </c>
      <c r="BP230" s="3881">
        <v>20</v>
      </c>
      <c r="BQ230" s="3886">
        <v>20</v>
      </c>
      <c r="BR230" s="2329"/>
      <c r="BS230" s="2329"/>
      <c r="BT230" s="2329"/>
      <c r="BU230" s="2329"/>
      <c r="BV230" s="2329"/>
      <c r="BW230" s="2329"/>
      <c r="BX230" s="2332"/>
      <c r="BY230" s="2332"/>
      <c r="BZ230" s="2332"/>
      <c r="CA230" s="2332"/>
      <c r="CB230" s="2332"/>
      <c r="DS230" s="2330"/>
      <c r="DT230" s="2330"/>
      <c r="DU230" s="2330"/>
      <c r="DV230" s="2330"/>
      <c r="DW230" s="2330"/>
      <c r="DX230" s="2330"/>
      <c r="DY230" s="2330"/>
      <c r="DZ230" s="2330"/>
      <c r="EA230" s="2330"/>
      <c r="EB230" s="2330"/>
      <c r="EC230" s="2330"/>
      <c r="ED230" s="2330"/>
      <c r="EE230" s="2330"/>
      <c r="EF230" s="2330"/>
      <c r="EY230" s="2330"/>
      <c r="EZ230" s="2330"/>
      <c r="FA230" s="2330"/>
      <c r="FB230" s="2330"/>
      <c r="FC230" s="2330"/>
      <c r="FD230" s="2330"/>
      <c r="FE230" s="2330"/>
      <c r="FF230" s="2330"/>
      <c r="FG230" s="2330"/>
      <c r="FH230" s="2330"/>
      <c r="FI230" s="2330"/>
      <c r="FJ230" s="2330"/>
      <c r="FK230" s="2330"/>
    </row>
    <row r="231" spans="1:167" ht="13.15" customHeight="1">
      <c r="A231" s="9"/>
      <c r="B231" s="9"/>
      <c r="C231" s="9"/>
      <c r="D231" s="9"/>
      <c r="E231" s="9"/>
      <c r="F231" s="9"/>
      <c r="G231" s="9"/>
      <c r="H231" s="9"/>
      <c r="I231" s="9"/>
      <c r="J231" s="9"/>
      <c r="K231" s="9"/>
      <c r="L231" s="9"/>
      <c r="M231" s="9"/>
      <c r="N231" s="9"/>
      <c r="O231" s="9"/>
      <c r="P231" s="9"/>
      <c r="Q231" s="9"/>
      <c r="R231" s="9"/>
      <c r="S231" s="9"/>
      <c r="T231" s="2332"/>
      <c r="U231" s="9"/>
      <c r="V231" s="3860" t="str">
        <f t="shared" si="571"/>
        <v>Combined Cycle - 2 CTs With Duct Firing 550 MW</v>
      </c>
      <c r="W231" s="3877">
        <v>10</v>
      </c>
      <c r="X231" s="3878">
        <v>7</v>
      </c>
      <c r="Y231" s="3878">
        <v>20</v>
      </c>
      <c r="Z231" s="3877">
        <v>30</v>
      </c>
      <c r="AA231" s="3878">
        <v>20</v>
      </c>
      <c r="AB231" s="3878">
        <v>30</v>
      </c>
      <c r="AC231" s="3877">
        <v>20</v>
      </c>
      <c r="AD231" s="3878">
        <v>20</v>
      </c>
      <c r="AE231" s="3878">
        <v>20</v>
      </c>
      <c r="AF231" s="3877">
        <v>20</v>
      </c>
      <c r="AG231" s="3878">
        <v>20</v>
      </c>
      <c r="AH231" s="4314">
        <v>20</v>
      </c>
      <c r="AI231" s="4009"/>
      <c r="AJ231" s="4009"/>
      <c r="AK231" s="4009"/>
      <c r="AP231" s="1501"/>
      <c r="AQ231" s="3371"/>
      <c r="AR231" s="3371"/>
      <c r="AS231" s="3371"/>
      <c r="AT231" s="3371"/>
      <c r="AU231" s="3371"/>
      <c r="AV231" s="3371"/>
      <c r="AW231" s="30"/>
      <c r="AX231" s="30"/>
      <c r="AY231" s="30"/>
      <c r="AZ231" s="30"/>
      <c r="BA231" s="30"/>
      <c r="BB231" s="30"/>
      <c r="BC231" s="30"/>
      <c r="BD231" s="70"/>
      <c r="BE231" s="30"/>
      <c r="BF231" s="2272"/>
      <c r="BG231" s="2272"/>
      <c r="BH231" s="2272"/>
      <c r="BI231" s="2272"/>
      <c r="BJ231" s="4272" t="str">
        <f t="shared" si="572"/>
        <v>Combined Cycle - 2 CTs With Duct Firing 550 MW</v>
      </c>
      <c r="BK231" s="3881">
        <v>10</v>
      </c>
      <c r="BL231" s="3882">
        <v>7</v>
      </c>
      <c r="BM231" s="3882">
        <v>20</v>
      </c>
      <c r="BN231" s="3881">
        <v>30</v>
      </c>
      <c r="BO231" s="3881">
        <v>30</v>
      </c>
      <c r="BP231" s="3881">
        <v>20</v>
      </c>
      <c r="BQ231" s="3886">
        <v>20</v>
      </c>
      <c r="BR231" s="2329"/>
      <c r="BS231" s="2329"/>
      <c r="BT231" s="2329"/>
      <c r="BU231" s="2329"/>
      <c r="BV231" s="2329"/>
      <c r="BW231" s="2329"/>
      <c r="BX231" s="2332"/>
      <c r="BY231" s="2332"/>
      <c r="BZ231" s="2332"/>
      <c r="CA231" s="2332"/>
      <c r="CB231" s="2332"/>
      <c r="DS231" s="2330"/>
      <c r="DT231" s="2330"/>
      <c r="DU231" s="2330"/>
      <c r="DV231" s="2330"/>
      <c r="DW231" s="2330"/>
      <c r="DX231" s="2330"/>
      <c r="DY231" s="2330"/>
      <c r="DZ231" s="2330"/>
      <c r="EA231" s="2330"/>
      <c r="EB231" s="2330"/>
      <c r="EC231" s="2330"/>
      <c r="ED231" s="2330"/>
      <c r="EE231" s="2330"/>
      <c r="EF231" s="2330"/>
      <c r="EY231" s="2330"/>
      <c r="EZ231" s="2330"/>
      <c r="FA231" s="2330"/>
      <c r="FB231" s="2330"/>
      <c r="FC231" s="2330"/>
      <c r="FD231" s="2330"/>
      <c r="FE231" s="2330"/>
      <c r="FF231" s="2330"/>
      <c r="FG231" s="2330"/>
      <c r="FH231" s="2330"/>
      <c r="FI231" s="2330"/>
      <c r="FJ231" s="2330"/>
      <c r="FK231" s="2330"/>
    </row>
    <row r="232" spans="1:167" ht="13.15" customHeight="1">
      <c r="A232" s="9"/>
      <c r="B232" s="9"/>
      <c r="C232" s="9"/>
      <c r="D232" s="9"/>
      <c r="E232" s="9"/>
      <c r="F232" s="9"/>
      <c r="G232" s="9"/>
      <c r="H232" s="9"/>
      <c r="I232" s="9"/>
      <c r="J232" s="9"/>
      <c r="K232" s="9"/>
      <c r="L232" s="9"/>
      <c r="M232" s="9"/>
      <c r="N232" s="9"/>
      <c r="O232" s="9"/>
      <c r="P232" s="9"/>
      <c r="Q232" s="9"/>
      <c r="R232" s="9"/>
      <c r="S232" s="9"/>
      <c r="T232" s="2332"/>
      <c r="U232" s="9"/>
      <c r="V232" s="3860" t="str">
        <f t="shared" ref="V232:V245" si="573">V124</f>
        <v>Biomass Fludized Bed Boiler 50 MW</v>
      </c>
      <c r="W232" s="3877">
        <v>20</v>
      </c>
      <c r="X232" s="3878">
        <v>15</v>
      </c>
      <c r="Y232" s="3878">
        <v>25</v>
      </c>
      <c r="Z232" s="3877">
        <v>30</v>
      </c>
      <c r="AA232" s="3878">
        <v>20</v>
      </c>
      <c r="AB232" s="3878">
        <v>30</v>
      </c>
      <c r="AC232" s="3877">
        <v>5</v>
      </c>
      <c r="AD232" s="3878">
        <v>5</v>
      </c>
      <c r="AE232" s="3878">
        <v>5</v>
      </c>
      <c r="AF232" s="3877">
        <v>20</v>
      </c>
      <c r="AG232" s="3878">
        <v>20</v>
      </c>
      <c r="AH232" s="4314">
        <v>20</v>
      </c>
      <c r="AI232" s="4009"/>
      <c r="AJ232" s="4312"/>
      <c r="AK232" s="4312"/>
      <c r="AP232" s="1501"/>
      <c r="AQ232" s="3371"/>
      <c r="AR232" s="3371"/>
      <c r="AS232" s="3371"/>
      <c r="AT232" s="3371"/>
      <c r="AU232" s="3371"/>
      <c r="AV232" s="3371"/>
      <c r="AW232" s="30"/>
      <c r="AX232" s="30"/>
      <c r="AY232" s="30"/>
      <c r="AZ232" s="30"/>
      <c r="BA232" s="30"/>
      <c r="BB232" s="30"/>
      <c r="BC232" s="30"/>
      <c r="BD232" s="70"/>
      <c r="BE232" s="30"/>
      <c r="BF232" s="2272"/>
      <c r="BG232" s="2272"/>
      <c r="BH232" s="2272"/>
      <c r="BI232" s="2272"/>
      <c r="BJ232" s="4272" t="str">
        <f t="shared" si="572"/>
        <v>Biomass Fludized Bed Boiler 50 MW</v>
      </c>
      <c r="BK232" s="3881">
        <v>20</v>
      </c>
      <c r="BL232" s="3882">
        <v>15</v>
      </c>
      <c r="BM232" s="3882">
        <v>25</v>
      </c>
      <c r="BN232" s="3881">
        <v>30</v>
      </c>
      <c r="BO232" s="3881">
        <v>20</v>
      </c>
      <c r="BP232" s="3883">
        <v>5</v>
      </c>
      <c r="BQ232" s="3887">
        <v>20</v>
      </c>
      <c r="BR232" s="2329"/>
      <c r="BS232" s="2329"/>
      <c r="BT232" s="2329"/>
      <c r="BU232" s="2329"/>
      <c r="BV232" s="2329"/>
      <c r="BW232" s="2329"/>
      <c r="BX232" s="2332"/>
      <c r="BY232" s="2332"/>
      <c r="BZ232" s="2332"/>
      <c r="CA232" s="2332"/>
      <c r="CB232" s="2332"/>
      <c r="DS232" s="2330"/>
      <c r="DT232" s="2330"/>
      <c r="DU232" s="2330"/>
      <c r="DV232" s="2330"/>
      <c r="DW232" s="2330"/>
      <c r="DX232" s="2330"/>
      <c r="DY232" s="2330"/>
      <c r="DZ232" s="2330"/>
      <c r="EA232" s="2330"/>
      <c r="EB232" s="2330"/>
      <c r="EC232" s="2330"/>
      <c r="ED232" s="2330"/>
      <c r="EE232" s="2330"/>
      <c r="EF232" s="2330"/>
      <c r="EY232" s="2330"/>
      <c r="EZ232" s="2330"/>
      <c r="FA232" s="2330"/>
      <c r="FB232" s="2330"/>
      <c r="FC232" s="2330"/>
      <c r="FD232" s="2330"/>
      <c r="FE232" s="2330"/>
      <c r="FF232" s="2330"/>
      <c r="FG232" s="2330"/>
      <c r="FH232" s="2330"/>
      <c r="FI232" s="2330"/>
      <c r="FJ232" s="2330"/>
      <c r="FK232" s="2330"/>
    </row>
    <row r="233" spans="1:167">
      <c r="A233" s="9"/>
      <c r="B233" s="9"/>
      <c r="C233" s="9"/>
      <c r="D233" s="9"/>
      <c r="E233" s="9"/>
      <c r="F233" s="9"/>
      <c r="G233" s="9"/>
      <c r="H233" s="9"/>
      <c r="I233" s="9"/>
      <c r="J233" s="9"/>
      <c r="K233" s="9"/>
      <c r="L233" s="9"/>
      <c r="M233" s="9"/>
      <c r="N233" s="9"/>
      <c r="O233" s="9"/>
      <c r="P233" s="9"/>
      <c r="Q233" s="9"/>
      <c r="R233" s="9"/>
      <c r="S233" s="9"/>
      <c r="T233" s="2332"/>
      <c r="U233" s="9"/>
      <c r="V233" s="3860" t="str">
        <f t="shared" si="573"/>
        <v>Geothermal  Binary 30 MW</v>
      </c>
      <c r="W233" s="3856">
        <v>20</v>
      </c>
      <c r="X233" s="3878">
        <v>15</v>
      </c>
      <c r="Y233" s="3878">
        <v>25</v>
      </c>
      <c r="Z233" s="3856">
        <v>30</v>
      </c>
      <c r="AA233" s="3878">
        <v>20</v>
      </c>
      <c r="AB233" s="3878">
        <v>30</v>
      </c>
      <c r="AC233" s="3856">
        <v>5</v>
      </c>
      <c r="AD233" s="3878">
        <v>5</v>
      </c>
      <c r="AE233" s="3878">
        <v>5</v>
      </c>
      <c r="AF233" s="3856">
        <v>20</v>
      </c>
      <c r="AG233" s="3878">
        <v>20</v>
      </c>
      <c r="AH233" s="4314">
        <v>20</v>
      </c>
      <c r="AI233" s="4009"/>
      <c r="AJ233" s="4312"/>
      <c r="AK233" s="4312"/>
      <c r="AP233" s="2332"/>
      <c r="AQ233" s="2332"/>
      <c r="AR233" s="2332"/>
      <c r="AS233" s="2332"/>
      <c r="AT233" s="2332"/>
      <c r="AU233" s="2335"/>
      <c r="AV233" s="2335"/>
      <c r="AW233" s="30"/>
      <c r="AX233" s="30"/>
      <c r="AY233" s="30"/>
      <c r="AZ233" s="30"/>
      <c r="BA233" s="30"/>
      <c r="BB233" s="30"/>
      <c r="BC233" s="30"/>
      <c r="BD233" s="70"/>
      <c r="BE233" s="30"/>
      <c r="BF233" s="2272"/>
      <c r="BG233" s="2272"/>
      <c r="BH233" s="2272"/>
      <c r="BI233" s="2272"/>
      <c r="BJ233" s="4272" t="str">
        <f t="shared" si="572"/>
        <v>Geothermal  Binary 30 MW</v>
      </c>
      <c r="BK233" s="3883">
        <v>20</v>
      </c>
      <c r="BL233" s="3882">
        <v>15</v>
      </c>
      <c r="BM233" s="3882">
        <v>25</v>
      </c>
      <c r="BN233" s="3881">
        <v>30</v>
      </c>
      <c r="BO233" s="3881">
        <v>30</v>
      </c>
      <c r="BP233" s="3883">
        <v>5</v>
      </c>
      <c r="BQ233" s="3887">
        <v>20</v>
      </c>
      <c r="BR233" s="2329"/>
      <c r="BS233" s="2329"/>
      <c r="BT233" s="2329"/>
      <c r="BU233" s="2329"/>
      <c r="BV233" s="2329"/>
      <c r="BW233" s="2329"/>
      <c r="BX233" s="2332"/>
      <c r="BY233" s="2332"/>
      <c r="BZ233" s="2332"/>
      <c r="CA233" s="2332"/>
      <c r="CB233" s="2332"/>
      <c r="DS233" s="2330"/>
      <c r="DT233" s="2330"/>
      <c r="DU233" s="2330"/>
      <c r="DV233" s="2330"/>
      <c r="DW233" s="2330"/>
      <c r="DX233" s="2330"/>
      <c r="DY233" s="2330"/>
      <c r="DZ233" s="2330"/>
      <c r="EA233" s="2330"/>
      <c r="EB233" s="2330"/>
      <c r="EC233" s="2330"/>
      <c r="ED233" s="2330"/>
      <c r="EE233" s="2330"/>
      <c r="EF233" s="2330"/>
      <c r="EY233" s="2330"/>
      <c r="EZ233" s="2330"/>
      <c r="FA233" s="2330"/>
      <c r="FB233" s="2330"/>
      <c r="FC233" s="2330"/>
      <c r="FD233" s="2330"/>
      <c r="FE233" s="2330"/>
      <c r="FF233" s="2330"/>
      <c r="FG233" s="2330"/>
      <c r="FH233" s="2330"/>
      <c r="FI233" s="2330"/>
      <c r="FJ233" s="2330"/>
      <c r="FK233" s="2330"/>
    </row>
    <row r="234" spans="1:167">
      <c r="A234" s="9"/>
      <c r="B234" s="9"/>
      <c r="C234" s="9"/>
      <c r="D234" s="9"/>
      <c r="E234" s="9"/>
      <c r="F234" s="9"/>
      <c r="G234" s="9"/>
      <c r="H234" s="9"/>
      <c r="I234" s="9"/>
      <c r="J234" s="9"/>
      <c r="K234" s="9"/>
      <c r="L234" s="9"/>
      <c r="M234" s="9"/>
      <c r="N234" s="9"/>
      <c r="O234" s="9"/>
      <c r="P234" s="9"/>
      <c r="Q234" s="9"/>
      <c r="R234" s="9"/>
      <c r="S234" s="9"/>
      <c r="T234" s="2332"/>
      <c r="U234" s="9"/>
      <c r="V234" s="3860" t="str">
        <f t="shared" si="573"/>
        <v>Geothermal  Flash 30 MW</v>
      </c>
      <c r="W234" s="3878">
        <v>20</v>
      </c>
      <c r="X234" s="3878">
        <v>15</v>
      </c>
      <c r="Y234" s="3878">
        <v>25</v>
      </c>
      <c r="Z234" s="3878">
        <v>30</v>
      </c>
      <c r="AA234" s="3878">
        <v>20</v>
      </c>
      <c r="AB234" s="3878">
        <v>30</v>
      </c>
      <c r="AC234" s="3878">
        <v>5</v>
      </c>
      <c r="AD234" s="3878">
        <v>5</v>
      </c>
      <c r="AE234" s="3878">
        <v>5</v>
      </c>
      <c r="AF234" s="3878">
        <v>20</v>
      </c>
      <c r="AG234" s="3878">
        <v>20</v>
      </c>
      <c r="AH234" s="4314">
        <v>20</v>
      </c>
      <c r="AI234" s="4312"/>
      <c r="AJ234" s="4312"/>
      <c r="AK234" s="4312"/>
      <c r="AP234" s="2332"/>
      <c r="AQ234" s="2332"/>
      <c r="AR234" s="2332"/>
      <c r="AS234" s="2332"/>
      <c r="AT234" s="2332"/>
      <c r="AU234" s="2335"/>
      <c r="AV234" s="2335"/>
      <c r="AW234" s="30"/>
      <c r="AX234" s="30"/>
      <c r="AY234" s="30"/>
      <c r="AZ234" s="30"/>
      <c r="BA234" s="30"/>
      <c r="BB234" s="30"/>
      <c r="BC234" s="30"/>
      <c r="BD234" s="70"/>
      <c r="BE234" s="30"/>
      <c r="BF234" s="2272"/>
      <c r="BG234" s="2272"/>
      <c r="BH234" s="2272"/>
      <c r="BI234" s="2272"/>
      <c r="BJ234" s="4272" t="str">
        <f t="shared" si="572"/>
        <v>Geothermal  Flash 30 MW</v>
      </c>
      <c r="BK234" s="3882">
        <v>20</v>
      </c>
      <c r="BL234" s="3882">
        <v>15</v>
      </c>
      <c r="BM234" s="3882">
        <v>25</v>
      </c>
      <c r="BN234" s="3883">
        <v>30</v>
      </c>
      <c r="BO234" s="3883">
        <v>30</v>
      </c>
      <c r="BP234" s="3883">
        <v>5</v>
      </c>
      <c r="BQ234" s="3887">
        <v>20</v>
      </c>
      <c r="BR234" s="2329"/>
      <c r="BS234" s="2329"/>
      <c r="BT234" s="2329"/>
      <c r="BU234" s="2329"/>
      <c r="BV234" s="2329"/>
      <c r="BW234" s="2329"/>
      <c r="BX234" s="2332"/>
      <c r="BY234" s="2332"/>
      <c r="BZ234" s="2332"/>
      <c r="CA234" s="2332"/>
      <c r="CB234" s="2332"/>
      <c r="DS234" s="2330"/>
      <c r="DT234" s="2330"/>
      <c r="DU234" s="2330"/>
      <c r="DV234" s="2330"/>
      <c r="DW234" s="2330"/>
      <c r="DX234" s="2330"/>
      <c r="DY234" s="2330"/>
      <c r="DZ234" s="2330"/>
      <c r="EA234" s="2330"/>
      <c r="EB234" s="2330"/>
      <c r="EC234" s="2330"/>
      <c r="ED234" s="2330"/>
      <c r="EE234" s="2330"/>
      <c r="EF234" s="2330"/>
      <c r="EY234" s="2330"/>
      <c r="EZ234" s="2330"/>
      <c r="FA234" s="2330"/>
      <c r="FB234" s="2330"/>
      <c r="FC234" s="2330"/>
      <c r="FD234" s="2330"/>
      <c r="FE234" s="2330"/>
      <c r="FF234" s="2330"/>
      <c r="FG234" s="2330"/>
      <c r="FH234" s="2330"/>
      <c r="FI234" s="2330"/>
      <c r="FJ234" s="2330"/>
      <c r="FK234" s="2330"/>
    </row>
    <row r="235" spans="1:167">
      <c r="A235" s="9"/>
      <c r="B235" s="9"/>
      <c r="C235" s="9"/>
      <c r="D235" s="9"/>
      <c r="E235" s="9"/>
      <c r="F235" s="9"/>
      <c r="G235" s="9"/>
      <c r="H235" s="9"/>
      <c r="I235" s="9"/>
      <c r="J235" s="9"/>
      <c r="K235" s="9"/>
      <c r="L235" s="9"/>
      <c r="M235" s="9"/>
      <c r="N235" s="9"/>
      <c r="O235" s="9"/>
      <c r="P235" s="9"/>
      <c r="Q235" s="9"/>
      <c r="R235" s="9"/>
      <c r="S235" s="9"/>
      <c r="T235" s="2332"/>
      <c r="U235" s="9"/>
      <c r="V235" s="3860" t="str">
        <f t="shared" si="573"/>
        <v>Solar Parabolic Trough W/O Storage 250 MW</v>
      </c>
      <c r="W235" s="3856">
        <v>20</v>
      </c>
      <c r="X235" s="3878">
        <v>15</v>
      </c>
      <c r="Y235" s="3878">
        <v>25</v>
      </c>
      <c r="Z235" s="3856">
        <v>30</v>
      </c>
      <c r="AA235" s="3878">
        <v>20</v>
      </c>
      <c r="AB235" s="3878">
        <v>30</v>
      </c>
      <c r="AC235" s="3856">
        <v>5</v>
      </c>
      <c r="AD235" s="3878">
        <v>5</v>
      </c>
      <c r="AE235" s="3878">
        <v>5</v>
      </c>
      <c r="AF235" s="3856">
        <v>20</v>
      </c>
      <c r="AG235" s="3878">
        <v>20</v>
      </c>
      <c r="AH235" s="4314">
        <v>20</v>
      </c>
      <c r="AI235" s="4311"/>
      <c r="AJ235" s="4312"/>
      <c r="AK235" s="4312"/>
      <c r="AP235" s="2332"/>
      <c r="AQ235" s="2332"/>
      <c r="AR235" s="2332"/>
      <c r="AS235" s="2332"/>
      <c r="AT235" s="2332"/>
      <c r="AU235" s="2335"/>
      <c r="AV235" s="2335"/>
      <c r="AW235" s="30"/>
      <c r="AX235" s="30"/>
      <c r="AY235" s="30"/>
      <c r="AZ235" s="30"/>
      <c r="BA235" s="30"/>
      <c r="BB235" s="30"/>
      <c r="BC235" s="30"/>
      <c r="BD235" s="70"/>
      <c r="BE235" s="30"/>
      <c r="BF235" s="2272"/>
      <c r="BG235" s="2272"/>
      <c r="BH235" s="2272"/>
      <c r="BI235" s="2272"/>
      <c r="BJ235" s="4272" t="str">
        <f t="shared" si="572"/>
        <v>Solar Parabolic Trough W/O Storage 250 MW</v>
      </c>
      <c r="BK235" s="3883">
        <v>20</v>
      </c>
      <c r="BL235" s="3882">
        <v>15</v>
      </c>
      <c r="BM235" s="3882">
        <v>25</v>
      </c>
      <c r="BN235" s="3882">
        <v>30</v>
      </c>
      <c r="BO235" s="3882">
        <v>20</v>
      </c>
      <c r="BP235" s="3883">
        <v>5</v>
      </c>
      <c r="BQ235" s="3887">
        <v>20</v>
      </c>
      <c r="BR235" s="2329"/>
      <c r="BS235" s="2329"/>
      <c r="BT235" s="2329"/>
      <c r="BU235" s="2329"/>
      <c r="BV235" s="2329"/>
      <c r="BW235" s="2329"/>
      <c r="BX235" s="2332"/>
      <c r="BY235" s="2332"/>
      <c r="BZ235" s="2332"/>
      <c r="CA235" s="2332"/>
      <c r="CB235" s="2332"/>
      <c r="DS235" s="2330"/>
      <c r="DT235" s="2330"/>
      <c r="DU235" s="2330"/>
      <c r="DV235" s="2330"/>
      <c r="DW235" s="2330"/>
      <c r="DX235" s="2330"/>
      <c r="DY235" s="2330"/>
      <c r="DZ235" s="2330"/>
      <c r="EA235" s="2330"/>
      <c r="EB235" s="2330"/>
      <c r="EC235" s="2330"/>
      <c r="ED235" s="2330"/>
      <c r="EE235" s="2330"/>
      <c r="EF235" s="2330"/>
      <c r="EY235" s="2330"/>
      <c r="EZ235" s="2330"/>
      <c r="FA235" s="2330"/>
      <c r="FB235" s="2330"/>
      <c r="FC235" s="2330"/>
      <c r="FD235" s="2330"/>
      <c r="FE235" s="2330"/>
      <c r="FF235" s="2330"/>
      <c r="FG235" s="2330"/>
      <c r="FH235" s="2330"/>
      <c r="FI235" s="2330"/>
      <c r="FJ235" s="2330"/>
      <c r="FK235" s="2330"/>
    </row>
    <row r="236" spans="1:167">
      <c r="A236" s="9"/>
      <c r="B236" s="9"/>
      <c r="C236" s="9"/>
      <c r="D236" s="9"/>
      <c r="E236" s="9"/>
      <c r="F236" s="9"/>
      <c r="G236" s="9"/>
      <c r="H236" s="9"/>
      <c r="I236" s="9"/>
      <c r="J236" s="9"/>
      <c r="K236" s="9"/>
      <c r="L236" s="9"/>
      <c r="M236" s="9"/>
      <c r="N236" s="9"/>
      <c r="O236" s="9"/>
      <c r="P236" s="9"/>
      <c r="Q236" s="9"/>
      <c r="R236" s="9"/>
      <c r="S236" s="9"/>
      <c r="T236" s="2332"/>
      <c r="U236" s="9"/>
      <c r="V236" s="3860" t="str">
        <f t="shared" si="573"/>
        <v>Solar Parabolic Trough With Storage 250 MW</v>
      </c>
      <c r="W236" s="3856">
        <v>20</v>
      </c>
      <c r="X236" s="3878">
        <v>15</v>
      </c>
      <c r="Y236" s="3878">
        <v>25</v>
      </c>
      <c r="Z236" s="3856">
        <v>30</v>
      </c>
      <c r="AA236" s="3878">
        <v>20</v>
      </c>
      <c r="AB236" s="3878">
        <v>30</v>
      </c>
      <c r="AC236" s="3856">
        <v>5</v>
      </c>
      <c r="AD236" s="3878">
        <v>5</v>
      </c>
      <c r="AE236" s="3878">
        <v>5</v>
      </c>
      <c r="AF236" s="3856">
        <v>20</v>
      </c>
      <c r="AG236" s="3878">
        <v>20</v>
      </c>
      <c r="AH236" s="4314">
        <v>20</v>
      </c>
      <c r="AI236" s="4312"/>
      <c r="AJ236" s="4312"/>
      <c r="AK236" s="4312"/>
      <c r="AU236" s="30"/>
      <c r="AV236" s="30"/>
      <c r="AW236" s="30"/>
      <c r="AX236" s="30"/>
      <c r="AY236" s="30"/>
      <c r="AZ236" s="30"/>
      <c r="BA236" s="30"/>
      <c r="BB236" s="30"/>
      <c r="BC236" s="30"/>
      <c r="BD236" s="70"/>
      <c r="BE236" s="30"/>
      <c r="BF236" s="2272"/>
      <c r="BG236" s="2272"/>
      <c r="BH236" s="2272"/>
      <c r="BI236" s="2272"/>
      <c r="BJ236" s="4272" t="str">
        <f t="shared" si="572"/>
        <v>Solar Parabolic Trough With Storage 250 MW</v>
      </c>
      <c r="BK236" s="3883">
        <v>20</v>
      </c>
      <c r="BL236" s="3882">
        <v>15</v>
      </c>
      <c r="BM236" s="3882">
        <v>25</v>
      </c>
      <c r="BN236" s="3883">
        <v>30</v>
      </c>
      <c r="BO236" s="3883">
        <v>20</v>
      </c>
      <c r="BP236" s="3883">
        <v>5</v>
      </c>
      <c r="BQ236" s="3887">
        <v>20</v>
      </c>
      <c r="BR236" s="2329"/>
      <c r="BS236" s="2329"/>
      <c r="BT236" s="2329"/>
      <c r="BU236" s="2329"/>
      <c r="BV236" s="2329"/>
      <c r="BW236" s="2329"/>
      <c r="BX236" s="2332"/>
      <c r="BY236" s="2332"/>
      <c r="BZ236" s="2332"/>
      <c r="CA236" s="2332"/>
      <c r="CB236" s="2332"/>
      <c r="DS236" s="2330"/>
      <c r="DT236" s="2330"/>
      <c r="DU236" s="2330"/>
      <c r="DV236" s="2330"/>
      <c r="DW236" s="2330"/>
      <c r="DX236" s="2330"/>
      <c r="DY236" s="2330"/>
      <c r="DZ236" s="2330"/>
      <c r="EA236" s="2330"/>
      <c r="EB236" s="2330"/>
      <c r="EC236" s="2330"/>
      <c r="ED236" s="2330"/>
      <c r="EE236" s="2330"/>
      <c r="EF236" s="2330"/>
      <c r="EY236" s="2330"/>
      <c r="EZ236" s="2330"/>
      <c r="FA236" s="2330"/>
      <c r="FB236" s="2330"/>
      <c r="FC236" s="2330"/>
      <c r="FD236" s="2330"/>
      <c r="FE236" s="2330"/>
      <c r="FF236" s="2330"/>
      <c r="FG236" s="2330"/>
      <c r="FH236" s="2330"/>
      <c r="FI236" s="2330"/>
      <c r="FJ236" s="2330"/>
      <c r="FK236" s="2330"/>
    </row>
    <row r="237" spans="1:167">
      <c r="A237" s="9"/>
      <c r="B237" s="9"/>
      <c r="C237" s="9"/>
      <c r="D237" s="9"/>
      <c r="E237" s="9"/>
      <c r="F237" s="9"/>
      <c r="G237" s="9"/>
      <c r="H237" s="9"/>
      <c r="I237" s="9"/>
      <c r="J237" s="9"/>
      <c r="K237" s="9"/>
      <c r="L237" s="9"/>
      <c r="M237" s="9"/>
      <c r="N237" s="9"/>
      <c r="O237" s="9"/>
      <c r="P237" s="9"/>
      <c r="Q237" s="9"/>
      <c r="R237" s="9"/>
      <c r="S237" s="9"/>
      <c r="T237" s="2332"/>
      <c r="U237" s="9"/>
      <c r="V237" s="3860" t="str">
        <f t="shared" si="573"/>
        <v>Solar Power Tower W/O Storage 100 MW</v>
      </c>
      <c r="W237" s="3856">
        <v>20</v>
      </c>
      <c r="X237" s="3878">
        <v>15</v>
      </c>
      <c r="Y237" s="3878">
        <v>25</v>
      </c>
      <c r="Z237" s="3856">
        <v>30</v>
      </c>
      <c r="AA237" s="3878">
        <v>20</v>
      </c>
      <c r="AB237" s="3878">
        <v>30</v>
      </c>
      <c r="AC237" s="3856">
        <v>5</v>
      </c>
      <c r="AD237" s="3878">
        <v>5</v>
      </c>
      <c r="AE237" s="3878">
        <v>5</v>
      </c>
      <c r="AF237" s="3856">
        <v>20</v>
      </c>
      <c r="AG237" s="3878">
        <v>20</v>
      </c>
      <c r="AH237" s="4314">
        <v>20</v>
      </c>
      <c r="AI237" s="4312"/>
      <c r="AJ237" s="4312"/>
      <c r="AK237" s="4312"/>
      <c r="AU237" s="30"/>
      <c r="AV237" s="30"/>
      <c r="AW237" s="30"/>
      <c r="AX237" s="30"/>
      <c r="AY237" s="30"/>
      <c r="AZ237" s="30"/>
      <c r="BA237" s="30"/>
      <c r="BB237" s="30"/>
      <c r="BC237" s="30"/>
      <c r="BD237" s="70"/>
      <c r="BE237" s="30"/>
      <c r="BF237" s="2272"/>
      <c r="BG237" s="2272"/>
      <c r="BH237" s="2272"/>
      <c r="BI237" s="2272"/>
      <c r="BJ237" s="4272" t="str">
        <f t="shared" si="572"/>
        <v>Solar Power Tower W/O Storage 100 MW</v>
      </c>
      <c r="BK237" s="3883">
        <v>20</v>
      </c>
      <c r="BL237" s="3882">
        <v>15</v>
      </c>
      <c r="BM237" s="3882">
        <v>25</v>
      </c>
      <c r="BN237" s="3883">
        <v>30</v>
      </c>
      <c r="BO237" s="3883">
        <v>20</v>
      </c>
      <c r="BP237" s="3883">
        <v>5</v>
      </c>
      <c r="BQ237" s="3887">
        <v>20</v>
      </c>
      <c r="BR237" s="2329"/>
      <c r="BS237" s="2329"/>
      <c r="BT237" s="2329"/>
      <c r="BU237" s="2329"/>
      <c r="BV237" s="2329"/>
      <c r="BW237" s="2329"/>
      <c r="BX237" s="2332"/>
      <c r="BY237" s="2332"/>
      <c r="BZ237" s="2332"/>
      <c r="CA237" s="2332"/>
      <c r="CB237" s="2332"/>
      <c r="DS237" s="2330"/>
      <c r="DT237" s="2330"/>
      <c r="DU237" s="2330"/>
      <c r="DV237" s="2330"/>
      <c r="DW237" s="2330"/>
      <c r="DX237" s="2330"/>
      <c r="DY237" s="2330"/>
      <c r="DZ237" s="2330"/>
      <c r="EA237" s="2330"/>
      <c r="EB237" s="2330"/>
      <c r="EC237" s="2330"/>
      <c r="ED237" s="2330"/>
      <c r="EE237" s="2330"/>
      <c r="EF237" s="2330"/>
      <c r="EY237" s="2330"/>
      <c r="EZ237" s="2330"/>
      <c r="FA237" s="2330"/>
      <c r="FB237" s="2330"/>
      <c r="FC237" s="2330"/>
      <c r="FD237" s="2330"/>
      <c r="FE237" s="2330"/>
      <c r="FF237" s="2330"/>
      <c r="FG237" s="2330"/>
      <c r="FH237" s="2330"/>
      <c r="FI237" s="2330"/>
      <c r="FJ237" s="2330"/>
      <c r="FK237" s="2330"/>
    </row>
    <row r="238" spans="1:167">
      <c r="A238" s="9"/>
      <c r="B238" s="9"/>
      <c r="C238" s="9"/>
      <c r="D238" s="9"/>
      <c r="E238" s="9"/>
      <c r="F238" s="9"/>
      <c r="G238" s="9"/>
      <c r="H238" s="9"/>
      <c r="I238" s="9"/>
      <c r="J238" s="9"/>
      <c r="K238" s="9"/>
      <c r="L238" s="9"/>
      <c r="M238" s="9"/>
      <c r="N238" s="9"/>
      <c r="O238" s="9"/>
      <c r="P238" s="9"/>
      <c r="Q238" s="9"/>
      <c r="R238" s="9"/>
      <c r="S238" s="9"/>
      <c r="T238" s="2332"/>
      <c r="U238" s="9"/>
      <c r="V238" s="3860" t="str">
        <f t="shared" si="573"/>
        <v>Solar Power Tower With Storage 100 MW 6 HRs</v>
      </c>
      <c r="W238" s="3856">
        <v>20</v>
      </c>
      <c r="X238" s="3878">
        <v>15</v>
      </c>
      <c r="Y238" s="3878">
        <v>25</v>
      </c>
      <c r="Z238" s="3856">
        <v>30</v>
      </c>
      <c r="AA238" s="3878">
        <v>20</v>
      </c>
      <c r="AB238" s="3878">
        <v>30</v>
      </c>
      <c r="AC238" s="3856">
        <v>5</v>
      </c>
      <c r="AD238" s="3878">
        <v>5</v>
      </c>
      <c r="AE238" s="3878">
        <v>5</v>
      </c>
      <c r="AF238" s="3856">
        <v>20</v>
      </c>
      <c r="AG238" s="3878">
        <v>20</v>
      </c>
      <c r="AH238" s="4314">
        <v>20</v>
      </c>
      <c r="AI238" s="4312"/>
      <c r="AJ238" s="4312"/>
      <c r="AK238" s="4312"/>
      <c r="AU238" s="30"/>
      <c r="AV238" s="30"/>
      <c r="AW238" s="30"/>
      <c r="AX238" s="30"/>
      <c r="AY238" s="30"/>
      <c r="AZ238" s="30"/>
      <c r="BA238" s="30"/>
      <c r="BB238" s="30"/>
      <c r="BC238" s="30"/>
      <c r="BD238" s="70"/>
      <c r="BE238" s="30"/>
      <c r="BF238" s="2272"/>
      <c r="BG238" s="2272"/>
      <c r="BH238" s="2272"/>
      <c r="BI238" s="2272"/>
      <c r="BJ238" s="4272" t="str">
        <f t="shared" si="572"/>
        <v>Solar Power Tower With Storage 100 MW 6 HRs</v>
      </c>
      <c r="BK238" s="3883">
        <v>20</v>
      </c>
      <c r="BL238" s="3882">
        <v>15</v>
      </c>
      <c r="BM238" s="3882">
        <v>25</v>
      </c>
      <c r="BN238" s="3883">
        <v>30</v>
      </c>
      <c r="BO238" s="3883">
        <v>20</v>
      </c>
      <c r="BP238" s="3883">
        <v>5</v>
      </c>
      <c r="BQ238" s="3887">
        <v>20</v>
      </c>
      <c r="BR238" s="2329"/>
      <c r="BS238" s="2329"/>
      <c r="BT238" s="2329"/>
      <c r="BU238" s="2329"/>
      <c r="BV238" s="2329"/>
      <c r="BW238" s="2329"/>
      <c r="BX238" s="2332"/>
      <c r="BY238" s="2332"/>
      <c r="BZ238" s="2332"/>
      <c r="CA238" s="2332"/>
      <c r="CB238" s="2332"/>
      <c r="DS238" s="2330"/>
      <c r="DT238" s="2330"/>
      <c r="DU238" s="2330"/>
      <c r="DV238" s="2330"/>
      <c r="DW238" s="2330"/>
      <c r="DX238" s="2330"/>
      <c r="DY238" s="2330"/>
      <c r="DZ238" s="2330"/>
      <c r="EA238" s="2330"/>
      <c r="EB238" s="2330"/>
      <c r="EC238" s="2330"/>
      <c r="ED238" s="2330"/>
      <c r="EE238" s="2330"/>
      <c r="EF238" s="2330"/>
      <c r="EY238" s="2330"/>
      <c r="EZ238" s="2330"/>
      <c r="FA238" s="2330"/>
      <c r="FB238" s="2330"/>
      <c r="FC238" s="2330"/>
      <c r="FD238" s="2330"/>
      <c r="FE238" s="2330"/>
      <c r="FF238" s="2330"/>
      <c r="FG238" s="2330"/>
      <c r="FH238" s="2330"/>
      <c r="FI238" s="2330"/>
      <c r="FJ238" s="2330"/>
      <c r="FK238" s="2330"/>
    </row>
    <row r="239" spans="1:167">
      <c r="A239" s="9"/>
      <c r="B239" s="9"/>
      <c r="C239" s="9"/>
      <c r="D239" s="9"/>
      <c r="E239" s="9"/>
      <c r="F239" s="9"/>
      <c r="G239" s="9"/>
      <c r="H239" s="9"/>
      <c r="I239" s="9"/>
      <c r="J239" s="9"/>
      <c r="K239" s="9"/>
      <c r="L239" s="9"/>
      <c r="M239" s="9"/>
      <c r="N239" s="9"/>
      <c r="O239" s="9"/>
      <c r="P239" s="9"/>
      <c r="Q239" s="9"/>
      <c r="R239" s="9"/>
      <c r="S239" s="9"/>
      <c r="T239" s="2332"/>
      <c r="U239" s="9"/>
      <c r="V239" s="3860" t="str">
        <f t="shared" si="573"/>
        <v>Solar Power Tower With Storage 100 MW 11 HRs</v>
      </c>
      <c r="W239" s="3856">
        <v>20</v>
      </c>
      <c r="X239" s="3878">
        <v>15</v>
      </c>
      <c r="Y239" s="3878">
        <v>25</v>
      </c>
      <c r="Z239" s="3856">
        <v>30</v>
      </c>
      <c r="AA239" s="3878">
        <v>20</v>
      </c>
      <c r="AB239" s="3878">
        <v>30</v>
      </c>
      <c r="AC239" s="3856">
        <v>5</v>
      </c>
      <c r="AD239" s="3878">
        <v>5</v>
      </c>
      <c r="AE239" s="3878">
        <v>5</v>
      </c>
      <c r="AF239" s="3856">
        <v>20</v>
      </c>
      <c r="AG239" s="3878">
        <v>20</v>
      </c>
      <c r="AH239" s="4314">
        <v>20</v>
      </c>
      <c r="AI239" s="4312"/>
      <c r="AJ239" s="4312"/>
      <c r="AK239" s="4312"/>
      <c r="AU239" s="30"/>
      <c r="AV239" s="30"/>
      <c r="AW239" s="30"/>
      <c r="AX239" s="30"/>
      <c r="AY239" s="30"/>
      <c r="AZ239" s="30"/>
      <c r="BA239" s="30"/>
      <c r="BB239" s="30"/>
      <c r="BC239" s="30"/>
      <c r="BD239" s="70"/>
      <c r="BE239" s="30"/>
      <c r="BF239" s="2272"/>
      <c r="BG239" s="2272"/>
      <c r="BH239" s="2272"/>
      <c r="BI239" s="2272"/>
      <c r="BJ239" s="4272" t="str">
        <f t="shared" si="572"/>
        <v>Solar Power Tower With Storage 100 MW 11 HRs</v>
      </c>
      <c r="BK239" s="3883">
        <v>20</v>
      </c>
      <c r="BL239" s="3882">
        <v>15</v>
      </c>
      <c r="BM239" s="3882">
        <v>25</v>
      </c>
      <c r="BN239" s="3883">
        <v>30</v>
      </c>
      <c r="BO239" s="3883">
        <v>20</v>
      </c>
      <c r="BP239" s="3883">
        <v>5</v>
      </c>
      <c r="BQ239" s="3887">
        <v>20</v>
      </c>
      <c r="BR239" s="2329"/>
      <c r="BS239" s="2329"/>
      <c r="BT239" s="2329"/>
      <c r="BU239" s="2329"/>
      <c r="BV239" s="2329"/>
      <c r="BW239" s="2329"/>
      <c r="BX239" s="2332"/>
      <c r="BY239" s="2332"/>
      <c r="BZ239" s="2332"/>
      <c r="CA239" s="2332"/>
      <c r="CB239" s="2332"/>
      <c r="DS239" s="2330"/>
      <c r="DT239" s="2330"/>
      <c r="DU239" s="2330"/>
      <c r="DV239" s="2330"/>
      <c r="DW239" s="2330"/>
      <c r="DX239" s="2330"/>
      <c r="DY239" s="2330"/>
      <c r="DZ239" s="2330"/>
      <c r="EA239" s="2330"/>
      <c r="EB239" s="2330"/>
      <c r="EC239" s="2330"/>
      <c r="ED239" s="2330"/>
      <c r="EE239" s="2330"/>
      <c r="EF239" s="2330"/>
      <c r="EY239" s="2330"/>
      <c r="EZ239" s="2330"/>
      <c r="FA239" s="2330"/>
      <c r="FB239" s="2330"/>
      <c r="FC239" s="2330"/>
      <c r="FD239" s="2330"/>
      <c r="FE239" s="2330"/>
      <c r="FF239" s="2330"/>
      <c r="FG239" s="2330"/>
      <c r="FH239" s="2330"/>
      <c r="FI239" s="2330"/>
      <c r="FJ239" s="2330"/>
      <c r="FK239" s="2330"/>
    </row>
    <row r="240" spans="1:167">
      <c r="A240" s="9"/>
      <c r="B240" s="9"/>
      <c r="C240" s="9"/>
      <c r="D240" s="9"/>
      <c r="E240" s="9"/>
      <c r="F240" s="9"/>
      <c r="G240" s="9"/>
      <c r="H240" s="9"/>
      <c r="I240" s="9"/>
      <c r="J240" s="9"/>
      <c r="K240" s="9"/>
      <c r="L240" s="9"/>
      <c r="M240" s="9"/>
      <c r="N240" s="9"/>
      <c r="O240" s="9"/>
      <c r="P240" s="9"/>
      <c r="Q240" s="9"/>
      <c r="R240" s="9"/>
      <c r="S240" s="9"/>
      <c r="T240" s="2332"/>
      <c r="U240" s="9"/>
      <c r="V240" s="3860" t="str">
        <f t="shared" si="573"/>
        <v>Solar Photovoltaic (Thin-Film) 100 MW</v>
      </c>
      <c r="W240" s="3856">
        <v>20</v>
      </c>
      <c r="X240" s="3878">
        <v>15</v>
      </c>
      <c r="Y240" s="3878">
        <v>25</v>
      </c>
      <c r="Z240" s="3856">
        <v>30</v>
      </c>
      <c r="AA240" s="3878">
        <v>20</v>
      </c>
      <c r="AB240" s="3878">
        <v>30</v>
      </c>
      <c r="AC240" s="3856">
        <v>5</v>
      </c>
      <c r="AD240" s="3878">
        <v>5</v>
      </c>
      <c r="AE240" s="3878">
        <v>5</v>
      </c>
      <c r="AF240" s="3856">
        <v>20</v>
      </c>
      <c r="AG240" s="3878">
        <v>20</v>
      </c>
      <c r="AH240" s="4314">
        <v>20</v>
      </c>
      <c r="AI240" s="4312"/>
      <c r="AJ240" s="4312"/>
      <c r="AK240" s="4312"/>
      <c r="AU240" s="30"/>
      <c r="AV240" s="30"/>
      <c r="AW240" s="30"/>
      <c r="AX240" s="30"/>
      <c r="AY240" s="30"/>
      <c r="AZ240" s="30"/>
      <c r="BA240" s="30"/>
      <c r="BB240" s="30"/>
      <c r="BC240" s="30"/>
      <c r="BD240" s="70"/>
      <c r="BE240" s="30"/>
      <c r="BF240" s="2272"/>
      <c r="BG240" s="2272"/>
      <c r="BH240" s="2272"/>
      <c r="BI240" s="2272"/>
      <c r="BJ240" s="4272" t="str">
        <f t="shared" si="572"/>
        <v>Solar Photovoltaic (Thin-Film) 100 MW</v>
      </c>
      <c r="BK240" s="3883">
        <v>20</v>
      </c>
      <c r="BL240" s="3882">
        <v>15</v>
      </c>
      <c r="BM240" s="3882">
        <v>25</v>
      </c>
      <c r="BN240" s="3883">
        <v>30</v>
      </c>
      <c r="BO240" s="3883">
        <v>20</v>
      </c>
      <c r="BP240" s="3883">
        <v>5</v>
      </c>
      <c r="BQ240" s="3887">
        <v>20</v>
      </c>
      <c r="BR240" s="2329"/>
      <c r="BS240" s="2329"/>
      <c r="BT240" s="2329"/>
      <c r="BU240" s="2329"/>
      <c r="BV240" s="2329"/>
      <c r="BW240" s="2329"/>
      <c r="BX240" s="2332"/>
      <c r="BY240" s="2332"/>
      <c r="BZ240" s="2332"/>
      <c r="CA240" s="2332"/>
      <c r="CB240" s="2332"/>
      <c r="DS240" s="2330"/>
      <c r="DT240" s="2330"/>
      <c r="DU240" s="2330"/>
      <c r="DV240" s="2330"/>
      <c r="DW240" s="2330"/>
      <c r="DX240" s="2330"/>
      <c r="DY240" s="2330"/>
      <c r="DZ240" s="2330"/>
      <c r="EA240" s="2330"/>
      <c r="EB240" s="2330"/>
      <c r="EC240" s="2330"/>
      <c r="ED240" s="2330"/>
      <c r="EE240" s="2330"/>
      <c r="EF240" s="2330"/>
      <c r="EY240" s="2330"/>
      <c r="EZ240" s="2330"/>
      <c r="FA240" s="2330"/>
      <c r="FB240" s="2330"/>
      <c r="FC240" s="2330"/>
      <c r="FD240" s="2330"/>
      <c r="FE240" s="2330"/>
      <c r="FF240" s="2330"/>
      <c r="FG240" s="2330"/>
      <c r="FH240" s="2330"/>
      <c r="FI240" s="2330"/>
      <c r="FJ240" s="2330"/>
      <c r="FK240" s="2330"/>
    </row>
    <row r="241" spans="1:167">
      <c r="A241" s="9"/>
      <c r="B241" s="9"/>
      <c r="C241" s="9"/>
      <c r="D241" s="9"/>
      <c r="E241" s="9"/>
      <c r="F241" s="9"/>
      <c r="G241" s="9"/>
      <c r="H241" s="9"/>
      <c r="I241" s="9"/>
      <c r="J241" s="9"/>
      <c r="K241" s="9"/>
      <c r="L241" s="9"/>
      <c r="M241" s="9"/>
      <c r="N241" s="9"/>
      <c r="O241" s="9"/>
      <c r="P241" s="9"/>
      <c r="Q241" s="9"/>
      <c r="R241" s="9"/>
      <c r="S241" s="9"/>
      <c r="T241" s="2332"/>
      <c r="U241" s="9"/>
      <c r="V241" s="3860" t="str">
        <f t="shared" si="573"/>
        <v>Solar Photovoltaic (Single Axis) 100 MW</v>
      </c>
      <c r="W241" s="3856">
        <v>20</v>
      </c>
      <c r="X241" s="3878">
        <v>15</v>
      </c>
      <c r="Y241" s="3878">
        <v>25</v>
      </c>
      <c r="Z241" s="3856">
        <v>30</v>
      </c>
      <c r="AA241" s="3878">
        <v>20</v>
      </c>
      <c r="AB241" s="3878">
        <v>30</v>
      </c>
      <c r="AC241" s="3856">
        <v>5</v>
      </c>
      <c r="AD241" s="3878">
        <v>5</v>
      </c>
      <c r="AE241" s="3878">
        <v>5</v>
      </c>
      <c r="AF241" s="3856">
        <v>20</v>
      </c>
      <c r="AG241" s="3878">
        <v>20</v>
      </c>
      <c r="AH241" s="4314">
        <v>20</v>
      </c>
      <c r="AI241" s="4312"/>
      <c r="AJ241" s="4312"/>
      <c r="AK241" s="4312"/>
      <c r="AU241" s="30"/>
      <c r="AV241" s="30"/>
      <c r="AW241" s="30"/>
      <c r="AX241" s="30"/>
      <c r="AY241" s="30"/>
      <c r="AZ241" s="30"/>
      <c r="BA241" s="30"/>
      <c r="BB241" s="30"/>
      <c r="BC241" s="30"/>
      <c r="BD241" s="70"/>
      <c r="BE241" s="30"/>
      <c r="BF241" s="2272"/>
      <c r="BG241" s="2272"/>
      <c r="BH241" s="2272"/>
      <c r="BI241" s="2272"/>
      <c r="BJ241" s="4272" t="str">
        <f t="shared" si="572"/>
        <v>Solar Photovoltaic (Single Axis) 100 MW</v>
      </c>
      <c r="BK241" s="3883">
        <v>20</v>
      </c>
      <c r="BL241" s="3882">
        <v>15</v>
      </c>
      <c r="BM241" s="3882">
        <v>25</v>
      </c>
      <c r="BN241" s="3883">
        <v>30</v>
      </c>
      <c r="BO241" s="3883">
        <v>20</v>
      </c>
      <c r="BP241" s="3883">
        <v>5</v>
      </c>
      <c r="BQ241" s="3887">
        <v>20</v>
      </c>
      <c r="BR241" s="2329"/>
      <c r="BS241" s="2329"/>
      <c r="BT241" s="2329"/>
      <c r="BU241" s="2329"/>
      <c r="BV241" s="2329"/>
      <c r="BW241" s="2329"/>
      <c r="BX241" s="2332"/>
      <c r="BY241" s="2332"/>
      <c r="BZ241" s="2332"/>
      <c r="CA241" s="2332"/>
      <c r="CB241" s="2332"/>
      <c r="DS241" s="2330"/>
      <c r="DT241" s="2330"/>
      <c r="DU241" s="2330"/>
      <c r="DV241" s="2330"/>
      <c r="DW241" s="2330"/>
      <c r="DX241" s="2330"/>
      <c r="DY241" s="2330"/>
      <c r="DZ241" s="2330"/>
      <c r="EA241" s="2330"/>
      <c r="EB241" s="2330"/>
      <c r="EC241" s="2330"/>
      <c r="ED241" s="2330"/>
      <c r="EE241" s="2330"/>
      <c r="EF241" s="2330"/>
      <c r="EY241" s="2330"/>
      <c r="EZ241" s="2330"/>
      <c r="FA241" s="2330"/>
      <c r="FB241" s="2330"/>
      <c r="FC241" s="2330"/>
      <c r="FD241" s="2330"/>
      <c r="FE241" s="2330"/>
      <c r="FF241" s="2330"/>
      <c r="FG241" s="2330"/>
      <c r="FH241" s="2330"/>
      <c r="FI241" s="2330"/>
      <c r="FJ241" s="2330"/>
      <c r="FK241" s="2330"/>
    </row>
    <row r="242" spans="1:167">
      <c r="A242" s="9"/>
      <c r="B242" s="9"/>
      <c r="C242" s="9"/>
      <c r="D242" s="9"/>
      <c r="E242" s="9"/>
      <c r="F242" s="9"/>
      <c r="G242" s="9"/>
      <c r="H242" s="9"/>
      <c r="I242" s="9"/>
      <c r="J242" s="9"/>
      <c r="K242" s="9"/>
      <c r="L242" s="9"/>
      <c r="M242" s="9"/>
      <c r="N242" s="9"/>
      <c r="O242" s="9"/>
      <c r="P242" s="9"/>
      <c r="Q242" s="9"/>
      <c r="R242" s="9"/>
      <c r="S242" s="9"/>
      <c r="T242" s="2332"/>
      <c r="U242" s="9"/>
      <c r="V242" s="3860" t="str">
        <f t="shared" si="573"/>
        <v>Solar Photovoltaic (Thin-Film) 20 MW</v>
      </c>
      <c r="W242" s="3856">
        <v>20</v>
      </c>
      <c r="X242" s="3878">
        <v>15</v>
      </c>
      <c r="Y242" s="3878">
        <v>25</v>
      </c>
      <c r="Z242" s="3856">
        <v>30</v>
      </c>
      <c r="AA242" s="3878">
        <v>20</v>
      </c>
      <c r="AB242" s="3878">
        <v>30</v>
      </c>
      <c r="AC242" s="3856">
        <v>5</v>
      </c>
      <c r="AD242" s="3878">
        <v>5</v>
      </c>
      <c r="AE242" s="3878">
        <v>5</v>
      </c>
      <c r="AF242" s="3856">
        <v>20</v>
      </c>
      <c r="AG242" s="3878">
        <v>20</v>
      </c>
      <c r="AH242" s="4314">
        <v>20</v>
      </c>
      <c r="AI242" s="4312"/>
      <c r="AJ242" s="4312"/>
      <c r="AK242" s="4312"/>
      <c r="AU242" s="30"/>
      <c r="AV242" s="30"/>
      <c r="AW242" s="30"/>
      <c r="AX242" s="30"/>
      <c r="AY242" s="30"/>
      <c r="AZ242" s="30"/>
      <c r="BA242" s="30"/>
      <c r="BB242" s="30"/>
      <c r="BC242" s="30"/>
      <c r="BD242" s="70"/>
      <c r="BE242" s="30"/>
      <c r="BF242" s="2272"/>
      <c r="BG242" s="2272"/>
      <c r="BH242" s="2272"/>
      <c r="BI242" s="2272"/>
      <c r="BJ242" s="4272" t="str">
        <f t="shared" si="572"/>
        <v>Solar Photovoltaic (Thin-Film) 20 MW</v>
      </c>
      <c r="BK242" s="3883">
        <v>20</v>
      </c>
      <c r="BL242" s="3882">
        <v>15</v>
      </c>
      <c r="BM242" s="3882">
        <v>25</v>
      </c>
      <c r="BN242" s="3883">
        <v>30</v>
      </c>
      <c r="BO242" s="3883">
        <v>20</v>
      </c>
      <c r="BP242" s="3883">
        <v>5</v>
      </c>
      <c r="BQ242" s="3887">
        <v>20</v>
      </c>
      <c r="BR242" s="2329"/>
      <c r="BS242" s="2329"/>
      <c r="BT242" s="2329"/>
      <c r="BU242" s="2329"/>
      <c r="BV242" s="2329"/>
      <c r="BW242" s="2329"/>
      <c r="BX242" s="2332"/>
      <c r="BY242" s="2332"/>
      <c r="BZ242" s="2332"/>
      <c r="CA242" s="2332"/>
      <c r="CB242" s="2332"/>
      <c r="DS242" s="2330"/>
      <c r="DT242" s="2330"/>
      <c r="DU242" s="2330"/>
      <c r="DV242" s="2330"/>
      <c r="DW242" s="2330"/>
      <c r="DX242" s="2330"/>
      <c r="DY242" s="2330"/>
      <c r="DZ242" s="2330"/>
      <c r="EA242" s="2330"/>
      <c r="EB242" s="2330"/>
      <c r="EC242" s="2330"/>
      <c r="ED242" s="2330"/>
      <c r="EE242" s="2330"/>
      <c r="EF242" s="2330"/>
      <c r="EY242" s="2330"/>
      <c r="EZ242" s="2330"/>
      <c r="FA242" s="2330"/>
      <c r="FB242" s="2330"/>
      <c r="FC242" s="2330"/>
      <c r="FD242" s="2330"/>
      <c r="FE242" s="2330"/>
      <c r="FF242" s="2330"/>
      <c r="FG242" s="2330"/>
      <c r="FH242" s="2330"/>
      <c r="FI242" s="2330"/>
      <c r="FJ242" s="2330"/>
      <c r="FK242" s="2330"/>
    </row>
    <row r="243" spans="1:167">
      <c r="A243" s="9"/>
      <c r="B243" s="9"/>
      <c r="C243" s="9"/>
      <c r="D243" s="9"/>
      <c r="E243" s="9"/>
      <c r="F243" s="9"/>
      <c r="G243" s="9"/>
      <c r="H243" s="9"/>
      <c r="I243" s="9"/>
      <c r="J243" s="9"/>
      <c r="K243" s="9"/>
      <c r="L243" s="9"/>
      <c r="M243" s="9"/>
      <c r="N243" s="9"/>
      <c r="O243" s="9"/>
      <c r="P243" s="9"/>
      <c r="Q243" s="9"/>
      <c r="R243" s="9"/>
      <c r="S243" s="9"/>
      <c r="T243" s="2332"/>
      <c r="U243" s="9"/>
      <c r="V243" s="3860" t="str">
        <f t="shared" si="573"/>
        <v>Solar Photovoltaic (Single Axis) 20 MW</v>
      </c>
      <c r="W243" s="3856">
        <v>20</v>
      </c>
      <c r="X243" s="3878">
        <v>15</v>
      </c>
      <c r="Y243" s="3878">
        <v>25</v>
      </c>
      <c r="Z243" s="3856">
        <v>30</v>
      </c>
      <c r="AA243" s="3878">
        <v>20</v>
      </c>
      <c r="AB243" s="3878">
        <v>30</v>
      </c>
      <c r="AC243" s="3856">
        <v>5</v>
      </c>
      <c r="AD243" s="3878">
        <v>5</v>
      </c>
      <c r="AE243" s="3878">
        <v>5</v>
      </c>
      <c r="AF243" s="3856">
        <v>20</v>
      </c>
      <c r="AG243" s="3878">
        <v>20</v>
      </c>
      <c r="AH243" s="4314">
        <v>20</v>
      </c>
      <c r="AI243" s="4312"/>
      <c r="AJ243" s="4312"/>
      <c r="AK243" s="4312"/>
      <c r="AU243" s="30"/>
      <c r="AV243" s="30"/>
      <c r="AW243" s="30"/>
      <c r="AX243" s="30"/>
      <c r="AY243" s="30"/>
      <c r="AZ243" s="30"/>
      <c r="BA243" s="30"/>
      <c r="BB243" s="30"/>
      <c r="BC243" s="30"/>
      <c r="BD243" s="70"/>
      <c r="BE243" s="30"/>
      <c r="BF243" s="2272"/>
      <c r="BG243" s="2272"/>
      <c r="BH243" s="2272"/>
      <c r="BI243" s="2272"/>
      <c r="BJ243" s="4272" t="str">
        <f t="shared" si="572"/>
        <v>Solar Photovoltaic (Single Axis) 20 MW</v>
      </c>
      <c r="BK243" s="3883">
        <v>20</v>
      </c>
      <c r="BL243" s="3882">
        <v>15</v>
      </c>
      <c r="BM243" s="3882">
        <v>25</v>
      </c>
      <c r="BN243" s="3883">
        <v>30</v>
      </c>
      <c r="BO243" s="3883">
        <v>20</v>
      </c>
      <c r="BP243" s="3883">
        <v>5</v>
      </c>
      <c r="BQ243" s="3887">
        <v>20</v>
      </c>
      <c r="BR243" s="2329"/>
      <c r="BS243" s="2329"/>
      <c r="BT243" s="2329"/>
      <c r="BU243" s="2329"/>
      <c r="BV243" s="2329"/>
      <c r="BW243" s="2329"/>
      <c r="BX243" s="2332"/>
      <c r="BY243" s="2332"/>
      <c r="BZ243" s="2332"/>
      <c r="CA243" s="2332"/>
      <c r="CB243" s="2332"/>
      <c r="DS243" s="2330"/>
      <c r="DT243" s="2330"/>
      <c r="DU243" s="2330"/>
      <c r="DV243" s="2330"/>
      <c r="DW243" s="2330"/>
      <c r="DX243" s="2330"/>
      <c r="DY243" s="2330"/>
      <c r="DZ243" s="2330"/>
      <c r="EA243" s="2330"/>
      <c r="EB243" s="2330"/>
      <c r="EC243" s="2330"/>
      <c r="ED243" s="2330"/>
      <c r="EE243" s="2330"/>
      <c r="EF243" s="2330"/>
      <c r="EY243" s="2330"/>
      <c r="EZ243" s="2330"/>
      <c r="FA243" s="2330"/>
      <c r="FB243" s="2330"/>
      <c r="FC243" s="2330"/>
      <c r="FD243" s="2330"/>
      <c r="FE243" s="2330"/>
      <c r="FF243" s="2330"/>
      <c r="FG243" s="2330"/>
      <c r="FH243" s="2330"/>
      <c r="FI243" s="2330"/>
      <c r="FJ243" s="2330"/>
      <c r="FK243" s="2330"/>
    </row>
    <row r="244" spans="1:167">
      <c r="A244" s="9"/>
      <c r="B244" s="9"/>
      <c r="C244" s="9"/>
      <c r="D244" s="9"/>
      <c r="E244" s="9"/>
      <c r="F244" s="9"/>
      <c r="G244" s="9"/>
      <c r="H244" s="9"/>
      <c r="I244" s="9"/>
      <c r="J244" s="9"/>
      <c r="K244" s="9"/>
      <c r="L244" s="9"/>
      <c r="M244" s="9"/>
      <c r="N244" s="9"/>
      <c r="O244" s="9"/>
      <c r="P244" s="9"/>
      <c r="Q244" s="9"/>
      <c r="R244" s="9"/>
      <c r="S244" s="9"/>
      <c r="T244" s="2332"/>
      <c r="U244" s="9"/>
      <c r="V244" s="3860" t="str">
        <f t="shared" si="573"/>
        <v>Wind - Class 3 100 MW</v>
      </c>
      <c r="W244" s="3856">
        <v>20</v>
      </c>
      <c r="X244" s="3878">
        <v>15</v>
      </c>
      <c r="Y244" s="3878">
        <v>25</v>
      </c>
      <c r="Z244" s="3856">
        <v>30</v>
      </c>
      <c r="AA244" s="3878">
        <v>20</v>
      </c>
      <c r="AB244" s="3878">
        <v>30</v>
      </c>
      <c r="AC244" s="3856">
        <v>5</v>
      </c>
      <c r="AD244" s="3878">
        <v>5</v>
      </c>
      <c r="AE244" s="3878">
        <v>5</v>
      </c>
      <c r="AF244" s="3856">
        <v>30</v>
      </c>
      <c r="AG244" s="3878">
        <v>30</v>
      </c>
      <c r="AH244" s="4314">
        <v>30</v>
      </c>
      <c r="AI244" s="4312"/>
      <c r="AJ244" s="4312"/>
      <c r="AK244" s="4312"/>
      <c r="AU244" s="30"/>
      <c r="AV244" s="30"/>
      <c r="AW244" s="30"/>
      <c r="AX244" s="30"/>
      <c r="AY244" s="30"/>
      <c r="AZ244" s="30"/>
      <c r="BA244" s="30"/>
      <c r="BB244" s="30"/>
      <c r="BC244" s="30"/>
      <c r="BD244" s="70"/>
      <c r="BE244" s="30"/>
      <c r="BF244" s="2272"/>
      <c r="BG244" s="2272"/>
      <c r="BH244" s="2272"/>
      <c r="BI244" s="2272"/>
      <c r="BJ244" s="4272" t="str">
        <f t="shared" si="572"/>
        <v>Wind - Class 3 100 MW</v>
      </c>
      <c r="BK244" s="3883">
        <v>20</v>
      </c>
      <c r="BL244" s="3882">
        <v>15</v>
      </c>
      <c r="BM244" s="3882">
        <v>25</v>
      </c>
      <c r="BN244" s="3883">
        <v>30</v>
      </c>
      <c r="BO244" s="3883">
        <v>30</v>
      </c>
      <c r="BP244" s="3883">
        <v>5</v>
      </c>
      <c r="BQ244" s="3887">
        <v>30</v>
      </c>
      <c r="BR244" s="2329"/>
      <c r="BS244" s="2329"/>
      <c r="BT244" s="2329"/>
      <c r="BU244" s="2329"/>
      <c r="BV244" s="2329"/>
      <c r="BW244" s="2329"/>
      <c r="BX244" s="2332"/>
      <c r="BY244" s="2332"/>
      <c r="BZ244" s="2332"/>
      <c r="CA244" s="2332"/>
      <c r="CB244" s="2332"/>
      <c r="DS244" s="2330"/>
      <c r="DT244" s="2330"/>
      <c r="DU244" s="2330"/>
      <c r="DV244" s="2330"/>
      <c r="DW244" s="2330"/>
      <c r="DX244" s="2330"/>
      <c r="DY244" s="2330"/>
      <c r="DZ244" s="2330"/>
      <c r="EA244" s="2330"/>
      <c r="EB244" s="2330"/>
      <c r="EC244" s="2330"/>
      <c r="ED244" s="2330"/>
      <c r="EE244" s="2330"/>
      <c r="EF244" s="2330"/>
      <c r="EY244" s="2330"/>
      <c r="EZ244" s="2330"/>
      <c r="FA244" s="2330"/>
      <c r="FB244" s="2330"/>
      <c r="FC244" s="2330"/>
      <c r="FD244" s="2330"/>
      <c r="FE244" s="2330"/>
      <c r="FF244" s="2330"/>
      <c r="FG244" s="2330"/>
      <c r="FH244" s="2330"/>
      <c r="FI244" s="2330"/>
      <c r="FJ244" s="2330"/>
      <c r="FK244" s="2330"/>
    </row>
    <row r="245" spans="1:167" ht="13.5" thickBot="1">
      <c r="A245" s="9"/>
      <c r="B245" s="9"/>
      <c r="C245" s="9"/>
      <c r="D245" s="9"/>
      <c r="E245" s="9"/>
      <c r="F245" s="9"/>
      <c r="G245" s="9"/>
      <c r="H245" s="9"/>
      <c r="I245" s="9"/>
      <c r="J245" s="9"/>
      <c r="K245" s="9"/>
      <c r="L245" s="9"/>
      <c r="M245" s="9"/>
      <c r="N245" s="9"/>
      <c r="O245" s="9"/>
      <c r="P245" s="9"/>
      <c r="Q245" s="9"/>
      <c r="R245" s="9"/>
      <c r="S245" s="9"/>
      <c r="T245" s="2332"/>
      <c r="U245" s="9"/>
      <c r="V245" s="3861" t="str">
        <f t="shared" si="573"/>
        <v>Wind - Class 4 100 MW</v>
      </c>
      <c r="W245" s="3879">
        <v>20</v>
      </c>
      <c r="X245" s="4315">
        <v>15</v>
      </c>
      <c r="Y245" s="4315">
        <v>25</v>
      </c>
      <c r="Z245" s="3879">
        <v>30</v>
      </c>
      <c r="AA245" s="4315">
        <v>20</v>
      </c>
      <c r="AB245" s="4315">
        <v>30</v>
      </c>
      <c r="AC245" s="3879">
        <v>5</v>
      </c>
      <c r="AD245" s="4315">
        <v>5</v>
      </c>
      <c r="AE245" s="4315">
        <v>5</v>
      </c>
      <c r="AF245" s="3879">
        <v>30</v>
      </c>
      <c r="AG245" s="4315">
        <v>30</v>
      </c>
      <c r="AH245" s="4316">
        <v>30</v>
      </c>
      <c r="AI245" s="4312"/>
      <c r="AJ245" s="4312"/>
      <c r="AK245" s="4312"/>
      <c r="AU245" s="30"/>
      <c r="AV245" s="30"/>
      <c r="AW245" s="30"/>
      <c r="AX245" s="30"/>
      <c r="AY245" s="30"/>
      <c r="AZ245" s="30"/>
      <c r="BA245" s="30"/>
      <c r="BB245" s="30"/>
      <c r="BC245" s="30"/>
      <c r="BD245" s="70"/>
      <c r="BE245" s="30"/>
      <c r="BF245" s="2272"/>
      <c r="BG245" s="2272"/>
      <c r="BH245" s="2272"/>
      <c r="BI245" s="2272"/>
      <c r="BJ245" s="4273" t="str">
        <f t="shared" si="572"/>
        <v>Wind - Class 4 100 MW</v>
      </c>
      <c r="BK245" s="3884">
        <v>20</v>
      </c>
      <c r="BL245" s="4317">
        <v>15</v>
      </c>
      <c r="BM245" s="4317">
        <v>25</v>
      </c>
      <c r="BN245" s="3884">
        <v>30</v>
      </c>
      <c r="BO245" s="3884">
        <v>30</v>
      </c>
      <c r="BP245" s="3884">
        <v>5</v>
      </c>
      <c r="BQ245" s="3885">
        <v>30</v>
      </c>
      <c r="BR245" s="2329"/>
      <c r="BS245" s="2329"/>
      <c r="BT245" s="2329"/>
      <c r="BU245" s="2329"/>
      <c r="BV245" s="2329"/>
      <c r="BW245" s="2329"/>
      <c r="BX245" s="2332"/>
      <c r="BY245" s="2332"/>
      <c r="BZ245" s="2332"/>
      <c r="CA245" s="2332"/>
      <c r="CB245" s="2332"/>
      <c r="DS245" s="2330"/>
      <c r="DT245" s="2330"/>
      <c r="DU245" s="2330"/>
      <c r="DV245" s="2330"/>
      <c r="DW245" s="2330"/>
      <c r="DX245" s="2330"/>
      <c r="DY245" s="2330"/>
      <c r="DZ245" s="2330"/>
      <c r="EA245" s="2330"/>
      <c r="EB245" s="2330"/>
      <c r="EC245" s="2330"/>
      <c r="ED245" s="2330"/>
      <c r="EE245" s="2330"/>
      <c r="EF245" s="2330"/>
      <c r="EY245" s="2330"/>
      <c r="EZ245" s="2330"/>
      <c r="FA245" s="2330"/>
      <c r="FB245" s="2330"/>
      <c r="FC245" s="2330"/>
      <c r="FD245" s="2330"/>
      <c r="FE245" s="2330"/>
      <c r="FF245" s="2330"/>
      <c r="FG245" s="2330"/>
      <c r="FH245" s="2330"/>
      <c r="FI245" s="2330"/>
      <c r="FJ245" s="2330"/>
      <c r="FK245" s="2330"/>
    </row>
    <row r="246" spans="1:167" s="3533" customFormat="1">
      <c r="W246" s="3717">
        <v>0</v>
      </c>
      <c r="X246" s="3640">
        <v>0</v>
      </c>
      <c r="Y246" s="3640">
        <v>0</v>
      </c>
      <c r="Z246" s="3717">
        <v>0</v>
      </c>
      <c r="AA246" s="3640">
        <v>0</v>
      </c>
      <c r="AB246" s="3640">
        <v>0</v>
      </c>
      <c r="AC246" s="3717">
        <v>0</v>
      </c>
      <c r="AD246" s="3640">
        <v>0</v>
      </c>
      <c r="AE246" s="3640">
        <v>0</v>
      </c>
      <c r="AF246" s="3717">
        <v>0</v>
      </c>
      <c r="AG246" s="3640">
        <v>0</v>
      </c>
      <c r="AH246" s="3640">
        <v>0</v>
      </c>
      <c r="AI246" s="4312"/>
      <c r="AJ246" s="4312"/>
      <c r="AK246" s="4312"/>
      <c r="BD246" s="3698"/>
      <c r="BK246" s="3717">
        <v>0</v>
      </c>
      <c r="BL246" s="3717">
        <v>0</v>
      </c>
      <c r="BM246" s="3717">
        <v>0</v>
      </c>
      <c r="BN246" s="3717">
        <v>0</v>
      </c>
      <c r="BO246" s="3717">
        <v>0</v>
      </c>
      <c r="BP246" s="3717">
        <v>0</v>
      </c>
      <c r="BQ246" s="3717">
        <v>0</v>
      </c>
      <c r="CA246" s="2332"/>
      <c r="CB246" s="2332"/>
      <c r="CC246" s="2336"/>
      <c r="CD246"/>
    </row>
    <row r="247" spans="1:167" s="3533" customFormat="1">
      <c r="V247" s="3538" t="str">
        <f t="shared" ref="V247:V249" si="574">V138</f>
        <v/>
      </c>
      <c r="W247" s="3640">
        <v>0</v>
      </c>
      <c r="X247" s="3640">
        <v>0</v>
      </c>
      <c r="Y247" s="3640">
        <v>0</v>
      </c>
      <c r="Z247" s="3640">
        <v>0</v>
      </c>
      <c r="AA247" s="3640">
        <v>0</v>
      </c>
      <c r="AB247" s="3640">
        <v>0</v>
      </c>
      <c r="AC247" s="3640">
        <v>0</v>
      </c>
      <c r="AD247" s="3640">
        <v>0</v>
      </c>
      <c r="AE247" s="3640">
        <v>0</v>
      </c>
      <c r="AF247" s="3533">
        <v>0</v>
      </c>
      <c r="AG247" s="3533">
        <v>0</v>
      </c>
      <c r="AH247" s="3533">
        <v>0</v>
      </c>
      <c r="AI247" s="3717"/>
      <c r="AJ247" s="3717"/>
      <c r="AK247" s="3717"/>
      <c r="BD247" s="3698"/>
      <c r="BK247" s="3640">
        <v>0</v>
      </c>
      <c r="BL247" s="3640">
        <v>0</v>
      </c>
      <c r="BM247" s="3640">
        <v>0</v>
      </c>
      <c r="BN247" s="3717">
        <v>0</v>
      </c>
      <c r="BO247" s="3717">
        <v>0</v>
      </c>
      <c r="BP247" s="3717">
        <v>0</v>
      </c>
      <c r="BQ247" s="3718">
        <v>0</v>
      </c>
    </row>
    <row r="248" spans="1:167" s="3533" customFormat="1">
      <c r="V248" s="3538" t="str">
        <f t="shared" si="574"/>
        <v/>
      </c>
      <c r="W248" s="3640">
        <v>0</v>
      </c>
      <c r="X248" s="3640">
        <v>0</v>
      </c>
      <c r="Y248" s="3640">
        <v>0</v>
      </c>
      <c r="Z248" s="3640">
        <v>0</v>
      </c>
      <c r="AA248" s="3640">
        <v>0</v>
      </c>
      <c r="AB248" s="3640">
        <v>0</v>
      </c>
      <c r="AC248" s="3640">
        <v>0</v>
      </c>
      <c r="AD248" s="3640">
        <v>0</v>
      </c>
      <c r="AE248" s="3640">
        <v>0</v>
      </c>
      <c r="AF248" s="3533">
        <v>0</v>
      </c>
      <c r="AG248" s="3533">
        <v>0</v>
      </c>
      <c r="AH248" s="3533">
        <v>0</v>
      </c>
      <c r="AI248" s="3640"/>
      <c r="AJ248" s="3640"/>
      <c r="AK248" s="3640"/>
      <c r="BD248" s="3698"/>
      <c r="BJ248" s="3538" t="str">
        <f t="shared" ref="BJ248:BJ250" si="575">BJ138</f>
        <v/>
      </c>
      <c r="BK248" s="3640">
        <v>0</v>
      </c>
      <c r="BL248" s="3640">
        <v>0</v>
      </c>
      <c r="BM248" s="3640">
        <v>0</v>
      </c>
      <c r="BN248" s="3640">
        <v>0</v>
      </c>
      <c r="BO248" s="3640">
        <v>0</v>
      </c>
      <c r="BP248" s="3640">
        <v>0</v>
      </c>
      <c r="BQ248" s="3719">
        <v>0</v>
      </c>
    </row>
    <row r="249" spans="1:167" s="3533" customFormat="1">
      <c r="V249" s="3538" t="str">
        <f t="shared" si="574"/>
        <v/>
      </c>
      <c r="BD249" s="3698"/>
      <c r="BJ249" s="3538" t="str">
        <f t="shared" si="575"/>
        <v/>
      </c>
      <c r="BQ249" s="3698"/>
    </row>
    <row r="250" spans="1:167">
      <c r="A250" s="9"/>
      <c r="B250" s="9"/>
      <c r="C250" s="9"/>
      <c r="D250" s="9"/>
      <c r="E250" s="9"/>
      <c r="F250" s="9"/>
      <c r="G250" s="9"/>
      <c r="H250" s="9"/>
      <c r="I250" s="9"/>
      <c r="J250" s="9"/>
      <c r="K250" s="9"/>
      <c r="L250" s="9"/>
      <c r="M250" s="9"/>
      <c r="N250" s="9"/>
      <c r="O250" s="9"/>
      <c r="P250" s="9"/>
      <c r="Q250" s="9"/>
      <c r="R250" s="9"/>
      <c r="S250" s="9"/>
      <c r="T250" s="2332"/>
      <c r="U250" s="9"/>
      <c r="V250" s="3533"/>
      <c r="AC250" s="2329"/>
      <c r="AD250" s="2329"/>
      <c r="AE250" s="2329"/>
      <c r="AI250" s="2332"/>
      <c r="AJ250" s="2332"/>
      <c r="AU250" s="30"/>
      <c r="AV250" s="30"/>
      <c r="AW250" s="30"/>
      <c r="AX250" s="30"/>
      <c r="AY250" s="30"/>
      <c r="AZ250" s="30"/>
      <c r="BA250" s="30"/>
      <c r="BB250" s="30"/>
      <c r="BC250" s="30"/>
      <c r="BD250" s="70"/>
      <c r="BE250" s="30"/>
      <c r="BF250" s="2272"/>
      <c r="BG250" s="2272"/>
      <c r="BH250" s="2272"/>
      <c r="BI250" s="2272"/>
      <c r="BJ250" s="3538" t="str">
        <f t="shared" si="575"/>
        <v/>
      </c>
      <c r="BK250" s="2272"/>
      <c r="BL250" s="2272"/>
      <c r="BM250" s="2272"/>
      <c r="BN250" s="2272"/>
      <c r="BO250" s="2272"/>
      <c r="BP250" s="2272"/>
      <c r="BQ250" s="2795"/>
      <c r="BR250" s="2272"/>
      <c r="BS250" s="117"/>
      <c r="BT250" s="117"/>
      <c r="BU250" s="117"/>
      <c r="BV250" s="117"/>
      <c r="BW250" s="117"/>
      <c r="BX250" s="117"/>
      <c r="BY250" s="117"/>
      <c r="BZ250" s="117"/>
      <c r="CA250" s="3533"/>
      <c r="CB250" s="3533"/>
      <c r="CC250" s="3533"/>
      <c r="CD250" s="3533"/>
      <c r="DS250" s="2330"/>
      <c r="DT250" s="2330"/>
      <c r="DU250" s="2330"/>
      <c r="DV250" s="2330"/>
      <c r="DW250" s="2330"/>
      <c r="DX250" s="2330"/>
      <c r="DY250" s="2330"/>
      <c r="DZ250" s="2330"/>
      <c r="EA250" s="2330"/>
      <c r="EB250" s="2330"/>
      <c r="EC250" s="2330"/>
      <c r="ED250" s="2330"/>
      <c r="EE250" s="2330"/>
      <c r="EF250" s="2330"/>
      <c r="EY250" s="2330"/>
      <c r="EZ250" s="2330"/>
      <c r="FA250" s="2330"/>
      <c r="FB250" s="2330"/>
      <c r="FC250" s="2330"/>
      <c r="FD250" s="2330"/>
      <c r="FE250" s="2330"/>
      <c r="FF250" s="2330"/>
      <c r="FG250" s="2330"/>
      <c r="FH250" s="2330"/>
      <c r="FI250" s="2330"/>
      <c r="FJ250" s="2330"/>
      <c r="FK250" s="2330"/>
    </row>
    <row r="251" spans="1:167">
      <c r="A251" s="9"/>
      <c r="B251" s="9"/>
      <c r="C251" s="9"/>
      <c r="D251" s="9"/>
      <c r="E251" s="9"/>
      <c r="F251" s="9"/>
      <c r="G251" s="9"/>
      <c r="H251" s="9"/>
      <c r="I251" s="9"/>
      <c r="J251" s="9"/>
      <c r="K251" s="9"/>
      <c r="L251" s="9"/>
      <c r="M251" s="9"/>
      <c r="N251" s="9"/>
      <c r="O251" s="9"/>
      <c r="P251" s="9"/>
      <c r="Q251" s="9"/>
      <c r="R251" s="9"/>
      <c r="S251" s="9"/>
      <c r="T251" s="2332"/>
      <c r="U251" s="9"/>
      <c r="V251" s="9"/>
      <c r="AI251" s="2332"/>
      <c r="AJ251" s="2332"/>
      <c r="AU251" s="30"/>
      <c r="AV251" s="30"/>
      <c r="AW251" s="30"/>
      <c r="AX251" s="30"/>
      <c r="AY251" s="30"/>
      <c r="AZ251" s="30"/>
      <c r="BA251" s="30"/>
      <c r="BB251" s="30"/>
      <c r="BC251" s="30"/>
      <c r="BD251" s="70"/>
      <c r="BE251" s="30"/>
      <c r="BF251" s="2272"/>
      <c r="BG251" s="2272"/>
      <c r="BH251" s="2272"/>
      <c r="BI251" s="2272"/>
      <c r="BJ251" s="3533"/>
      <c r="BK251" s="2272"/>
      <c r="BL251" s="2272"/>
      <c r="BM251" s="2272"/>
      <c r="BN251" s="2272"/>
      <c r="BO251" s="2272"/>
      <c r="BP251" s="2272"/>
      <c r="BQ251" s="2795"/>
      <c r="BR251" s="2272"/>
      <c r="BS251" s="117"/>
      <c r="BT251" s="117"/>
      <c r="BU251" s="117"/>
      <c r="BV251" s="117"/>
      <c r="BW251" s="117"/>
      <c r="BX251" s="117"/>
      <c r="BY251" s="117"/>
      <c r="BZ251" s="117"/>
      <c r="CA251" s="117"/>
      <c r="CB251" s="117"/>
      <c r="DS251" s="2330"/>
      <c r="DT251" s="2330"/>
      <c r="DU251" s="2330"/>
      <c r="DV251" s="2330"/>
      <c r="DW251" s="2330"/>
      <c r="DX251" s="2330"/>
      <c r="DY251" s="2330"/>
      <c r="DZ251" s="2330"/>
      <c r="EA251" s="2330"/>
      <c r="EB251" s="2330"/>
      <c r="EC251" s="2330"/>
      <c r="ED251" s="2330"/>
      <c r="EE251" s="2330"/>
      <c r="EF251" s="2330"/>
      <c r="EY251" s="2330"/>
      <c r="EZ251" s="2330"/>
      <c r="FA251" s="2330"/>
      <c r="FB251" s="2330"/>
      <c r="FC251" s="2330"/>
      <c r="FD251" s="2330"/>
      <c r="FE251" s="2330"/>
      <c r="FF251" s="2330"/>
      <c r="FG251" s="2330"/>
      <c r="FH251" s="2330"/>
      <c r="FI251" s="2330"/>
      <c r="FJ251" s="2330"/>
      <c r="FK251" s="2330"/>
    </row>
    <row r="252" spans="1:167">
      <c r="A252" s="9"/>
      <c r="B252" s="9"/>
      <c r="C252" s="9"/>
      <c r="D252" s="9"/>
      <c r="E252" s="9"/>
      <c r="F252" s="9"/>
      <c r="G252" s="9"/>
      <c r="H252" s="9"/>
      <c r="I252" s="9"/>
      <c r="J252" s="9"/>
      <c r="K252" s="9"/>
      <c r="L252" s="9"/>
      <c r="M252" s="9"/>
      <c r="N252" s="9"/>
      <c r="O252" s="9"/>
      <c r="P252" s="9"/>
      <c r="Q252" s="9"/>
      <c r="R252" s="9"/>
      <c r="S252" s="9"/>
      <c r="T252" s="2332"/>
      <c r="U252" s="9"/>
      <c r="V252" s="9"/>
      <c r="AU252" s="30"/>
      <c r="AV252" s="30"/>
      <c r="AW252" s="30"/>
      <c r="AX252" s="30"/>
      <c r="AY252" s="30"/>
      <c r="AZ252" s="30"/>
      <c r="BA252" s="30"/>
      <c r="BB252" s="30"/>
      <c r="BC252" s="30"/>
      <c r="BD252" s="70"/>
      <c r="BE252" s="30"/>
      <c r="BF252" s="2272"/>
      <c r="BG252" s="2272"/>
      <c r="BH252" s="2272"/>
      <c r="BI252" s="2272"/>
      <c r="BJ252" s="2272"/>
      <c r="BK252" s="2272"/>
      <c r="BL252" s="2272"/>
      <c r="BM252" s="2272"/>
      <c r="BN252" s="2272"/>
      <c r="BO252" s="2272"/>
      <c r="BP252" s="2272"/>
      <c r="BQ252" s="2795"/>
      <c r="BR252" s="2272"/>
      <c r="BS252" s="117"/>
      <c r="BT252" s="117"/>
      <c r="BU252" s="117"/>
      <c r="BV252" s="117"/>
      <c r="BW252" s="117"/>
      <c r="BX252" s="117"/>
      <c r="BY252" s="117"/>
      <c r="BZ252" s="117"/>
      <c r="CA252" s="117"/>
      <c r="CB252" s="117"/>
      <c r="DS252" s="2330"/>
      <c r="DT252" s="2330"/>
      <c r="DU252" s="2330"/>
      <c r="DV252" s="2330"/>
      <c r="DW252" s="2330"/>
      <c r="DX252" s="2330"/>
      <c r="DY252" s="2330"/>
      <c r="DZ252" s="2330"/>
      <c r="EA252" s="2330"/>
      <c r="EB252" s="2330"/>
      <c r="EC252" s="2330"/>
      <c r="ED252" s="2330"/>
      <c r="EE252" s="2330"/>
      <c r="EF252" s="2330"/>
      <c r="EY252" s="2330"/>
      <c r="EZ252" s="2330"/>
      <c r="FA252" s="2330"/>
      <c r="FB252" s="2330"/>
      <c r="FC252" s="2330"/>
      <c r="FD252" s="2330"/>
      <c r="FE252" s="2330"/>
      <c r="FF252" s="2330"/>
      <c r="FG252" s="2330"/>
      <c r="FH252" s="2330"/>
      <c r="FI252" s="2330"/>
      <c r="FJ252" s="2330"/>
      <c r="FK252" s="2330"/>
    </row>
    <row r="253" spans="1:167">
      <c r="A253" s="9"/>
      <c r="B253" s="9"/>
      <c r="C253" s="9"/>
      <c r="D253" s="9"/>
      <c r="E253" s="9"/>
      <c r="F253" s="9"/>
      <c r="G253" s="9"/>
      <c r="H253" s="9"/>
      <c r="I253" s="9"/>
      <c r="J253" s="9"/>
      <c r="K253" s="9"/>
      <c r="L253" s="9"/>
      <c r="M253" s="9"/>
      <c r="N253" s="9"/>
      <c r="O253" s="9"/>
      <c r="P253" s="9"/>
      <c r="Q253" s="9"/>
      <c r="R253" s="9"/>
      <c r="S253" s="9"/>
      <c r="T253" s="2332"/>
      <c r="U253" s="9"/>
      <c r="V253" s="9"/>
      <c r="AU253" s="30"/>
      <c r="AV253" s="30"/>
      <c r="AW253" s="30"/>
      <c r="AX253" s="30"/>
      <c r="AY253" s="30"/>
      <c r="AZ253" s="30"/>
      <c r="BA253" s="30"/>
      <c r="BB253" s="30"/>
      <c r="BC253" s="30"/>
      <c r="BD253" s="70"/>
      <c r="BE253" s="30"/>
      <c r="BF253" s="2272"/>
      <c r="BG253" s="2272"/>
      <c r="BH253" s="2272"/>
      <c r="BI253" s="2272"/>
      <c r="BJ253" s="2272"/>
      <c r="BK253" s="2272"/>
      <c r="BL253" s="2272"/>
      <c r="BM253" s="2272"/>
      <c r="BN253" s="2272"/>
      <c r="BO253" s="2272"/>
      <c r="BP253" s="2272"/>
      <c r="BQ253" s="2795"/>
      <c r="BR253" s="2272"/>
      <c r="BS253" s="117"/>
      <c r="BT253" s="117"/>
      <c r="BU253" s="117"/>
      <c r="BV253" s="117"/>
      <c r="BW253" s="117"/>
      <c r="BX253" s="117"/>
      <c r="BY253" s="117"/>
      <c r="BZ253" s="117"/>
      <c r="CA253" s="117"/>
      <c r="CB253" s="117"/>
      <c r="DS253" s="2330"/>
      <c r="DT253" s="2330"/>
      <c r="DU253" s="2330"/>
      <c r="DV253" s="2330"/>
      <c r="DW253" s="2330"/>
      <c r="DX253" s="2330"/>
      <c r="DY253" s="2330"/>
      <c r="DZ253" s="2330"/>
      <c r="EA253" s="2330"/>
      <c r="EB253" s="2330"/>
      <c r="EC253" s="2330"/>
      <c r="ED253" s="2330"/>
      <c r="EE253" s="2330"/>
      <c r="EF253" s="2330"/>
      <c r="EY253" s="2330"/>
      <c r="EZ253" s="2330"/>
      <c r="FA253" s="2330"/>
      <c r="FB253" s="2330"/>
      <c r="FC253" s="2330"/>
      <c r="FD253" s="2330"/>
      <c r="FE253" s="2330"/>
      <c r="FF253" s="2330"/>
      <c r="FG253" s="2330"/>
      <c r="FH253" s="2330"/>
      <c r="FI253" s="2330"/>
      <c r="FJ253" s="2330"/>
      <c r="FK253" s="2330"/>
    </row>
    <row r="254" spans="1:167">
      <c r="A254" s="9"/>
      <c r="B254" s="9"/>
      <c r="C254" s="9"/>
      <c r="D254" s="9"/>
      <c r="E254" s="9"/>
      <c r="F254" s="9"/>
      <c r="G254" s="9"/>
      <c r="H254" s="9"/>
      <c r="I254" s="9"/>
      <c r="J254" s="9"/>
      <c r="K254" s="9"/>
      <c r="L254" s="9"/>
      <c r="M254" s="9"/>
      <c r="N254" s="9"/>
      <c r="O254" s="9"/>
      <c r="P254" s="9"/>
      <c r="Q254" s="9"/>
      <c r="R254" s="9"/>
      <c r="S254" s="9"/>
      <c r="T254" s="2332"/>
      <c r="U254" s="9"/>
      <c r="V254" s="9"/>
      <c r="AU254" s="30"/>
      <c r="AV254" s="30"/>
      <c r="AW254" s="30"/>
      <c r="AX254" s="30"/>
      <c r="AY254" s="30"/>
      <c r="AZ254" s="30"/>
      <c r="BA254" s="30"/>
      <c r="BB254" s="30"/>
      <c r="BC254" s="30"/>
      <c r="BD254" s="70"/>
      <c r="BE254" s="30"/>
      <c r="BF254" s="2272"/>
      <c r="BG254" s="2272"/>
      <c r="BH254" s="2272"/>
      <c r="BI254" s="2272"/>
      <c r="BJ254" s="2272"/>
      <c r="BK254" s="2272"/>
      <c r="BL254" s="2272"/>
      <c r="BM254" s="2272"/>
      <c r="BN254" s="2272"/>
      <c r="BO254" s="2272"/>
      <c r="BP254" s="2272"/>
      <c r="BQ254" s="2795"/>
      <c r="BR254" s="2272"/>
      <c r="BS254" s="117"/>
      <c r="BT254" s="117"/>
      <c r="BU254" s="117"/>
      <c r="BV254" s="117"/>
      <c r="BW254" s="117"/>
      <c r="BX254" s="117"/>
      <c r="BY254" s="117"/>
      <c r="BZ254" s="117"/>
      <c r="CA254" s="117"/>
      <c r="CB254" s="117"/>
      <c r="DS254" s="2330"/>
      <c r="DT254" s="2330"/>
      <c r="DU254" s="2330"/>
      <c r="DV254" s="2330"/>
      <c r="DW254" s="2330"/>
      <c r="DX254" s="2330"/>
      <c r="DY254" s="2330"/>
      <c r="DZ254" s="2330"/>
      <c r="EA254" s="2330"/>
      <c r="EB254" s="2330"/>
      <c r="EC254" s="2330"/>
      <c r="ED254" s="2330"/>
      <c r="EE254" s="2330"/>
      <c r="EF254" s="2330"/>
      <c r="EY254" s="2330"/>
      <c r="EZ254" s="2330"/>
      <c r="FA254" s="2330"/>
      <c r="FB254" s="2330"/>
      <c r="FC254" s="2330"/>
      <c r="FD254" s="2330"/>
      <c r="FE254" s="2330"/>
      <c r="FF254" s="2330"/>
      <c r="FG254" s="2330"/>
      <c r="FH254" s="2330"/>
      <c r="FI254" s="2330"/>
      <c r="FJ254" s="2330"/>
      <c r="FK254" s="2330"/>
    </row>
    <row r="255" spans="1:167">
      <c r="A255" s="9"/>
      <c r="B255" s="9"/>
      <c r="C255" s="9"/>
      <c r="D255" s="9"/>
      <c r="E255" s="9"/>
      <c r="F255" s="9"/>
      <c r="G255" s="9"/>
      <c r="H255" s="9"/>
      <c r="I255" s="9"/>
      <c r="J255" s="9"/>
      <c r="K255" s="9"/>
      <c r="L255" s="9"/>
      <c r="M255" s="9"/>
      <c r="N255" s="9"/>
      <c r="O255" s="9"/>
      <c r="P255" s="9"/>
      <c r="Q255" s="9"/>
      <c r="R255" s="9"/>
      <c r="S255" s="9"/>
      <c r="T255" s="2332"/>
      <c r="U255" s="9"/>
      <c r="V255" s="9"/>
      <c r="AU255" s="30"/>
      <c r="AV255" s="30"/>
      <c r="AW255" s="30"/>
      <c r="AX255" s="30"/>
      <c r="AY255" s="30"/>
      <c r="AZ255" s="30"/>
      <c r="BA255" s="30"/>
      <c r="BB255" s="30"/>
      <c r="BC255" s="30"/>
      <c r="BD255" s="70"/>
      <c r="BE255" s="30"/>
      <c r="BF255" s="2272"/>
      <c r="BG255" s="2272"/>
      <c r="BH255" s="2272"/>
      <c r="BI255" s="2272"/>
      <c r="BJ255" s="2272"/>
      <c r="BK255" s="2272"/>
      <c r="BL255" s="2272"/>
      <c r="BM255" s="2272"/>
      <c r="BN255" s="2272"/>
      <c r="BO255" s="2272"/>
      <c r="BP255" s="2272"/>
      <c r="BQ255" s="2795"/>
      <c r="BR255" s="2272"/>
      <c r="BS255" s="117"/>
      <c r="BT255" s="117"/>
      <c r="BU255" s="117"/>
      <c r="BV255" s="117"/>
      <c r="BW255" s="117"/>
      <c r="BX255" s="117"/>
      <c r="BY255" s="117"/>
      <c r="BZ255" s="117"/>
      <c r="CA255" s="117"/>
      <c r="CB255" s="117"/>
      <c r="DS255" s="2330"/>
      <c r="DT255" s="2330"/>
      <c r="DU255" s="2330"/>
      <c r="DV255" s="2330"/>
      <c r="DW255" s="2330"/>
      <c r="DX255" s="2330"/>
      <c r="DY255" s="2330"/>
      <c r="DZ255" s="2330"/>
      <c r="EA255" s="2330"/>
      <c r="EB255" s="2330"/>
      <c r="EC255" s="2330"/>
      <c r="ED255" s="2330"/>
      <c r="EE255" s="2330"/>
      <c r="EF255" s="2330"/>
      <c r="EY255" s="2330"/>
      <c r="EZ255" s="2330"/>
      <c r="FA255" s="2330"/>
      <c r="FB255" s="2330"/>
      <c r="FC255" s="2330"/>
      <c r="FD255" s="2330"/>
      <c r="FE255" s="2330"/>
      <c r="FF255" s="2330"/>
      <c r="FG255" s="2330"/>
      <c r="FH255" s="2330"/>
      <c r="FI255" s="2330"/>
      <c r="FJ255" s="2330"/>
      <c r="FK255" s="2330"/>
    </row>
    <row r="256" spans="1:167">
      <c r="A256" s="9"/>
      <c r="B256" s="9"/>
      <c r="C256" s="9"/>
      <c r="D256" s="9"/>
      <c r="E256" s="9"/>
      <c r="F256" s="9"/>
      <c r="G256" s="9"/>
      <c r="H256" s="9"/>
      <c r="I256" s="9"/>
      <c r="J256" s="9"/>
      <c r="K256" s="9"/>
      <c r="L256" s="9"/>
      <c r="M256" s="9"/>
      <c r="N256" s="9"/>
      <c r="O256" s="9"/>
      <c r="P256" s="9"/>
      <c r="Q256" s="9"/>
      <c r="R256" s="9"/>
      <c r="S256" s="9"/>
      <c r="T256" s="2332"/>
      <c r="U256" s="9"/>
      <c r="V256" s="9"/>
      <c r="AU256" s="30"/>
      <c r="AV256" s="30"/>
      <c r="AW256" s="30"/>
      <c r="AX256" s="30"/>
      <c r="AY256" s="30"/>
      <c r="AZ256" s="30"/>
      <c r="BA256" s="30"/>
      <c r="BB256" s="30"/>
      <c r="BC256" s="30"/>
      <c r="BD256" s="70"/>
      <c r="BE256" s="30"/>
      <c r="BF256" s="2272"/>
      <c r="BG256" s="2272"/>
      <c r="BH256" s="2272"/>
      <c r="BI256" s="2272"/>
      <c r="BJ256" s="2272"/>
      <c r="BK256" s="2272"/>
      <c r="BL256" s="2272"/>
      <c r="BM256" s="2272"/>
      <c r="BN256" s="2272"/>
      <c r="BO256" s="2272"/>
      <c r="BP256" s="2272"/>
      <c r="BQ256" s="2795"/>
      <c r="BR256" s="2272"/>
      <c r="BS256" s="117"/>
      <c r="BT256" s="117"/>
      <c r="BU256" s="117"/>
      <c r="BV256" s="117"/>
      <c r="BW256" s="117"/>
      <c r="BX256" s="117"/>
      <c r="BY256" s="117"/>
      <c r="BZ256" s="117"/>
      <c r="CA256" s="117"/>
      <c r="CB256" s="117"/>
      <c r="DS256" s="2330"/>
      <c r="DT256" s="2330"/>
      <c r="DU256" s="2330"/>
      <c r="DV256" s="2330"/>
      <c r="DW256" s="2330"/>
      <c r="DX256" s="2330"/>
      <c r="DY256" s="2330"/>
      <c r="DZ256" s="2330"/>
      <c r="EA256" s="2330"/>
      <c r="EB256" s="2330"/>
      <c r="EC256" s="2330"/>
      <c r="ED256" s="2330"/>
      <c r="EE256" s="2330"/>
      <c r="EF256" s="2330"/>
      <c r="EY256" s="2330"/>
      <c r="EZ256" s="2330"/>
      <c r="FA256" s="2330"/>
      <c r="FB256" s="2330"/>
      <c r="FC256" s="2330"/>
      <c r="FD256" s="2330"/>
      <c r="FE256" s="2330"/>
      <c r="FF256" s="2330"/>
      <c r="FG256" s="2330"/>
      <c r="FH256" s="2330"/>
      <c r="FI256" s="2330"/>
      <c r="FJ256" s="2330"/>
      <c r="FK256" s="2330"/>
    </row>
    <row r="257" spans="1:167">
      <c r="A257" s="9"/>
      <c r="B257" s="9"/>
      <c r="C257" s="9"/>
      <c r="D257" s="9"/>
      <c r="E257" s="9"/>
      <c r="F257" s="9"/>
      <c r="G257" s="9"/>
      <c r="H257" s="9"/>
      <c r="I257" s="9"/>
      <c r="J257" s="9"/>
      <c r="K257" s="9"/>
      <c r="L257" s="9"/>
      <c r="M257" s="9"/>
      <c r="N257" s="9"/>
      <c r="O257" s="9"/>
      <c r="P257" s="9"/>
      <c r="Q257" s="9"/>
      <c r="R257" s="9"/>
      <c r="S257" s="9"/>
      <c r="T257" s="2332"/>
      <c r="U257" s="9"/>
      <c r="V257" s="9"/>
      <c r="AU257" s="30"/>
      <c r="AV257" s="30"/>
      <c r="AW257" s="30"/>
      <c r="AX257" s="30"/>
      <c r="AY257" s="30"/>
      <c r="AZ257" s="30"/>
      <c r="BA257" s="30"/>
      <c r="BB257" s="30"/>
      <c r="BC257" s="30"/>
      <c r="BD257" s="70"/>
      <c r="BE257" s="30"/>
      <c r="BF257" s="2272"/>
      <c r="BG257" s="2272"/>
      <c r="BH257" s="2272"/>
      <c r="BI257" s="2272"/>
      <c r="BJ257" s="2272"/>
      <c r="BK257" s="2272"/>
      <c r="BL257" s="2272"/>
      <c r="BM257" s="2272"/>
      <c r="BN257" s="2272"/>
      <c r="BO257" s="2272"/>
      <c r="BP257" s="2272"/>
      <c r="BQ257" s="2795"/>
      <c r="BR257" s="2272"/>
      <c r="BS257" s="117"/>
      <c r="BT257" s="117"/>
      <c r="BU257" s="117"/>
      <c r="BV257" s="117"/>
      <c r="BW257" s="117"/>
      <c r="BX257" s="117"/>
      <c r="BY257" s="117"/>
      <c r="BZ257" s="117"/>
      <c r="CA257" s="117"/>
      <c r="CB257" s="117"/>
      <c r="DS257" s="2330"/>
      <c r="DT257" s="2330"/>
      <c r="DU257" s="2330"/>
      <c r="DV257" s="2330"/>
      <c r="DW257" s="2330"/>
      <c r="DX257" s="2330"/>
      <c r="DY257" s="2330"/>
      <c r="DZ257" s="2330"/>
      <c r="EA257" s="2330"/>
      <c r="EB257" s="2330"/>
      <c r="EC257" s="2330"/>
      <c r="ED257" s="2330"/>
      <c r="EE257" s="2330"/>
      <c r="EF257" s="2330"/>
      <c r="EY257" s="2330"/>
      <c r="EZ257" s="2330"/>
      <c r="FA257" s="2330"/>
      <c r="FB257" s="2330"/>
      <c r="FC257" s="2330"/>
      <c r="FD257" s="2330"/>
      <c r="FE257" s="2330"/>
      <c r="FF257" s="2330"/>
      <c r="FG257" s="2330"/>
      <c r="FH257" s="2330"/>
      <c r="FI257" s="2330"/>
      <c r="FJ257" s="2330"/>
      <c r="FK257" s="2330"/>
    </row>
    <row r="258" spans="1:167">
      <c r="A258" s="9"/>
      <c r="B258" s="9"/>
      <c r="C258" s="9"/>
      <c r="D258" s="9"/>
      <c r="E258" s="9"/>
      <c r="F258" s="9"/>
      <c r="G258" s="9"/>
      <c r="H258" s="9"/>
      <c r="I258" s="9"/>
      <c r="J258" s="9"/>
      <c r="K258" s="9"/>
      <c r="L258" s="9"/>
      <c r="M258" s="9"/>
      <c r="N258" s="9"/>
      <c r="O258" s="9"/>
      <c r="P258" s="9"/>
      <c r="Q258" s="9"/>
      <c r="R258" s="9"/>
      <c r="S258" s="9"/>
      <c r="T258" s="2332"/>
      <c r="U258" s="9"/>
      <c r="V258" s="9"/>
      <c r="AU258" s="30"/>
      <c r="AV258" s="30"/>
      <c r="AW258" s="30"/>
      <c r="AX258" s="30"/>
      <c r="AY258" s="30"/>
      <c r="AZ258" s="30"/>
      <c r="BA258" s="30"/>
      <c r="BB258" s="30"/>
      <c r="BC258" s="30"/>
      <c r="BD258" s="70"/>
      <c r="BE258" s="30"/>
      <c r="BF258" s="2272"/>
      <c r="BG258" s="2272"/>
      <c r="BH258" s="2272"/>
      <c r="BI258" s="2272"/>
      <c r="BJ258" s="2272"/>
      <c r="BK258" s="2272"/>
      <c r="BL258" s="2272"/>
      <c r="BM258" s="2272"/>
      <c r="BN258" s="2272"/>
      <c r="BO258" s="2272"/>
      <c r="BP258" s="2272"/>
      <c r="BQ258" s="2795"/>
      <c r="BR258" s="2272"/>
      <c r="BS258" s="117"/>
      <c r="BT258" s="117"/>
      <c r="BU258" s="117"/>
      <c r="BV258" s="117"/>
      <c r="BW258" s="117"/>
      <c r="BX258" s="117"/>
      <c r="BY258" s="117"/>
      <c r="BZ258" s="117"/>
      <c r="CA258" s="117"/>
      <c r="CB258" s="117"/>
      <c r="DS258" s="2330"/>
      <c r="DT258" s="2330"/>
      <c r="DU258" s="2330"/>
      <c r="DV258" s="2330"/>
      <c r="DW258" s="2330"/>
      <c r="DX258" s="2330"/>
      <c r="DY258" s="2330"/>
      <c r="DZ258" s="2330"/>
      <c r="EA258" s="2330"/>
      <c r="EB258" s="2330"/>
      <c r="EC258" s="2330"/>
      <c r="ED258" s="2330"/>
      <c r="EE258" s="2330"/>
      <c r="EF258" s="2330"/>
      <c r="EY258" s="2330"/>
      <c r="EZ258" s="2330"/>
      <c r="FA258" s="2330"/>
      <c r="FB258" s="2330"/>
      <c r="FC258" s="2330"/>
      <c r="FD258" s="2330"/>
      <c r="FE258" s="2330"/>
      <c r="FF258" s="2330"/>
      <c r="FG258" s="2330"/>
      <c r="FH258" s="2330"/>
      <c r="FI258" s="2330"/>
      <c r="FJ258" s="2330"/>
      <c r="FK258" s="2330"/>
    </row>
    <row r="259" spans="1:167">
      <c r="A259" s="9"/>
      <c r="B259" s="9"/>
      <c r="C259" s="9"/>
      <c r="D259" s="9"/>
      <c r="E259" s="9"/>
      <c r="F259" s="9"/>
      <c r="G259" s="9"/>
      <c r="H259" s="9"/>
      <c r="I259" s="9"/>
      <c r="J259" s="9"/>
      <c r="K259" s="9"/>
      <c r="L259" s="9"/>
      <c r="M259" s="9"/>
      <c r="N259" s="9"/>
      <c r="O259" s="9"/>
      <c r="P259" s="9"/>
      <c r="Q259" s="9"/>
      <c r="R259" s="9"/>
      <c r="S259" s="9"/>
      <c r="T259" s="2332"/>
      <c r="U259" s="9"/>
      <c r="V259" s="9"/>
      <c r="AU259" s="30"/>
      <c r="AV259" s="30"/>
      <c r="AW259" s="30"/>
      <c r="AX259" s="30"/>
      <c r="AY259" s="30"/>
      <c r="AZ259" s="30"/>
      <c r="BA259" s="30"/>
      <c r="BB259" s="30"/>
      <c r="BC259" s="30"/>
      <c r="BD259" s="70"/>
      <c r="BE259" s="30"/>
      <c r="BF259" s="2272"/>
      <c r="BG259" s="2272"/>
      <c r="BH259" s="2272"/>
      <c r="BI259" s="2272"/>
      <c r="BJ259" s="2272"/>
      <c r="BK259" s="2272"/>
      <c r="BL259" s="2272"/>
      <c r="BM259" s="2272"/>
      <c r="BN259" s="2272"/>
      <c r="BO259" s="2272"/>
      <c r="BP259" s="2272"/>
      <c r="BQ259" s="2795"/>
      <c r="BR259" s="2272"/>
      <c r="BS259" s="117"/>
      <c r="BT259" s="117"/>
      <c r="BU259" s="117"/>
      <c r="BV259" s="117"/>
      <c r="BW259" s="117"/>
      <c r="BX259" s="117"/>
      <c r="BY259" s="117"/>
      <c r="BZ259" s="117"/>
      <c r="CA259" s="117"/>
      <c r="CB259" s="117"/>
      <c r="DS259" s="2330"/>
      <c r="DT259" s="2330"/>
      <c r="DU259" s="2330"/>
      <c r="DV259" s="2330"/>
      <c r="DW259" s="2330"/>
      <c r="DX259" s="2330"/>
      <c r="DY259" s="2330"/>
      <c r="DZ259" s="2330"/>
      <c r="EA259" s="2330"/>
      <c r="EB259" s="2330"/>
      <c r="EC259" s="2330"/>
      <c r="ED259" s="2330"/>
      <c r="EE259" s="2330"/>
      <c r="EF259" s="2330"/>
      <c r="EY259" s="2330"/>
      <c r="EZ259" s="2330"/>
      <c r="FA259" s="2330"/>
      <c r="FB259" s="2330"/>
      <c r="FC259" s="2330"/>
      <c r="FD259" s="2330"/>
      <c r="FE259" s="2330"/>
      <c r="FF259" s="2330"/>
      <c r="FG259" s="2330"/>
      <c r="FH259" s="2330"/>
      <c r="FI259" s="2330"/>
      <c r="FJ259" s="2330"/>
      <c r="FK259" s="2330"/>
    </row>
    <row r="260" spans="1:167">
      <c r="A260" s="9"/>
      <c r="B260" s="9"/>
      <c r="C260" s="9"/>
      <c r="D260" s="9"/>
      <c r="E260" s="9"/>
      <c r="F260" s="9"/>
      <c r="G260" s="9"/>
      <c r="H260" s="9"/>
      <c r="I260" s="9"/>
      <c r="J260" s="9"/>
      <c r="K260" s="9"/>
      <c r="L260" s="9"/>
      <c r="M260" s="9"/>
      <c r="N260" s="9"/>
      <c r="O260" s="9"/>
      <c r="P260" s="9"/>
      <c r="Q260" s="9"/>
      <c r="R260" s="9"/>
      <c r="S260" s="9"/>
      <c r="T260" s="2332"/>
      <c r="U260" s="9"/>
      <c r="V260" s="9"/>
      <c r="AU260" s="30"/>
      <c r="AV260" s="30"/>
      <c r="AW260" s="30"/>
      <c r="AX260" s="30"/>
      <c r="AY260" s="30"/>
      <c r="AZ260" s="30"/>
      <c r="BA260" s="30"/>
      <c r="BB260" s="30"/>
      <c r="BC260" s="30"/>
      <c r="BD260" s="70"/>
      <c r="BE260" s="30"/>
      <c r="BF260" s="2272"/>
      <c r="BG260" s="2272"/>
      <c r="BH260" s="2272"/>
      <c r="BI260" s="2272"/>
      <c r="BJ260" s="2272"/>
      <c r="BK260" s="2272"/>
      <c r="BL260" s="2272"/>
      <c r="BM260" s="2272"/>
      <c r="BN260" s="2272"/>
      <c r="BO260" s="2272"/>
      <c r="BP260" s="2272"/>
      <c r="BQ260" s="2795"/>
      <c r="BR260" s="2272"/>
      <c r="BS260" s="117"/>
      <c r="BT260" s="117"/>
      <c r="BU260" s="117"/>
      <c r="BV260" s="117"/>
      <c r="BW260" s="117"/>
      <c r="BX260" s="117"/>
      <c r="BY260" s="117"/>
      <c r="BZ260" s="117"/>
      <c r="CA260" s="117"/>
      <c r="CB260" s="117"/>
      <c r="DS260" s="2330"/>
      <c r="DT260" s="2330"/>
      <c r="DU260" s="2330"/>
      <c r="DV260" s="2330"/>
      <c r="DW260" s="2330"/>
      <c r="DX260" s="2330"/>
      <c r="DY260" s="2330"/>
      <c r="DZ260" s="2330"/>
      <c r="EA260" s="2330"/>
      <c r="EB260" s="2330"/>
      <c r="EC260" s="2330"/>
      <c r="ED260" s="2330"/>
      <c r="EE260" s="2330"/>
      <c r="EF260" s="2330"/>
      <c r="EY260" s="2330"/>
      <c r="EZ260" s="2330"/>
      <c r="FA260" s="2330"/>
      <c r="FB260" s="2330"/>
      <c r="FC260" s="2330"/>
      <c r="FD260" s="2330"/>
      <c r="FE260" s="2330"/>
      <c r="FF260" s="2330"/>
      <c r="FG260" s="2330"/>
      <c r="FH260" s="2330"/>
      <c r="FI260" s="2330"/>
      <c r="FJ260" s="2330"/>
      <c r="FK260" s="2330"/>
    </row>
    <row r="261" spans="1:167">
      <c r="A261" s="9"/>
      <c r="B261" s="9"/>
      <c r="C261" s="9"/>
      <c r="D261" s="9"/>
      <c r="E261" s="9"/>
      <c r="F261" s="9"/>
      <c r="G261" s="9"/>
      <c r="H261" s="9"/>
      <c r="I261" s="9"/>
      <c r="J261" s="9"/>
      <c r="K261" s="9"/>
      <c r="L261" s="9"/>
      <c r="M261" s="9"/>
      <c r="N261" s="9"/>
      <c r="O261" s="9"/>
      <c r="P261" s="9"/>
      <c r="Q261" s="9"/>
      <c r="R261" s="9"/>
      <c r="S261" s="9"/>
      <c r="T261" s="2332"/>
      <c r="U261" s="9"/>
      <c r="V261" s="9"/>
      <c r="AU261" s="30"/>
      <c r="AV261" s="30"/>
      <c r="AW261" s="30"/>
      <c r="AX261" s="30"/>
      <c r="AY261" s="30"/>
      <c r="AZ261" s="30"/>
      <c r="BA261" s="30"/>
      <c r="BB261" s="30"/>
      <c r="BC261" s="30"/>
      <c r="BD261" s="70"/>
      <c r="BE261" s="30"/>
      <c r="BF261" s="2272"/>
      <c r="BG261" s="2272"/>
      <c r="BH261" s="2272"/>
      <c r="BI261" s="2272"/>
      <c r="BJ261" s="2272"/>
      <c r="BK261" s="2272"/>
      <c r="BL261" s="2272"/>
      <c r="BM261" s="2272"/>
      <c r="BN261" s="2272"/>
      <c r="BO261" s="2272"/>
      <c r="BP261" s="2272"/>
      <c r="BQ261" s="2795"/>
      <c r="BR261" s="2272"/>
      <c r="BS261" s="117"/>
      <c r="BT261" s="117"/>
      <c r="BU261" s="117"/>
      <c r="BV261" s="117"/>
      <c r="BW261" s="117"/>
      <c r="BX261" s="117"/>
      <c r="BY261" s="117"/>
      <c r="BZ261" s="117"/>
      <c r="CA261" s="117"/>
      <c r="CB261" s="117"/>
      <c r="DS261" s="2330"/>
      <c r="DT261" s="2330"/>
      <c r="DU261" s="2330"/>
      <c r="DV261" s="2330"/>
      <c r="DW261" s="2330"/>
      <c r="DX261" s="2330"/>
      <c r="DY261" s="2330"/>
      <c r="DZ261" s="2330"/>
      <c r="EA261" s="2330"/>
      <c r="EB261" s="2330"/>
      <c r="EC261" s="2330"/>
      <c r="ED261" s="2330"/>
      <c r="EE261" s="2330"/>
      <c r="EF261" s="2330"/>
      <c r="EY261" s="2330"/>
      <c r="EZ261" s="2330"/>
      <c r="FA261" s="2330"/>
      <c r="FB261" s="2330"/>
      <c r="FC261" s="2330"/>
      <c r="FD261" s="2330"/>
      <c r="FE261" s="2330"/>
      <c r="FF261" s="2330"/>
      <c r="FG261" s="2330"/>
      <c r="FH261" s="2330"/>
      <c r="FI261" s="2330"/>
      <c r="FJ261" s="2330"/>
      <c r="FK261" s="2330"/>
    </row>
    <row r="262" spans="1:167">
      <c r="A262" s="9"/>
      <c r="B262" s="9"/>
      <c r="C262" s="9"/>
      <c r="D262" s="9"/>
      <c r="E262" s="9"/>
      <c r="F262" s="9"/>
      <c r="G262" s="9"/>
      <c r="H262" s="9"/>
      <c r="I262" s="9"/>
      <c r="J262" s="9"/>
      <c r="K262" s="9"/>
      <c r="L262" s="9"/>
      <c r="M262" s="9"/>
      <c r="N262" s="9"/>
      <c r="O262" s="9"/>
      <c r="P262" s="9"/>
      <c r="Q262" s="9"/>
      <c r="R262" s="9"/>
      <c r="S262" s="9"/>
      <c r="T262" s="2332"/>
      <c r="U262" s="9"/>
      <c r="V262" s="9"/>
      <c r="AU262" s="30"/>
      <c r="AV262" s="30"/>
      <c r="AW262" s="30"/>
      <c r="AX262" s="30"/>
      <c r="AY262" s="30"/>
      <c r="AZ262" s="30"/>
      <c r="BA262" s="30"/>
      <c r="BB262" s="30"/>
      <c r="BC262" s="30"/>
      <c r="BD262" s="70"/>
      <c r="BE262" s="30"/>
      <c r="BF262" s="2272"/>
      <c r="BG262" s="2272"/>
      <c r="BH262" s="2272"/>
      <c r="BI262" s="2272"/>
      <c r="BJ262" s="2272"/>
      <c r="BK262" s="2272"/>
      <c r="BL262" s="2272"/>
      <c r="BM262" s="2272"/>
      <c r="BN262" s="2272"/>
      <c r="BO262" s="2272"/>
      <c r="BP262" s="2272"/>
      <c r="BQ262" s="2795"/>
      <c r="BR262" s="2272"/>
      <c r="BS262" s="117"/>
      <c r="BT262" s="117"/>
      <c r="BU262" s="117"/>
      <c r="BV262" s="117"/>
      <c r="BW262" s="117"/>
      <c r="BX262" s="117"/>
      <c r="BY262" s="117"/>
      <c r="BZ262" s="117"/>
      <c r="CA262" s="117"/>
      <c r="CB262" s="117"/>
      <c r="DS262" s="2330"/>
      <c r="DT262" s="2330"/>
      <c r="DU262" s="2330"/>
      <c r="DV262" s="2330"/>
      <c r="DW262" s="2330"/>
      <c r="DX262" s="2330"/>
      <c r="DY262" s="2330"/>
      <c r="DZ262" s="2330"/>
      <c r="EA262" s="2330"/>
      <c r="EB262" s="2330"/>
      <c r="EC262" s="2330"/>
      <c r="ED262" s="2330"/>
      <c r="EE262" s="2330"/>
      <c r="EF262" s="2330"/>
      <c r="EY262" s="2330"/>
      <c r="EZ262" s="2330"/>
      <c r="FA262" s="2330"/>
      <c r="FB262" s="2330"/>
      <c r="FC262" s="2330"/>
      <c r="FD262" s="2330"/>
      <c r="FE262" s="2330"/>
      <c r="FF262" s="2330"/>
      <c r="FG262" s="2330"/>
      <c r="FH262" s="2330"/>
      <c r="FI262" s="2330"/>
      <c r="FJ262" s="2330"/>
      <c r="FK262" s="2330"/>
    </row>
    <row r="263" spans="1:167">
      <c r="A263" s="9"/>
      <c r="B263" s="9"/>
      <c r="C263" s="9"/>
      <c r="D263" s="9"/>
      <c r="E263" s="9"/>
      <c r="F263" s="9"/>
      <c r="G263" s="9"/>
      <c r="H263" s="9"/>
      <c r="I263" s="9"/>
      <c r="J263" s="9"/>
      <c r="K263" s="9"/>
      <c r="L263" s="9"/>
      <c r="M263" s="9"/>
      <c r="N263" s="9"/>
      <c r="O263" s="9"/>
      <c r="P263" s="9"/>
      <c r="Q263" s="9"/>
      <c r="R263" s="9"/>
      <c r="S263" s="9"/>
      <c r="T263" s="2332"/>
      <c r="U263" s="9"/>
      <c r="V263" s="9"/>
      <c r="AU263" s="30"/>
      <c r="AV263" s="30"/>
      <c r="AW263" s="30"/>
      <c r="AX263" s="30"/>
      <c r="AY263" s="30"/>
      <c r="AZ263" s="30"/>
      <c r="BA263" s="30"/>
      <c r="BB263" s="30"/>
      <c r="BC263" s="30"/>
      <c r="BD263" s="70"/>
      <c r="BE263" s="30"/>
      <c r="BF263" s="2272"/>
      <c r="BG263" s="2272"/>
      <c r="BH263" s="2272"/>
      <c r="BI263" s="2272"/>
      <c r="BJ263" s="2272"/>
      <c r="BK263" s="2272"/>
      <c r="BL263" s="2272"/>
      <c r="BM263" s="2272"/>
      <c r="BN263" s="2272"/>
      <c r="BO263" s="2272"/>
      <c r="BP263" s="2272"/>
      <c r="BQ263" s="2795"/>
      <c r="BR263" s="2272"/>
      <c r="BS263" s="117"/>
      <c r="BT263" s="117"/>
      <c r="BU263" s="117"/>
      <c r="BV263" s="117"/>
      <c r="BW263" s="117"/>
      <c r="BX263" s="117"/>
      <c r="BY263" s="117"/>
      <c r="BZ263" s="117"/>
      <c r="CA263" s="117"/>
      <c r="CB263" s="117"/>
      <c r="DS263" s="2330"/>
      <c r="DT263" s="2330"/>
      <c r="DU263" s="2330"/>
      <c r="DV263" s="2330"/>
      <c r="DW263" s="2330"/>
      <c r="DX263" s="2330"/>
      <c r="DY263" s="2330"/>
      <c r="DZ263" s="2330"/>
      <c r="EA263" s="2330"/>
      <c r="EB263" s="2330"/>
      <c r="EC263" s="2330"/>
      <c r="ED263" s="2330"/>
      <c r="EE263" s="2330"/>
      <c r="EF263" s="2330"/>
      <c r="EY263" s="2330"/>
      <c r="EZ263" s="2330"/>
      <c r="FA263" s="2330"/>
      <c r="FB263" s="2330"/>
      <c r="FC263" s="2330"/>
      <c r="FD263" s="2330"/>
      <c r="FE263" s="2330"/>
      <c r="FF263" s="2330"/>
      <c r="FG263" s="2330"/>
      <c r="FH263" s="2330"/>
      <c r="FI263" s="2330"/>
      <c r="FJ263" s="2330"/>
      <c r="FK263" s="2330"/>
    </row>
    <row r="264" spans="1:167">
      <c r="A264" s="9"/>
      <c r="B264" s="9"/>
      <c r="C264" s="9"/>
      <c r="D264" s="9"/>
      <c r="E264" s="9"/>
      <c r="F264" s="9"/>
      <c r="G264" s="9"/>
      <c r="H264" s="9"/>
      <c r="I264" s="9"/>
      <c r="J264" s="9"/>
      <c r="K264" s="9"/>
      <c r="L264" s="9"/>
      <c r="M264" s="9"/>
      <c r="N264" s="9"/>
      <c r="O264" s="9"/>
      <c r="P264" s="9"/>
      <c r="Q264" s="9"/>
      <c r="R264" s="9"/>
      <c r="S264" s="9"/>
      <c r="T264" s="2332"/>
      <c r="U264" s="9"/>
      <c r="V264" s="9"/>
      <c r="AU264" s="30"/>
      <c r="AV264" s="30"/>
      <c r="AW264" s="30"/>
      <c r="AX264" s="30"/>
      <c r="AY264" s="30"/>
      <c r="AZ264" s="30"/>
      <c r="BA264" s="30"/>
      <c r="BB264" s="30"/>
      <c r="BC264" s="30"/>
      <c r="BD264" s="70"/>
      <c r="BE264" s="30"/>
      <c r="BF264" s="2272"/>
      <c r="BG264" s="2272"/>
      <c r="BH264" s="2272"/>
      <c r="BI264" s="2272"/>
      <c r="BJ264" s="2272"/>
      <c r="BK264" s="2272"/>
      <c r="BL264" s="2272"/>
      <c r="BM264" s="2272"/>
      <c r="BN264" s="2272"/>
      <c r="BO264" s="2272"/>
      <c r="BP264" s="2272"/>
      <c r="BQ264" s="2795"/>
      <c r="BR264" s="2272"/>
      <c r="BS264" s="117"/>
      <c r="BT264" s="117"/>
      <c r="BU264" s="117"/>
      <c r="BV264" s="117"/>
      <c r="BW264" s="117"/>
      <c r="BX264" s="117"/>
      <c r="BY264" s="117"/>
      <c r="BZ264" s="117"/>
      <c r="CA264" s="117"/>
      <c r="CB264" s="117"/>
      <c r="DS264" s="2330"/>
      <c r="DT264" s="2330"/>
      <c r="DU264" s="2330"/>
      <c r="DV264" s="2330"/>
      <c r="DW264" s="2330"/>
      <c r="DX264" s="2330"/>
      <c r="DY264" s="2330"/>
      <c r="DZ264" s="2330"/>
      <c r="EA264" s="2330"/>
      <c r="EB264" s="2330"/>
      <c r="EC264" s="2330"/>
      <c r="ED264" s="2330"/>
      <c r="EE264" s="2330"/>
      <c r="EF264" s="2330"/>
      <c r="EY264" s="2330"/>
      <c r="EZ264" s="2330"/>
      <c r="FA264" s="2330"/>
      <c r="FB264" s="2330"/>
      <c r="FC264" s="2330"/>
      <c r="FD264" s="2330"/>
      <c r="FE264" s="2330"/>
      <c r="FF264" s="2330"/>
      <c r="FG264" s="2330"/>
      <c r="FH264" s="2330"/>
      <c r="FI264" s="2330"/>
      <c r="FJ264" s="2330"/>
      <c r="FK264" s="2330"/>
    </row>
    <row r="265" spans="1:167">
      <c r="A265" s="9"/>
      <c r="B265" s="9"/>
      <c r="C265" s="9"/>
      <c r="D265" s="9"/>
      <c r="E265" s="9"/>
      <c r="F265" s="9"/>
      <c r="G265" s="9"/>
      <c r="H265" s="9"/>
      <c r="I265" s="9"/>
      <c r="J265" s="9"/>
      <c r="K265" s="9"/>
      <c r="L265" s="9"/>
      <c r="M265" s="9"/>
      <c r="N265" s="9"/>
      <c r="O265" s="9"/>
      <c r="P265" s="9"/>
      <c r="Q265" s="9"/>
      <c r="R265" s="9"/>
      <c r="S265" s="9"/>
      <c r="T265" s="2332"/>
      <c r="U265" s="9"/>
      <c r="V265" s="9"/>
      <c r="AU265" s="30"/>
      <c r="AV265" s="30"/>
      <c r="AW265" s="30"/>
      <c r="AX265" s="30"/>
      <c r="AY265" s="30"/>
      <c r="AZ265" s="30"/>
      <c r="BA265" s="30"/>
      <c r="BB265" s="30"/>
      <c r="BC265" s="30"/>
      <c r="BD265" s="70"/>
      <c r="BE265" s="30"/>
      <c r="BF265" s="2272"/>
      <c r="BG265" s="2272"/>
      <c r="BH265" s="2272"/>
      <c r="BI265" s="2272"/>
      <c r="BJ265" s="2272"/>
      <c r="BK265" s="2272"/>
      <c r="BL265" s="2272"/>
      <c r="BM265" s="2272"/>
      <c r="BN265" s="2272"/>
      <c r="BO265" s="2272"/>
      <c r="BP265" s="2272"/>
      <c r="BQ265" s="2795"/>
      <c r="BR265" s="2272"/>
      <c r="BS265" s="117"/>
      <c r="BT265" s="117"/>
      <c r="BU265" s="117"/>
      <c r="BV265" s="117"/>
      <c r="BW265" s="117"/>
      <c r="BX265" s="117"/>
      <c r="BY265" s="117"/>
      <c r="BZ265" s="117"/>
      <c r="CA265" s="117"/>
      <c r="CB265" s="117"/>
      <c r="DS265" s="2330"/>
      <c r="DT265" s="2330"/>
      <c r="DU265" s="2330"/>
      <c r="DV265" s="2330"/>
      <c r="DW265" s="2330"/>
      <c r="DX265" s="2330"/>
      <c r="DY265" s="2330"/>
      <c r="DZ265" s="2330"/>
      <c r="EA265" s="2330"/>
      <c r="EB265" s="2330"/>
      <c r="EC265" s="2330"/>
      <c r="ED265" s="2330"/>
      <c r="EE265" s="2330"/>
      <c r="EF265" s="2330"/>
      <c r="EY265" s="2330"/>
      <c r="EZ265" s="2330"/>
      <c r="FA265" s="2330"/>
      <c r="FB265" s="2330"/>
      <c r="FC265" s="2330"/>
      <c r="FD265" s="2330"/>
      <c r="FE265" s="2330"/>
      <c r="FF265" s="2330"/>
      <c r="FG265" s="2330"/>
      <c r="FH265" s="2330"/>
      <c r="FI265" s="2330"/>
      <c r="FJ265" s="2330"/>
      <c r="FK265" s="2330"/>
    </row>
    <row r="266" spans="1:167">
      <c r="A266" s="9"/>
      <c r="B266" s="9"/>
      <c r="C266" s="9"/>
      <c r="D266" s="9"/>
      <c r="E266" s="9"/>
      <c r="F266" s="9"/>
      <c r="G266" s="9"/>
      <c r="H266" s="9"/>
      <c r="I266" s="9"/>
      <c r="J266" s="9"/>
      <c r="K266" s="9"/>
      <c r="L266" s="9"/>
      <c r="M266" s="9"/>
      <c r="N266" s="9"/>
      <c r="O266" s="9"/>
      <c r="P266" s="9"/>
      <c r="Q266" s="9"/>
      <c r="R266" s="9"/>
      <c r="S266" s="9"/>
      <c r="T266" s="2332"/>
      <c r="U266" s="9"/>
      <c r="V266" s="9"/>
      <c r="AU266" s="30"/>
      <c r="AV266" s="30"/>
      <c r="AW266" s="30"/>
      <c r="AX266" s="30"/>
      <c r="AY266" s="30"/>
      <c r="AZ266" s="30"/>
      <c r="BA266" s="30"/>
      <c r="BB266" s="30"/>
      <c r="BC266" s="30"/>
      <c r="BD266" s="70"/>
      <c r="BE266" s="30"/>
      <c r="BF266" s="2272"/>
      <c r="BG266" s="2272"/>
      <c r="BH266" s="2272"/>
      <c r="BI266" s="2272"/>
      <c r="BJ266" s="2272"/>
      <c r="BK266" s="2272"/>
      <c r="BL266" s="2272"/>
      <c r="BM266" s="2272"/>
      <c r="BN266" s="2272"/>
      <c r="BO266" s="2272"/>
      <c r="BP266" s="2272"/>
      <c r="BQ266" s="2795"/>
      <c r="BR266" s="2272"/>
      <c r="BS266" s="117"/>
      <c r="BT266" s="117"/>
      <c r="BU266" s="117"/>
      <c r="BV266" s="117"/>
      <c r="BW266" s="117"/>
      <c r="BX266" s="117"/>
      <c r="BY266" s="117"/>
      <c r="BZ266" s="117"/>
      <c r="CA266" s="117"/>
      <c r="CB266" s="117"/>
      <c r="DS266" s="2330"/>
      <c r="DT266" s="2330"/>
      <c r="DU266" s="2330"/>
      <c r="DV266" s="2330"/>
      <c r="DW266" s="2330"/>
      <c r="DX266" s="2330"/>
      <c r="DY266" s="2330"/>
      <c r="DZ266" s="2330"/>
      <c r="EA266" s="2330"/>
      <c r="EB266" s="2330"/>
      <c r="EC266" s="2330"/>
      <c r="ED266" s="2330"/>
      <c r="EE266" s="2330"/>
      <c r="EF266" s="2330"/>
      <c r="EY266" s="2330"/>
      <c r="EZ266" s="2330"/>
      <c r="FA266" s="2330"/>
      <c r="FB266" s="2330"/>
      <c r="FC266" s="2330"/>
      <c r="FD266" s="2330"/>
      <c r="FE266" s="2330"/>
      <c r="FF266" s="2330"/>
      <c r="FG266" s="2330"/>
      <c r="FH266" s="2330"/>
      <c r="FI266" s="2330"/>
      <c r="FJ266" s="2330"/>
      <c r="FK266" s="2330"/>
    </row>
    <row r="267" spans="1:167">
      <c r="A267" s="9"/>
      <c r="B267" s="9"/>
      <c r="C267" s="9"/>
      <c r="D267" s="9"/>
      <c r="E267" s="9"/>
      <c r="F267" s="9"/>
      <c r="G267" s="9"/>
      <c r="H267" s="9"/>
      <c r="I267" s="9"/>
      <c r="J267" s="9"/>
      <c r="K267" s="9"/>
      <c r="L267" s="9"/>
      <c r="M267" s="9"/>
      <c r="N267" s="9"/>
      <c r="O267" s="9"/>
      <c r="P267" s="9"/>
      <c r="Q267" s="9"/>
      <c r="R267" s="9"/>
      <c r="S267" s="9"/>
      <c r="T267" s="2332"/>
      <c r="U267" s="9"/>
      <c r="V267" s="9"/>
      <c r="AU267" s="30"/>
      <c r="AV267" s="30"/>
      <c r="AW267" s="30"/>
      <c r="AX267" s="30"/>
      <c r="AY267" s="30"/>
      <c r="AZ267" s="30"/>
      <c r="BA267" s="30"/>
      <c r="BB267" s="30"/>
      <c r="BC267" s="30"/>
      <c r="BD267" s="70"/>
      <c r="BE267" s="30"/>
      <c r="BF267" s="2272"/>
      <c r="BG267" s="2272"/>
      <c r="BH267" s="2272"/>
      <c r="BI267" s="2272"/>
      <c r="BJ267" s="2272"/>
      <c r="BK267" s="2272"/>
      <c r="BL267" s="2272"/>
      <c r="BM267" s="2272"/>
      <c r="BN267" s="2272"/>
      <c r="BO267" s="2272"/>
      <c r="BP267" s="2272"/>
      <c r="BQ267" s="2795"/>
      <c r="BR267" s="2272"/>
      <c r="BS267" s="117"/>
      <c r="BT267" s="117"/>
      <c r="BU267" s="117"/>
      <c r="BV267" s="117"/>
      <c r="BW267" s="117"/>
      <c r="BX267" s="117"/>
      <c r="BY267" s="117"/>
      <c r="BZ267" s="117"/>
      <c r="CA267" s="117"/>
      <c r="CB267" s="117"/>
      <c r="DS267" s="2330"/>
      <c r="DT267" s="2330"/>
      <c r="DU267" s="2330"/>
      <c r="DV267" s="2330"/>
      <c r="DW267" s="2330"/>
      <c r="DX267" s="2330"/>
      <c r="DY267" s="2330"/>
      <c r="DZ267" s="2330"/>
      <c r="EA267" s="2330"/>
      <c r="EB267" s="2330"/>
      <c r="EC267" s="2330"/>
      <c r="ED267" s="2330"/>
      <c r="EE267" s="2330"/>
      <c r="EF267" s="2330"/>
      <c r="EY267" s="2330"/>
      <c r="EZ267" s="2330"/>
      <c r="FA267" s="2330"/>
      <c r="FB267" s="2330"/>
      <c r="FC267" s="2330"/>
      <c r="FD267" s="2330"/>
      <c r="FE267" s="2330"/>
      <c r="FF267" s="2330"/>
      <c r="FG267" s="2330"/>
      <c r="FH267" s="2330"/>
      <c r="FI267" s="2330"/>
      <c r="FJ267" s="2330"/>
      <c r="FK267" s="2330"/>
    </row>
    <row r="268" spans="1:167">
      <c r="A268" s="9"/>
      <c r="B268" s="9"/>
      <c r="C268" s="9"/>
      <c r="D268" s="9"/>
      <c r="E268" s="9"/>
      <c r="F268" s="9"/>
      <c r="G268" s="9"/>
      <c r="H268" s="9"/>
      <c r="I268" s="9"/>
      <c r="J268" s="9"/>
      <c r="K268" s="9"/>
      <c r="L268" s="9"/>
      <c r="M268" s="9"/>
      <c r="N268" s="9"/>
      <c r="O268" s="9"/>
      <c r="P268" s="9"/>
      <c r="Q268" s="9"/>
      <c r="R268" s="9"/>
      <c r="S268" s="9"/>
      <c r="T268" s="2332"/>
      <c r="U268" s="9"/>
      <c r="V268" s="9"/>
      <c r="AU268" s="30"/>
      <c r="AV268" s="30"/>
      <c r="AW268" s="30"/>
      <c r="AX268" s="30"/>
      <c r="AY268" s="30"/>
      <c r="AZ268" s="30"/>
      <c r="BA268" s="30"/>
      <c r="BB268" s="30"/>
      <c r="BC268" s="30"/>
      <c r="BD268" s="70"/>
      <c r="BE268" s="30"/>
      <c r="BF268" s="2272"/>
      <c r="BG268" s="2272"/>
      <c r="BH268" s="2272"/>
      <c r="BI268" s="2272"/>
      <c r="BJ268" s="2272"/>
      <c r="BK268" s="2272"/>
      <c r="BL268" s="2272"/>
      <c r="BM268" s="2272"/>
      <c r="BN268" s="2272"/>
      <c r="BO268" s="2272"/>
      <c r="BP268" s="2272"/>
      <c r="BQ268" s="2795"/>
      <c r="BR268" s="2272"/>
      <c r="BS268" s="117"/>
      <c r="BT268" s="117"/>
      <c r="BU268" s="117"/>
      <c r="BV268" s="117"/>
      <c r="BW268" s="117"/>
      <c r="BX268" s="117"/>
      <c r="BY268" s="117"/>
      <c r="BZ268" s="117"/>
      <c r="CA268" s="117"/>
      <c r="CB268" s="117"/>
      <c r="DS268" s="2330"/>
      <c r="DT268" s="2330"/>
      <c r="DU268" s="2330"/>
      <c r="DV268" s="2330"/>
      <c r="DW268" s="2330"/>
      <c r="DX268" s="2330"/>
      <c r="DY268" s="2330"/>
      <c r="DZ268" s="2330"/>
      <c r="EA268" s="2330"/>
      <c r="EB268" s="2330"/>
      <c r="EC268" s="2330"/>
      <c r="ED268" s="2330"/>
      <c r="EE268" s="2330"/>
      <c r="EF268" s="2330"/>
      <c r="EY268" s="2330"/>
      <c r="EZ268" s="2330"/>
      <c r="FA268" s="2330"/>
      <c r="FB268" s="2330"/>
      <c r="FC268" s="2330"/>
      <c r="FD268" s="2330"/>
      <c r="FE268" s="2330"/>
      <c r="FF268" s="2330"/>
      <c r="FG268" s="2330"/>
      <c r="FH268" s="2330"/>
      <c r="FI268" s="2330"/>
      <c r="FJ268" s="2330"/>
      <c r="FK268" s="2330"/>
    </row>
    <row r="269" spans="1:167">
      <c r="A269" s="9"/>
      <c r="B269" s="9"/>
      <c r="C269" s="9"/>
      <c r="D269" s="9"/>
      <c r="E269" s="9"/>
      <c r="F269" s="9"/>
      <c r="G269" s="9"/>
      <c r="H269" s="9"/>
      <c r="I269" s="9"/>
      <c r="J269" s="9"/>
      <c r="K269" s="9"/>
      <c r="L269" s="9"/>
      <c r="M269" s="9"/>
      <c r="N269" s="9"/>
      <c r="O269" s="9"/>
      <c r="P269" s="9"/>
      <c r="Q269" s="9"/>
      <c r="R269" s="9"/>
      <c r="S269" s="9"/>
      <c r="T269" s="2332"/>
      <c r="U269" s="9"/>
      <c r="V269" s="9"/>
      <c r="AU269" s="30"/>
      <c r="AV269" s="30"/>
      <c r="AW269" s="30"/>
      <c r="AX269" s="30"/>
      <c r="AY269" s="30"/>
      <c r="AZ269" s="30"/>
      <c r="BA269" s="30"/>
      <c r="BB269" s="30"/>
      <c r="BC269" s="30"/>
      <c r="BD269" s="70"/>
      <c r="BE269" s="30"/>
      <c r="BF269" s="2272"/>
      <c r="BG269" s="2272"/>
      <c r="BH269" s="2272"/>
      <c r="BI269" s="2272"/>
      <c r="BJ269" s="2272"/>
      <c r="BK269" s="2272"/>
      <c r="BL269" s="2272"/>
      <c r="BM269" s="2272"/>
      <c r="BN269" s="2272"/>
      <c r="BO269" s="2272"/>
      <c r="BP269" s="2272"/>
      <c r="BQ269" s="2795"/>
      <c r="BR269" s="2272"/>
      <c r="BS269" s="117"/>
      <c r="BT269" s="117"/>
      <c r="BU269" s="117"/>
      <c r="BV269" s="117"/>
      <c r="BW269" s="117"/>
      <c r="BX269" s="117"/>
      <c r="BY269" s="117"/>
      <c r="BZ269" s="117"/>
      <c r="CA269" s="117"/>
      <c r="CB269" s="117"/>
      <c r="DS269" s="2330"/>
      <c r="DT269" s="2330"/>
      <c r="DU269" s="2330"/>
      <c r="DV269" s="2330"/>
      <c r="DW269" s="2330"/>
      <c r="DX269" s="2330"/>
      <c r="DY269" s="2330"/>
      <c r="DZ269" s="2330"/>
      <c r="EA269" s="2330"/>
      <c r="EB269" s="2330"/>
      <c r="EC269" s="2330"/>
      <c r="ED269" s="2330"/>
      <c r="EE269" s="2330"/>
      <c r="EF269" s="2330"/>
      <c r="EY269" s="2330"/>
      <c r="EZ269" s="2330"/>
      <c r="FA269" s="2330"/>
      <c r="FB269" s="2330"/>
      <c r="FC269" s="2330"/>
      <c r="FD269" s="2330"/>
      <c r="FE269" s="2330"/>
      <c r="FF269" s="2330"/>
      <c r="FG269" s="2330"/>
      <c r="FH269" s="2330"/>
      <c r="FI269" s="2330"/>
      <c r="FJ269" s="2330"/>
      <c r="FK269" s="2330"/>
    </row>
    <row r="270" spans="1:167">
      <c r="A270" s="9"/>
      <c r="B270" s="9"/>
      <c r="C270" s="9"/>
      <c r="D270" s="9"/>
      <c r="E270" s="9"/>
      <c r="F270" s="9"/>
      <c r="G270" s="9"/>
      <c r="H270" s="9"/>
      <c r="I270" s="9"/>
      <c r="J270" s="9"/>
      <c r="K270" s="9"/>
      <c r="L270" s="9"/>
      <c r="M270" s="9"/>
      <c r="N270" s="9"/>
      <c r="O270" s="9"/>
      <c r="P270" s="9"/>
      <c r="Q270" s="9"/>
      <c r="R270" s="9"/>
      <c r="S270" s="9"/>
      <c r="T270" s="2332"/>
      <c r="U270" s="9"/>
      <c r="V270" s="9"/>
      <c r="AU270" s="30"/>
      <c r="AV270" s="30"/>
      <c r="AW270" s="30"/>
      <c r="AX270" s="30"/>
      <c r="AY270" s="30"/>
      <c r="AZ270" s="30"/>
      <c r="BA270" s="30"/>
      <c r="BB270" s="30"/>
      <c r="BC270" s="30"/>
      <c r="BD270" s="70"/>
      <c r="BE270" s="30"/>
      <c r="BF270" s="2272"/>
      <c r="BG270" s="2272"/>
      <c r="BH270" s="2272"/>
      <c r="BI270" s="2272"/>
      <c r="BJ270" s="2272"/>
      <c r="BK270" s="2272"/>
      <c r="BL270" s="2272"/>
      <c r="BM270" s="2272"/>
      <c r="BN270" s="2272"/>
      <c r="BO270" s="2272"/>
      <c r="BP270" s="2272"/>
      <c r="BQ270" s="2795"/>
      <c r="BR270" s="2272"/>
      <c r="BS270" s="117"/>
      <c r="BT270" s="117"/>
      <c r="BU270" s="117"/>
      <c r="BV270" s="117"/>
      <c r="BW270" s="117"/>
      <c r="BX270" s="117"/>
      <c r="BY270" s="117"/>
      <c r="BZ270" s="117"/>
      <c r="CA270" s="117"/>
      <c r="CB270" s="117"/>
      <c r="DS270" s="2330"/>
      <c r="DT270" s="2330"/>
      <c r="DU270" s="2330"/>
      <c r="DV270" s="2330"/>
      <c r="DW270" s="2330"/>
      <c r="DX270" s="2330"/>
      <c r="DY270" s="2330"/>
      <c r="DZ270" s="2330"/>
      <c r="EA270" s="2330"/>
      <c r="EB270" s="2330"/>
      <c r="EC270" s="2330"/>
      <c r="ED270" s="2330"/>
      <c r="EE270" s="2330"/>
      <c r="EF270" s="2330"/>
      <c r="EY270" s="2330"/>
      <c r="EZ270" s="2330"/>
      <c r="FA270" s="2330"/>
      <c r="FB270" s="2330"/>
      <c r="FC270" s="2330"/>
      <c r="FD270" s="2330"/>
      <c r="FE270" s="2330"/>
      <c r="FF270" s="2330"/>
      <c r="FG270" s="2330"/>
      <c r="FH270" s="2330"/>
      <c r="FI270" s="2330"/>
      <c r="FJ270" s="2330"/>
      <c r="FK270" s="2330"/>
    </row>
    <row r="271" spans="1:167">
      <c r="A271" s="9"/>
      <c r="B271" s="9"/>
      <c r="C271" s="9"/>
      <c r="D271" s="9"/>
      <c r="E271" s="9"/>
      <c r="F271" s="9"/>
      <c r="G271" s="9"/>
      <c r="H271" s="9"/>
      <c r="I271" s="9"/>
      <c r="J271" s="9"/>
      <c r="K271" s="9"/>
      <c r="L271" s="9"/>
      <c r="M271" s="9"/>
      <c r="N271" s="9"/>
      <c r="O271" s="9"/>
      <c r="P271" s="9"/>
      <c r="Q271" s="9"/>
      <c r="R271" s="9"/>
      <c r="S271" s="9"/>
      <c r="T271" s="2332"/>
      <c r="U271" s="9"/>
      <c r="V271" s="9"/>
      <c r="BJ271" s="2272"/>
      <c r="CA271" s="117"/>
      <c r="CB271" s="117"/>
      <c r="DS271" s="2330"/>
      <c r="DT271" s="2330"/>
      <c r="DU271" s="2330"/>
      <c r="DV271" s="2330"/>
      <c r="DW271" s="2330"/>
      <c r="DX271" s="2330"/>
      <c r="DY271" s="2330"/>
      <c r="DZ271" s="2330"/>
      <c r="EA271" s="2330"/>
      <c r="EB271" s="2330"/>
      <c r="EC271" s="2330"/>
      <c r="ED271" s="2330"/>
      <c r="EE271" s="2330"/>
      <c r="EF271" s="2330"/>
      <c r="EY271" s="2330"/>
      <c r="EZ271" s="2330"/>
      <c r="FA271" s="2330"/>
      <c r="FB271" s="2330"/>
      <c r="FC271" s="2330"/>
      <c r="FD271" s="2330"/>
      <c r="FE271" s="2330"/>
      <c r="FF271" s="2330"/>
      <c r="FG271" s="2330"/>
      <c r="FH271" s="2330"/>
      <c r="FI271" s="2330"/>
      <c r="FJ271" s="2330"/>
      <c r="FK271" s="2330"/>
    </row>
    <row r="272" spans="1:167">
      <c r="A272" s="9"/>
      <c r="B272" s="9"/>
      <c r="C272" s="9"/>
      <c r="D272" s="9"/>
      <c r="E272" s="9"/>
      <c r="F272" s="9"/>
      <c r="G272" s="9"/>
      <c r="H272" s="9"/>
      <c r="I272" s="9"/>
      <c r="J272" s="9"/>
      <c r="K272" s="9"/>
      <c r="L272" s="9"/>
      <c r="M272" s="9"/>
      <c r="N272" s="9"/>
      <c r="O272" s="9"/>
      <c r="P272" s="9"/>
      <c r="Q272" s="9"/>
      <c r="R272" s="9"/>
      <c r="S272" s="9"/>
      <c r="T272" s="2332"/>
      <c r="U272" s="9"/>
      <c r="V272" s="9"/>
      <c r="BJ272" s="2272"/>
      <c r="DS272" s="2330"/>
      <c r="DT272" s="2330"/>
      <c r="DU272" s="2330"/>
      <c r="DV272" s="2330"/>
      <c r="DW272" s="2330"/>
      <c r="DX272" s="2330"/>
      <c r="DY272" s="2330"/>
      <c r="DZ272" s="2330"/>
      <c r="EA272" s="2330"/>
      <c r="EB272" s="2330"/>
      <c r="EC272" s="2330"/>
      <c r="ED272" s="2330"/>
      <c r="EE272" s="2330"/>
      <c r="EF272" s="2330"/>
      <c r="EY272" s="2330"/>
      <c r="EZ272" s="2330"/>
      <c r="FA272" s="2330"/>
      <c r="FB272" s="2330"/>
      <c r="FC272" s="2330"/>
      <c r="FD272" s="2330"/>
      <c r="FE272" s="2330"/>
      <c r="FF272" s="2330"/>
      <c r="FG272" s="2330"/>
      <c r="FH272" s="2330"/>
      <c r="FI272" s="2330"/>
      <c r="FJ272" s="2330"/>
      <c r="FK272" s="2330"/>
    </row>
    <row r="273" spans="1:167">
      <c r="A273" s="9"/>
      <c r="B273" s="9"/>
      <c r="C273" s="9"/>
      <c r="D273" s="9"/>
      <c r="E273" s="9"/>
      <c r="F273" s="9"/>
      <c r="G273" s="9"/>
      <c r="H273" s="9"/>
      <c r="I273" s="9"/>
      <c r="J273" s="9"/>
      <c r="K273" s="9"/>
      <c r="L273" s="9"/>
      <c r="M273" s="9"/>
      <c r="N273" s="9"/>
      <c r="O273" s="9"/>
      <c r="P273" s="9"/>
      <c r="Q273" s="9"/>
      <c r="R273" s="9"/>
      <c r="S273" s="9"/>
      <c r="T273" s="2332"/>
      <c r="U273" s="9"/>
      <c r="V273" s="9"/>
      <c r="DS273" s="2330"/>
      <c r="DT273" s="2330"/>
      <c r="DU273" s="2330"/>
      <c r="DV273" s="2330"/>
      <c r="DW273" s="2330"/>
      <c r="DX273" s="2330"/>
      <c r="DY273" s="2330"/>
      <c r="DZ273" s="2330"/>
      <c r="EA273" s="2330"/>
      <c r="EB273" s="2330"/>
      <c r="EC273" s="2330"/>
      <c r="ED273" s="2330"/>
      <c r="EE273" s="2330"/>
      <c r="EF273" s="2330"/>
      <c r="EY273" s="2330"/>
      <c r="EZ273" s="2330"/>
      <c r="FA273" s="2330"/>
      <c r="FB273" s="2330"/>
      <c r="FC273" s="2330"/>
      <c r="FD273" s="2330"/>
      <c r="FE273" s="2330"/>
      <c r="FF273" s="2330"/>
      <c r="FG273" s="2330"/>
      <c r="FH273" s="2330"/>
      <c r="FI273" s="2330"/>
      <c r="FJ273" s="2330"/>
      <c r="FK273" s="2330"/>
    </row>
    <row r="274" spans="1:167">
      <c r="A274" s="9"/>
      <c r="B274" s="9"/>
      <c r="C274" s="9"/>
      <c r="D274" s="9"/>
      <c r="E274" s="9"/>
      <c r="F274" s="9"/>
      <c r="G274" s="9"/>
      <c r="H274" s="9"/>
      <c r="I274" s="9"/>
      <c r="J274" s="9"/>
      <c r="K274" s="9"/>
      <c r="L274" s="9"/>
      <c r="M274" s="9"/>
      <c r="N274" s="9"/>
      <c r="O274" s="9"/>
      <c r="P274" s="9"/>
      <c r="Q274" s="9"/>
      <c r="R274" s="9"/>
      <c r="S274" s="9"/>
      <c r="T274" s="2332"/>
      <c r="U274" s="9"/>
      <c r="V274" s="9"/>
      <c r="DS274" s="2330"/>
      <c r="DT274" s="2330"/>
      <c r="DU274" s="2330"/>
      <c r="DV274" s="2330"/>
      <c r="DW274" s="2330"/>
      <c r="DX274" s="2330"/>
      <c r="DY274" s="2330"/>
      <c r="DZ274" s="2330"/>
      <c r="EA274" s="2330"/>
      <c r="EB274" s="2330"/>
      <c r="EC274" s="2330"/>
      <c r="ED274" s="2330"/>
      <c r="EE274" s="2330"/>
      <c r="EF274" s="2330"/>
      <c r="EY274" s="2330"/>
      <c r="EZ274" s="2330"/>
      <c r="FA274" s="2330"/>
      <c r="FB274" s="2330"/>
      <c r="FC274" s="2330"/>
      <c r="FD274" s="2330"/>
      <c r="FE274" s="2330"/>
      <c r="FF274" s="2330"/>
      <c r="FG274" s="2330"/>
      <c r="FH274" s="2330"/>
      <c r="FI274" s="2330"/>
      <c r="FJ274" s="2330"/>
      <c r="FK274" s="2330"/>
    </row>
    <row r="275" spans="1:167">
      <c r="A275" s="9"/>
      <c r="B275" s="9"/>
      <c r="C275" s="9"/>
      <c r="D275" s="9"/>
      <c r="E275" s="9"/>
      <c r="F275" s="9"/>
      <c r="G275" s="9"/>
      <c r="H275" s="9"/>
      <c r="I275" s="9"/>
      <c r="J275" s="9"/>
      <c r="K275" s="9"/>
      <c r="L275" s="9"/>
      <c r="M275" s="9"/>
      <c r="N275" s="9"/>
      <c r="O275" s="9"/>
      <c r="P275" s="9"/>
      <c r="Q275" s="9"/>
      <c r="R275" s="9"/>
      <c r="S275" s="9"/>
      <c r="T275" s="2332"/>
      <c r="U275" s="9"/>
      <c r="V275" s="9"/>
      <c r="DS275" s="2330"/>
      <c r="DT275" s="2330"/>
      <c r="DU275" s="2330"/>
      <c r="DV275" s="2330"/>
      <c r="DW275" s="2330"/>
      <c r="DX275" s="2330"/>
      <c r="DY275" s="2330"/>
      <c r="DZ275" s="2330"/>
      <c r="EA275" s="2330"/>
      <c r="EB275" s="2330"/>
      <c r="EC275" s="2330"/>
      <c r="ED275" s="2330"/>
      <c r="EE275" s="2330"/>
      <c r="EF275" s="2330"/>
      <c r="EY275" s="2330"/>
      <c r="EZ275" s="2330"/>
      <c r="FA275" s="2330"/>
      <c r="FB275" s="2330"/>
      <c r="FC275" s="2330"/>
      <c r="FD275" s="2330"/>
      <c r="FE275" s="2330"/>
      <c r="FF275" s="2330"/>
      <c r="FG275" s="2330"/>
      <c r="FH275" s="2330"/>
      <c r="FI275" s="2330"/>
      <c r="FJ275" s="2330"/>
      <c r="FK275" s="2330"/>
    </row>
    <row r="276" spans="1:167">
      <c r="A276" s="9"/>
      <c r="B276" s="9"/>
      <c r="C276" s="9"/>
      <c r="D276" s="9"/>
      <c r="E276" s="9"/>
      <c r="F276" s="9"/>
      <c r="G276" s="9"/>
      <c r="H276" s="9"/>
      <c r="I276" s="9"/>
      <c r="J276" s="9"/>
      <c r="K276" s="9"/>
      <c r="L276" s="9"/>
      <c r="M276" s="9"/>
      <c r="N276" s="9"/>
      <c r="O276" s="9"/>
      <c r="P276" s="9"/>
      <c r="Q276" s="9"/>
      <c r="R276" s="9"/>
      <c r="S276" s="9"/>
      <c r="T276" s="2332"/>
      <c r="U276" s="9"/>
      <c r="V276" s="9"/>
      <c r="DS276" s="2330"/>
      <c r="DT276" s="2330"/>
      <c r="DU276" s="2330"/>
      <c r="DV276" s="2330"/>
      <c r="DW276" s="2330"/>
      <c r="DX276" s="2330"/>
      <c r="DY276" s="2330"/>
      <c r="DZ276" s="2330"/>
      <c r="EA276" s="2330"/>
      <c r="EB276" s="2330"/>
      <c r="EC276" s="2330"/>
      <c r="ED276" s="2330"/>
      <c r="EE276" s="2330"/>
      <c r="EF276" s="2330"/>
      <c r="EY276" s="2330"/>
      <c r="EZ276" s="2330"/>
      <c r="FA276" s="2330"/>
      <c r="FB276" s="2330"/>
      <c r="FC276" s="2330"/>
      <c r="FD276" s="2330"/>
      <c r="FE276" s="2330"/>
      <c r="FF276" s="2330"/>
      <c r="FG276" s="2330"/>
      <c r="FH276" s="2330"/>
      <c r="FI276" s="2330"/>
      <c r="FJ276" s="2330"/>
      <c r="FK276" s="2330"/>
    </row>
    <row r="277" spans="1:167">
      <c r="A277" s="9"/>
      <c r="B277" s="9"/>
      <c r="C277" s="9"/>
      <c r="D277" s="9"/>
      <c r="E277" s="9"/>
      <c r="F277" s="9"/>
      <c r="G277" s="9"/>
      <c r="H277" s="9"/>
      <c r="I277" s="9"/>
      <c r="J277" s="9"/>
      <c r="K277" s="9"/>
      <c r="L277" s="9"/>
      <c r="M277" s="9"/>
      <c r="N277" s="9"/>
      <c r="O277" s="9"/>
      <c r="P277" s="9"/>
      <c r="Q277" s="9"/>
      <c r="R277" s="9"/>
      <c r="S277" s="9"/>
      <c r="T277" s="2332"/>
      <c r="U277" s="9"/>
      <c r="V277" s="9"/>
      <c r="DS277" s="2330"/>
      <c r="DT277" s="2330"/>
      <c r="DU277" s="2330"/>
      <c r="DV277" s="2330"/>
      <c r="DW277" s="2330"/>
      <c r="DX277" s="2330"/>
      <c r="DY277" s="2330"/>
      <c r="DZ277" s="2330"/>
      <c r="EA277" s="2330"/>
      <c r="EB277" s="2330"/>
      <c r="EC277" s="2330"/>
      <c r="ED277" s="2330"/>
      <c r="EE277" s="2330"/>
      <c r="EF277" s="2330"/>
      <c r="EY277" s="2330"/>
      <c r="EZ277" s="2330"/>
      <c r="FA277" s="2330"/>
      <c r="FB277" s="2330"/>
      <c r="FC277" s="2330"/>
      <c r="FD277" s="2330"/>
      <c r="FE277" s="2330"/>
      <c r="FF277" s="2330"/>
      <c r="FG277" s="2330"/>
      <c r="FH277" s="2330"/>
      <c r="FI277" s="2330"/>
      <c r="FJ277" s="2330"/>
      <c r="FK277" s="2330"/>
    </row>
    <row r="278" spans="1:167">
      <c r="A278" s="9"/>
      <c r="B278" s="9"/>
      <c r="C278" s="9"/>
      <c r="D278" s="9"/>
      <c r="E278" s="9"/>
      <c r="F278" s="9"/>
      <c r="G278" s="9"/>
      <c r="H278" s="9"/>
      <c r="I278" s="9"/>
      <c r="J278" s="9"/>
      <c r="K278" s="9"/>
      <c r="L278" s="9"/>
      <c r="M278" s="9"/>
      <c r="N278" s="9"/>
      <c r="O278" s="9"/>
      <c r="P278" s="9"/>
      <c r="Q278" s="9"/>
      <c r="R278" s="9"/>
      <c r="S278" s="9"/>
      <c r="T278" s="2332"/>
      <c r="U278" s="9"/>
      <c r="V278" s="9"/>
      <c r="DS278" s="2330"/>
      <c r="DT278" s="2330"/>
      <c r="DU278" s="2330"/>
      <c r="DV278" s="2330"/>
      <c r="DW278" s="2330"/>
      <c r="DX278" s="2330"/>
      <c r="DY278" s="2330"/>
      <c r="DZ278" s="2330"/>
      <c r="EA278" s="2330"/>
      <c r="EB278" s="2330"/>
      <c r="EC278" s="2330"/>
      <c r="ED278" s="2330"/>
      <c r="EE278" s="2330"/>
      <c r="EF278" s="2330"/>
      <c r="EY278" s="2330"/>
      <c r="EZ278" s="2330"/>
      <c r="FA278" s="2330"/>
      <c r="FB278" s="2330"/>
      <c r="FC278" s="2330"/>
      <c r="FD278" s="2330"/>
      <c r="FE278" s="2330"/>
      <c r="FF278" s="2330"/>
      <c r="FG278" s="2330"/>
      <c r="FH278" s="2330"/>
      <c r="FI278" s="2330"/>
      <c r="FJ278" s="2330"/>
      <c r="FK278" s="2330"/>
    </row>
    <row r="279" spans="1:167">
      <c r="A279" s="9"/>
      <c r="B279" s="9"/>
      <c r="C279" s="9"/>
      <c r="D279" s="9"/>
      <c r="E279" s="9"/>
      <c r="F279" s="9"/>
      <c r="G279" s="9"/>
      <c r="H279" s="9"/>
      <c r="I279" s="9"/>
      <c r="J279" s="9"/>
      <c r="K279" s="9"/>
      <c r="L279" s="9"/>
      <c r="M279" s="9"/>
      <c r="N279" s="9"/>
      <c r="O279" s="9"/>
      <c r="P279" s="9"/>
      <c r="Q279" s="9"/>
      <c r="R279" s="9"/>
      <c r="S279" s="9"/>
      <c r="T279" s="2332"/>
      <c r="U279" s="9"/>
      <c r="V279" s="9"/>
      <c r="DS279" s="2330"/>
      <c r="DT279" s="2330"/>
      <c r="DU279" s="2330"/>
      <c r="DV279" s="2330"/>
      <c r="DW279" s="2330"/>
      <c r="DX279" s="2330"/>
      <c r="DY279" s="2330"/>
      <c r="DZ279" s="2330"/>
      <c r="EA279" s="2330"/>
      <c r="EB279" s="2330"/>
      <c r="EC279" s="2330"/>
      <c r="ED279" s="2330"/>
      <c r="EE279" s="2330"/>
      <c r="EF279" s="2330"/>
      <c r="EY279" s="2330"/>
      <c r="EZ279" s="2330"/>
      <c r="FA279" s="2330"/>
      <c r="FB279" s="2330"/>
      <c r="FC279" s="2330"/>
      <c r="FD279" s="2330"/>
      <c r="FE279" s="2330"/>
      <c r="FF279" s="2330"/>
      <c r="FG279" s="2330"/>
      <c r="FH279" s="2330"/>
      <c r="FI279" s="2330"/>
      <c r="FJ279" s="2330"/>
      <c r="FK279" s="2330"/>
    </row>
    <row r="280" spans="1:167">
      <c r="A280" s="9"/>
      <c r="B280" s="9"/>
      <c r="C280" s="9"/>
      <c r="D280" s="9"/>
      <c r="E280" s="9"/>
      <c r="F280" s="9"/>
      <c r="G280" s="9"/>
      <c r="H280" s="9"/>
      <c r="I280" s="9"/>
      <c r="J280" s="9"/>
      <c r="K280" s="9"/>
      <c r="L280" s="9"/>
      <c r="M280" s="9"/>
      <c r="N280" s="9"/>
      <c r="O280" s="9"/>
      <c r="P280" s="9"/>
      <c r="Q280" s="9"/>
      <c r="R280" s="9"/>
      <c r="S280" s="9"/>
      <c r="T280" s="2332"/>
      <c r="U280" s="9"/>
      <c r="V280" s="9"/>
      <c r="DS280" s="2330"/>
      <c r="DT280" s="2330"/>
      <c r="DU280" s="2330"/>
      <c r="DV280" s="2330"/>
      <c r="DW280" s="2330"/>
      <c r="DX280" s="2330"/>
      <c r="DY280" s="2330"/>
      <c r="DZ280" s="2330"/>
      <c r="EA280" s="2330"/>
      <c r="EB280" s="2330"/>
      <c r="EC280" s="2330"/>
      <c r="ED280" s="2330"/>
      <c r="EE280" s="2330"/>
      <c r="EF280" s="2330"/>
      <c r="EY280" s="2330"/>
      <c r="EZ280" s="2330"/>
      <c r="FA280" s="2330"/>
      <c r="FB280" s="2330"/>
      <c r="FC280" s="2330"/>
      <c r="FD280" s="2330"/>
      <c r="FE280" s="2330"/>
      <c r="FF280" s="2330"/>
      <c r="FG280" s="2330"/>
      <c r="FH280" s="2330"/>
      <c r="FI280" s="2330"/>
      <c r="FJ280" s="2330"/>
      <c r="FK280" s="2330"/>
    </row>
    <row r="281" spans="1:167">
      <c r="A281" s="9"/>
      <c r="B281" s="9"/>
      <c r="C281" s="9"/>
      <c r="D281" s="9"/>
      <c r="E281" s="9"/>
      <c r="F281" s="9"/>
      <c r="G281" s="9"/>
      <c r="H281" s="9"/>
      <c r="I281" s="9"/>
      <c r="J281" s="9"/>
      <c r="K281" s="9"/>
      <c r="L281" s="9"/>
      <c r="M281" s="9"/>
      <c r="N281" s="9"/>
      <c r="O281" s="9"/>
      <c r="P281" s="9"/>
      <c r="Q281" s="9"/>
      <c r="R281" s="9"/>
      <c r="S281" s="9"/>
      <c r="T281" s="2332"/>
      <c r="U281" s="9"/>
      <c r="V281" s="9"/>
      <c r="DS281" s="2330"/>
      <c r="DT281" s="2330"/>
      <c r="DU281" s="2330"/>
      <c r="DV281" s="2330"/>
      <c r="DW281" s="2330"/>
      <c r="DX281" s="2330"/>
      <c r="DY281" s="2330"/>
      <c r="DZ281" s="2330"/>
      <c r="EA281" s="2330"/>
      <c r="EB281" s="2330"/>
      <c r="EC281" s="2330"/>
      <c r="ED281" s="2330"/>
      <c r="EE281" s="2330"/>
      <c r="EF281" s="2330"/>
      <c r="EY281" s="2330"/>
      <c r="EZ281" s="2330"/>
      <c r="FA281" s="2330"/>
      <c r="FB281" s="2330"/>
      <c r="FC281" s="2330"/>
      <c r="FD281" s="2330"/>
      <c r="FE281" s="2330"/>
      <c r="FF281" s="2330"/>
      <c r="FG281" s="2330"/>
      <c r="FH281" s="2330"/>
      <c r="FI281" s="2330"/>
      <c r="FJ281" s="2330"/>
      <c r="FK281" s="2330"/>
    </row>
    <row r="282" spans="1:167">
      <c r="A282" s="9"/>
      <c r="B282" s="9"/>
      <c r="C282" s="9"/>
      <c r="D282" s="9"/>
      <c r="E282" s="9"/>
      <c r="F282" s="9"/>
      <c r="G282" s="9"/>
      <c r="H282" s="9"/>
      <c r="I282" s="9"/>
      <c r="J282" s="9"/>
      <c r="K282" s="9"/>
      <c r="L282" s="9"/>
      <c r="M282" s="9"/>
      <c r="N282" s="9"/>
      <c r="O282" s="9"/>
      <c r="P282" s="9"/>
      <c r="Q282" s="9"/>
      <c r="R282" s="9"/>
      <c r="S282" s="9"/>
      <c r="T282" s="2332"/>
      <c r="U282" s="9"/>
      <c r="V282" s="9"/>
      <c r="DS282" s="2330"/>
      <c r="DT282" s="2330"/>
      <c r="DU282" s="2330"/>
      <c r="DV282" s="2330"/>
      <c r="DW282" s="2330"/>
      <c r="DX282" s="2330"/>
      <c r="DY282" s="2330"/>
      <c r="DZ282" s="2330"/>
      <c r="EA282" s="2330"/>
      <c r="EB282" s="2330"/>
      <c r="EC282" s="2330"/>
      <c r="ED282" s="2330"/>
      <c r="EE282" s="2330"/>
      <c r="EF282" s="2330"/>
      <c r="EY282" s="2330"/>
      <c r="EZ282" s="2330"/>
      <c r="FA282" s="2330"/>
      <c r="FB282" s="2330"/>
      <c r="FC282" s="2330"/>
      <c r="FD282" s="2330"/>
      <c r="FE282" s="2330"/>
      <c r="FF282" s="2330"/>
      <c r="FG282" s="2330"/>
      <c r="FH282" s="2330"/>
      <c r="FI282" s="2330"/>
      <c r="FJ282" s="2330"/>
      <c r="FK282" s="2330"/>
    </row>
    <row r="283" spans="1:167">
      <c r="A283" s="9"/>
      <c r="B283" s="9"/>
      <c r="C283" s="9"/>
      <c r="D283" s="9"/>
      <c r="E283" s="9"/>
      <c r="F283" s="9"/>
      <c r="G283" s="9"/>
      <c r="H283" s="9"/>
      <c r="I283" s="9"/>
      <c r="J283" s="9"/>
      <c r="K283" s="9"/>
      <c r="L283" s="9"/>
      <c r="M283" s="9"/>
      <c r="N283" s="9"/>
      <c r="O283" s="9"/>
      <c r="P283" s="9"/>
      <c r="Q283" s="9"/>
      <c r="R283" s="9"/>
      <c r="S283" s="9"/>
      <c r="T283" s="2332"/>
      <c r="U283" s="9"/>
      <c r="V283" s="9"/>
      <c r="DS283" s="2330"/>
      <c r="DT283" s="2330"/>
      <c r="DU283" s="2330"/>
      <c r="DV283" s="2330"/>
      <c r="DW283" s="2330"/>
      <c r="DX283" s="2330"/>
      <c r="DY283" s="2330"/>
      <c r="DZ283" s="2330"/>
      <c r="EA283" s="2330"/>
      <c r="EB283" s="2330"/>
      <c r="EC283" s="2330"/>
      <c r="ED283" s="2330"/>
      <c r="EE283" s="2330"/>
      <c r="EF283" s="2330"/>
      <c r="EY283" s="2330"/>
      <c r="EZ283" s="2330"/>
      <c r="FA283" s="2330"/>
      <c r="FB283" s="2330"/>
      <c r="FC283" s="2330"/>
      <c r="FD283" s="2330"/>
      <c r="FE283" s="2330"/>
      <c r="FF283" s="2330"/>
      <c r="FG283" s="2330"/>
      <c r="FH283" s="2330"/>
      <c r="FI283" s="2330"/>
      <c r="FJ283" s="2330"/>
      <c r="FK283" s="2330"/>
    </row>
    <row r="284" spans="1:167">
      <c r="A284" s="9"/>
      <c r="B284" s="9"/>
      <c r="C284" s="9"/>
      <c r="D284" s="9"/>
      <c r="E284" s="9"/>
      <c r="F284" s="9"/>
      <c r="G284" s="9"/>
      <c r="H284" s="9"/>
      <c r="I284" s="9"/>
      <c r="J284" s="9"/>
      <c r="K284" s="9"/>
      <c r="L284" s="9"/>
      <c r="M284" s="9"/>
      <c r="N284" s="9"/>
      <c r="O284" s="9"/>
      <c r="P284" s="9"/>
      <c r="Q284" s="9"/>
      <c r="R284" s="9"/>
      <c r="S284" s="9"/>
      <c r="T284" s="2332"/>
      <c r="U284" s="9"/>
      <c r="V284" s="9"/>
      <c r="DS284" s="2330"/>
      <c r="DT284" s="2330"/>
      <c r="DU284" s="2330"/>
      <c r="DV284" s="2330"/>
      <c r="DW284" s="2330"/>
      <c r="DX284" s="2330"/>
      <c r="DY284" s="2330"/>
      <c r="DZ284" s="2330"/>
      <c r="EA284" s="2330"/>
      <c r="EB284" s="2330"/>
      <c r="EC284" s="2330"/>
      <c r="ED284" s="2330"/>
      <c r="EE284" s="2330"/>
      <c r="EF284" s="2330"/>
      <c r="EY284" s="2330"/>
      <c r="EZ284" s="2330"/>
      <c r="FA284" s="2330"/>
      <c r="FB284" s="2330"/>
      <c r="FC284" s="2330"/>
      <c r="FD284" s="2330"/>
      <c r="FE284" s="2330"/>
      <c r="FF284" s="2330"/>
      <c r="FG284" s="2330"/>
      <c r="FH284" s="2330"/>
      <c r="FI284" s="2330"/>
      <c r="FJ284" s="2330"/>
      <c r="FK284" s="2330"/>
    </row>
    <row r="285" spans="1:167">
      <c r="A285" s="9"/>
      <c r="B285" s="9"/>
      <c r="C285" s="9"/>
      <c r="D285" s="9"/>
      <c r="E285" s="9"/>
      <c r="F285" s="9"/>
      <c r="G285" s="9"/>
      <c r="H285" s="9"/>
      <c r="I285" s="9"/>
      <c r="J285" s="9"/>
      <c r="K285" s="9"/>
      <c r="L285" s="9"/>
      <c r="M285" s="9"/>
      <c r="N285" s="9"/>
      <c r="O285" s="9"/>
      <c r="P285" s="9"/>
      <c r="Q285" s="9"/>
      <c r="R285" s="9"/>
      <c r="S285" s="9"/>
      <c r="T285" s="2332"/>
      <c r="U285" s="9"/>
      <c r="V285" s="9"/>
      <c r="DS285" s="2330"/>
      <c r="DT285" s="2330"/>
      <c r="DU285" s="2330"/>
      <c r="DV285" s="2330"/>
      <c r="DW285" s="2330"/>
      <c r="DX285" s="2330"/>
      <c r="DY285" s="2330"/>
      <c r="DZ285" s="2330"/>
      <c r="EA285" s="2330"/>
      <c r="EB285" s="2330"/>
      <c r="EC285" s="2330"/>
      <c r="ED285" s="2330"/>
      <c r="EE285" s="2330"/>
      <c r="EF285" s="2330"/>
      <c r="EY285" s="2330"/>
      <c r="EZ285" s="2330"/>
      <c r="FA285" s="2330"/>
      <c r="FB285" s="2330"/>
      <c r="FC285" s="2330"/>
      <c r="FD285" s="2330"/>
      <c r="FE285" s="2330"/>
      <c r="FF285" s="2330"/>
      <c r="FG285" s="2330"/>
      <c r="FH285" s="2330"/>
      <c r="FI285" s="2330"/>
      <c r="FJ285" s="2330"/>
      <c r="FK285" s="2330"/>
    </row>
    <row r="286" spans="1:167">
      <c r="A286" s="9"/>
      <c r="B286" s="9"/>
      <c r="C286" s="9"/>
      <c r="D286" s="9"/>
      <c r="E286" s="9"/>
      <c r="F286" s="9"/>
      <c r="G286" s="9"/>
      <c r="H286" s="9"/>
      <c r="I286" s="9"/>
      <c r="J286" s="9"/>
      <c r="K286" s="9"/>
      <c r="L286" s="9"/>
      <c r="M286" s="9"/>
      <c r="N286" s="9"/>
      <c r="O286" s="9"/>
      <c r="P286" s="9"/>
      <c r="Q286" s="9"/>
      <c r="R286" s="9"/>
      <c r="S286" s="9"/>
      <c r="T286" s="2332"/>
      <c r="U286" s="9"/>
      <c r="V286" s="9"/>
      <c r="DS286" s="2330"/>
      <c r="DT286" s="2330"/>
      <c r="DU286" s="2330"/>
      <c r="DV286" s="2330"/>
      <c r="DW286" s="2330"/>
      <c r="DX286" s="2330"/>
      <c r="DY286" s="2330"/>
      <c r="DZ286" s="2330"/>
      <c r="EA286" s="2330"/>
      <c r="EB286" s="2330"/>
      <c r="EC286" s="2330"/>
      <c r="ED286" s="2330"/>
      <c r="EE286" s="2330"/>
      <c r="EF286" s="2330"/>
      <c r="EY286" s="2330"/>
      <c r="EZ286" s="2330"/>
      <c r="FA286" s="2330"/>
      <c r="FB286" s="2330"/>
      <c r="FC286" s="2330"/>
      <c r="FD286" s="2330"/>
      <c r="FE286" s="2330"/>
      <c r="FF286" s="2330"/>
      <c r="FG286" s="2330"/>
      <c r="FH286" s="2330"/>
      <c r="FI286" s="2330"/>
      <c r="FJ286" s="2330"/>
      <c r="FK286" s="2330"/>
    </row>
    <row r="287" spans="1:167">
      <c r="A287" s="9"/>
      <c r="B287" s="9"/>
      <c r="C287" s="9"/>
      <c r="D287" s="9"/>
      <c r="E287" s="9"/>
      <c r="F287" s="9"/>
      <c r="G287" s="9"/>
      <c r="H287" s="9"/>
      <c r="I287" s="9"/>
      <c r="J287" s="9"/>
      <c r="K287" s="9"/>
      <c r="L287" s="9"/>
      <c r="M287" s="9"/>
      <c r="N287" s="9"/>
      <c r="O287" s="9"/>
      <c r="P287" s="9"/>
      <c r="Q287" s="9"/>
      <c r="R287" s="9"/>
      <c r="S287" s="9"/>
      <c r="T287" s="2332"/>
      <c r="U287" s="9"/>
      <c r="V287" s="9"/>
      <c r="DS287" s="2330"/>
      <c r="DT287" s="2330"/>
      <c r="DU287" s="2330"/>
      <c r="DV287" s="2330"/>
      <c r="DW287" s="2330"/>
      <c r="DX287" s="2330"/>
      <c r="DY287" s="2330"/>
      <c r="DZ287" s="2330"/>
      <c r="EA287" s="2330"/>
      <c r="EB287" s="2330"/>
      <c r="EC287" s="2330"/>
      <c r="ED287" s="2330"/>
      <c r="EE287" s="2330"/>
      <c r="EF287" s="2330"/>
      <c r="EY287" s="2330"/>
      <c r="EZ287" s="2330"/>
      <c r="FA287" s="2330"/>
      <c r="FB287" s="2330"/>
      <c r="FC287" s="2330"/>
      <c r="FD287" s="2330"/>
      <c r="FE287" s="2330"/>
      <c r="FF287" s="2330"/>
      <c r="FG287" s="2330"/>
      <c r="FH287" s="2330"/>
      <c r="FI287" s="2330"/>
      <c r="FJ287" s="2330"/>
      <c r="FK287" s="2330"/>
    </row>
    <row r="288" spans="1:167">
      <c r="A288" s="9"/>
      <c r="B288" s="9"/>
      <c r="C288" s="9"/>
      <c r="D288" s="9"/>
      <c r="E288" s="9"/>
      <c r="F288" s="9"/>
      <c r="G288" s="9"/>
      <c r="H288" s="9"/>
      <c r="I288" s="9"/>
      <c r="J288" s="9"/>
      <c r="K288" s="9"/>
      <c r="L288" s="9"/>
      <c r="M288" s="9"/>
      <c r="N288" s="9"/>
      <c r="O288" s="9"/>
      <c r="P288" s="9"/>
      <c r="Q288" s="9"/>
      <c r="R288" s="9"/>
      <c r="S288" s="9"/>
      <c r="T288" s="2332"/>
      <c r="U288" s="9"/>
      <c r="V288" s="9"/>
      <c r="DS288" s="2330"/>
      <c r="DT288" s="2330"/>
      <c r="DU288" s="2330"/>
      <c r="DV288" s="2330"/>
      <c r="DW288" s="2330"/>
      <c r="DX288" s="2330"/>
      <c r="DY288" s="2330"/>
      <c r="DZ288" s="2330"/>
      <c r="EA288" s="2330"/>
      <c r="EB288" s="2330"/>
      <c r="EC288" s="2330"/>
      <c r="ED288" s="2330"/>
      <c r="EE288" s="2330"/>
      <c r="EF288" s="2330"/>
      <c r="EY288" s="2330"/>
      <c r="EZ288" s="2330"/>
      <c r="FA288" s="2330"/>
      <c r="FB288" s="2330"/>
      <c r="FC288" s="2330"/>
      <c r="FD288" s="2330"/>
      <c r="FE288" s="2330"/>
      <c r="FF288" s="2330"/>
      <c r="FG288" s="2330"/>
      <c r="FH288" s="2330"/>
      <c r="FI288" s="2330"/>
      <c r="FJ288" s="2330"/>
      <c r="FK288" s="2330"/>
    </row>
    <row r="289" spans="1:167">
      <c r="A289" s="9"/>
      <c r="B289" s="9"/>
      <c r="C289" s="9"/>
      <c r="D289" s="9"/>
      <c r="E289" s="9"/>
      <c r="F289" s="9"/>
      <c r="G289" s="9"/>
      <c r="H289" s="9"/>
      <c r="I289" s="9"/>
      <c r="J289" s="9"/>
      <c r="K289" s="9"/>
      <c r="L289" s="9"/>
      <c r="M289" s="9"/>
      <c r="N289" s="9"/>
      <c r="O289" s="9"/>
      <c r="P289" s="9"/>
      <c r="Q289" s="9"/>
      <c r="R289" s="9"/>
      <c r="S289" s="9"/>
      <c r="T289" s="2332"/>
      <c r="U289" s="9"/>
      <c r="V289" s="9"/>
      <c r="DS289" s="2330"/>
      <c r="DT289" s="2330"/>
      <c r="DU289" s="2330"/>
      <c r="DV289" s="2330"/>
      <c r="DW289" s="2330"/>
      <c r="DX289" s="2330"/>
      <c r="DY289" s="2330"/>
      <c r="DZ289" s="2330"/>
      <c r="EA289" s="2330"/>
      <c r="EB289" s="2330"/>
      <c r="EC289" s="2330"/>
      <c r="ED289" s="2330"/>
      <c r="EE289" s="2330"/>
      <c r="EF289" s="2330"/>
      <c r="EY289" s="2330"/>
      <c r="EZ289" s="2330"/>
      <c r="FA289" s="2330"/>
      <c r="FB289" s="2330"/>
      <c r="FC289" s="2330"/>
      <c r="FD289" s="2330"/>
      <c r="FE289" s="2330"/>
      <c r="FF289" s="2330"/>
      <c r="FG289" s="2330"/>
      <c r="FH289" s="2330"/>
      <c r="FI289" s="2330"/>
      <c r="FJ289" s="2330"/>
      <c r="FK289" s="2330"/>
    </row>
    <row r="290" spans="1:167">
      <c r="A290" s="9"/>
      <c r="B290" s="9"/>
      <c r="C290" s="9"/>
      <c r="D290" s="9"/>
      <c r="E290" s="9"/>
      <c r="F290" s="9"/>
      <c r="G290" s="9"/>
      <c r="H290" s="9"/>
      <c r="I290" s="9"/>
      <c r="J290" s="9"/>
      <c r="K290" s="9"/>
      <c r="L290" s="9"/>
      <c r="M290" s="9"/>
      <c r="N290" s="9"/>
      <c r="O290" s="9"/>
      <c r="P290" s="9"/>
      <c r="Q290" s="9"/>
      <c r="R290" s="9"/>
      <c r="S290" s="9"/>
      <c r="T290" s="2332"/>
      <c r="U290" s="9"/>
      <c r="V290" s="9"/>
      <c r="DS290" s="2330"/>
      <c r="DT290" s="2330"/>
      <c r="DU290" s="2330"/>
      <c r="DV290" s="2330"/>
      <c r="DW290" s="2330"/>
      <c r="DX290" s="2330"/>
      <c r="DY290" s="2330"/>
      <c r="DZ290" s="2330"/>
      <c r="EA290" s="2330"/>
      <c r="EB290" s="2330"/>
      <c r="EC290" s="2330"/>
      <c r="ED290" s="2330"/>
      <c r="EE290" s="2330"/>
      <c r="EF290" s="2330"/>
      <c r="EY290" s="2330"/>
      <c r="EZ290" s="2330"/>
      <c r="FA290" s="2330"/>
      <c r="FB290" s="2330"/>
      <c r="FC290" s="2330"/>
      <c r="FD290" s="2330"/>
      <c r="FE290" s="2330"/>
      <c r="FF290" s="2330"/>
      <c r="FG290" s="2330"/>
      <c r="FH290" s="2330"/>
      <c r="FI290" s="2330"/>
      <c r="FJ290" s="2330"/>
      <c r="FK290" s="2330"/>
    </row>
    <row r="291" spans="1:167">
      <c r="A291" s="9"/>
      <c r="B291" s="9"/>
      <c r="C291" s="9"/>
      <c r="D291" s="9"/>
      <c r="E291" s="9"/>
      <c r="F291" s="9"/>
      <c r="G291" s="9"/>
      <c r="H291" s="9"/>
      <c r="I291" s="9"/>
      <c r="J291" s="9"/>
      <c r="K291" s="9"/>
      <c r="L291" s="9"/>
      <c r="M291" s="9"/>
      <c r="N291" s="9"/>
      <c r="O291" s="9"/>
      <c r="P291" s="9"/>
      <c r="Q291" s="9"/>
      <c r="R291" s="9"/>
      <c r="S291" s="9"/>
      <c r="T291" s="2332"/>
      <c r="U291" s="9"/>
      <c r="V291" s="9"/>
      <c r="DS291" s="2330"/>
      <c r="DT291" s="2330"/>
      <c r="DU291" s="2330"/>
      <c r="DV291" s="2330"/>
      <c r="DW291" s="2330"/>
      <c r="DX291" s="2330"/>
      <c r="DY291" s="2330"/>
      <c r="DZ291" s="2330"/>
      <c r="EA291" s="2330"/>
      <c r="EB291" s="2330"/>
      <c r="EC291" s="2330"/>
      <c r="ED291" s="2330"/>
      <c r="EE291" s="2330"/>
      <c r="EF291" s="2330"/>
      <c r="EY291" s="2330"/>
      <c r="EZ291" s="2330"/>
      <c r="FA291" s="2330"/>
      <c r="FB291" s="2330"/>
      <c r="FC291" s="2330"/>
      <c r="FD291" s="2330"/>
      <c r="FE291" s="2330"/>
      <c r="FF291" s="2330"/>
      <c r="FG291" s="2330"/>
      <c r="FH291" s="2330"/>
      <c r="FI291" s="2330"/>
      <c r="FJ291" s="2330"/>
      <c r="FK291" s="2330"/>
    </row>
    <row r="292" spans="1:167">
      <c r="A292" s="9"/>
      <c r="B292" s="9"/>
      <c r="C292" s="9"/>
      <c r="D292" s="9"/>
      <c r="E292" s="9"/>
      <c r="F292" s="9"/>
      <c r="G292" s="9"/>
      <c r="H292" s="9"/>
      <c r="I292" s="9"/>
      <c r="J292" s="9"/>
      <c r="K292" s="9"/>
      <c r="L292" s="9"/>
      <c r="M292" s="9"/>
      <c r="N292" s="9"/>
      <c r="O292" s="9"/>
      <c r="P292" s="9"/>
      <c r="Q292" s="9"/>
      <c r="R292" s="9"/>
      <c r="S292" s="9"/>
      <c r="T292" s="2332"/>
      <c r="U292" s="9"/>
      <c r="V292" s="9"/>
      <c r="DS292" s="2330"/>
      <c r="DT292" s="2330"/>
      <c r="DU292" s="2330"/>
      <c r="DV292" s="2330"/>
      <c r="DW292" s="2330"/>
      <c r="DX292" s="2330"/>
      <c r="DY292" s="2330"/>
      <c r="DZ292" s="2330"/>
      <c r="EA292" s="2330"/>
      <c r="EB292" s="2330"/>
      <c r="EC292" s="2330"/>
      <c r="ED292" s="2330"/>
      <c r="EE292" s="2330"/>
      <c r="EF292" s="2330"/>
      <c r="EY292" s="2330"/>
      <c r="EZ292" s="2330"/>
      <c r="FA292" s="2330"/>
      <c r="FB292" s="2330"/>
      <c r="FC292" s="2330"/>
      <c r="FD292" s="2330"/>
      <c r="FE292" s="2330"/>
      <c r="FF292" s="2330"/>
      <c r="FG292" s="2330"/>
      <c r="FH292" s="2330"/>
      <c r="FI292" s="2330"/>
      <c r="FJ292" s="2330"/>
      <c r="FK292" s="2330"/>
    </row>
    <row r="293" spans="1:167">
      <c r="A293" s="9"/>
      <c r="B293" s="9"/>
      <c r="C293" s="9"/>
      <c r="D293" s="9"/>
      <c r="E293" s="9"/>
      <c r="F293" s="9"/>
      <c r="G293" s="9"/>
      <c r="H293" s="9"/>
      <c r="I293" s="9"/>
      <c r="J293" s="9"/>
      <c r="K293" s="9"/>
      <c r="L293" s="9"/>
      <c r="M293" s="9"/>
      <c r="N293" s="9"/>
      <c r="O293" s="9"/>
      <c r="P293" s="9"/>
      <c r="Q293" s="9"/>
      <c r="R293" s="9"/>
      <c r="S293" s="9"/>
      <c r="T293" s="2332"/>
      <c r="U293" s="9"/>
      <c r="V293" s="9"/>
      <c r="DS293" s="2330"/>
      <c r="DT293" s="2330"/>
      <c r="DU293" s="2330"/>
      <c r="DV293" s="2330"/>
      <c r="DW293" s="2330"/>
      <c r="DX293" s="2330"/>
      <c r="DY293" s="2330"/>
      <c r="DZ293" s="2330"/>
      <c r="EA293" s="2330"/>
      <c r="EB293" s="2330"/>
      <c r="EC293" s="2330"/>
      <c r="ED293" s="2330"/>
      <c r="EE293" s="2330"/>
      <c r="EF293" s="2330"/>
      <c r="EY293" s="2330"/>
      <c r="EZ293" s="2330"/>
      <c r="FA293" s="2330"/>
      <c r="FB293" s="2330"/>
      <c r="FC293" s="2330"/>
      <c r="FD293" s="2330"/>
      <c r="FE293" s="2330"/>
      <c r="FF293" s="2330"/>
      <c r="FG293" s="2330"/>
      <c r="FH293" s="2330"/>
      <c r="FI293" s="2330"/>
      <c r="FJ293" s="2330"/>
      <c r="FK293" s="2330"/>
    </row>
    <row r="294" spans="1:167">
      <c r="A294" s="9"/>
      <c r="B294" s="9"/>
      <c r="C294" s="9"/>
      <c r="D294" s="9"/>
      <c r="E294" s="9"/>
      <c r="F294" s="9"/>
      <c r="G294" s="9"/>
      <c r="H294" s="9"/>
      <c r="I294" s="9"/>
      <c r="J294" s="9"/>
      <c r="K294" s="9"/>
      <c r="L294" s="9"/>
      <c r="M294" s="9"/>
      <c r="N294" s="9"/>
      <c r="O294" s="9"/>
      <c r="P294" s="9"/>
      <c r="Q294" s="9"/>
      <c r="R294" s="9"/>
      <c r="S294" s="9"/>
      <c r="T294" s="2332"/>
      <c r="U294" s="9"/>
      <c r="V294" s="9"/>
      <c r="DS294" s="2330"/>
      <c r="DT294" s="2330"/>
      <c r="DU294" s="2330"/>
      <c r="DV294" s="2330"/>
      <c r="DW294" s="2330"/>
      <c r="DX294" s="2330"/>
      <c r="DY294" s="2330"/>
      <c r="DZ294" s="2330"/>
      <c r="EA294" s="2330"/>
      <c r="EB294" s="2330"/>
      <c r="EC294" s="2330"/>
      <c r="ED294" s="2330"/>
      <c r="EE294" s="2330"/>
      <c r="EF294" s="2330"/>
      <c r="EY294" s="2330"/>
      <c r="EZ294" s="2330"/>
      <c r="FA294" s="2330"/>
      <c r="FB294" s="2330"/>
      <c r="FC294" s="2330"/>
      <c r="FD294" s="2330"/>
      <c r="FE294" s="2330"/>
      <c r="FF294" s="2330"/>
      <c r="FG294" s="2330"/>
      <c r="FH294" s="2330"/>
      <c r="FI294" s="2330"/>
      <c r="FJ294" s="2330"/>
      <c r="FK294" s="2330"/>
    </row>
    <row r="295" spans="1:167">
      <c r="A295" s="9"/>
      <c r="B295" s="9"/>
      <c r="C295" s="9"/>
      <c r="D295" s="9"/>
      <c r="E295" s="9"/>
      <c r="F295" s="9"/>
      <c r="G295" s="9"/>
      <c r="H295" s="9"/>
      <c r="I295" s="9"/>
      <c r="J295" s="9"/>
      <c r="K295" s="9"/>
      <c r="L295" s="9"/>
      <c r="M295" s="9"/>
      <c r="N295" s="9"/>
      <c r="O295" s="9"/>
      <c r="P295" s="9"/>
      <c r="Q295" s="9"/>
      <c r="R295" s="9"/>
      <c r="S295" s="9"/>
      <c r="T295" s="2332"/>
      <c r="U295" s="9"/>
      <c r="V295" s="9"/>
      <c r="DS295" s="2330"/>
      <c r="DT295" s="2330"/>
      <c r="DU295" s="2330"/>
      <c r="DV295" s="2330"/>
      <c r="DW295" s="2330"/>
      <c r="DX295" s="2330"/>
      <c r="DY295" s="2330"/>
      <c r="DZ295" s="2330"/>
      <c r="EA295" s="2330"/>
      <c r="EB295" s="2330"/>
      <c r="EC295" s="2330"/>
      <c r="ED295" s="2330"/>
      <c r="EE295" s="2330"/>
      <c r="EF295" s="2330"/>
      <c r="EY295" s="2330"/>
      <c r="EZ295" s="2330"/>
      <c r="FA295" s="2330"/>
      <c r="FB295" s="2330"/>
      <c r="FC295" s="2330"/>
      <c r="FD295" s="2330"/>
      <c r="FE295" s="2330"/>
      <c r="FF295" s="2330"/>
      <c r="FG295" s="2330"/>
      <c r="FH295" s="2330"/>
      <c r="FI295" s="2330"/>
      <c r="FJ295" s="2330"/>
      <c r="FK295" s="2330"/>
    </row>
    <row r="296" spans="1:167">
      <c r="A296" s="9"/>
      <c r="B296" s="9"/>
      <c r="C296" s="9"/>
      <c r="D296" s="9"/>
      <c r="E296" s="9"/>
      <c r="F296" s="9"/>
      <c r="G296" s="9"/>
      <c r="H296" s="9"/>
      <c r="I296" s="9"/>
      <c r="J296" s="9"/>
      <c r="K296" s="9"/>
      <c r="L296" s="9"/>
      <c r="M296" s="9"/>
      <c r="N296" s="9"/>
      <c r="O296" s="9"/>
      <c r="P296" s="9"/>
      <c r="Q296" s="9"/>
      <c r="R296" s="9"/>
      <c r="S296" s="9"/>
      <c r="T296" s="2332"/>
      <c r="U296" s="9"/>
      <c r="V296" s="9"/>
      <c r="DS296" s="2330"/>
      <c r="DT296" s="2330"/>
      <c r="DU296" s="2330"/>
      <c r="DV296" s="2330"/>
      <c r="DW296" s="2330"/>
      <c r="DX296" s="2330"/>
      <c r="DY296" s="2330"/>
      <c r="DZ296" s="2330"/>
      <c r="EA296" s="2330"/>
      <c r="EB296" s="2330"/>
      <c r="EC296" s="2330"/>
      <c r="ED296" s="2330"/>
      <c r="EE296" s="2330"/>
      <c r="EF296" s="2330"/>
      <c r="EY296" s="2330"/>
      <c r="EZ296" s="2330"/>
      <c r="FA296" s="2330"/>
      <c r="FB296" s="2330"/>
      <c r="FC296" s="2330"/>
      <c r="FD296" s="2330"/>
      <c r="FE296" s="2330"/>
      <c r="FF296" s="2330"/>
      <c r="FG296" s="2330"/>
      <c r="FH296" s="2330"/>
      <c r="FI296" s="2330"/>
      <c r="FJ296" s="2330"/>
      <c r="FK296" s="2330"/>
    </row>
    <row r="297" spans="1:167">
      <c r="A297" s="9"/>
      <c r="B297" s="9"/>
      <c r="C297" s="9"/>
      <c r="D297" s="9"/>
      <c r="E297" s="9"/>
      <c r="F297" s="9"/>
      <c r="G297" s="9"/>
      <c r="H297" s="9"/>
      <c r="I297" s="9"/>
      <c r="J297" s="9"/>
      <c r="K297" s="9"/>
      <c r="L297" s="9"/>
      <c r="M297" s="9"/>
      <c r="N297" s="9"/>
      <c r="O297" s="9"/>
      <c r="P297" s="9"/>
      <c r="Q297" s="9"/>
      <c r="R297" s="9"/>
      <c r="S297" s="9"/>
      <c r="T297" s="2332"/>
      <c r="U297" s="9"/>
      <c r="V297" s="9"/>
      <c r="DS297" s="2330"/>
      <c r="DT297" s="2330"/>
      <c r="DU297" s="2330"/>
      <c r="DV297" s="2330"/>
      <c r="DW297" s="2330"/>
      <c r="DX297" s="2330"/>
      <c r="DY297" s="2330"/>
      <c r="DZ297" s="2330"/>
      <c r="EA297" s="2330"/>
      <c r="EB297" s="2330"/>
      <c r="EC297" s="2330"/>
      <c r="ED297" s="2330"/>
      <c r="EE297" s="2330"/>
      <c r="EF297" s="2330"/>
      <c r="EY297" s="2330"/>
      <c r="EZ297" s="2330"/>
      <c r="FA297" s="2330"/>
      <c r="FB297" s="2330"/>
      <c r="FC297" s="2330"/>
      <c r="FD297" s="2330"/>
      <c r="FE297" s="2330"/>
      <c r="FF297" s="2330"/>
      <c r="FG297" s="2330"/>
      <c r="FH297" s="2330"/>
      <c r="FI297" s="2330"/>
      <c r="FJ297" s="2330"/>
      <c r="FK297" s="2330"/>
    </row>
    <row r="298" spans="1:167">
      <c r="A298" s="9"/>
      <c r="B298" s="9"/>
      <c r="C298" s="9"/>
      <c r="D298" s="9"/>
      <c r="E298" s="9"/>
      <c r="F298" s="9"/>
      <c r="G298" s="9"/>
      <c r="H298" s="9"/>
      <c r="I298" s="9"/>
      <c r="J298" s="9"/>
      <c r="K298" s="9"/>
      <c r="L298" s="9"/>
      <c r="M298" s="9"/>
      <c r="N298" s="9"/>
      <c r="O298" s="9"/>
      <c r="P298" s="9"/>
      <c r="Q298" s="9"/>
      <c r="R298" s="9"/>
      <c r="S298" s="9"/>
      <c r="T298" s="2332"/>
      <c r="U298" s="9"/>
      <c r="V298" s="9"/>
      <c r="DS298" s="2330"/>
      <c r="DT298" s="2330"/>
      <c r="DU298" s="2330"/>
      <c r="DV298" s="2330"/>
      <c r="DW298" s="2330"/>
      <c r="DX298" s="2330"/>
      <c r="DY298" s="2330"/>
      <c r="DZ298" s="2330"/>
      <c r="EA298" s="2330"/>
      <c r="EB298" s="2330"/>
      <c r="EC298" s="2330"/>
      <c r="ED298" s="2330"/>
      <c r="EE298" s="2330"/>
      <c r="EF298" s="2330"/>
      <c r="EY298" s="2330"/>
      <c r="EZ298" s="2330"/>
      <c r="FA298" s="2330"/>
      <c r="FB298" s="2330"/>
      <c r="FC298" s="2330"/>
      <c r="FD298" s="2330"/>
      <c r="FE298" s="2330"/>
      <c r="FF298" s="2330"/>
      <c r="FG298" s="2330"/>
      <c r="FH298" s="2330"/>
      <c r="FI298" s="2330"/>
      <c r="FJ298" s="2330"/>
      <c r="FK298" s="2330"/>
    </row>
    <row r="299" spans="1:167">
      <c r="A299" s="9"/>
      <c r="B299" s="9"/>
      <c r="C299" s="9"/>
      <c r="D299" s="9"/>
      <c r="E299" s="9"/>
      <c r="F299" s="9"/>
      <c r="G299" s="9"/>
      <c r="H299" s="9"/>
      <c r="I299" s="9"/>
      <c r="J299" s="9"/>
      <c r="K299" s="9"/>
      <c r="L299" s="9"/>
      <c r="M299" s="9"/>
      <c r="N299" s="9"/>
      <c r="O299" s="9"/>
      <c r="P299" s="9"/>
      <c r="Q299" s="9"/>
      <c r="R299" s="9"/>
      <c r="S299" s="9"/>
      <c r="T299" s="2332"/>
      <c r="U299" s="9"/>
      <c r="V299" s="9"/>
      <c r="DS299" s="2330"/>
      <c r="DT299" s="2330"/>
      <c r="DU299" s="2330"/>
      <c r="DV299" s="2330"/>
      <c r="DW299" s="2330"/>
      <c r="DX299" s="2330"/>
      <c r="DY299" s="2330"/>
      <c r="DZ299" s="2330"/>
      <c r="EA299" s="2330"/>
      <c r="EB299" s="2330"/>
      <c r="EC299" s="2330"/>
      <c r="ED299" s="2330"/>
      <c r="EE299" s="2330"/>
      <c r="EF299" s="2330"/>
      <c r="EY299" s="2330"/>
      <c r="EZ299" s="2330"/>
      <c r="FA299" s="2330"/>
      <c r="FB299" s="2330"/>
      <c r="FC299" s="2330"/>
      <c r="FD299" s="2330"/>
      <c r="FE299" s="2330"/>
      <c r="FF299" s="2330"/>
      <c r="FG299" s="2330"/>
      <c r="FH299" s="2330"/>
      <c r="FI299" s="2330"/>
      <c r="FJ299" s="2330"/>
      <c r="FK299" s="2330"/>
    </row>
    <row r="300" spans="1:167">
      <c r="A300" s="9"/>
      <c r="B300" s="9"/>
      <c r="C300" s="9"/>
      <c r="D300" s="9"/>
      <c r="E300" s="9"/>
      <c r="F300" s="9"/>
      <c r="G300" s="9"/>
      <c r="H300" s="9"/>
      <c r="I300" s="9"/>
      <c r="J300" s="9"/>
      <c r="K300" s="9"/>
      <c r="L300" s="9"/>
      <c r="M300" s="9"/>
      <c r="N300" s="9"/>
      <c r="O300" s="9"/>
      <c r="P300" s="9"/>
      <c r="Q300" s="9"/>
      <c r="R300" s="9"/>
      <c r="S300" s="9"/>
      <c r="T300" s="2332"/>
      <c r="U300" s="9"/>
      <c r="V300" s="9"/>
      <c r="DS300" s="2330"/>
      <c r="DT300" s="2330"/>
      <c r="DU300" s="2330"/>
      <c r="DV300" s="2330"/>
      <c r="DW300" s="2330"/>
      <c r="DX300" s="2330"/>
      <c r="DY300" s="2330"/>
      <c r="DZ300" s="2330"/>
      <c r="EA300" s="2330"/>
      <c r="EB300" s="2330"/>
      <c r="EC300" s="2330"/>
      <c r="ED300" s="2330"/>
      <c r="EE300" s="2330"/>
      <c r="EF300" s="2330"/>
      <c r="EY300" s="2330"/>
      <c r="EZ300" s="2330"/>
      <c r="FA300" s="2330"/>
      <c r="FB300" s="2330"/>
      <c r="FC300" s="2330"/>
      <c r="FD300" s="2330"/>
      <c r="FE300" s="2330"/>
      <c r="FF300" s="2330"/>
      <c r="FG300" s="2330"/>
      <c r="FH300" s="2330"/>
      <c r="FI300" s="2330"/>
      <c r="FJ300" s="2330"/>
      <c r="FK300" s="2330"/>
    </row>
    <row r="301" spans="1:167">
      <c r="A301" s="9"/>
      <c r="B301" s="9"/>
      <c r="C301" s="9"/>
      <c r="D301" s="9"/>
      <c r="E301" s="9"/>
      <c r="F301" s="9"/>
      <c r="G301" s="9"/>
      <c r="H301" s="9"/>
      <c r="I301" s="9"/>
      <c r="J301" s="9"/>
      <c r="K301" s="9"/>
      <c r="L301" s="9"/>
      <c r="M301" s="9"/>
      <c r="N301" s="9"/>
      <c r="O301" s="9"/>
      <c r="P301" s="9"/>
      <c r="Q301" s="9"/>
      <c r="R301" s="9"/>
      <c r="S301" s="9"/>
      <c r="T301" s="2332"/>
      <c r="U301" s="9"/>
      <c r="V301" s="9"/>
      <c r="DS301" s="2330"/>
      <c r="DT301" s="2330"/>
      <c r="DU301" s="2330"/>
      <c r="DV301" s="2330"/>
      <c r="DW301" s="2330"/>
      <c r="DX301" s="2330"/>
      <c r="DY301" s="2330"/>
      <c r="DZ301" s="2330"/>
      <c r="EA301" s="2330"/>
      <c r="EB301" s="2330"/>
      <c r="EC301" s="2330"/>
      <c r="ED301" s="2330"/>
      <c r="EE301" s="2330"/>
      <c r="EF301" s="2330"/>
      <c r="EY301" s="2330"/>
      <c r="EZ301" s="2330"/>
      <c r="FA301" s="2330"/>
      <c r="FB301" s="2330"/>
      <c r="FC301" s="2330"/>
      <c r="FD301" s="2330"/>
      <c r="FE301" s="2330"/>
      <c r="FF301" s="2330"/>
      <c r="FG301" s="2330"/>
      <c r="FH301" s="2330"/>
      <c r="FI301" s="2330"/>
      <c r="FJ301" s="2330"/>
      <c r="FK301" s="2330"/>
    </row>
    <row r="302" spans="1:167">
      <c r="A302" s="9"/>
      <c r="B302" s="9"/>
      <c r="C302" s="9"/>
      <c r="D302" s="9"/>
      <c r="E302" s="9"/>
      <c r="F302" s="9"/>
      <c r="G302" s="9"/>
      <c r="H302" s="9"/>
      <c r="I302" s="9"/>
      <c r="J302" s="9"/>
      <c r="K302" s="9"/>
      <c r="L302" s="9"/>
      <c r="M302" s="9"/>
      <c r="N302" s="9"/>
      <c r="O302" s="9"/>
      <c r="P302" s="9"/>
      <c r="Q302" s="9"/>
      <c r="R302" s="9"/>
      <c r="S302" s="9"/>
      <c r="T302" s="2332"/>
      <c r="U302" s="9"/>
      <c r="V302" s="9"/>
      <c r="DS302" s="2330"/>
      <c r="DT302" s="2330"/>
      <c r="DU302" s="2330"/>
      <c r="DV302" s="2330"/>
      <c r="DW302" s="2330"/>
      <c r="DX302" s="2330"/>
      <c r="DY302" s="2330"/>
      <c r="DZ302" s="2330"/>
      <c r="EA302" s="2330"/>
      <c r="EB302" s="2330"/>
      <c r="EC302" s="2330"/>
      <c r="ED302" s="2330"/>
      <c r="EE302" s="2330"/>
      <c r="EF302" s="2330"/>
      <c r="EY302" s="2330"/>
      <c r="EZ302" s="2330"/>
      <c r="FA302" s="2330"/>
      <c r="FB302" s="2330"/>
      <c r="FC302" s="2330"/>
      <c r="FD302" s="2330"/>
      <c r="FE302" s="2330"/>
      <c r="FF302" s="2330"/>
      <c r="FG302" s="2330"/>
      <c r="FH302" s="2330"/>
      <c r="FI302" s="2330"/>
      <c r="FJ302" s="2330"/>
      <c r="FK302" s="2330"/>
    </row>
    <row r="303" spans="1:167">
      <c r="A303" s="9"/>
      <c r="B303" s="9"/>
      <c r="C303" s="9"/>
      <c r="D303" s="9"/>
      <c r="E303" s="9"/>
      <c r="F303" s="9"/>
      <c r="G303" s="9"/>
      <c r="H303" s="9"/>
      <c r="I303" s="9"/>
      <c r="J303" s="9"/>
      <c r="K303" s="9"/>
      <c r="L303" s="9"/>
      <c r="M303" s="9"/>
      <c r="N303" s="9"/>
      <c r="O303" s="9"/>
      <c r="P303" s="9"/>
      <c r="Q303" s="9"/>
      <c r="R303" s="9"/>
      <c r="S303" s="9"/>
      <c r="T303" s="2332"/>
      <c r="U303" s="9"/>
      <c r="V303" s="9"/>
      <c r="DS303" s="2330"/>
      <c r="DT303" s="2330"/>
      <c r="DU303" s="2330"/>
      <c r="DV303" s="2330"/>
      <c r="DW303" s="2330"/>
      <c r="DX303" s="2330"/>
      <c r="DY303" s="2330"/>
      <c r="DZ303" s="2330"/>
      <c r="EA303" s="2330"/>
      <c r="EB303" s="2330"/>
      <c r="EC303" s="2330"/>
      <c r="ED303" s="2330"/>
      <c r="EE303" s="2330"/>
      <c r="EF303" s="2330"/>
      <c r="EY303" s="2330"/>
      <c r="EZ303" s="2330"/>
      <c r="FA303" s="2330"/>
      <c r="FB303" s="2330"/>
      <c r="FC303" s="2330"/>
      <c r="FD303" s="2330"/>
      <c r="FE303" s="2330"/>
      <c r="FF303" s="2330"/>
      <c r="FG303" s="2330"/>
      <c r="FH303" s="2330"/>
      <c r="FI303" s="2330"/>
      <c r="FJ303" s="2330"/>
      <c r="FK303" s="2330"/>
    </row>
    <row r="304" spans="1:167">
      <c r="A304" s="9"/>
      <c r="B304" s="9"/>
      <c r="C304" s="9"/>
      <c r="D304" s="9"/>
      <c r="E304" s="9"/>
      <c r="F304" s="9"/>
      <c r="G304" s="9"/>
      <c r="H304" s="9"/>
      <c r="I304" s="9"/>
      <c r="J304" s="9"/>
      <c r="K304" s="9"/>
      <c r="L304" s="9"/>
      <c r="M304" s="9"/>
      <c r="N304" s="9"/>
      <c r="O304" s="9"/>
      <c r="P304" s="9"/>
      <c r="Q304" s="9"/>
      <c r="R304" s="9"/>
      <c r="S304" s="9"/>
      <c r="T304" s="2332"/>
      <c r="U304" s="9"/>
      <c r="V304" s="9"/>
      <c r="DS304" s="2330"/>
      <c r="DT304" s="2330"/>
      <c r="DU304" s="2330"/>
      <c r="DV304" s="2330"/>
      <c r="DW304" s="2330"/>
      <c r="DX304" s="2330"/>
      <c r="DY304" s="2330"/>
      <c r="DZ304" s="2330"/>
      <c r="EA304" s="2330"/>
      <c r="EB304" s="2330"/>
      <c r="EC304" s="2330"/>
      <c r="ED304" s="2330"/>
      <c r="EE304" s="2330"/>
      <c r="EF304" s="2330"/>
      <c r="EY304" s="2330"/>
      <c r="EZ304" s="2330"/>
      <c r="FA304" s="2330"/>
      <c r="FB304" s="2330"/>
      <c r="FC304" s="2330"/>
      <c r="FD304" s="2330"/>
      <c r="FE304" s="2330"/>
      <c r="FF304" s="2330"/>
      <c r="FG304" s="2330"/>
      <c r="FH304" s="2330"/>
      <c r="FI304" s="2330"/>
      <c r="FJ304" s="2330"/>
      <c r="FK304" s="2330"/>
    </row>
    <row r="305" spans="1:167">
      <c r="A305" s="9"/>
      <c r="B305" s="9"/>
      <c r="C305" s="9"/>
      <c r="D305" s="9"/>
      <c r="E305" s="9"/>
      <c r="F305" s="9"/>
      <c r="G305" s="9"/>
      <c r="H305" s="9"/>
      <c r="I305" s="9"/>
      <c r="J305" s="9"/>
      <c r="K305" s="9"/>
      <c r="L305" s="9"/>
      <c r="M305" s="9"/>
      <c r="N305" s="9"/>
      <c r="O305" s="9"/>
      <c r="P305" s="9"/>
      <c r="Q305" s="9"/>
      <c r="R305" s="9"/>
      <c r="S305" s="9"/>
      <c r="T305" s="2332"/>
      <c r="U305" s="9"/>
      <c r="V305" s="9"/>
      <c r="DS305" s="2330"/>
      <c r="DT305" s="2330"/>
      <c r="DU305" s="2330"/>
      <c r="DV305" s="2330"/>
      <c r="DW305" s="2330"/>
      <c r="DX305" s="2330"/>
      <c r="DY305" s="2330"/>
      <c r="DZ305" s="2330"/>
      <c r="EA305" s="2330"/>
      <c r="EB305" s="2330"/>
      <c r="EC305" s="2330"/>
      <c r="ED305" s="2330"/>
      <c r="EE305" s="2330"/>
      <c r="EF305" s="2330"/>
      <c r="EY305" s="2330"/>
      <c r="EZ305" s="2330"/>
      <c r="FA305" s="2330"/>
      <c r="FB305" s="2330"/>
      <c r="FC305" s="2330"/>
      <c r="FD305" s="2330"/>
      <c r="FE305" s="2330"/>
      <c r="FF305" s="2330"/>
      <c r="FG305" s="2330"/>
      <c r="FH305" s="2330"/>
      <c r="FI305" s="2330"/>
      <c r="FJ305" s="2330"/>
      <c r="FK305" s="2330"/>
    </row>
    <row r="306" spans="1:167">
      <c r="A306" s="9"/>
      <c r="B306" s="9"/>
      <c r="C306" s="9"/>
      <c r="D306" s="9"/>
      <c r="E306" s="9"/>
      <c r="F306" s="9"/>
      <c r="G306" s="9"/>
      <c r="H306" s="9"/>
      <c r="I306" s="9"/>
      <c r="J306" s="9"/>
      <c r="K306" s="9"/>
      <c r="L306" s="9"/>
      <c r="M306" s="9"/>
      <c r="N306" s="9"/>
      <c r="O306" s="9"/>
      <c r="P306" s="9"/>
      <c r="Q306" s="9"/>
      <c r="R306" s="9"/>
      <c r="S306" s="9"/>
      <c r="T306" s="2332"/>
      <c r="U306" s="9"/>
      <c r="V306" s="9"/>
      <c r="DS306" s="2330"/>
      <c r="DT306" s="2330"/>
      <c r="DU306" s="2330"/>
      <c r="DV306" s="2330"/>
      <c r="DW306" s="2330"/>
      <c r="DX306" s="2330"/>
      <c r="DY306" s="2330"/>
      <c r="DZ306" s="2330"/>
      <c r="EA306" s="2330"/>
      <c r="EB306" s="2330"/>
      <c r="EC306" s="2330"/>
      <c r="ED306" s="2330"/>
      <c r="EE306" s="2330"/>
      <c r="EF306" s="2330"/>
      <c r="EY306" s="2330"/>
      <c r="EZ306" s="2330"/>
      <c r="FA306" s="2330"/>
      <c r="FB306" s="2330"/>
      <c r="FC306" s="2330"/>
      <c r="FD306" s="2330"/>
      <c r="FE306" s="2330"/>
      <c r="FF306" s="2330"/>
      <c r="FG306" s="2330"/>
      <c r="FH306" s="2330"/>
      <c r="FI306" s="2330"/>
      <c r="FJ306" s="2330"/>
      <c r="FK306" s="2330"/>
    </row>
    <row r="307" spans="1:167">
      <c r="A307" s="9"/>
      <c r="B307" s="9"/>
      <c r="C307" s="9"/>
      <c r="D307" s="9"/>
      <c r="E307" s="9"/>
      <c r="F307" s="9"/>
      <c r="G307" s="9"/>
      <c r="H307" s="9"/>
      <c r="I307" s="9"/>
      <c r="J307" s="9"/>
      <c r="K307" s="9"/>
      <c r="L307" s="9"/>
      <c r="M307" s="9"/>
      <c r="N307" s="9"/>
      <c r="O307" s="9"/>
      <c r="P307" s="9"/>
      <c r="Q307" s="9"/>
      <c r="R307" s="9"/>
      <c r="S307" s="9"/>
      <c r="T307" s="2332"/>
      <c r="U307" s="9"/>
      <c r="V307" s="9"/>
      <c r="DS307" s="2330"/>
      <c r="DT307" s="2330"/>
      <c r="DU307" s="2330"/>
      <c r="DV307" s="2330"/>
      <c r="DW307" s="2330"/>
      <c r="DX307" s="2330"/>
      <c r="DY307" s="2330"/>
      <c r="DZ307" s="2330"/>
      <c r="EA307" s="2330"/>
      <c r="EB307" s="2330"/>
      <c r="EC307" s="2330"/>
      <c r="ED307" s="2330"/>
      <c r="EE307" s="2330"/>
      <c r="EF307" s="2330"/>
      <c r="EY307" s="2330"/>
      <c r="EZ307" s="2330"/>
      <c r="FA307" s="2330"/>
      <c r="FB307" s="2330"/>
      <c r="FC307" s="2330"/>
      <c r="FD307" s="2330"/>
      <c r="FE307" s="2330"/>
      <c r="FF307" s="2330"/>
      <c r="FG307" s="2330"/>
      <c r="FH307" s="2330"/>
      <c r="FI307" s="2330"/>
      <c r="FJ307" s="2330"/>
      <c r="FK307" s="2330"/>
    </row>
    <row r="308" spans="1:167">
      <c r="A308" s="9"/>
      <c r="B308" s="9"/>
      <c r="C308" s="9"/>
      <c r="D308" s="9"/>
      <c r="E308" s="9"/>
      <c r="F308" s="9"/>
      <c r="G308" s="9"/>
      <c r="H308" s="9"/>
      <c r="I308" s="9"/>
      <c r="J308" s="9"/>
      <c r="K308" s="9"/>
      <c r="L308" s="9"/>
      <c r="M308" s="9"/>
      <c r="N308" s="9"/>
      <c r="O308" s="9"/>
      <c r="P308" s="9"/>
      <c r="Q308" s="9"/>
      <c r="R308" s="9"/>
      <c r="S308" s="9"/>
      <c r="T308" s="2332"/>
      <c r="U308" s="9"/>
      <c r="V308" s="9"/>
      <c r="DS308" s="2330"/>
      <c r="DT308" s="2330"/>
      <c r="DU308" s="2330"/>
      <c r="DV308" s="2330"/>
      <c r="DW308" s="2330"/>
      <c r="DX308" s="2330"/>
      <c r="DY308" s="2330"/>
      <c r="DZ308" s="2330"/>
      <c r="EA308" s="2330"/>
      <c r="EB308" s="2330"/>
      <c r="EC308" s="2330"/>
      <c r="ED308" s="2330"/>
      <c r="EE308" s="2330"/>
      <c r="EF308" s="2330"/>
      <c r="EY308" s="2330"/>
      <c r="EZ308" s="2330"/>
      <c r="FA308" s="2330"/>
      <c r="FB308" s="2330"/>
      <c r="FC308" s="2330"/>
      <c r="FD308" s="2330"/>
      <c r="FE308" s="2330"/>
      <c r="FF308" s="2330"/>
      <c r="FG308" s="2330"/>
      <c r="FH308" s="2330"/>
      <c r="FI308" s="2330"/>
      <c r="FJ308" s="2330"/>
      <c r="FK308" s="2330"/>
    </row>
    <row r="309" spans="1:167">
      <c r="A309" s="9"/>
      <c r="B309" s="9"/>
      <c r="C309" s="9"/>
      <c r="D309" s="9"/>
      <c r="E309" s="9"/>
      <c r="F309" s="9"/>
      <c r="G309" s="9"/>
      <c r="H309" s="9"/>
      <c r="I309" s="9"/>
      <c r="J309" s="9"/>
      <c r="K309" s="9"/>
      <c r="L309" s="9"/>
      <c r="M309" s="9"/>
      <c r="N309" s="9"/>
      <c r="O309" s="9"/>
      <c r="P309" s="9"/>
      <c r="Q309" s="9"/>
      <c r="R309" s="9"/>
      <c r="S309" s="9"/>
      <c r="T309" s="2332"/>
      <c r="U309" s="9"/>
      <c r="V309" s="9"/>
      <c r="DS309" s="2330"/>
      <c r="DT309" s="2330"/>
      <c r="DU309" s="2330"/>
      <c r="DV309" s="2330"/>
      <c r="DW309" s="2330"/>
      <c r="DX309" s="2330"/>
      <c r="DY309" s="2330"/>
      <c r="DZ309" s="2330"/>
      <c r="EA309" s="2330"/>
      <c r="EB309" s="2330"/>
      <c r="EC309" s="2330"/>
      <c r="ED309" s="2330"/>
      <c r="EE309" s="2330"/>
      <c r="EF309" s="2330"/>
      <c r="EY309" s="2330"/>
      <c r="EZ309" s="2330"/>
      <c r="FA309" s="2330"/>
      <c r="FB309" s="2330"/>
      <c r="FC309" s="2330"/>
      <c r="FD309" s="2330"/>
      <c r="FE309" s="2330"/>
      <c r="FF309" s="2330"/>
      <c r="FG309" s="2330"/>
      <c r="FH309" s="2330"/>
      <c r="FI309" s="2330"/>
      <c r="FJ309" s="2330"/>
      <c r="FK309" s="2330"/>
    </row>
    <row r="310" spans="1:167">
      <c r="A310" s="9"/>
      <c r="B310" s="9"/>
      <c r="C310" s="9"/>
      <c r="D310" s="9"/>
      <c r="E310" s="9"/>
      <c r="F310" s="9"/>
      <c r="G310" s="9"/>
      <c r="H310" s="9"/>
      <c r="I310" s="9"/>
      <c r="J310" s="9"/>
      <c r="K310" s="9"/>
      <c r="L310" s="9"/>
      <c r="M310" s="9"/>
      <c r="N310" s="9"/>
      <c r="O310" s="9"/>
      <c r="P310" s="9"/>
      <c r="Q310" s="9"/>
      <c r="R310" s="9"/>
      <c r="S310" s="9"/>
      <c r="T310" s="2332"/>
      <c r="U310" s="9"/>
      <c r="V310" s="9"/>
      <c r="DS310" s="2330"/>
      <c r="DT310" s="2330"/>
      <c r="DU310" s="2330"/>
      <c r="DV310" s="2330"/>
      <c r="DW310" s="2330"/>
      <c r="DX310" s="2330"/>
      <c r="DY310" s="2330"/>
      <c r="DZ310" s="2330"/>
      <c r="EA310" s="2330"/>
      <c r="EB310" s="2330"/>
      <c r="EC310" s="2330"/>
      <c r="ED310" s="2330"/>
      <c r="EE310" s="2330"/>
      <c r="EF310" s="2330"/>
      <c r="EY310" s="2330"/>
      <c r="EZ310" s="2330"/>
      <c r="FA310" s="2330"/>
      <c r="FB310" s="2330"/>
      <c r="FC310" s="2330"/>
      <c r="FD310" s="2330"/>
      <c r="FE310" s="2330"/>
      <c r="FF310" s="2330"/>
      <c r="FG310" s="2330"/>
      <c r="FH310" s="2330"/>
      <c r="FI310" s="2330"/>
      <c r="FJ310" s="2330"/>
      <c r="FK310" s="2330"/>
    </row>
    <row r="311" spans="1:167">
      <c r="A311" s="9"/>
      <c r="B311" s="9"/>
      <c r="C311" s="9"/>
      <c r="D311" s="9"/>
      <c r="E311" s="9"/>
      <c r="F311" s="9"/>
      <c r="G311" s="9"/>
      <c r="H311" s="9"/>
      <c r="I311" s="9"/>
      <c r="J311" s="9"/>
      <c r="K311" s="9"/>
      <c r="L311" s="9"/>
      <c r="M311" s="9"/>
      <c r="N311" s="9"/>
      <c r="O311" s="9"/>
      <c r="P311" s="9"/>
      <c r="Q311" s="9"/>
      <c r="R311" s="9"/>
      <c r="S311" s="9"/>
      <c r="T311" s="2332"/>
      <c r="U311" s="9"/>
      <c r="V311" s="9"/>
      <c r="DS311" s="2330"/>
      <c r="DT311" s="2330"/>
      <c r="DU311" s="2330"/>
      <c r="DV311" s="2330"/>
      <c r="DW311" s="2330"/>
      <c r="DX311" s="2330"/>
      <c r="DY311" s="2330"/>
      <c r="DZ311" s="2330"/>
      <c r="EA311" s="2330"/>
      <c r="EB311" s="2330"/>
      <c r="EC311" s="2330"/>
      <c r="ED311" s="2330"/>
      <c r="EE311" s="2330"/>
      <c r="EF311" s="2330"/>
      <c r="EY311" s="2330"/>
      <c r="EZ311" s="2330"/>
      <c r="FA311" s="2330"/>
      <c r="FB311" s="2330"/>
      <c r="FC311" s="2330"/>
      <c r="FD311" s="2330"/>
      <c r="FE311" s="2330"/>
      <c r="FF311" s="2330"/>
      <c r="FG311" s="2330"/>
      <c r="FH311" s="2330"/>
      <c r="FI311" s="2330"/>
      <c r="FJ311" s="2330"/>
      <c r="FK311" s="2330"/>
    </row>
    <row r="312" spans="1:167">
      <c r="A312" s="9"/>
      <c r="B312" s="9"/>
      <c r="C312" s="9"/>
      <c r="D312" s="9"/>
      <c r="E312" s="9"/>
      <c r="F312" s="9"/>
      <c r="G312" s="9"/>
      <c r="H312" s="9"/>
      <c r="I312" s="9"/>
      <c r="J312" s="9"/>
      <c r="K312" s="9"/>
      <c r="L312" s="9"/>
      <c r="M312" s="9"/>
      <c r="N312" s="9"/>
      <c r="O312" s="9"/>
      <c r="P312" s="9"/>
      <c r="Q312" s="9"/>
      <c r="R312" s="9"/>
      <c r="S312" s="9"/>
      <c r="T312" s="2332"/>
      <c r="U312" s="9"/>
      <c r="V312" s="9"/>
      <c r="DS312" s="2330"/>
      <c r="DT312" s="2330"/>
      <c r="DU312" s="2330"/>
      <c r="DV312" s="2330"/>
      <c r="DW312" s="2330"/>
      <c r="DX312" s="2330"/>
      <c r="DY312" s="2330"/>
      <c r="DZ312" s="2330"/>
      <c r="EA312" s="2330"/>
      <c r="EB312" s="2330"/>
      <c r="EC312" s="2330"/>
      <c r="ED312" s="2330"/>
      <c r="EE312" s="2330"/>
      <c r="EF312" s="2330"/>
      <c r="EY312" s="2330"/>
      <c r="EZ312" s="2330"/>
      <c r="FA312" s="2330"/>
      <c r="FB312" s="2330"/>
      <c r="FC312" s="2330"/>
      <c r="FD312" s="2330"/>
      <c r="FE312" s="2330"/>
      <c r="FF312" s="2330"/>
      <c r="FG312" s="2330"/>
      <c r="FH312" s="2330"/>
      <c r="FI312" s="2330"/>
      <c r="FJ312" s="2330"/>
      <c r="FK312" s="2330"/>
    </row>
    <row r="313" spans="1:167">
      <c r="A313" s="9"/>
      <c r="B313" s="9"/>
      <c r="C313" s="9"/>
      <c r="D313" s="9"/>
      <c r="E313" s="9"/>
      <c r="F313" s="9"/>
      <c r="G313" s="9"/>
      <c r="H313" s="9"/>
      <c r="I313" s="9"/>
      <c r="J313" s="9"/>
      <c r="K313" s="9"/>
      <c r="L313" s="9"/>
      <c r="M313" s="9"/>
      <c r="N313" s="9"/>
      <c r="O313" s="9"/>
      <c r="P313" s="9"/>
      <c r="Q313" s="9"/>
      <c r="R313" s="9"/>
      <c r="S313" s="9"/>
      <c r="T313" s="2332"/>
      <c r="U313" s="9"/>
      <c r="V313" s="9"/>
      <c r="DS313" s="2330"/>
      <c r="DT313" s="2330"/>
      <c r="DU313" s="2330"/>
      <c r="DV313" s="2330"/>
      <c r="DW313" s="2330"/>
      <c r="DX313" s="2330"/>
      <c r="DY313" s="2330"/>
      <c r="DZ313" s="2330"/>
      <c r="EA313" s="2330"/>
      <c r="EB313" s="2330"/>
      <c r="EC313" s="2330"/>
      <c r="ED313" s="2330"/>
      <c r="EE313" s="2330"/>
      <c r="EF313" s="2330"/>
      <c r="EY313" s="2330"/>
      <c r="EZ313" s="2330"/>
      <c r="FA313" s="2330"/>
      <c r="FB313" s="2330"/>
      <c r="FC313" s="2330"/>
      <c r="FD313" s="2330"/>
      <c r="FE313" s="2330"/>
      <c r="FF313" s="2330"/>
      <c r="FG313" s="2330"/>
      <c r="FH313" s="2330"/>
      <c r="FI313" s="2330"/>
      <c r="FJ313" s="2330"/>
      <c r="FK313" s="2330"/>
    </row>
    <row r="314" spans="1:167">
      <c r="A314" s="9"/>
      <c r="B314" s="9"/>
      <c r="C314" s="9"/>
      <c r="D314" s="9"/>
      <c r="E314" s="9"/>
      <c r="F314" s="9"/>
      <c r="G314" s="9"/>
      <c r="H314" s="9"/>
      <c r="I314" s="9"/>
      <c r="J314" s="9"/>
      <c r="K314" s="9"/>
      <c r="L314" s="9"/>
      <c r="M314" s="9"/>
      <c r="N314" s="9"/>
      <c r="O314" s="9"/>
      <c r="P314" s="9"/>
      <c r="Q314" s="9"/>
      <c r="R314" s="9"/>
      <c r="S314" s="9"/>
      <c r="T314" s="2332"/>
      <c r="U314" s="9"/>
      <c r="V314" s="9"/>
      <c r="DS314" s="2330"/>
      <c r="DT314" s="2330"/>
      <c r="DU314" s="2330"/>
      <c r="DV314" s="2330"/>
      <c r="DW314" s="2330"/>
      <c r="DX314" s="2330"/>
      <c r="DY314" s="2330"/>
      <c r="DZ314" s="2330"/>
      <c r="EA314" s="2330"/>
      <c r="EB314" s="2330"/>
      <c r="EC314" s="2330"/>
      <c r="ED314" s="2330"/>
      <c r="EE314" s="2330"/>
      <c r="EF314" s="2330"/>
      <c r="EY314" s="2330"/>
      <c r="EZ314" s="2330"/>
      <c r="FA314" s="2330"/>
      <c r="FB314" s="2330"/>
      <c r="FC314" s="2330"/>
      <c r="FD314" s="2330"/>
      <c r="FE314" s="2330"/>
      <c r="FF314" s="2330"/>
      <c r="FG314" s="2330"/>
      <c r="FH314" s="2330"/>
      <c r="FI314" s="2330"/>
      <c r="FJ314" s="2330"/>
      <c r="FK314" s="2330"/>
    </row>
    <row r="315" spans="1:167">
      <c r="A315" s="9"/>
      <c r="B315" s="9"/>
      <c r="C315" s="9"/>
      <c r="D315" s="9"/>
      <c r="E315" s="9"/>
      <c r="F315" s="9"/>
      <c r="G315" s="9"/>
      <c r="H315" s="9"/>
      <c r="I315" s="9"/>
      <c r="J315" s="9"/>
      <c r="K315" s="9"/>
      <c r="L315" s="9"/>
      <c r="M315" s="9"/>
      <c r="N315" s="9"/>
      <c r="O315" s="9"/>
      <c r="P315" s="9"/>
      <c r="Q315" s="9"/>
      <c r="R315" s="9"/>
      <c r="S315" s="9"/>
      <c r="T315" s="2332"/>
      <c r="U315" s="9"/>
      <c r="V315" s="9"/>
      <c r="DS315" s="2330"/>
      <c r="DT315" s="2330"/>
      <c r="DU315" s="2330"/>
      <c r="DV315" s="2330"/>
      <c r="DW315" s="2330"/>
      <c r="DX315" s="2330"/>
      <c r="DY315" s="2330"/>
      <c r="DZ315" s="2330"/>
      <c r="EA315" s="2330"/>
      <c r="EB315" s="2330"/>
      <c r="EC315" s="2330"/>
      <c r="ED315" s="2330"/>
      <c r="EE315" s="2330"/>
      <c r="EF315" s="2330"/>
      <c r="EY315" s="2330"/>
      <c r="EZ315" s="2330"/>
      <c r="FA315" s="2330"/>
      <c r="FB315" s="2330"/>
      <c r="FC315" s="2330"/>
      <c r="FD315" s="2330"/>
      <c r="FE315" s="2330"/>
      <c r="FF315" s="2330"/>
      <c r="FG315" s="2330"/>
      <c r="FH315" s="2330"/>
      <c r="FI315" s="2330"/>
      <c r="FJ315" s="2330"/>
      <c r="FK315" s="2330"/>
    </row>
    <row r="316" spans="1:167">
      <c r="A316" s="9"/>
      <c r="B316" s="9"/>
      <c r="C316" s="9"/>
      <c r="D316" s="9"/>
      <c r="E316" s="9"/>
      <c r="F316" s="9"/>
      <c r="G316" s="9"/>
      <c r="H316" s="9"/>
      <c r="I316" s="9"/>
      <c r="J316" s="9"/>
      <c r="K316" s="9"/>
      <c r="L316" s="9"/>
      <c r="M316" s="9"/>
      <c r="N316" s="9"/>
      <c r="O316" s="9"/>
      <c r="P316" s="9"/>
      <c r="Q316" s="9"/>
      <c r="R316" s="9"/>
      <c r="S316" s="9"/>
      <c r="T316" s="2332"/>
      <c r="U316" s="9"/>
      <c r="V316" s="9"/>
      <c r="DS316" s="2330"/>
      <c r="DT316" s="2330"/>
      <c r="DU316" s="2330"/>
      <c r="DV316" s="2330"/>
      <c r="DW316" s="2330"/>
      <c r="DX316" s="2330"/>
      <c r="DY316" s="2330"/>
      <c r="DZ316" s="2330"/>
      <c r="EA316" s="2330"/>
      <c r="EB316" s="2330"/>
      <c r="EC316" s="2330"/>
      <c r="ED316" s="2330"/>
      <c r="EE316" s="2330"/>
      <c r="EF316" s="2330"/>
      <c r="EY316" s="2330"/>
      <c r="EZ316" s="2330"/>
      <c r="FA316" s="2330"/>
      <c r="FB316" s="2330"/>
      <c r="FC316" s="2330"/>
      <c r="FD316" s="2330"/>
      <c r="FE316" s="2330"/>
      <c r="FF316" s="2330"/>
      <c r="FG316" s="2330"/>
      <c r="FH316" s="2330"/>
      <c r="FI316" s="2330"/>
      <c r="FJ316" s="2330"/>
      <c r="FK316" s="2330"/>
    </row>
    <row r="317" spans="1:167">
      <c r="A317" s="9"/>
      <c r="B317" s="9"/>
      <c r="C317" s="9"/>
      <c r="D317" s="9"/>
      <c r="E317" s="9"/>
      <c r="F317" s="9"/>
      <c r="G317" s="9"/>
      <c r="H317" s="9"/>
      <c r="I317" s="9"/>
      <c r="J317" s="9"/>
      <c r="K317" s="9"/>
      <c r="L317" s="9"/>
      <c r="M317" s="9"/>
      <c r="N317" s="9"/>
      <c r="O317" s="9"/>
      <c r="P317" s="9"/>
      <c r="Q317" s="9"/>
      <c r="R317" s="9"/>
      <c r="S317" s="9"/>
      <c r="T317" s="2332"/>
      <c r="U317" s="9"/>
      <c r="V317" s="9"/>
      <c r="DS317" s="2330"/>
      <c r="DT317" s="2330"/>
      <c r="DU317" s="2330"/>
      <c r="DV317" s="2330"/>
      <c r="DW317" s="2330"/>
      <c r="DX317" s="2330"/>
      <c r="DY317" s="2330"/>
      <c r="DZ317" s="2330"/>
      <c r="EA317" s="2330"/>
      <c r="EB317" s="2330"/>
      <c r="EC317" s="2330"/>
      <c r="ED317" s="2330"/>
      <c r="EE317" s="2330"/>
      <c r="EF317" s="2330"/>
      <c r="EY317" s="2330"/>
      <c r="EZ317" s="2330"/>
      <c r="FA317" s="2330"/>
      <c r="FB317" s="2330"/>
      <c r="FC317" s="2330"/>
      <c r="FD317" s="2330"/>
      <c r="FE317" s="2330"/>
      <c r="FF317" s="2330"/>
      <c r="FG317" s="2330"/>
      <c r="FH317" s="2330"/>
      <c r="FI317" s="2330"/>
      <c r="FJ317" s="2330"/>
      <c r="FK317" s="2330"/>
    </row>
    <row r="318" spans="1:167">
      <c r="A318" s="9"/>
      <c r="B318" s="9"/>
      <c r="C318" s="9"/>
      <c r="D318" s="9"/>
      <c r="E318" s="9"/>
      <c r="F318" s="9"/>
      <c r="G318" s="9"/>
      <c r="H318" s="9"/>
      <c r="I318" s="9"/>
      <c r="J318" s="9"/>
      <c r="K318" s="9"/>
      <c r="L318" s="9"/>
      <c r="M318" s="9"/>
      <c r="N318" s="9"/>
      <c r="O318" s="9"/>
      <c r="P318" s="9"/>
      <c r="Q318" s="9"/>
      <c r="R318" s="9"/>
      <c r="S318" s="9"/>
      <c r="T318" s="2332"/>
      <c r="U318" s="9"/>
      <c r="V318" s="9"/>
      <c r="DS318" s="2330"/>
      <c r="DT318" s="2330"/>
      <c r="DU318" s="2330"/>
      <c r="DV318" s="2330"/>
      <c r="DW318" s="2330"/>
      <c r="DX318" s="2330"/>
      <c r="DY318" s="2330"/>
      <c r="DZ318" s="2330"/>
      <c r="EA318" s="2330"/>
      <c r="EB318" s="2330"/>
      <c r="EC318" s="2330"/>
      <c r="ED318" s="2330"/>
      <c r="EE318" s="2330"/>
      <c r="EF318" s="2330"/>
      <c r="EY318" s="2330"/>
      <c r="EZ318" s="2330"/>
      <c r="FA318" s="2330"/>
      <c r="FB318" s="2330"/>
      <c r="FC318" s="2330"/>
      <c r="FD318" s="2330"/>
      <c r="FE318" s="2330"/>
      <c r="FF318" s="2330"/>
      <c r="FG318" s="2330"/>
      <c r="FH318" s="2330"/>
      <c r="FI318" s="2330"/>
      <c r="FJ318" s="2330"/>
      <c r="FK318" s="2330"/>
    </row>
    <row r="319" spans="1:167">
      <c r="A319" s="9"/>
      <c r="B319" s="9"/>
      <c r="C319" s="9"/>
      <c r="D319" s="9"/>
      <c r="E319" s="9"/>
      <c r="F319" s="9"/>
      <c r="G319" s="9"/>
      <c r="H319" s="9"/>
      <c r="I319" s="9"/>
      <c r="J319" s="9"/>
      <c r="K319" s="9"/>
      <c r="L319" s="9"/>
      <c r="M319" s="9"/>
      <c r="N319" s="9"/>
      <c r="O319" s="9"/>
      <c r="P319" s="9"/>
      <c r="Q319" s="9"/>
      <c r="R319" s="9"/>
      <c r="S319" s="9"/>
      <c r="T319" s="2332"/>
      <c r="U319" s="9"/>
      <c r="V319" s="9"/>
      <c r="DS319" s="2330"/>
      <c r="DT319" s="2330"/>
      <c r="DU319" s="2330"/>
      <c r="DV319" s="2330"/>
      <c r="DW319" s="2330"/>
      <c r="DX319" s="2330"/>
      <c r="DY319" s="2330"/>
      <c r="DZ319" s="2330"/>
      <c r="EA319" s="2330"/>
      <c r="EB319" s="2330"/>
      <c r="EC319" s="2330"/>
      <c r="ED319" s="2330"/>
      <c r="EE319" s="2330"/>
      <c r="EF319" s="2330"/>
      <c r="EY319" s="2330"/>
      <c r="EZ319" s="2330"/>
      <c r="FA319" s="2330"/>
      <c r="FB319" s="2330"/>
      <c r="FC319" s="2330"/>
      <c r="FD319" s="2330"/>
      <c r="FE319" s="2330"/>
      <c r="FF319" s="2330"/>
      <c r="FG319" s="2330"/>
      <c r="FH319" s="2330"/>
      <c r="FI319" s="2330"/>
      <c r="FJ319" s="2330"/>
      <c r="FK319" s="2330"/>
    </row>
    <row r="320" spans="1:167">
      <c r="A320" s="9"/>
      <c r="B320" s="9"/>
      <c r="C320" s="9"/>
      <c r="D320" s="9"/>
      <c r="E320" s="9"/>
      <c r="F320" s="9"/>
      <c r="G320" s="9"/>
      <c r="H320" s="9"/>
      <c r="I320" s="9"/>
      <c r="J320" s="9"/>
      <c r="K320" s="9"/>
      <c r="L320" s="9"/>
      <c r="M320" s="9"/>
      <c r="N320" s="9"/>
      <c r="O320" s="9"/>
      <c r="P320" s="9"/>
      <c r="Q320" s="9"/>
      <c r="R320" s="9"/>
      <c r="S320" s="9"/>
      <c r="T320" s="2332"/>
      <c r="U320" s="9"/>
      <c r="V320" s="9"/>
      <c r="DS320" s="2330"/>
      <c r="DT320" s="2330"/>
      <c r="DU320" s="2330"/>
      <c r="DV320" s="2330"/>
      <c r="DW320" s="2330"/>
      <c r="DX320" s="2330"/>
      <c r="DY320" s="2330"/>
      <c r="DZ320" s="2330"/>
      <c r="EA320" s="2330"/>
      <c r="EB320" s="2330"/>
      <c r="EC320" s="2330"/>
      <c r="ED320" s="2330"/>
      <c r="EE320" s="2330"/>
      <c r="EF320" s="2330"/>
      <c r="EY320" s="2330"/>
      <c r="EZ320" s="2330"/>
      <c r="FA320" s="2330"/>
      <c r="FB320" s="2330"/>
      <c r="FC320" s="2330"/>
      <c r="FD320" s="2330"/>
      <c r="FE320" s="2330"/>
      <c r="FF320" s="2330"/>
      <c r="FG320" s="2330"/>
      <c r="FH320" s="2330"/>
      <c r="FI320" s="2330"/>
      <c r="FJ320" s="2330"/>
      <c r="FK320" s="2330"/>
    </row>
    <row r="321" spans="1:167">
      <c r="A321" s="9"/>
      <c r="B321" s="9"/>
      <c r="C321" s="9"/>
      <c r="D321" s="9"/>
      <c r="E321" s="9"/>
      <c r="F321" s="9"/>
      <c r="G321" s="9"/>
      <c r="H321" s="9"/>
      <c r="I321" s="9"/>
      <c r="J321" s="9"/>
      <c r="K321" s="9"/>
      <c r="L321" s="9"/>
      <c r="M321" s="9"/>
      <c r="N321" s="9"/>
      <c r="O321" s="9"/>
      <c r="P321" s="9"/>
      <c r="Q321" s="9"/>
      <c r="R321" s="9"/>
      <c r="S321" s="9"/>
      <c r="T321" s="2332"/>
      <c r="U321" s="9"/>
      <c r="V321" s="9"/>
      <c r="DS321" s="2330"/>
      <c r="DT321" s="2330"/>
      <c r="DU321" s="2330"/>
      <c r="DV321" s="2330"/>
      <c r="DW321" s="2330"/>
      <c r="DX321" s="2330"/>
      <c r="DY321" s="2330"/>
      <c r="DZ321" s="2330"/>
      <c r="EA321" s="2330"/>
      <c r="EB321" s="2330"/>
      <c r="EC321" s="2330"/>
      <c r="ED321" s="2330"/>
      <c r="EE321" s="2330"/>
      <c r="EF321" s="2330"/>
      <c r="EY321" s="2330"/>
      <c r="EZ321" s="2330"/>
      <c r="FA321" s="2330"/>
      <c r="FB321" s="2330"/>
      <c r="FC321" s="2330"/>
      <c r="FD321" s="2330"/>
      <c r="FE321" s="2330"/>
      <c r="FF321" s="2330"/>
      <c r="FG321" s="2330"/>
      <c r="FH321" s="2330"/>
      <c r="FI321" s="2330"/>
      <c r="FJ321" s="2330"/>
      <c r="FK321" s="2330"/>
    </row>
    <row r="322" spans="1:167">
      <c r="A322" s="9"/>
      <c r="B322" s="9"/>
      <c r="C322" s="9"/>
      <c r="D322" s="9"/>
      <c r="E322" s="9"/>
      <c r="F322" s="9"/>
      <c r="G322" s="9"/>
      <c r="H322" s="9"/>
      <c r="I322" s="9"/>
      <c r="J322" s="9"/>
      <c r="K322" s="9"/>
      <c r="L322" s="9"/>
      <c r="M322" s="9"/>
      <c r="N322" s="9"/>
      <c r="O322" s="9"/>
      <c r="P322" s="9"/>
      <c r="Q322" s="9"/>
      <c r="R322" s="9"/>
      <c r="S322" s="9"/>
      <c r="T322" s="2332"/>
      <c r="U322" s="9"/>
      <c r="V322" s="9"/>
      <c r="DS322" s="2330"/>
      <c r="DT322" s="2330"/>
      <c r="DU322" s="2330"/>
      <c r="DV322" s="2330"/>
      <c r="DW322" s="2330"/>
      <c r="DX322" s="2330"/>
      <c r="DY322" s="2330"/>
      <c r="DZ322" s="2330"/>
      <c r="EA322" s="2330"/>
      <c r="EB322" s="2330"/>
      <c r="EC322" s="2330"/>
      <c r="ED322" s="2330"/>
      <c r="EE322" s="2330"/>
      <c r="EF322" s="2330"/>
      <c r="EY322" s="2330"/>
      <c r="EZ322" s="2330"/>
      <c r="FA322" s="2330"/>
      <c r="FB322" s="2330"/>
      <c r="FC322" s="2330"/>
      <c r="FD322" s="2330"/>
      <c r="FE322" s="2330"/>
      <c r="FF322" s="2330"/>
      <c r="FG322" s="2330"/>
      <c r="FH322" s="2330"/>
      <c r="FI322" s="2330"/>
      <c r="FJ322" s="2330"/>
      <c r="FK322" s="2330"/>
    </row>
    <row r="323" spans="1:167">
      <c r="A323" s="9"/>
      <c r="B323" s="9"/>
      <c r="C323" s="9"/>
      <c r="D323" s="9"/>
      <c r="E323" s="9"/>
      <c r="F323" s="9"/>
      <c r="G323" s="9"/>
      <c r="H323" s="9"/>
      <c r="I323" s="9"/>
      <c r="J323" s="9"/>
      <c r="K323" s="9"/>
      <c r="L323" s="9"/>
      <c r="M323" s="9"/>
      <c r="N323" s="9"/>
      <c r="O323" s="9"/>
      <c r="P323" s="9"/>
      <c r="Q323" s="9"/>
      <c r="R323" s="9"/>
      <c r="S323" s="9"/>
      <c r="T323" s="2332"/>
      <c r="U323" s="9"/>
      <c r="V323" s="9"/>
      <c r="DS323" s="2330"/>
      <c r="DT323" s="2330"/>
      <c r="DU323" s="2330"/>
      <c r="DV323" s="2330"/>
      <c r="DW323" s="2330"/>
      <c r="DX323" s="2330"/>
      <c r="DY323" s="2330"/>
      <c r="DZ323" s="2330"/>
      <c r="EA323" s="2330"/>
      <c r="EB323" s="2330"/>
      <c r="EC323" s="2330"/>
      <c r="ED323" s="2330"/>
      <c r="EE323" s="2330"/>
      <c r="EF323" s="2330"/>
      <c r="EY323" s="2330"/>
      <c r="EZ323" s="2330"/>
      <c r="FA323" s="2330"/>
      <c r="FB323" s="2330"/>
      <c r="FC323" s="2330"/>
      <c r="FD323" s="2330"/>
      <c r="FE323" s="2330"/>
      <c r="FF323" s="2330"/>
      <c r="FG323" s="2330"/>
      <c r="FH323" s="2330"/>
      <c r="FI323" s="2330"/>
      <c r="FJ323" s="2330"/>
      <c r="FK323" s="2330"/>
    </row>
    <row r="324" spans="1:167">
      <c r="A324" s="9"/>
      <c r="B324" s="9"/>
      <c r="C324" s="9"/>
      <c r="D324" s="9"/>
      <c r="E324" s="9"/>
      <c r="F324" s="9"/>
      <c r="G324" s="9"/>
      <c r="H324" s="9"/>
      <c r="I324" s="9"/>
      <c r="J324" s="9"/>
      <c r="K324" s="9"/>
      <c r="L324" s="9"/>
      <c r="M324" s="9"/>
      <c r="N324" s="9"/>
      <c r="O324" s="9"/>
      <c r="P324" s="9"/>
      <c r="Q324" s="9"/>
      <c r="R324" s="9"/>
      <c r="S324" s="9"/>
      <c r="T324" s="2332"/>
      <c r="U324" s="9"/>
      <c r="V324" s="9"/>
      <c r="DS324" s="2330"/>
      <c r="DT324" s="2330"/>
      <c r="DU324" s="2330"/>
      <c r="DV324" s="2330"/>
      <c r="DW324" s="2330"/>
      <c r="DX324" s="2330"/>
      <c r="DY324" s="2330"/>
      <c r="DZ324" s="2330"/>
      <c r="EA324" s="2330"/>
      <c r="EB324" s="2330"/>
      <c r="EC324" s="2330"/>
      <c r="ED324" s="2330"/>
      <c r="EE324" s="2330"/>
      <c r="EF324" s="2330"/>
      <c r="EY324" s="2330"/>
      <c r="EZ324" s="2330"/>
      <c r="FA324" s="2330"/>
      <c r="FB324" s="2330"/>
      <c r="FC324" s="2330"/>
      <c r="FD324" s="2330"/>
      <c r="FE324" s="2330"/>
      <c r="FF324" s="2330"/>
      <c r="FG324" s="2330"/>
      <c r="FH324" s="2330"/>
      <c r="FI324" s="2330"/>
      <c r="FJ324" s="2330"/>
      <c r="FK324" s="2330"/>
    </row>
    <row r="325" spans="1:167">
      <c r="A325" s="9"/>
      <c r="B325" s="9"/>
      <c r="C325" s="9"/>
      <c r="D325" s="9"/>
      <c r="E325" s="9"/>
      <c r="F325" s="9"/>
      <c r="G325" s="9"/>
      <c r="H325" s="9"/>
      <c r="I325" s="9"/>
      <c r="J325" s="9"/>
      <c r="K325" s="9"/>
      <c r="L325" s="9"/>
      <c r="M325" s="9"/>
      <c r="N325" s="9"/>
      <c r="O325" s="9"/>
      <c r="P325" s="9"/>
      <c r="Q325" s="9"/>
      <c r="R325" s="9"/>
      <c r="S325" s="9"/>
      <c r="T325" s="2332"/>
      <c r="U325" s="9"/>
      <c r="V325" s="9"/>
      <c r="DS325" s="2330"/>
      <c r="DT325" s="2330"/>
      <c r="DU325" s="2330"/>
      <c r="DV325" s="2330"/>
      <c r="DW325" s="2330"/>
      <c r="DX325" s="2330"/>
      <c r="DY325" s="2330"/>
      <c r="DZ325" s="2330"/>
      <c r="EA325" s="2330"/>
      <c r="EB325" s="2330"/>
      <c r="EC325" s="2330"/>
      <c r="ED325" s="2330"/>
      <c r="EE325" s="2330"/>
      <c r="EF325" s="2330"/>
      <c r="EY325" s="2330"/>
      <c r="EZ325" s="2330"/>
      <c r="FA325" s="2330"/>
      <c r="FB325" s="2330"/>
      <c r="FC325" s="2330"/>
      <c r="FD325" s="2330"/>
      <c r="FE325" s="2330"/>
      <c r="FF325" s="2330"/>
      <c r="FG325" s="2330"/>
      <c r="FH325" s="2330"/>
      <c r="FI325" s="2330"/>
      <c r="FJ325" s="2330"/>
      <c r="FK325" s="2330"/>
    </row>
    <row r="326" spans="1:167">
      <c r="A326" s="9"/>
      <c r="B326" s="9"/>
      <c r="C326" s="9"/>
      <c r="D326" s="9"/>
      <c r="E326" s="9"/>
      <c r="F326" s="9"/>
      <c r="G326" s="9"/>
      <c r="H326" s="9"/>
      <c r="I326" s="9"/>
      <c r="J326" s="9"/>
      <c r="K326" s="9"/>
      <c r="L326" s="9"/>
      <c r="M326" s="9"/>
      <c r="N326" s="9"/>
      <c r="O326" s="9"/>
      <c r="P326" s="9"/>
      <c r="Q326" s="9"/>
      <c r="R326" s="9"/>
      <c r="S326" s="9"/>
      <c r="T326" s="2332"/>
      <c r="U326" s="9"/>
      <c r="V326" s="9"/>
      <c r="DS326" s="2330"/>
      <c r="DT326" s="2330"/>
      <c r="DU326" s="2330"/>
      <c r="DV326" s="2330"/>
      <c r="DW326" s="2330"/>
      <c r="DX326" s="2330"/>
      <c r="DY326" s="2330"/>
      <c r="DZ326" s="2330"/>
      <c r="EA326" s="2330"/>
      <c r="EB326" s="2330"/>
      <c r="EC326" s="2330"/>
      <c r="ED326" s="2330"/>
      <c r="EE326" s="2330"/>
      <c r="EF326" s="2330"/>
      <c r="EY326" s="2330"/>
      <c r="EZ326" s="2330"/>
      <c r="FA326" s="2330"/>
      <c r="FB326" s="2330"/>
      <c r="FC326" s="2330"/>
      <c r="FD326" s="2330"/>
      <c r="FE326" s="2330"/>
      <c r="FF326" s="2330"/>
      <c r="FG326" s="2330"/>
      <c r="FH326" s="2330"/>
      <c r="FI326" s="2330"/>
      <c r="FJ326" s="2330"/>
      <c r="FK326" s="2330"/>
    </row>
    <row r="327" spans="1:167">
      <c r="A327" s="9"/>
      <c r="B327" s="9"/>
      <c r="C327" s="9"/>
      <c r="D327" s="9"/>
      <c r="E327" s="9"/>
      <c r="F327" s="9"/>
      <c r="G327" s="9"/>
      <c r="H327" s="9"/>
      <c r="I327" s="9"/>
      <c r="J327" s="9"/>
      <c r="K327" s="9"/>
      <c r="L327" s="9"/>
      <c r="M327" s="9"/>
      <c r="N327" s="9"/>
      <c r="O327" s="9"/>
      <c r="P327" s="9"/>
      <c r="Q327" s="9"/>
      <c r="R327" s="9"/>
      <c r="S327" s="9"/>
      <c r="T327" s="2332"/>
      <c r="U327" s="9"/>
      <c r="V327" s="9"/>
      <c r="DS327" s="2330"/>
      <c r="DT327" s="2330"/>
      <c r="DU327" s="2330"/>
      <c r="DV327" s="2330"/>
      <c r="DW327" s="2330"/>
      <c r="DX327" s="2330"/>
      <c r="DY327" s="2330"/>
      <c r="DZ327" s="2330"/>
      <c r="EA327" s="2330"/>
      <c r="EB327" s="2330"/>
      <c r="EC327" s="2330"/>
      <c r="ED327" s="2330"/>
      <c r="EE327" s="2330"/>
      <c r="EF327" s="2330"/>
      <c r="EY327" s="2330"/>
      <c r="EZ327" s="2330"/>
      <c r="FA327" s="2330"/>
      <c r="FB327" s="2330"/>
      <c r="FC327" s="2330"/>
      <c r="FD327" s="2330"/>
      <c r="FE327" s="2330"/>
      <c r="FF327" s="2330"/>
      <c r="FG327" s="2330"/>
      <c r="FH327" s="2330"/>
      <c r="FI327" s="2330"/>
      <c r="FJ327" s="2330"/>
      <c r="FK327" s="2330"/>
    </row>
    <row r="328" spans="1:167">
      <c r="A328" s="9"/>
      <c r="B328" s="9"/>
      <c r="C328" s="9"/>
      <c r="D328" s="9"/>
      <c r="E328" s="9"/>
      <c r="F328" s="9"/>
      <c r="G328" s="9"/>
      <c r="H328" s="9"/>
      <c r="I328" s="9"/>
      <c r="J328" s="9"/>
      <c r="K328" s="9"/>
      <c r="L328" s="9"/>
      <c r="M328" s="9"/>
      <c r="N328" s="9"/>
      <c r="O328" s="9"/>
      <c r="P328" s="9"/>
      <c r="Q328" s="9"/>
      <c r="R328" s="9"/>
      <c r="S328" s="9"/>
      <c r="T328" s="2332"/>
      <c r="U328" s="9"/>
      <c r="V328" s="9"/>
      <c r="DS328" s="2330"/>
      <c r="DT328" s="2330"/>
      <c r="DU328" s="2330"/>
      <c r="DV328" s="2330"/>
      <c r="DW328" s="2330"/>
      <c r="DX328" s="2330"/>
      <c r="DY328" s="2330"/>
      <c r="DZ328" s="2330"/>
      <c r="EA328" s="2330"/>
      <c r="EB328" s="2330"/>
      <c r="EC328" s="2330"/>
      <c r="ED328" s="2330"/>
      <c r="EE328" s="2330"/>
      <c r="EF328" s="2330"/>
      <c r="EY328" s="2330"/>
      <c r="EZ328" s="2330"/>
      <c r="FA328" s="2330"/>
      <c r="FB328" s="2330"/>
      <c r="FC328" s="2330"/>
      <c r="FD328" s="2330"/>
      <c r="FE328" s="2330"/>
      <c r="FF328" s="2330"/>
      <c r="FG328" s="2330"/>
      <c r="FH328" s="2330"/>
      <c r="FI328" s="2330"/>
      <c r="FJ328" s="2330"/>
      <c r="FK328" s="2330"/>
    </row>
    <row r="329" spans="1:167">
      <c r="A329" s="9"/>
      <c r="B329" s="9"/>
      <c r="C329" s="9"/>
      <c r="D329" s="9"/>
      <c r="E329" s="9"/>
      <c r="F329" s="9"/>
      <c r="G329" s="9"/>
      <c r="H329" s="9"/>
      <c r="I329" s="9"/>
      <c r="J329" s="9"/>
      <c r="K329" s="9"/>
      <c r="L329" s="9"/>
      <c r="M329" s="9"/>
      <c r="N329" s="9"/>
      <c r="O329" s="9"/>
      <c r="P329" s="9"/>
      <c r="Q329" s="9"/>
      <c r="R329" s="9"/>
      <c r="S329" s="9"/>
      <c r="T329" s="2332"/>
      <c r="U329" s="9"/>
      <c r="V329" s="9"/>
      <c r="DS329" s="2330"/>
      <c r="DT329" s="2330"/>
      <c r="DU329" s="2330"/>
      <c r="DV329" s="2330"/>
      <c r="DW329" s="2330"/>
      <c r="DX329" s="2330"/>
      <c r="DY329" s="2330"/>
      <c r="DZ329" s="2330"/>
      <c r="EA329" s="2330"/>
      <c r="EB329" s="2330"/>
      <c r="EC329" s="2330"/>
      <c r="ED329" s="2330"/>
      <c r="EE329" s="2330"/>
      <c r="EF329" s="2330"/>
      <c r="EY329" s="2330"/>
      <c r="EZ329" s="2330"/>
      <c r="FA329" s="2330"/>
      <c r="FB329" s="2330"/>
      <c r="FC329" s="2330"/>
      <c r="FD329" s="2330"/>
      <c r="FE329" s="2330"/>
      <c r="FF329" s="2330"/>
      <c r="FG329" s="2330"/>
      <c r="FH329" s="2330"/>
      <c r="FI329" s="2330"/>
      <c r="FJ329" s="2330"/>
      <c r="FK329" s="2330"/>
    </row>
    <row r="330" spans="1:167">
      <c r="A330" s="9"/>
      <c r="B330" s="9"/>
      <c r="C330" s="9"/>
      <c r="D330" s="9"/>
      <c r="E330" s="9"/>
      <c r="F330" s="9"/>
      <c r="G330" s="9"/>
      <c r="H330" s="9"/>
      <c r="I330" s="9"/>
      <c r="J330" s="9"/>
      <c r="K330" s="9"/>
      <c r="L330" s="9"/>
      <c r="M330" s="9"/>
      <c r="N330" s="9"/>
      <c r="O330" s="9"/>
      <c r="P330" s="9"/>
      <c r="Q330" s="9"/>
      <c r="R330" s="9"/>
      <c r="S330" s="9"/>
      <c r="T330" s="2332"/>
      <c r="U330" s="9"/>
      <c r="V330" s="9"/>
      <c r="DS330" s="2330"/>
      <c r="DT330" s="2330"/>
      <c r="DU330" s="2330"/>
      <c r="DV330" s="2330"/>
      <c r="DW330" s="2330"/>
      <c r="DX330" s="2330"/>
      <c r="DY330" s="2330"/>
      <c r="DZ330" s="2330"/>
      <c r="EA330" s="2330"/>
      <c r="EB330" s="2330"/>
      <c r="EC330" s="2330"/>
      <c r="ED330" s="2330"/>
      <c r="EE330" s="2330"/>
      <c r="EF330" s="2330"/>
      <c r="EY330" s="2330"/>
      <c r="EZ330" s="2330"/>
      <c r="FA330" s="2330"/>
      <c r="FB330" s="2330"/>
      <c r="FC330" s="2330"/>
      <c r="FD330" s="2330"/>
      <c r="FE330" s="2330"/>
      <c r="FF330" s="2330"/>
      <c r="FG330" s="2330"/>
      <c r="FH330" s="2330"/>
      <c r="FI330" s="2330"/>
      <c r="FJ330" s="2330"/>
      <c r="FK330" s="2330"/>
    </row>
    <row r="331" spans="1:167">
      <c r="A331" s="9"/>
      <c r="B331" s="9"/>
      <c r="C331" s="9"/>
      <c r="D331" s="9"/>
      <c r="E331" s="9"/>
      <c r="F331" s="9"/>
      <c r="G331" s="9"/>
      <c r="H331" s="9"/>
      <c r="I331" s="9"/>
      <c r="J331" s="9"/>
      <c r="K331" s="9"/>
      <c r="L331" s="9"/>
      <c r="M331" s="9"/>
      <c r="N331" s="9"/>
      <c r="O331" s="9"/>
      <c r="P331" s="9"/>
      <c r="Q331" s="9"/>
      <c r="R331" s="9"/>
      <c r="S331" s="9"/>
      <c r="T331" s="2332"/>
      <c r="U331" s="9"/>
      <c r="V331" s="9"/>
      <c r="DS331" s="2330"/>
      <c r="DT331" s="2330"/>
      <c r="DU331" s="2330"/>
      <c r="DV331" s="2330"/>
      <c r="DW331" s="2330"/>
      <c r="DX331" s="2330"/>
      <c r="DY331" s="2330"/>
      <c r="DZ331" s="2330"/>
      <c r="EA331" s="2330"/>
      <c r="EB331" s="2330"/>
      <c r="EC331" s="2330"/>
      <c r="ED331" s="2330"/>
      <c r="EE331" s="2330"/>
      <c r="EF331" s="2330"/>
      <c r="EY331" s="2330"/>
      <c r="EZ331" s="2330"/>
      <c r="FA331" s="2330"/>
      <c r="FB331" s="2330"/>
      <c r="FC331" s="2330"/>
      <c r="FD331" s="2330"/>
      <c r="FE331" s="2330"/>
      <c r="FF331" s="2330"/>
      <c r="FG331" s="2330"/>
      <c r="FH331" s="2330"/>
      <c r="FI331" s="2330"/>
      <c r="FJ331" s="2330"/>
      <c r="FK331" s="2330"/>
    </row>
    <row r="332" spans="1:167">
      <c r="A332" s="9"/>
      <c r="B332" s="9"/>
      <c r="C332" s="9"/>
      <c r="D332" s="9"/>
      <c r="E332" s="9"/>
      <c r="F332" s="9"/>
      <c r="G332" s="9"/>
      <c r="H332" s="9"/>
      <c r="I332" s="9"/>
      <c r="J332" s="9"/>
      <c r="K332" s="9"/>
      <c r="L332" s="9"/>
      <c r="M332" s="9"/>
      <c r="N332" s="9"/>
      <c r="O332" s="9"/>
      <c r="P332" s="9"/>
      <c r="Q332" s="9"/>
      <c r="R332" s="9"/>
      <c r="S332" s="9"/>
      <c r="T332" s="2332"/>
      <c r="U332" s="9"/>
      <c r="V332" s="9"/>
      <c r="DS332" s="2330"/>
      <c r="DT332" s="2330"/>
      <c r="DU332" s="2330"/>
      <c r="DV332" s="2330"/>
      <c r="DW332" s="2330"/>
      <c r="DX332" s="2330"/>
      <c r="DY332" s="2330"/>
      <c r="DZ332" s="2330"/>
      <c r="EA332" s="2330"/>
      <c r="EB332" s="2330"/>
      <c r="EC332" s="2330"/>
      <c r="ED332" s="2330"/>
      <c r="EE332" s="2330"/>
      <c r="EF332" s="2330"/>
      <c r="EY332" s="2330"/>
      <c r="EZ332" s="2330"/>
      <c r="FA332" s="2330"/>
      <c r="FB332" s="2330"/>
      <c r="FC332" s="2330"/>
      <c r="FD332" s="2330"/>
      <c r="FE332" s="2330"/>
      <c r="FF332" s="2330"/>
      <c r="FG332" s="2330"/>
      <c r="FH332" s="2330"/>
      <c r="FI332" s="2330"/>
      <c r="FJ332" s="2330"/>
      <c r="FK332" s="2330"/>
    </row>
    <row r="333" spans="1:167">
      <c r="A333" s="9"/>
      <c r="B333" s="9"/>
      <c r="C333" s="9"/>
      <c r="D333" s="9"/>
      <c r="E333" s="9"/>
      <c r="F333" s="9"/>
      <c r="G333" s="9"/>
      <c r="H333" s="9"/>
      <c r="I333" s="9"/>
      <c r="J333" s="9"/>
      <c r="K333" s="9"/>
      <c r="L333" s="9"/>
      <c r="M333" s="9"/>
      <c r="N333" s="9"/>
      <c r="O333" s="9"/>
      <c r="P333" s="9"/>
      <c r="Q333" s="9"/>
      <c r="R333" s="9"/>
      <c r="S333" s="9"/>
      <c r="T333" s="2332"/>
      <c r="U333" s="9"/>
      <c r="V333" s="9"/>
      <c r="DS333" s="2330"/>
      <c r="DT333" s="2330"/>
      <c r="DU333" s="2330"/>
      <c r="DV333" s="2330"/>
      <c r="DW333" s="2330"/>
      <c r="DX333" s="2330"/>
      <c r="DY333" s="2330"/>
      <c r="DZ333" s="2330"/>
      <c r="EA333" s="2330"/>
      <c r="EB333" s="2330"/>
      <c r="EC333" s="2330"/>
      <c r="ED333" s="2330"/>
      <c r="EE333" s="2330"/>
      <c r="EF333" s="2330"/>
      <c r="EY333" s="2330"/>
      <c r="EZ333" s="2330"/>
      <c r="FA333" s="2330"/>
      <c r="FB333" s="2330"/>
      <c r="FC333" s="2330"/>
      <c r="FD333" s="2330"/>
      <c r="FE333" s="2330"/>
      <c r="FF333" s="2330"/>
      <c r="FG333" s="2330"/>
      <c r="FH333" s="2330"/>
      <c r="FI333" s="2330"/>
      <c r="FJ333" s="2330"/>
      <c r="FK333" s="2330"/>
    </row>
    <row r="334" spans="1:167">
      <c r="A334" s="9"/>
      <c r="B334" s="9"/>
      <c r="C334" s="9"/>
      <c r="D334" s="9"/>
      <c r="E334" s="9"/>
      <c r="F334" s="9"/>
      <c r="G334" s="9"/>
      <c r="H334" s="9"/>
      <c r="I334" s="9"/>
      <c r="J334" s="9"/>
      <c r="K334" s="9"/>
      <c r="L334" s="9"/>
      <c r="M334" s="9"/>
      <c r="N334" s="9"/>
      <c r="O334" s="9"/>
      <c r="P334" s="9"/>
      <c r="Q334" s="9"/>
      <c r="R334" s="9"/>
      <c r="S334" s="9"/>
      <c r="T334" s="2332"/>
      <c r="U334" s="9"/>
      <c r="V334" s="9"/>
    </row>
    <row r="335" spans="1:167">
      <c r="A335" s="9"/>
      <c r="B335" s="9"/>
      <c r="C335" s="9"/>
      <c r="D335" s="9"/>
      <c r="E335" s="9"/>
      <c r="F335" s="9"/>
      <c r="G335" s="9"/>
      <c r="H335" s="9"/>
      <c r="I335" s="9"/>
      <c r="J335" s="9"/>
      <c r="K335" s="9"/>
      <c r="L335" s="9"/>
      <c r="M335" s="9"/>
      <c r="N335" s="9"/>
      <c r="O335" s="9"/>
      <c r="P335" s="9"/>
      <c r="Q335" s="9"/>
      <c r="R335" s="9"/>
      <c r="S335" s="9"/>
      <c r="T335" s="2332"/>
      <c r="U335" s="9"/>
      <c r="V335" s="9"/>
    </row>
    <row r="336" spans="1:167">
      <c r="A336" s="9"/>
      <c r="B336" s="9"/>
      <c r="C336" s="9"/>
      <c r="D336" s="9"/>
      <c r="E336" s="9"/>
      <c r="F336" s="9"/>
      <c r="G336" s="9"/>
      <c r="H336" s="9"/>
      <c r="I336" s="9"/>
      <c r="J336" s="9"/>
      <c r="K336" s="9"/>
      <c r="L336" s="9"/>
      <c r="M336" s="9"/>
      <c r="N336" s="9"/>
      <c r="O336" s="9"/>
      <c r="P336" s="9"/>
      <c r="Q336" s="9"/>
      <c r="R336" s="9"/>
      <c r="S336" s="9"/>
      <c r="T336" s="2332"/>
      <c r="U336" s="9"/>
      <c r="V336" s="9"/>
    </row>
    <row r="337" spans="1:22">
      <c r="A337" s="9"/>
      <c r="B337" s="9"/>
      <c r="C337" s="9"/>
      <c r="D337" s="9"/>
      <c r="E337" s="9"/>
      <c r="F337" s="9"/>
      <c r="G337" s="9"/>
      <c r="H337" s="9"/>
      <c r="I337" s="9"/>
      <c r="J337" s="9"/>
      <c r="K337" s="9"/>
      <c r="L337" s="9"/>
      <c r="M337" s="9"/>
      <c r="N337" s="9"/>
      <c r="O337" s="9"/>
      <c r="P337" s="9"/>
      <c r="Q337" s="9"/>
      <c r="R337" s="9"/>
      <c r="S337" s="9"/>
      <c r="T337" s="2332"/>
      <c r="U337" s="9"/>
      <c r="V337" s="9"/>
    </row>
    <row r="338" spans="1:22">
      <c r="A338" s="9"/>
      <c r="B338" s="9"/>
      <c r="C338" s="9"/>
      <c r="D338" s="9"/>
      <c r="E338" s="9"/>
      <c r="F338" s="9"/>
      <c r="G338" s="9"/>
      <c r="H338" s="9"/>
      <c r="I338" s="9"/>
      <c r="J338" s="9"/>
      <c r="K338" s="9"/>
      <c r="L338" s="9"/>
      <c r="M338" s="9"/>
      <c r="N338" s="9"/>
      <c r="O338" s="9"/>
      <c r="P338" s="9"/>
      <c r="Q338" s="9"/>
      <c r="R338" s="9"/>
      <c r="S338" s="9"/>
      <c r="T338" s="2332"/>
      <c r="U338" s="9"/>
      <c r="V338" s="9"/>
    </row>
    <row r="339" spans="1:22">
      <c r="A339" s="9"/>
      <c r="B339" s="9"/>
      <c r="C339" s="9"/>
      <c r="D339" s="9"/>
      <c r="E339" s="9"/>
      <c r="F339" s="9"/>
      <c r="G339" s="9"/>
      <c r="H339" s="9"/>
      <c r="I339" s="9"/>
      <c r="J339" s="9"/>
      <c r="K339" s="9"/>
      <c r="L339" s="9"/>
      <c r="M339" s="9"/>
      <c r="N339" s="9"/>
      <c r="O339" s="9"/>
      <c r="P339" s="9"/>
      <c r="Q339" s="9"/>
      <c r="R339" s="9"/>
      <c r="S339" s="9"/>
      <c r="T339" s="2332"/>
      <c r="U339" s="9"/>
      <c r="V339" s="9"/>
    </row>
    <row r="340" spans="1:22">
      <c r="A340" s="9"/>
      <c r="B340" s="9"/>
      <c r="C340" s="9"/>
      <c r="D340" s="9"/>
      <c r="E340" s="9"/>
      <c r="F340" s="9"/>
      <c r="G340" s="9"/>
      <c r="H340" s="9"/>
      <c r="I340" s="9"/>
      <c r="J340" s="9"/>
      <c r="K340" s="9"/>
      <c r="L340" s="9"/>
      <c r="M340" s="9"/>
      <c r="N340" s="9"/>
      <c r="O340" s="9"/>
      <c r="P340" s="9"/>
      <c r="Q340" s="9"/>
      <c r="R340" s="9"/>
      <c r="S340" s="9"/>
      <c r="T340" s="2332"/>
      <c r="U340" s="9"/>
      <c r="V340" s="9"/>
    </row>
    <row r="341" spans="1:22">
      <c r="A341" s="9"/>
      <c r="B341" s="9"/>
      <c r="C341" s="9"/>
      <c r="D341" s="9"/>
      <c r="E341" s="9"/>
      <c r="F341" s="9"/>
      <c r="G341" s="9"/>
      <c r="H341" s="9"/>
      <c r="I341" s="9"/>
      <c r="J341" s="9"/>
      <c r="K341" s="9"/>
      <c r="L341" s="9"/>
      <c r="M341" s="9"/>
      <c r="N341" s="9"/>
      <c r="O341" s="9"/>
      <c r="P341" s="9"/>
      <c r="Q341" s="9"/>
      <c r="R341" s="9"/>
      <c r="S341" s="9"/>
      <c r="T341" s="2332"/>
      <c r="U341" s="9"/>
      <c r="V341" s="9"/>
    </row>
    <row r="342" spans="1:22">
      <c r="A342" s="9"/>
      <c r="B342" s="9"/>
      <c r="C342" s="9"/>
      <c r="D342" s="9"/>
      <c r="E342" s="9"/>
      <c r="F342" s="9"/>
      <c r="G342" s="9"/>
      <c r="H342" s="9"/>
      <c r="I342" s="9"/>
      <c r="J342" s="9"/>
      <c r="K342" s="9"/>
      <c r="L342" s="9"/>
      <c r="M342" s="9"/>
      <c r="N342" s="9"/>
      <c r="O342" s="9"/>
      <c r="P342" s="9"/>
      <c r="Q342" s="9"/>
      <c r="R342" s="9"/>
      <c r="S342" s="9"/>
      <c r="T342" s="2332"/>
      <c r="U342" s="9"/>
      <c r="V342" s="9"/>
    </row>
    <row r="343" spans="1:22">
      <c r="A343" s="9"/>
      <c r="B343" s="9"/>
      <c r="C343" s="9"/>
      <c r="D343" s="9"/>
      <c r="E343" s="9"/>
      <c r="F343" s="9"/>
      <c r="G343" s="9"/>
      <c r="H343" s="9"/>
      <c r="I343" s="9"/>
      <c r="J343" s="9"/>
      <c r="K343" s="9"/>
      <c r="L343" s="9"/>
      <c r="M343" s="9"/>
      <c r="N343" s="9"/>
      <c r="O343" s="9"/>
      <c r="P343" s="9"/>
      <c r="Q343" s="9"/>
      <c r="R343" s="9"/>
      <c r="S343" s="9"/>
      <c r="T343" s="2332"/>
      <c r="U343" s="9"/>
      <c r="V343" s="9"/>
    </row>
    <row r="344" spans="1:22">
      <c r="A344" s="9"/>
      <c r="B344" s="9"/>
      <c r="C344" s="9"/>
      <c r="D344" s="9"/>
      <c r="E344" s="9"/>
      <c r="F344" s="9"/>
      <c r="G344" s="9"/>
      <c r="H344" s="9"/>
      <c r="I344" s="9"/>
      <c r="J344" s="9"/>
      <c r="K344" s="9"/>
      <c r="L344" s="9"/>
      <c r="M344" s="9"/>
      <c r="N344" s="9"/>
      <c r="O344" s="9"/>
      <c r="P344" s="9"/>
      <c r="Q344" s="9"/>
      <c r="R344" s="9"/>
      <c r="S344" s="9"/>
      <c r="T344" s="2332"/>
      <c r="U344" s="9"/>
      <c r="V344" s="9"/>
    </row>
    <row r="345" spans="1:22">
      <c r="A345" s="9"/>
      <c r="B345" s="9"/>
      <c r="C345" s="9"/>
      <c r="D345" s="9"/>
      <c r="E345" s="9"/>
      <c r="F345" s="9"/>
      <c r="G345" s="9"/>
      <c r="H345" s="9"/>
      <c r="I345" s="9"/>
      <c r="J345" s="9"/>
      <c r="K345" s="9"/>
      <c r="L345" s="9"/>
      <c r="M345" s="9"/>
      <c r="N345" s="9"/>
      <c r="O345" s="9"/>
      <c r="P345" s="9"/>
      <c r="Q345" s="9"/>
      <c r="R345" s="9"/>
      <c r="S345" s="9"/>
      <c r="T345" s="2332"/>
      <c r="U345" s="9"/>
      <c r="V345" s="9"/>
    </row>
    <row r="346" spans="1:22">
      <c r="A346" s="9"/>
      <c r="B346" s="9"/>
      <c r="C346" s="9"/>
      <c r="D346" s="9"/>
      <c r="E346" s="9"/>
      <c r="F346" s="9"/>
      <c r="G346" s="9"/>
      <c r="H346" s="9"/>
      <c r="I346" s="9"/>
      <c r="J346" s="9"/>
      <c r="K346" s="9"/>
      <c r="L346" s="9"/>
      <c r="M346" s="9"/>
      <c r="N346" s="9"/>
      <c r="O346" s="9"/>
      <c r="P346" s="9"/>
      <c r="Q346" s="9"/>
      <c r="R346" s="9"/>
      <c r="S346" s="9"/>
      <c r="T346" s="2332"/>
      <c r="U346" s="9"/>
      <c r="V346" s="9"/>
    </row>
    <row r="347" spans="1:22">
      <c r="A347" s="9"/>
      <c r="B347" s="9"/>
      <c r="C347" s="9"/>
      <c r="D347" s="9"/>
      <c r="E347" s="9"/>
      <c r="F347" s="9"/>
      <c r="G347" s="9"/>
      <c r="H347" s="9"/>
      <c r="I347" s="9"/>
      <c r="J347" s="9"/>
      <c r="K347" s="9"/>
      <c r="L347" s="9"/>
      <c r="M347" s="9"/>
      <c r="N347" s="9"/>
      <c r="O347" s="9"/>
      <c r="P347" s="9"/>
      <c r="Q347" s="9"/>
      <c r="R347" s="9"/>
      <c r="S347" s="9"/>
      <c r="T347" s="2332"/>
      <c r="U347" s="9"/>
      <c r="V347" s="9"/>
    </row>
    <row r="348" spans="1:22">
      <c r="A348" s="9"/>
      <c r="B348" s="9"/>
      <c r="C348" s="9"/>
      <c r="D348" s="9"/>
      <c r="E348" s="9"/>
      <c r="F348" s="9"/>
      <c r="G348" s="9"/>
      <c r="H348" s="9"/>
      <c r="I348" s="9"/>
      <c r="J348" s="9"/>
      <c r="K348" s="9"/>
      <c r="L348" s="9"/>
      <c r="M348" s="9"/>
      <c r="N348" s="9"/>
      <c r="O348" s="9"/>
      <c r="P348" s="9"/>
      <c r="Q348" s="9"/>
      <c r="R348" s="9"/>
      <c r="S348" s="9"/>
      <c r="T348" s="2332"/>
      <c r="U348" s="9"/>
      <c r="V348" s="9"/>
    </row>
    <row r="349" spans="1:22">
      <c r="A349" s="9"/>
      <c r="B349" s="9"/>
      <c r="C349" s="9"/>
      <c r="D349" s="9"/>
      <c r="E349" s="9"/>
      <c r="F349" s="9"/>
      <c r="G349" s="9"/>
      <c r="H349" s="9"/>
      <c r="I349" s="9"/>
      <c r="J349" s="9"/>
      <c r="K349" s="9"/>
      <c r="L349" s="9"/>
      <c r="M349" s="9"/>
      <c r="N349" s="9"/>
      <c r="O349" s="9"/>
      <c r="P349" s="9"/>
      <c r="Q349" s="9"/>
      <c r="R349" s="9"/>
      <c r="S349" s="9"/>
      <c r="T349" s="2332"/>
      <c r="U349" s="9"/>
      <c r="V349" s="9"/>
    </row>
    <row r="350" spans="1:22">
      <c r="A350" s="9"/>
      <c r="B350" s="9"/>
      <c r="C350" s="9"/>
      <c r="D350" s="9"/>
      <c r="E350" s="9"/>
      <c r="F350" s="9"/>
      <c r="G350" s="9"/>
      <c r="H350" s="9"/>
      <c r="I350" s="9"/>
      <c r="J350" s="9"/>
      <c r="K350" s="9"/>
      <c r="L350" s="9"/>
      <c r="M350" s="9"/>
      <c r="N350" s="9"/>
      <c r="O350" s="9"/>
      <c r="P350" s="9"/>
      <c r="Q350" s="9"/>
      <c r="R350" s="9"/>
      <c r="S350" s="9"/>
      <c r="T350" s="2332"/>
      <c r="U350" s="9"/>
      <c r="V350" s="9"/>
    </row>
    <row r="351" spans="1:22">
      <c r="A351" s="9"/>
      <c r="B351" s="9"/>
      <c r="C351" s="9"/>
      <c r="D351" s="9"/>
      <c r="E351" s="9"/>
      <c r="F351" s="9"/>
      <c r="G351" s="9"/>
      <c r="H351" s="9"/>
      <c r="I351" s="9"/>
      <c r="J351" s="9"/>
      <c r="K351" s="9"/>
      <c r="L351" s="9"/>
      <c r="M351" s="9"/>
      <c r="N351" s="9"/>
      <c r="O351" s="9"/>
      <c r="P351" s="9"/>
      <c r="Q351" s="9"/>
      <c r="R351" s="9"/>
      <c r="S351" s="9"/>
      <c r="T351" s="2332"/>
      <c r="U351" s="9"/>
      <c r="V351" s="9"/>
    </row>
    <row r="352" spans="1:22">
      <c r="A352" s="9"/>
      <c r="B352" s="9"/>
      <c r="C352" s="9"/>
      <c r="D352" s="9"/>
      <c r="E352" s="9"/>
      <c r="F352" s="9"/>
      <c r="G352" s="9"/>
      <c r="H352" s="9"/>
      <c r="I352" s="9"/>
      <c r="J352" s="9"/>
      <c r="K352" s="9"/>
      <c r="L352" s="9"/>
      <c r="M352" s="9"/>
      <c r="N352" s="9"/>
      <c r="O352" s="9"/>
      <c r="P352" s="9"/>
      <c r="Q352" s="9"/>
      <c r="R352" s="9"/>
      <c r="S352" s="9"/>
      <c r="T352" s="2332"/>
      <c r="U352" s="9"/>
      <c r="V352" s="9"/>
    </row>
    <row r="353" spans="1:22">
      <c r="A353" s="9"/>
      <c r="B353" s="9"/>
      <c r="C353" s="9"/>
      <c r="D353" s="9"/>
      <c r="E353" s="9"/>
      <c r="F353" s="9"/>
      <c r="G353" s="9"/>
      <c r="H353" s="9"/>
      <c r="I353" s="9"/>
      <c r="J353" s="9"/>
      <c r="K353" s="9"/>
      <c r="L353" s="9"/>
      <c r="M353" s="9"/>
      <c r="N353" s="9"/>
      <c r="O353" s="9"/>
      <c r="P353" s="9"/>
      <c r="Q353" s="9"/>
      <c r="R353" s="9"/>
      <c r="S353" s="9"/>
      <c r="T353" s="2332"/>
      <c r="U353" s="9"/>
      <c r="V353" s="9"/>
    </row>
    <row r="354" spans="1:22">
      <c r="A354" s="9"/>
      <c r="B354" s="9"/>
      <c r="C354" s="9"/>
      <c r="D354" s="9"/>
      <c r="E354" s="9"/>
      <c r="F354" s="9"/>
      <c r="G354" s="9"/>
      <c r="H354" s="9"/>
      <c r="I354" s="9"/>
      <c r="J354" s="9"/>
      <c r="K354" s="9"/>
      <c r="L354" s="9"/>
      <c r="M354" s="9"/>
      <c r="N354" s="9"/>
      <c r="O354" s="9"/>
      <c r="P354" s="9"/>
      <c r="Q354" s="9"/>
      <c r="R354" s="9"/>
      <c r="S354" s="9"/>
      <c r="T354" s="2332"/>
      <c r="U354" s="9"/>
      <c r="V354" s="9"/>
    </row>
    <row r="355" spans="1:22">
      <c r="A355" s="9"/>
      <c r="B355" s="9"/>
      <c r="C355" s="9"/>
      <c r="D355" s="9"/>
      <c r="E355" s="9"/>
      <c r="F355" s="9"/>
      <c r="G355" s="9"/>
      <c r="H355" s="9"/>
      <c r="I355" s="9"/>
      <c r="J355" s="9"/>
      <c r="K355" s="9"/>
      <c r="L355" s="9"/>
      <c r="M355" s="9"/>
      <c r="N355" s="9"/>
      <c r="O355" s="9"/>
      <c r="P355" s="9"/>
      <c r="Q355" s="9"/>
      <c r="R355" s="9"/>
      <c r="S355" s="9"/>
      <c r="T355" s="2332"/>
      <c r="U355" s="9"/>
      <c r="V355" s="9"/>
    </row>
    <row r="356" spans="1:22">
      <c r="A356" s="9"/>
      <c r="B356" s="9"/>
      <c r="C356" s="9"/>
      <c r="D356" s="9"/>
      <c r="E356" s="9"/>
      <c r="F356" s="9"/>
      <c r="G356" s="9"/>
      <c r="H356" s="9"/>
      <c r="I356" s="9"/>
      <c r="J356" s="9"/>
      <c r="K356" s="9"/>
      <c r="L356" s="9"/>
      <c r="M356" s="9"/>
      <c r="N356" s="9"/>
      <c r="O356" s="9"/>
      <c r="P356" s="9"/>
      <c r="Q356" s="9"/>
      <c r="R356" s="9"/>
      <c r="S356" s="9"/>
      <c r="T356" s="2332"/>
      <c r="U356" s="9"/>
      <c r="V356" s="9"/>
    </row>
    <row r="357" spans="1:22">
      <c r="A357" s="9"/>
      <c r="B357" s="9"/>
      <c r="C357" s="9"/>
      <c r="D357" s="9"/>
      <c r="E357" s="9"/>
      <c r="F357" s="9"/>
      <c r="G357" s="9"/>
      <c r="H357" s="9"/>
      <c r="I357" s="9"/>
      <c r="J357" s="9"/>
      <c r="K357" s="9"/>
      <c r="L357" s="9"/>
      <c r="M357" s="9"/>
      <c r="N357" s="9"/>
      <c r="O357" s="9"/>
      <c r="P357" s="9"/>
      <c r="Q357" s="9"/>
      <c r="R357" s="9"/>
      <c r="S357" s="9"/>
      <c r="T357" s="2332"/>
      <c r="U357" s="9"/>
      <c r="V357" s="9"/>
    </row>
    <row r="358" spans="1:22">
      <c r="A358" s="9"/>
      <c r="B358" s="9"/>
      <c r="C358" s="9"/>
      <c r="D358" s="9"/>
      <c r="E358" s="9"/>
      <c r="F358" s="9"/>
      <c r="G358" s="9"/>
      <c r="H358" s="9"/>
      <c r="I358" s="9"/>
      <c r="J358" s="9"/>
      <c r="K358" s="9"/>
      <c r="L358" s="9"/>
      <c r="M358" s="9"/>
      <c r="N358" s="9"/>
      <c r="O358" s="9"/>
      <c r="P358" s="9"/>
      <c r="Q358" s="9"/>
      <c r="R358" s="9"/>
      <c r="S358" s="9"/>
      <c r="T358" s="2332"/>
      <c r="U358" s="9"/>
      <c r="V358" s="9"/>
    </row>
    <row r="359" spans="1:22">
      <c r="A359" s="9"/>
      <c r="B359" s="9"/>
      <c r="C359" s="9"/>
      <c r="D359" s="9"/>
      <c r="E359" s="9"/>
      <c r="F359" s="9"/>
      <c r="G359" s="9"/>
      <c r="H359" s="9"/>
      <c r="I359" s="9"/>
      <c r="J359" s="9"/>
      <c r="K359" s="9"/>
      <c r="L359" s="9"/>
      <c r="M359" s="9"/>
      <c r="N359" s="9"/>
      <c r="O359" s="9"/>
      <c r="P359" s="9"/>
      <c r="Q359" s="9"/>
      <c r="R359" s="9"/>
      <c r="S359" s="9"/>
      <c r="T359" s="2332"/>
      <c r="U359" s="9"/>
      <c r="V359" s="9"/>
    </row>
    <row r="360" spans="1:22">
      <c r="A360" s="9"/>
      <c r="B360" s="9"/>
      <c r="C360" s="9"/>
      <c r="D360" s="9"/>
      <c r="E360" s="9"/>
      <c r="F360" s="9"/>
      <c r="G360" s="9"/>
      <c r="H360" s="9"/>
      <c r="I360" s="9"/>
      <c r="J360" s="9"/>
      <c r="K360" s="9"/>
      <c r="L360" s="9"/>
      <c r="M360" s="9"/>
      <c r="N360" s="9"/>
      <c r="O360" s="9"/>
      <c r="P360" s="9"/>
      <c r="Q360" s="9"/>
      <c r="R360" s="9"/>
      <c r="S360" s="9"/>
      <c r="T360" s="2332"/>
      <c r="U360" s="9"/>
      <c r="V360" s="9"/>
    </row>
    <row r="361" spans="1:22">
      <c r="A361" s="9"/>
      <c r="B361" s="9"/>
      <c r="C361" s="9"/>
      <c r="D361" s="9"/>
      <c r="E361" s="9"/>
      <c r="F361" s="9"/>
      <c r="G361" s="9"/>
      <c r="H361" s="9"/>
      <c r="I361" s="9"/>
      <c r="J361" s="9"/>
      <c r="K361" s="9"/>
      <c r="L361" s="9"/>
      <c r="M361" s="9"/>
      <c r="N361" s="9"/>
      <c r="O361" s="9"/>
      <c r="P361" s="9"/>
      <c r="Q361" s="9"/>
      <c r="R361" s="9"/>
      <c r="S361" s="9"/>
      <c r="T361" s="2332"/>
      <c r="U361" s="9"/>
      <c r="V361" s="9"/>
    </row>
    <row r="362" spans="1:22">
      <c r="A362" s="9"/>
      <c r="B362" s="9"/>
      <c r="C362" s="9"/>
      <c r="D362" s="9"/>
      <c r="E362" s="9"/>
      <c r="F362" s="9"/>
      <c r="G362" s="9"/>
      <c r="H362" s="9"/>
      <c r="I362" s="9"/>
      <c r="J362" s="9"/>
      <c r="K362" s="9"/>
      <c r="L362" s="9"/>
      <c r="M362" s="9"/>
      <c r="N362" s="9"/>
      <c r="O362" s="9"/>
      <c r="P362" s="9"/>
      <c r="Q362" s="9"/>
      <c r="R362" s="9"/>
      <c r="S362" s="9"/>
      <c r="T362" s="2332"/>
      <c r="U362" s="9"/>
      <c r="V362" s="9"/>
    </row>
    <row r="363" spans="1:22">
      <c r="A363" s="9"/>
      <c r="B363" s="9"/>
      <c r="C363" s="9"/>
      <c r="D363" s="9"/>
      <c r="E363" s="9"/>
      <c r="F363" s="9"/>
      <c r="G363" s="9"/>
      <c r="H363" s="9"/>
      <c r="I363" s="9"/>
      <c r="J363" s="9"/>
      <c r="K363" s="9"/>
      <c r="L363" s="9"/>
      <c r="M363" s="9"/>
      <c r="N363" s="9"/>
      <c r="O363" s="9"/>
      <c r="P363" s="9"/>
      <c r="Q363" s="9"/>
      <c r="R363" s="9"/>
      <c r="S363" s="9"/>
      <c r="T363" s="2332"/>
      <c r="U363" s="9"/>
      <c r="V363" s="9"/>
    </row>
    <row r="364" spans="1:22">
      <c r="A364" s="9"/>
      <c r="B364" s="9"/>
      <c r="C364" s="9"/>
      <c r="D364" s="9"/>
      <c r="E364" s="9"/>
      <c r="F364" s="9"/>
      <c r="G364" s="9"/>
      <c r="H364" s="9"/>
      <c r="I364" s="9"/>
      <c r="J364" s="9"/>
      <c r="K364" s="9"/>
      <c r="L364" s="9"/>
      <c r="M364" s="9"/>
      <c r="N364" s="9"/>
      <c r="O364" s="9"/>
      <c r="P364" s="9"/>
      <c r="Q364" s="9"/>
      <c r="R364" s="9"/>
      <c r="S364" s="9"/>
      <c r="T364" s="2332"/>
      <c r="U364" s="9"/>
      <c r="V364" s="9"/>
    </row>
    <row r="365" spans="1:22">
      <c r="A365" s="9"/>
      <c r="B365" s="9"/>
      <c r="C365" s="9"/>
      <c r="D365" s="9"/>
      <c r="E365" s="9"/>
      <c r="F365" s="9"/>
      <c r="G365" s="9"/>
      <c r="H365" s="9"/>
      <c r="I365" s="9"/>
      <c r="J365" s="9"/>
      <c r="K365" s="9"/>
      <c r="L365" s="9"/>
      <c r="M365" s="9"/>
      <c r="N365" s="9"/>
      <c r="O365" s="9"/>
      <c r="P365" s="9"/>
      <c r="Q365" s="9"/>
      <c r="R365" s="9"/>
      <c r="S365" s="9"/>
      <c r="T365" s="2332"/>
      <c r="U365" s="9"/>
      <c r="V365" s="9"/>
    </row>
    <row r="366" spans="1:22">
      <c r="A366" s="9"/>
      <c r="B366" s="9"/>
      <c r="C366" s="9"/>
      <c r="D366" s="9"/>
      <c r="E366" s="9"/>
      <c r="F366" s="9"/>
      <c r="G366" s="9"/>
      <c r="H366" s="9"/>
      <c r="I366" s="9"/>
      <c r="J366" s="9"/>
      <c r="K366" s="9"/>
      <c r="L366" s="9"/>
      <c r="M366" s="9"/>
      <c r="N366" s="9"/>
      <c r="O366" s="9"/>
      <c r="P366" s="9"/>
      <c r="Q366" s="9"/>
      <c r="R366" s="9"/>
      <c r="S366" s="9"/>
      <c r="T366" s="2332"/>
      <c r="U366" s="9"/>
      <c r="V366" s="9"/>
    </row>
    <row r="367" spans="1:22">
      <c r="A367" s="9"/>
      <c r="B367" s="9"/>
      <c r="C367" s="9"/>
      <c r="D367" s="9"/>
      <c r="E367" s="9"/>
      <c r="F367" s="9"/>
      <c r="G367" s="9"/>
      <c r="H367" s="9"/>
      <c r="I367" s="9"/>
      <c r="J367" s="9"/>
      <c r="K367" s="9"/>
      <c r="L367" s="9"/>
      <c r="M367" s="9"/>
      <c r="N367" s="9"/>
      <c r="O367" s="9"/>
      <c r="P367" s="9"/>
      <c r="Q367" s="9"/>
      <c r="R367" s="9"/>
      <c r="S367" s="9"/>
      <c r="T367" s="2332"/>
      <c r="U367" s="9"/>
      <c r="V367" s="9"/>
    </row>
    <row r="368" spans="1:22">
      <c r="A368" s="9"/>
      <c r="B368" s="9"/>
      <c r="C368" s="9"/>
      <c r="D368" s="9"/>
      <c r="E368" s="9"/>
      <c r="F368" s="9"/>
      <c r="G368" s="9"/>
      <c r="H368" s="9"/>
      <c r="I368" s="9"/>
      <c r="J368" s="9"/>
      <c r="K368" s="9"/>
      <c r="L368" s="9"/>
      <c r="M368" s="9"/>
      <c r="N368" s="9"/>
      <c r="O368" s="9"/>
      <c r="P368" s="9"/>
      <c r="Q368" s="9"/>
      <c r="R368" s="9"/>
      <c r="S368" s="9"/>
      <c r="T368" s="2332"/>
      <c r="U368" s="9"/>
      <c r="V368" s="9"/>
    </row>
    <row r="369" spans="1:22">
      <c r="A369" s="9"/>
      <c r="B369" s="9"/>
      <c r="C369" s="9"/>
      <c r="D369" s="9"/>
      <c r="E369" s="9"/>
      <c r="F369" s="9"/>
      <c r="G369" s="9"/>
      <c r="H369" s="9"/>
      <c r="I369" s="9"/>
      <c r="J369" s="9"/>
      <c r="K369" s="9"/>
      <c r="L369" s="9"/>
      <c r="M369" s="9"/>
      <c r="N369" s="9"/>
      <c r="O369" s="9"/>
      <c r="P369" s="9"/>
      <c r="Q369" s="9"/>
      <c r="R369" s="9"/>
      <c r="S369" s="9"/>
      <c r="T369" s="2332"/>
      <c r="U369" s="9"/>
      <c r="V369" s="9"/>
    </row>
    <row r="370" spans="1:22">
      <c r="A370" s="9"/>
      <c r="B370" s="9"/>
      <c r="C370" s="9"/>
      <c r="D370" s="9"/>
      <c r="E370" s="9"/>
      <c r="F370" s="9"/>
      <c r="G370" s="9"/>
      <c r="H370" s="9"/>
      <c r="I370" s="9"/>
      <c r="J370" s="9"/>
      <c r="K370" s="9"/>
      <c r="L370" s="9"/>
      <c r="M370" s="9"/>
      <c r="N370" s="9"/>
      <c r="O370" s="9"/>
      <c r="P370" s="9"/>
      <c r="Q370" s="9"/>
      <c r="R370" s="9"/>
      <c r="S370" s="9"/>
      <c r="T370" s="2332"/>
      <c r="U370" s="9"/>
      <c r="V370" s="9"/>
    </row>
    <row r="371" spans="1:22">
      <c r="A371" s="9"/>
      <c r="B371" s="9"/>
      <c r="C371" s="9"/>
      <c r="D371" s="9"/>
      <c r="E371" s="9"/>
      <c r="F371" s="9"/>
      <c r="G371" s="9"/>
      <c r="H371" s="9"/>
      <c r="I371" s="9"/>
      <c r="J371" s="9"/>
      <c r="K371" s="9"/>
      <c r="L371" s="9"/>
      <c r="M371" s="9"/>
      <c r="N371" s="9"/>
      <c r="O371" s="9"/>
      <c r="P371" s="9"/>
      <c r="Q371" s="9"/>
      <c r="R371" s="9"/>
      <c r="S371" s="9"/>
      <c r="T371" s="2332"/>
      <c r="U371" s="9"/>
      <c r="V371" s="9"/>
    </row>
    <row r="372" spans="1:22">
      <c r="A372" s="9"/>
      <c r="B372" s="9"/>
      <c r="C372" s="9"/>
      <c r="D372" s="9"/>
      <c r="E372" s="9"/>
      <c r="F372" s="9"/>
      <c r="G372" s="9"/>
      <c r="H372" s="9"/>
      <c r="I372" s="9"/>
      <c r="J372" s="9"/>
      <c r="K372" s="9"/>
      <c r="L372" s="9"/>
      <c r="M372" s="9"/>
      <c r="N372" s="9"/>
      <c r="O372" s="9"/>
      <c r="P372" s="9"/>
      <c r="Q372" s="9"/>
      <c r="R372" s="9"/>
      <c r="S372" s="9"/>
      <c r="T372" s="2332"/>
      <c r="U372" s="9"/>
      <c r="V372" s="9"/>
    </row>
    <row r="373" spans="1:22">
      <c r="A373" s="9"/>
      <c r="B373" s="9"/>
      <c r="C373" s="9"/>
      <c r="D373" s="9"/>
      <c r="E373" s="9"/>
      <c r="F373" s="9"/>
      <c r="G373" s="9"/>
      <c r="H373" s="9"/>
      <c r="I373" s="9"/>
      <c r="J373" s="9"/>
      <c r="K373" s="9"/>
      <c r="L373" s="9"/>
      <c r="M373" s="9"/>
      <c r="N373" s="9"/>
      <c r="O373" s="9"/>
      <c r="P373" s="9"/>
      <c r="Q373" s="9"/>
      <c r="R373" s="9"/>
      <c r="S373" s="9"/>
      <c r="T373" s="2332"/>
      <c r="U373" s="9"/>
      <c r="V373" s="9"/>
    </row>
    <row r="374" spans="1:22">
      <c r="A374" s="9"/>
      <c r="B374" s="9"/>
      <c r="C374" s="9"/>
      <c r="D374" s="9"/>
      <c r="E374" s="9"/>
      <c r="F374" s="9"/>
      <c r="G374" s="9"/>
      <c r="H374" s="9"/>
      <c r="I374" s="9"/>
      <c r="J374" s="9"/>
      <c r="K374" s="9"/>
      <c r="L374" s="9"/>
      <c r="M374" s="9"/>
      <c r="N374" s="9"/>
      <c r="O374" s="9"/>
      <c r="P374" s="9"/>
      <c r="Q374" s="9"/>
      <c r="R374" s="9"/>
      <c r="S374" s="9"/>
      <c r="T374" s="2332"/>
      <c r="U374" s="9"/>
      <c r="V374" s="9"/>
    </row>
    <row r="375" spans="1:22">
      <c r="A375" s="9"/>
      <c r="B375" s="9"/>
      <c r="C375" s="9"/>
      <c r="D375" s="9"/>
      <c r="E375" s="9"/>
      <c r="F375" s="9"/>
      <c r="G375" s="9"/>
      <c r="H375" s="9"/>
      <c r="I375" s="9"/>
      <c r="J375" s="9"/>
      <c r="K375" s="9"/>
      <c r="L375" s="9"/>
      <c r="M375" s="9"/>
      <c r="N375" s="9"/>
      <c r="O375" s="9"/>
      <c r="P375" s="9"/>
      <c r="Q375" s="9"/>
      <c r="R375" s="9"/>
      <c r="S375" s="9"/>
      <c r="T375" s="2332"/>
      <c r="U375" s="9"/>
      <c r="V375" s="9"/>
    </row>
    <row r="376" spans="1:22">
      <c r="A376" s="9"/>
      <c r="B376" s="9"/>
      <c r="C376" s="9"/>
      <c r="D376" s="9"/>
      <c r="E376" s="9"/>
      <c r="F376" s="9"/>
      <c r="G376" s="9"/>
      <c r="H376" s="9"/>
      <c r="I376" s="9"/>
      <c r="J376" s="9"/>
      <c r="K376" s="9"/>
      <c r="L376" s="9"/>
      <c r="M376" s="9"/>
      <c r="N376" s="9"/>
      <c r="O376" s="9"/>
      <c r="P376" s="9"/>
      <c r="Q376" s="9"/>
      <c r="R376" s="9"/>
      <c r="S376" s="9"/>
      <c r="T376" s="2332"/>
      <c r="U376" s="9"/>
      <c r="V376" s="9"/>
    </row>
    <row r="377" spans="1:22">
      <c r="A377" s="9"/>
      <c r="B377" s="9"/>
      <c r="C377" s="9"/>
      <c r="D377" s="9"/>
      <c r="E377" s="9"/>
      <c r="F377" s="9"/>
      <c r="G377" s="9"/>
      <c r="H377" s="9"/>
      <c r="I377" s="9"/>
      <c r="J377" s="9"/>
      <c r="K377" s="9"/>
      <c r="L377" s="9"/>
      <c r="M377" s="9"/>
      <c r="N377" s="9"/>
      <c r="O377" s="9"/>
      <c r="P377" s="9"/>
      <c r="Q377" s="9"/>
      <c r="R377" s="9"/>
      <c r="S377" s="9"/>
      <c r="T377" s="2332"/>
      <c r="U377" s="9"/>
      <c r="V377" s="9"/>
    </row>
    <row r="378" spans="1:22">
      <c r="A378" s="9"/>
      <c r="B378" s="9"/>
      <c r="C378" s="9"/>
      <c r="D378" s="9"/>
      <c r="E378" s="9"/>
      <c r="F378" s="9"/>
      <c r="G378" s="9"/>
      <c r="H378" s="9"/>
      <c r="I378" s="9"/>
      <c r="J378" s="9"/>
      <c r="K378" s="9"/>
      <c r="L378" s="9"/>
      <c r="M378" s="9"/>
      <c r="N378" s="9"/>
      <c r="O378" s="9"/>
      <c r="P378" s="9"/>
      <c r="Q378" s="9"/>
      <c r="R378" s="9"/>
      <c r="S378" s="9"/>
      <c r="T378" s="2332"/>
      <c r="U378" s="9"/>
      <c r="V378" s="9"/>
    </row>
    <row r="379" spans="1:22">
      <c r="A379" s="9"/>
      <c r="B379" s="9"/>
      <c r="C379" s="9"/>
      <c r="D379" s="9"/>
      <c r="E379" s="9"/>
      <c r="F379" s="9"/>
      <c r="G379" s="9"/>
      <c r="H379" s="9"/>
      <c r="I379" s="9"/>
      <c r="J379" s="9"/>
      <c r="K379" s="9"/>
      <c r="L379" s="9"/>
      <c r="M379" s="9"/>
      <c r="N379" s="9"/>
      <c r="O379" s="9"/>
      <c r="P379" s="9"/>
      <c r="Q379" s="9"/>
      <c r="R379" s="9"/>
      <c r="S379" s="9"/>
      <c r="T379" s="2332"/>
      <c r="U379" s="9"/>
      <c r="V379" s="9"/>
    </row>
    <row r="380" spans="1:22">
      <c r="A380" s="9"/>
      <c r="B380" s="9"/>
      <c r="C380" s="9"/>
      <c r="D380" s="9"/>
      <c r="E380" s="9"/>
      <c r="F380" s="9"/>
      <c r="G380" s="9"/>
      <c r="H380" s="9"/>
      <c r="I380" s="9"/>
      <c r="J380" s="9"/>
      <c r="K380" s="9"/>
      <c r="L380" s="9"/>
      <c r="M380" s="9"/>
      <c r="N380" s="9"/>
      <c r="O380" s="9"/>
      <c r="P380" s="9"/>
      <c r="Q380" s="9"/>
      <c r="R380" s="9"/>
      <c r="S380" s="9"/>
      <c r="T380" s="2332"/>
      <c r="U380" s="9"/>
      <c r="V380" s="9"/>
    </row>
    <row r="381" spans="1:22">
      <c r="A381" s="9"/>
      <c r="B381" s="9"/>
      <c r="C381" s="9"/>
      <c r="D381" s="9"/>
      <c r="E381" s="9"/>
      <c r="F381" s="9"/>
      <c r="G381" s="9"/>
      <c r="H381" s="9"/>
      <c r="I381" s="9"/>
      <c r="J381" s="9"/>
      <c r="K381" s="9"/>
      <c r="L381" s="9"/>
      <c r="M381" s="9"/>
      <c r="N381" s="9"/>
      <c r="O381" s="9"/>
      <c r="P381" s="9"/>
      <c r="Q381" s="9"/>
      <c r="R381" s="9"/>
      <c r="S381" s="9"/>
      <c r="T381" s="2332"/>
      <c r="U381" s="9"/>
      <c r="V381" s="9"/>
    </row>
    <row r="382" spans="1:22">
      <c r="A382" s="9"/>
      <c r="B382" s="9"/>
      <c r="C382" s="9"/>
      <c r="D382" s="9"/>
      <c r="E382" s="9"/>
      <c r="F382" s="9"/>
      <c r="G382" s="9"/>
      <c r="H382" s="9"/>
      <c r="I382" s="9"/>
      <c r="J382" s="9"/>
      <c r="K382" s="9"/>
      <c r="L382" s="9"/>
      <c r="M382" s="9"/>
      <c r="N382" s="9"/>
      <c r="O382" s="9"/>
      <c r="P382" s="9"/>
      <c r="Q382" s="9"/>
      <c r="R382" s="9"/>
      <c r="S382" s="9"/>
      <c r="T382" s="2332"/>
      <c r="U382" s="9"/>
      <c r="V382" s="9"/>
    </row>
    <row r="383" spans="1:22">
      <c r="A383" s="9"/>
      <c r="B383" s="9"/>
      <c r="C383" s="9"/>
      <c r="D383" s="9"/>
      <c r="E383" s="9"/>
      <c r="F383" s="9"/>
      <c r="G383" s="9"/>
      <c r="H383" s="9"/>
      <c r="I383" s="9"/>
      <c r="J383" s="9"/>
      <c r="K383" s="9"/>
      <c r="L383" s="9"/>
      <c r="M383" s="9"/>
      <c r="N383" s="9"/>
      <c r="O383" s="9"/>
      <c r="P383" s="9"/>
      <c r="Q383" s="9"/>
      <c r="R383" s="9"/>
      <c r="S383" s="9"/>
      <c r="T383" s="2332"/>
      <c r="U383" s="9"/>
      <c r="V383" s="9"/>
    </row>
    <row r="384" spans="1:22">
      <c r="A384" s="9"/>
      <c r="B384" s="9"/>
      <c r="C384" s="9"/>
      <c r="D384" s="9"/>
      <c r="E384" s="9"/>
      <c r="F384" s="9"/>
      <c r="G384" s="9"/>
      <c r="H384" s="9"/>
      <c r="I384" s="9"/>
      <c r="J384" s="9"/>
      <c r="K384" s="9"/>
      <c r="L384" s="9"/>
      <c r="M384" s="9"/>
      <c r="N384" s="9"/>
      <c r="O384" s="9"/>
      <c r="P384" s="9"/>
      <c r="Q384" s="9"/>
      <c r="R384" s="9"/>
      <c r="S384" s="9"/>
      <c r="T384" s="2332"/>
      <c r="U384" s="9"/>
      <c r="V384" s="9"/>
    </row>
    <row r="385" spans="1:22">
      <c r="A385" s="9"/>
      <c r="B385" s="9"/>
      <c r="C385" s="9"/>
      <c r="D385" s="9"/>
      <c r="E385" s="9"/>
      <c r="F385" s="9"/>
      <c r="G385" s="9"/>
      <c r="H385" s="9"/>
      <c r="I385" s="9"/>
      <c r="J385" s="9"/>
      <c r="K385" s="9"/>
      <c r="L385" s="9"/>
      <c r="M385" s="9"/>
      <c r="N385" s="9"/>
      <c r="O385" s="9"/>
      <c r="P385" s="9"/>
      <c r="Q385" s="9"/>
      <c r="R385" s="9"/>
      <c r="S385" s="9"/>
      <c r="T385" s="2332"/>
      <c r="U385" s="9"/>
      <c r="V385" s="9"/>
    </row>
    <row r="386" spans="1:22">
      <c r="A386" s="9"/>
      <c r="B386" s="9"/>
      <c r="C386" s="9"/>
      <c r="D386" s="9"/>
      <c r="E386" s="9"/>
      <c r="F386" s="9"/>
      <c r="G386" s="9"/>
      <c r="H386" s="9"/>
      <c r="I386" s="9"/>
      <c r="J386" s="9"/>
      <c r="K386" s="9"/>
      <c r="L386" s="9"/>
      <c r="M386" s="9"/>
      <c r="N386" s="9"/>
      <c r="O386" s="9"/>
      <c r="P386" s="9"/>
      <c r="Q386" s="9"/>
      <c r="R386" s="9"/>
      <c r="S386" s="9"/>
      <c r="T386" s="2332"/>
      <c r="U386" s="9"/>
      <c r="V386" s="9"/>
    </row>
    <row r="387" spans="1:22">
      <c r="A387" s="9"/>
      <c r="B387" s="9"/>
      <c r="C387" s="9"/>
      <c r="D387" s="9"/>
      <c r="E387" s="9"/>
      <c r="F387" s="9"/>
      <c r="G387" s="9"/>
      <c r="H387" s="9"/>
      <c r="I387" s="9"/>
      <c r="J387" s="9"/>
      <c r="K387" s="9"/>
      <c r="L387" s="9"/>
      <c r="M387" s="9"/>
      <c r="N387" s="9"/>
      <c r="O387" s="9"/>
      <c r="P387" s="9"/>
      <c r="Q387" s="9"/>
      <c r="R387" s="9"/>
      <c r="S387" s="9"/>
      <c r="T387" s="2332"/>
      <c r="U387" s="9"/>
      <c r="V387" s="9"/>
    </row>
    <row r="388" spans="1:22">
      <c r="A388" s="9"/>
      <c r="B388" s="9"/>
      <c r="C388" s="9"/>
      <c r="D388" s="9"/>
      <c r="E388" s="9"/>
      <c r="F388" s="9"/>
      <c r="G388" s="9"/>
      <c r="H388" s="9"/>
      <c r="I388" s="9"/>
      <c r="J388" s="9"/>
      <c r="K388" s="9"/>
      <c r="L388" s="9"/>
      <c r="M388" s="9"/>
      <c r="N388" s="9"/>
      <c r="O388" s="9"/>
      <c r="P388" s="9"/>
      <c r="Q388" s="9"/>
      <c r="R388" s="9"/>
      <c r="S388" s="9"/>
      <c r="T388" s="2332"/>
      <c r="U388" s="9"/>
      <c r="V388" s="9"/>
    </row>
    <row r="389" spans="1:22">
      <c r="A389" s="9"/>
      <c r="B389" s="9"/>
      <c r="C389" s="9"/>
      <c r="D389" s="9"/>
      <c r="E389" s="9"/>
      <c r="F389" s="9"/>
      <c r="G389" s="9"/>
      <c r="H389" s="9"/>
      <c r="I389" s="9"/>
      <c r="J389" s="9"/>
      <c r="K389" s="9"/>
      <c r="L389" s="9"/>
      <c r="M389" s="9"/>
      <c r="N389" s="9"/>
      <c r="O389" s="9"/>
      <c r="P389" s="9"/>
      <c r="Q389" s="9"/>
      <c r="R389" s="9"/>
      <c r="S389" s="9"/>
      <c r="T389" s="2332"/>
      <c r="U389" s="9"/>
      <c r="V389" s="9"/>
    </row>
    <row r="390" spans="1:22">
      <c r="A390" s="9"/>
      <c r="B390" s="9"/>
      <c r="C390" s="9"/>
      <c r="D390" s="9"/>
      <c r="E390" s="9"/>
      <c r="F390" s="9"/>
      <c r="G390" s="9"/>
      <c r="H390" s="9"/>
      <c r="I390" s="9"/>
      <c r="J390" s="9"/>
      <c r="K390" s="9"/>
      <c r="L390" s="9"/>
      <c r="M390" s="9"/>
      <c r="N390" s="9"/>
      <c r="O390" s="9"/>
      <c r="P390" s="9"/>
      <c r="Q390" s="9"/>
      <c r="R390" s="9"/>
      <c r="S390" s="9"/>
      <c r="T390" s="2332"/>
      <c r="U390" s="9"/>
      <c r="V390" s="9"/>
    </row>
    <row r="391" spans="1:22">
      <c r="A391" s="9"/>
      <c r="B391" s="9"/>
      <c r="C391" s="9"/>
      <c r="D391" s="9"/>
      <c r="E391" s="9"/>
      <c r="F391" s="9"/>
      <c r="G391" s="9"/>
      <c r="H391" s="9"/>
      <c r="I391" s="9"/>
      <c r="J391" s="9"/>
      <c r="K391" s="9"/>
      <c r="L391" s="9"/>
      <c r="M391" s="9"/>
      <c r="N391" s="9"/>
      <c r="O391" s="9"/>
      <c r="P391" s="9"/>
      <c r="Q391" s="9"/>
      <c r="R391" s="9"/>
      <c r="S391" s="9"/>
      <c r="T391" s="2332"/>
      <c r="U391" s="9"/>
      <c r="V391" s="9"/>
    </row>
    <row r="392" spans="1:22">
      <c r="A392" s="9"/>
      <c r="B392" s="9"/>
      <c r="C392" s="9"/>
      <c r="D392" s="9"/>
      <c r="E392" s="9"/>
      <c r="F392" s="9"/>
      <c r="G392" s="9"/>
      <c r="H392" s="9"/>
      <c r="I392" s="9"/>
      <c r="J392" s="9"/>
      <c r="K392" s="9"/>
      <c r="L392" s="9"/>
      <c r="M392" s="9"/>
      <c r="N392" s="9"/>
      <c r="O392" s="9"/>
      <c r="P392" s="9"/>
      <c r="Q392" s="9"/>
      <c r="R392" s="9"/>
      <c r="S392" s="9"/>
      <c r="T392" s="2332"/>
      <c r="U392" s="9"/>
      <c r="V392" s="9"/>
    </row>
    <row r="393" spans="1:22">
      <c r="A393" s="9"/>
      <c r="B393" s="9"/>
      <c r="C393" s="9"/>
      <c r="D393" s="9"/>
      <c r="E393" s="9"/>
      <c r="F393" s="9"/>
      <c r="G393" s="9"/>
      <c r="H393" s="9"/>
      <c r="I393" s="9"/>
      <c r="J393" s="9"/>
      <c r="K393" s="9"/>
      <c r="L393" s="9"/>
      <c r="M393" s="9"/>
      <c r="N393" s="9"/>
      <c r="O393" s="9"/>
      <c r="P393" s="9"/>
      <c r="Q393" s="9"/>
      <c r="R393" s="9"/>
      <c r="S393" s="9"/>
      <c r="T393" s="2332"/>
      <c r="U393" s="9"/>
      <c r="V393" s="9"/>
    </row>
    <row r="394" spans="1:22">
      <c r="A394" s="9"/>
      <c r="B394" s="9"/>
      <c r="C394" s="9"/>
      <c r="D394" s="9"/>
      <c r="E394" s="9"/>
      <c r="F394" s="9"/>
      <c r="G394" s="9"/>
      <c r="H394" s="9"/>
      <c r="I394" s="9"/>
      <c r="J394" s="9"/>
      <c r="K394" s="9"/>
      <c r="L394" s="9"/>
      <c r="M394" s="9"/>
      <c r="N394" s="9"/>
      <c r="O394" s="9"/>
      <c r="P394" s="9"/>
      <c r="Q394" s="9"/>
      <c r="R394" s="9"/>
      <c r="S394" s="9"/>
      <c r="T394" s="2332"/>
      <c r="U394" s="9"/>
      <c r="V394" s="9"/>
    </row>
    <row r="395" spans="1:22">
      <c r="A395" s="9"/>
      <c r="B395" s="9"/>
      <c r="C395" s="9"/>
      <c r="D395" s="9"/>
      <c r="E395" s="9"/>
      <c r="F395" s="9"/>
      <c r="G395" s="9"/>
      <c r="H395" s="9"/>
      <c r="I395" s="9"/>
      <c r="J395" s="9"/>
      <c r="K395" s="9"/>
      <c r="L395" s="9"/>
      <c r="M395" s="9"/>
      <c r="N395" s="9"/>
      <c r="O395" s="9"/>
      <c r="P395" s="9"/>
      <c r="Q395" s="9"/>
      <c r="R395" s="9"/>
      <c r="S395" s="9"/>
      <c r="T395" s="2332"/>
      <c r="U395" s="9"/>
      <c r="V395" s="9"/>
    </row>
    <row r="396" spans="1:22">
      <c r="A396" s="9"/>
      <c r="B396" s="9"/>
      <c r="C396" s="9"/>
      <c r="D396" s="9"/>
      <c r="E396" s="9"/>
      <c r="F396" s="9"/>
      <c r="G396" s="9"/>
      <c r="H396" s="9"/>
      <c r="I396" s="9"/>
      <c r="J396" s="9"/>
      <c r="K396" s="9"/>
      <c r="L396" s="9"/>
      <c r="M396" s="9"/>
      <c r="N396" s="9"/>
      <c r="O396" s="9"/>
      <c r="P396" s="9"/>
      <c r="Q396" s="9"/>
      <c r="R396" s="9"/>
      <c r="S396" s="9"/>
      <c r="T396" s="2332"/>
      <c r="U396" s="9"/>
      <c r="V396" s="9"/>
    </row>
    <row r="397" spans="1:22">
      <c r="A397" s="9"/>
      <c r="B397" s="9"/>
      <c r="C397" s="9"/>
      <c r="D397" s="9"/>
      <c r="E397" s="9"/>
      <c r="F397" s="9"/>
      <c r="G397" s="9"/>
      <c r="H397" s="9"/>
      <c r="I397" s="9"/>
      <c r="J397" s="9"/>
      <c r="K397" s="9"/>
      <c r="L397" s="9"/>
      <c r="M397" s="9"/>
      <c r="N397" s="9"/>
      <c r="O397" s="9"/>
      <c r="P397" s="9"/>
      <c r="Q397" s="9"/>
      <c r="R397" s="9"/>
      <c r="S397" s="9"/>
      <c r="T397" s="2332"/>
      <c r="U397" s="9"/>
      <c r="V397" s="9"/>
    </row>
    <row r="398" spans="1:22">
      <c r="A398" s="9"/>
      <c r="B398" s="9"/>
      <c r="C398" s="9"/>
      <c r="D398" s="9"/>
      <c r="E398" s="9"/>
      <c r="F398" s="9"/>
      <c r="G398" s="9"/>
      <c r="H398" s="9"/>
      <c r="I398" s="9"/>
      <c r="J398" s="9"/>
      <c r="K398" s="9"/>
      <c r="L398" s="9"/>
      <c r="M398" s="9"/>
      <c r="N398" s="9"/>
      <c r="O398" s="9"/>
      <c r="P398" s="9"/>
      <c r="Q398" s="9"/>
      <c r="R398" s="9"/>
      <c r="S398" s="9"/>
      <c r="T398" s="2332"/>
      <c r="U398" s="9"/>
      <c r="V398" s="9"/>
    </row>
    <row r="399" spans="1:22">
      <c r="A399" s="9"/>
      <c r="B399" s="9"/>
      <c r="C399" s="9"/>
      <c r="D399" s="9"/>
      <c r="E399" s="9"/>
      <c r="F399" s="9"/>
      <c r="G399" s="9"/>
      <c r="H399" s="9"/>
      <c r="I399" s="9"/>
      <c r="J399" s="9"/>
      <c r="K399" s="9"/>
      <c r="L399" s="9"/>
      <c r="M399" s="9"/>
      <c r="N399" s="9"/>
      <c r="O399" s="9"/>
      <c r="P399" s="9"/>
      <c r="Q399" s="9"/>
      <c r="R399" s="9"/>
      <c r="S399" s="9"/>
      <c r="T399" s="2332"/>
      <c r="U399" s="9"/>
      <c r="V399" s="9"/>
    </row>
    <row r="400" spans="1:22">
      <c r="A400" s="9"/>
      <c r="B400" s="9"/>
      <c r="C400" s="9"/>
      <c r="D400" s="9"/>
      <c r="E400" s="9"/>
      <c r="F400" s="9"/>
      <c r="G400" s="9"/>
      <c r="H400" s="9"/>
      <c r="I400" s="9"/>
      <c r="J400" s="9"/>
      <c r="K400" s="9"/>
      <c r="L400" s="9"/>
      <c r="M400" s="9"/>
      <c r="N400" s="9"/>
      <c r="O400" s="9"/>
      <c r="P400" s="9"/>
      <c r="Q400" s="9"/>
      <c r="R400" s="9"/>
      <c r="S400" s="9"/>
      <c r="T400" s="2332"/>
      <c r="U400" s="9"/>
      <c r="V400" s="9"/>
    </row>
    <row r="401" spans="1:22">
      <c r="A401" s="9"/>
      <c r="B401" s="9"/>
      <c r="C401" s="9"/>
      <c r="D401" s="9"/>
      <c r="E401" s="9"/>
      <c r="F401" s="9"/>
      <c r="G401" s="9"/>
      <c r="H401" s="9"/>
      <c r="I401" s="9"/>
      <c r="J401" s="9"/>
      <c r="K401" s="9"/>
      <c r="L401" s="9"/>
      <c r="M401" s="9"/>
      <c r="N401" s="9"/>
      <c r="O401" s="9"/>
      <c r="P401" s="9"/>
      <c r="Q401" s="9"/>
      <c r="R401" s="9"/>
      <c r="S401" s="9"/>
      <c r="T401" s="2332"/>
      <c r="U401" s="9"/>
      <c r="V401" s="9"/>
    </row>
    <row r="402" spans="1:22">
      <c r="A402" s="9"/>
      <c r="B402" s="9"/>
      <c r="C402" s="9"/>
      <c r="D402" s="9"/>
      <c r="E402" s="9"/>
      <c r="F402" s="9"/>
      <c r="G402" s="9"/>
      <c r="H402" s="9"/>
      <c r="I402" s="9"/>
      <c r="J402" s="9"/>
      <c r="K402" s="9"/>
      <c r="L402" s="9"/>
      <c r="M402" s="9"/>
      <c r="N402" s="9"/>
      <c r="O402" s="9"/>
      <c r="P402" s="9"/>
      <c r="Q402" s="9"/>
      <c r="R402" s="9"/>
      <c r="S402" s="9"/>
      <c r="T402" s="2332"/>
      <c r="U402" s="9"/>
      <c r="V402" s="9"/>
    </row>
    <row r="403" spans="1:22">
      <c r="A403" s="9"/>
      <c r="B403" s="9"/>
      <c r="C403" s="9"/>
      <c r="D403" s="9"/>
      <c r="E403" s="9"/>
      <c r="F403" s="9"/>
      <c r="G403" s="9"/>
      <c r="H403" s="9"/>
      <c r="I403" s="9"/>
      <c r="J403" s="9"/>
      <c r="K403" s="9"/>
      <c r="L403" s="9"/>
      <c r="M403" s="9"/>
      <c r="N403" s="9"/>
      <c r="O403" s="9"/>
      <c r="P403" s="9"/>
      <c r="Q403" s="9"/>
      <c r="R403" s="9"/>
      <c r="S403" s="9"/>
      <c r="T403" s="2332"/>
      <c r="U403" s="9"/>
      <c r="V403" s="9"/>
    </row>
    <row r="404" spans="1:22">
      <c r="A404" s="9"/>
      <c r="B404" s="9"/>
      <c r="C404" s="9"/>
      <c r="D404" s="9"/>
      <c r="E404" s="9"/>
      <c r="F404" s="9"/>
      <c r="G404" s="9"/>
      <c r="H404" s="9"/>
      <c r="I404" s="9"/>
      <c r="J404" s="9"/>
      <c r="K404" s="9"/>
      <c r="L404" s="9"/>
      <c r="M404" s="9"/>
      <c r="N404" s="9"/>
      <c r="O404" s="9"/>
      <c r="P404" s="9"/>
      <c r="Q404" s="9"/>
      <c r="R404" s="9"/>
      <c r="S404" s="9"/>
      <c r="T404" s="2332"/>
      <c r="U404" s="9"/>
      <c r="V404" s="9"/>
    </row>
    <row r="405" spans="1:22">
      <c r="A405" s="9"/>
      <c r="B405" s="9"/>
      <c r="C405" s="9"/>
      <c r="D405" s="9"/>
      <c r="E405" s="9"/>
      <c r="F405" s="9"/>
      <c r="G405" s="9"/>
      <c r="H405" s="9"/>
      <c r="I405" s="9"/>
      <c r="J405" s="9"/>
      <c r="K405" s="9"/>
      <c r="L405" s="9"/>
      <c r="M405" s="9"/>
      <c r="N405" s="9"/>
      <c r="O405" s="9"/>
      <c r="P405" s="9"/>
      <c r="Q405" s="9"/>
      <c r="R405" s="9"/>
      <c r="S405" s="9"/>
      <c r="T405" s="2332"/>
      <c r="U405" s="9"/>
      <c r="V405" s="9"/>
    </row>
    <row r="406" spans="1:22">
      <c r="A406" s="9"/>
      <c r="B406" s="9"/>
      <c r="C406" s="9"/>
      <c r="D406" s="9"/>
      <c r="E406" s="9"/>
      <c r="F406" s="9"/>
      <c r="G406" s="9"/>
      <c r="H406" s="9"/>
      <c r="I406" s="9"/>
      <c r="J406" s="9"/>
      <c r="K406" s="9"/>
      <c r="L406" s="9"/>
      <c r="M406" s="9"/>
      <c r="N406" s="9"/>
      <c r="O406" s="9"/>
      <c r="P406" s="9"/>
      <c r="Q406" s="9"/>
      <c r="R406" s="9"/>
      <c r="S406" s="9"/>
      <c r="T406" s="2332"/>
      <c r="U406" s="9"/>
      <c r="V406" s="9"/>
    </row>
    <row r="407" spans="1:22">
      <c r="A407" s="9"/>
      <c r="B407" s="9"/>
      <c r="C407" s="9"/>
      <c r="D407" s="9"/>
      <c r="E407" s="9"/>
      <c r="F407" s="9"/>
      <c r="G407" s="9"/>
      <c r="H407" s="9"/>
      <c r="I407" s="9"/>
      <c r="J407" s="9"/>
      <c r="K407" s="9"/>
      <c r="L407" s="9"/>
      <c r="M407" s="9"/>
      <c r="N407" s="9"/>
      <c r="O407" s="9"/>
      <c r="P407" s="9"/>
      <c r="Q407" s="9"/>
      <c r="R407" s="9"/>
      <c r="S407" s="9"/>
      <c r="T407" s="2332"/>
      <c r="U407" s="9"/>
      <c r="V407" s="9"/>
    </row>
    <row r="408" spans="1:22">
      <c r="A408" s="9"/>
      <c r="B408" s="9"/>
      <c r="C408" s="9"/>
      <c r="D408" s="9"/>
      <c r="E408" s="9"/>
      <c r="F408" s="9"/>
      <c r="G408" s="9"/>
      <c r="H408" s="9"/>
      <c r="I408" s="9"/>
      <c r="J408" s="9"/>
      <c r="K408" s="9"/>
      <c r="L408" s="9"/>
      <c r="M408" s="9"/>
      <c r="N408" s="9"/>
      <c r="O408" s="9"/>
      <c r="P408" s="9"/>
      <c r="Q408" s="9"/>
      <c r="R408" s="9"/>
      <c r="S408" s="9"/>
      <c r="T408" s="2332"/>
      <c r="U408" s="9"/>
      <c r="V408" s="9"/>
    </row>
    <row r="409" spans="1:22">
      <c r="A409" s="9"/>
      <c r="B409" s="9"/>
      <c r="C409" s="9"/>
      <c r="D409" s="9"/>
      <c r="E409" s="9"/>
      <c r="F409" s="9"/>
      <c r="G409" s="9"/>
      <c r="H409" s="9"/>
      <c r="I409" s="9"/>
      <c r="J409" s="9"/>
      <c r="K409" s="9"/>
      <c r="L409" s="9"/>
      <c r="M409" s="9"/>
      <c r="N409" s="9"/>
      <c r="O409" s="9"/>
      <c r="P409" s="9"/>
      <c r="Q409" s="9"/>
      <c r="R409" s="9"/>
      <c r="S409" s="9"/>
      <c r="T409" s="2332"/>
      <c r="U409" s="9"/>
      <c r="V409" s="9"/>
    </row>
    <row r="410" spans="1:22">
      <c r="A410" s="9"/>
      <c r="B410" s="9"/>
      <c r="C410" s="9"/>
      <c r="D410" s="9"/>
      <c r="E410" s="9"/>
      <c r="F410" s="9"/>
      <c r="G410" s="9"/>
      <c r="H410" s="9"/>
      <c r="I410" s="9"/>
      <c r="J410" s="9"/>
      <c r="K410" s="9"/>
      <c r="L410" s="9"/>
      <c r="M410" s="9"/>
      <c r="N410" s="9"/>
      <c r="O410" s="9"/>
      <c r="P410" s="9"/>
      <c r="Q410" s="9"/>
      <c r="R410" s="9"/>
      <c r="S410" s="9"/>
      <c r="T410" s="2332"/>
      <c r="U410" s="9"/>
      <c r="V410" s="9"/>
    </row>
    <row r="411" spans="1:22">
      <c r="A411" s="9"/>
      <c r="B411" s="9"/>
      <c r="C411" s="9"/>
      <c r="D411" s="9"/>
      <c r="E411" s="9"/>
      <c r="F411" s="9"/>
      <c r="G411" s="9"/>
      <c r="H411" s="9"/>
      <c r="I411" s="9"/>
      <c r="J411" s="9"/>
      <c r="K411" s="9"/>
      <c r="L411" s="9"/>
      <c r="M411" s="9"/>
      <c r="N411" s="9"/>
      <c r="O411" s="9"/>
      <c r="P411" s="9"/>
      <c r="Q411" s="9"/>
      <c r="R411" s="9"/>
      <c r="S411" s="9"/>
      <c r="T411" s="2332"/>
      <c r="U411" s="9"/>
      <c r="V411" s="9"/>
    </row>
    <row r="412" spans="1:22">
      <c r="A412" s="9"/>
      <c r="B412" s="9"/>
      <c r="C412" s="9"/>
      <c r="D412" s="9"/>
      <c r="E412" s="9"/>
      <c r="F412" s="9"/>
      <c r="G412" s="9"/>
      <c r="H412" s="9"/>
      <c r="I412" s="9"/>
      <c r="J412" s="9"/>
      <c r="K412" s="9"/>
      <c r="L412" s="9"/>
      <c r="M412" s="9"/>
      <c r="N412" s="9"/>
      <c r="O412" s="9"/>
      <c r="P412" s="9"/>
      <c r="Q412" s="9"/>
      <c r="R412" s="9"/>
      <c r="S412" s="9"/>
      <c r="T412" s="2332"/>
      <c r="U412" s="9"/>
      <c r="V412" s="9"/>
    </row>
    <row r="413" spans="1:22">
      <c r="A413" s="9"/>
      <c r="B413" s="9"/>
      <c r="C413" s="9"/>
      <c r="D413" s="9"/>
      <c r="E413" s="9"/>
      <c r="F413" s="9"/>
      <c r="G413" s="9"/>
      <c r="H413" s="9"/>
      <c r="I413" s="9"/>
      <c r="J413" s="9"/>
      <c r="K413" s="9"/>
      <c r="L413" s="9"/>
      <c r="M413" s="9"/>
      <c r="N413" s="9"/>
      <c r="O413" s="9"/>
      <c r="P413" s="9"/>
      <c r="Q413" s="9"/>
      <c r="R413" s="9"/>
      <c r="S413" s="9"/>
      <c r="T413" s="2332"/>
      <c r="U413" s="9"/>
      <c r="V413" s="9"/>
    </row>
    <row r="414" spans="1:22">
      <c r="A414" s="9"/>
      <c r="B414" s="9"/>
      <c r="C414" s="9"/>
      <c r="D414" s="9"/>
      <c r="E414" s="9"/>
      <c r="F414" s="9"/>
      <c r="G414" s="9"/>
      <c r="H414" s="9"/>
      <c r="I414" s="9"/>
      <c r="J414" s="9"/>
      <c r="K414" s="9"/>
      <c r="L414" s="9"/>
      <c r="M414" s="9"/>
      <c r="N414" s="9"/>
      <c r="O414" s="9"/>
      <c r="P414" s="9"/>
      <c r="Q414" s="9"/>
      <c r="R414" s="9"/>
      <c r="S414" s="9"/>
      <c r="T414" s="2332"/>
      <c r="U414" s="9"/>
      <c r="V414" s="9"/>
    </row>
    <row r="415" spans="1:22">
      <c r="A415" s="9"/>
      <c r="B415" s="9"/>
      <c r="C415" s="9"/>
      <c r="D415" s="9"/>
      <c r="E415" s="9"/>
      <c r="F415" s="9"/>
      <c r="G415" s="9"/>
      <c r="H415" s="9"/>
      <c r="I415" s="9"/>
      <c r="J415" s="9"/>
      <c r="K415" s="9"/>
      <c r="L415" s="9"/>
      <c r="M415" s="9"/>
      <c r="N415" s="9"/>
      <c r="O415" s="9"/>
      <c r="P415" s="9"/>
      <c r="Q415" s="9"/>
      <c r="R415" s="9"/>
      <c r="S415" s="9"/>
      <c r="T415" s="2332"/>
      <c r="U415" s="9"/>
      <c r="V415" s="9"/>
    </row>
    <row r="416" spans="1:22">
      <c r="A416" s="9"/>
      <c r="B416" s="9"/>
      <c r="C416" s="9"/>
      <c r="D416" s="9"/>
      <c r="E416" s="9"/>
      <c r="F416" s="9"/>
      <c r="G416" s="9"/>
      <c r="H416" s="9"/>
      <c r="I416" s="9"/>
      <c r="J416" s="9"/>
      <c r="K416" s="9"/>
      <c r="L416" s="9"/>
      <c r="M416" s="9"/>
      <c r="N416" s="9"/>
      <c r="O416" s="9"/>
      <c r="P416" s="9"/>
      <c r="Q416" s="9"/>
      <c r="R416" s="9"/>
      <c r="S416" s="9"/>
      <c r="T416" s="2332"/>
      <c r="U416" s="9"/>
      <c r="V416" s="9"/>
    </row>
    <row r="417" spans="1:22">
      <c r="A417" s="9"/>
      <c r="B417" s="9"/>
      <c r="C417" s="9"/>
      <c r="D417" s="9"/>
      <c r="E417" s="9"/>
      <c r="F417" s="9"/>
      <c r="G417" s="9"/>
      <c r="H417" s="9"/>
      <c r="I417" s="9"/>
      <c r="J417" s="9"/>
      <c r="K417" s="9"/>
      <c r="L417" s="9"/>
      <c r="M417" s="9"/>
      <c r="N417" s="9"/>
      <c r="O417" s="9"/>
      <c r="P417" s="9"/>
      <c r="Q417" s="9"/>
      <c r="R417" s="9"/>
      <c r="S417" s="9"/>
      <c r="T417" s="2332"/>
      <c r="U417" s="9"/>
      <c r="V417" s="9"/>
    </row>
    <row r="418" spans="1:22">
      <c r="A418" s="9"/>
      <c r="B418" s="9"/>
      <c r="C418" s="9"/>
      <c r="D418" s="9"/>
      <c r="E418" s="9"/>
      <c r="F418" s="9"/>
      <c r="G418" s="9"/>
      <c r="H418" s="9"/>
      <c r="I418" s="9"/>
      <c r="J418" s="9"/>
      <c r="K418" s="9"/>
      <c r="L418" s="9"/>
      <c r="M418" s="9"/>
      <c r="N418" s="9"/>
      <c r="O418" s="9"/>
      <c r="P418" s="9"/>
      <c r="Q418" s="9"/>
      <c r="R418" s="9"/>
      <c r="S418" s="9"/>
      <c r="T418" s="2332"/>
      <c r="U418" s="9"/>
      <c r="V418" s="9"/>
    </row>
    <row r="419" spans="1:22">
      <c r="A419" s="9"/>
      <c r="B419" s="9"/>
      <c r="C419" s="9"/>
      <c r="D419" s="9"/>
      <c r="E419" s="9"/>
      <c r="F419" s="9"/>
      <c r="G419" s="9"/>
      <c r="H419" s="9"/>
      <c r="I419" s="9"/>
      <c r="J419" s="9"/>
      <c r="K419" s="9"/>
      <c r="L419" s="9"/>
      <c r="M419" s="9"/>
      <c r="N419" s="9"/>
      <c r="O419" s="9"/>
      <c r="P419" s="9"/>
      <c r="Q419" s="9"/>
      <c r="R419" s="9"/>
      <c r="S419" s="9"/>
      <c r="T419" s="2332"/>
      <c r="U419" s="9"/>
      <c r="V419" s="9"/>
    </row>
    <row r="420" spans="1:22">
      <c r="A420" s="9"/>
      <c r="B420" s="9"/>
      <c r="C420" s="9"/>
      <c r="D420" s="9"/>
      <c r="E420" s="9"/>
      <c r="F420" s="9"/>
      <c r="G420" s="9"/>
      <c r="H420" s="9"/>
      <c r="I420" s="9"/>
      <c r="J420" s="9"/>
      <c r="K420" s="9"/>
      <c r="L420" s="9"/>
      <c r="M420" s="9"/>
      <c r="N420" s="9"/>
      <c r="O420" s="9"/>
      <c r="P420" s="9"/>
      <c r="Q420" s="9"/>
      <c r="R420" s="9"/>
      <c r="S420" s="9"/>
      <c r="T420" s="2332"/>
      <c r="U420" s="9"/>
      <c r="V420" s="9"/>
    </row>
    <row r="421" spans="1:22">
      <c r="A421" s="9"/>
      <c r="B421" s="9"/>
      <c r="C421" s="9"/>
      <c r="D421" s="9"/>
      <c r="E421" s="9"/>
      <c r="F421" s="9"/>
      <c r="G421" s="9"/>
      <c r="H421" s="9"/>
      <c r="I421" s="9"/>
      <c r="J421" s="9"/>
      <c r="K421" s="9"/>
      <c r="L421" s="9"/>
      <c r="M421" s="9"/>
      <c r="N421" s="9"/>
      <c r="O421" s="9"/>
      <c r="P421" s="9"/>
      <c r="Q421" s="9"/>
      <c r="R421" s="9"/>
      <c r="S421" s="9"/>
      <c r="T421" s="2332"/>
      <c r="U421" s="9"/>
      <c r="V421" s="9"/>
    </row>
    <row r="422" spans="1:22">
      <c r="A422" s="9"/>
      <c r="B422" s="9"/>
      <c r="C422" s="9"/>
      <c r="D422" s="9"/>
      <c r="E422" s="9"/>
      <c r="F422" s="9"/>
      <c r="G422" s="9"/>
      <c r="H422" s="9"/>
      <c r="I422" s="9"/>
      <c r="J422" s="9"/>
      <c r="K422" s="9"/>
      <c r="L422" s="9"/>
      <c r="M422" s="9"/>
      <c r="N422" s="9"/>
      <c r="O422" s="9"/>
      <c r="P422" s="9"/>
      <c r="Q422" s="9"/>
      <c r="R422" s="9"/>
      <c r="S422" s="9"/>
      <c r="T422" s="2332"/>
      <c r="U422" s="9"/>
      <c r="V422" s="9"/>
    </row>
    <row r="423" spans="1:22">
      <c r="A423" s="9"/>
      <c r="B423" s="9"/>
      <c r="C423" s="9"/>
      <c r="D423" s="9"/>
      <c r="E423" s="9"/>
      <c r="F423" s="9"/>
      <c r="G423" s="9"/>
      <c r="H423" s="9"/>
      <c r="I423" s="9"/>
      <c r="J423" s="9"/>
      <c r="K423" s="9"/>
      <c r="L423" s="9"/>
      <c r="M423" s="9"/>
      <c r="N423" s="9"/>
      <c r="O423" s="9"/>
      <c r="P423" s="9"/>
      <c r="Q423" s="9"/>
      <c r="R423" s="9"/>
      <c r="S423" s="9"/>
      <c r="T423" s="2332"/>
      <c r="U423" s="9"/>
      <c r="V423" s="9"/>
    </row>
    <row r="424" spans="1:22">
      <c r="A424" s="9"/>
      <c r="B424" s="9"/>
      <c r="C424" s="9"/>
      <c r="D424" s="9"/>
      <c r="E424" s="9"/>
      <c r="F424" s="9"/>
      <c r="G424" s="9"/>
      <c r="H424" s="9"/>
      <c r="I424" s="9"/>
      <c r="J424" s="9"/>
      <c r="K424" s="9"/>
      <c r="L424" s="9"/>
      <c r="M424" s="9"/>
      <c r="N424" s="9"/>
      <c r="O424" s="9"/>
      <c r="P424" s="9"/>
      <c r="Q424" s="9"/>
      <c r="R424" s="9"/>
      <c r="S424" s="9"/>
      <c r="T424" s="2332"/>
      <c r="U424" s="9"/>
      <c r="V424" s="9"/>
    </row>
    <row r="425" spans="1:22">
      <c r="A425" s="9"/>
      <c r="B425" s="9"/>
      <c r="C425" s="9"/>
      <c r="D425" s="9"/>
      <c r="E425" s="9"/>
      <c r="F425" s="9"/>
      <c r="G425" s="9"/>
      <c r="H425" s="9"/>
      <c r="I425" s="9"/>
      <c r="J425" s="9"/>
      <c r="K425" s="9"/>
      <c r="L425" s="9"/>
      <c r="M425" s="9"/>
      <c r="N425" s="9"/>
      <c r="O425" s="9"/>
      <c r="P425" s="9"/>
      <c r="Q425" s="9"/>
      <c r="R425" s="9"/>
      <c r="S425" s="9"/>
      <c r="T425" s="2332"/>
      <c r="U425" s="9"/>
      <c r="V425" s="9"/>
    </row>
    <row r="426" spans="1:22">
      <c r="A426" s="9"/>
      <c r="B426" s="9"/>
      <c r="C426" s="9"/>
      <c r="D426" s="9"/>
      <c r="E426" s="9"/>
      <c r="F426" s="9"/>
      <c r="G426" s="9"/>
      <c r="H426" s="9"/>
      <c r="I426" s="9"/>
      <c r="J426" s="9"/>
      <c r="K426" s="9"/>
      <c r="L426" s="9"/>
      <c r="M426" s="9"/>
      <c r="N426" s="9"/>
      <c r="O426" s="9"/>
      <c r="P426" s="9"/>
      <c r="Q426" s="9"/>
      <c r="R426" s="9"/>
      <c r="S426" s="9"/>
      <c r="T426" s="2332"/>
      <c r="U426" s="9"/>
      <c r="V426" s="9"/>
    </row>
    <row r="427" spans="1:22">
      <c r="A427" s="9"/>
      <c r="B427" s="9"/>
      <c r="C427" s="9"/>
      <c r="D427" s="9"/>
      <c r="E427" s="9"/>
      <c r="F427" s="9"/>
      <c r="G427" s="9"/>
      <c r="H427" s="9"/>
      <c r="I427" s="9"/>
      <c r="J427" s="9"/>
      <c r="K427" s="9"/>
      <c r="L427" s="9"/>
      <c r="M427" s="9"/>
      <c r="N427" s="9"/>
      <c r="O427" s="9"/>
      <c r="P427" s="9"/>
      <c r="Q427" s="9"/>
      <c r="R427" s="9"/>
      <c r="S427" s="9"/>
      <c r="T427" s="2332"/>
      <c r="U427" s="9"/>
      <c r="V427" s="9"/>
    </row>
    <row r="428" spans="1:22">
      <c r="A428" s="9"/>
      <c r="B428" s="9"/>
      <c r="C428" s="9"/>
      <c r="D428" s="9"/>
      <c r="E428" s="9"/>
      <c r="F428" s="9"/>
      <c r="G428" s="9"/>
      <c r="H428" s="9"/>
      <c r="I428" s="9"/>
      <c r="J428" s="9"/>
      <c r="K428" s="9"/>
      <c r="L428" s="9"/>
      <c r="M428" s="9"/>
      <c r="N428" s="9"/>
      <c r="O428" s="9"/>
      <c r="P428" s="9"/>
      <c r="Q428" s="9"/>
      <c r="R428" s="9"/>
      <c r="S428" s="9"/>
      <c r="T428" s="2332"/>
      <c r="U428" s="9"/>
      <c r="V428" s="9"/>
    </row>
    <row r="429" spans="1:22">
      <c r="A429" s="9"/>
      <c r="B429" s="9"/>
      <c r="C429" s="9"/>
      <c r="D429" s="9"/>
      <c r="E429" s="9"/>
      <c r="F429" s="9"/>
      <c r="G429" s="9"/>
      <c r="H429" s="9"/>
      <c r="I429" s="9"/>
      <c r="J429" s="9"/>
      <c r="K429" s="9"/>
      <c r="L429" s="9"/>
      <c r="M429" s="9"/>
      <c r="N429" s="9"/>
      <c r="O429" s="9"/>
      <c r="P429" s="9"/>
      <c r="Q429" s="9"/>
      <c r="R429" s="9"/>
      <c r="S429" s="9"/>
      <c r="T429" s="2332"/>
      <c r="U429" s="9"/>
      <c r="V429" s="9"/>
    </row>
    <row r="430" spans="1:22">
      <c r="A430" s="9"/>
      <c r="B430" s="9"/>
      <c r="C430" s="9"/>
      <c r="D430" s="9"/>
      <c r="E430" s="9"/>
      <c r="F430" s="9"/>
      <c r="G430" s="9"/>
      <c r="H430" s="9"/>
      <c r="I430" s="9"/>
      <c r="J430" s="9"/>
      <c r="K430" s="9"/>
      <c r="L430" s="9"/>
      <c r="M430" s="9"/>
      <c r="N430" s="9"/>
      <c r="O430" s="9"/>
      <c r="P430" s="9"/>
      <c r="Q430" s="9"/>
      <c r="R430" s="9"/>
      <c r="S430" s="9"/>
      <c r="T430" s="2332"/>
      <c r="U430" s="9"/>
      <c r="V430" s="9"/>
    </row>
    <row r="431" spans="1:22">
      <c r="A431" s="9"/>
      <c r="B431" s="9"/>
      <c r="C431" s="9"/>
      <c r="D431" s="9"/>
      <c r="E431" s="9"/>
      <c r="F431" s="9"/>
      <c r="G431" s="9"/>
      <c r="H431" s="9"/>
      <c r="I431" s="9"/>
      <c r="J431" s="9"/>
      <c r="K431" s="9"/>
      <c r="L431" s="9"/>
      <c r="M431" s="9"/>
      <c r="N431" s="9"/>
      <c r="O431" s="9"/>
      <c r="P431" s="9"/>
      <c r="Q431" s="9"/>
      <c r="R431" s="9"/>
      <c r="S431" s="9"/>
      <c r="T431" s="2332"/>
      <c r="U431" s="9"/>
      <c r="V431" s="9"/>
    </row>
    <row r="432" spans="1:22">
      <c r="A432" s="9"/>
      <c r="B432" s="9"/>
      <c r="C432" s="9"/>
      <c r="D432" s="9"/>
      <c r="E432" s="9"/>
      <c r="F432" s="9"/>
      <c r="G432" s="9"/>
      <c r="H432" s="9"/>
      <c r="I432" s="9"/>
      <c r="J432" s="9"/>
      <c r="K432" s="9"/>
      <c r="L432" s="9"/>
      <c r="M432" s="9"/>
      <c r="N432" s="9"/>
      <c r="O432" s="9"/>
      <c r="P432" s="9"/>
      <c r="Q432" s="9"/>
      <c r="R432" s="9"/>
      <c r="S432" s="9"/>
      <c r="T432" s="2332"/>
      <c r="U432" s="9"/>
      <c r="V432" s="9"/>
    </row>
    <row r="433" spans="1:22">
      <c r="A433" s="9"/>
      <c r="B433" s="9"/>
      <c r="C433" s="9"/>
      <c r="D433" s="9"/>
      <c r="E433" s="9"/>
      <c r="F433" s="9"/>
      <c r="G433" s="9"/>
      <c r="H433" s="9"/>
      <c r="I433" s="9"/>
      <c r="J433" s="9"/>
      <c r="K433" s="9"/>
      <c r="L433" s="9"/>
      <c r="M433" s="9"/>
      <c r="N433" s="9"/>
      <c r="O433" s="9"/>
      <c r="P433" s="9"/>
      <c r="Q433" s="9"/>
      <c r="R433" s="9"/>
      <c r="S433" s="9"/>
      <c r="T433" s="2332"/>
      <c r="U433" s="9"/>
      <c r="V433" s="9"/>
    </row>
    <row r="434" spans="1:22">
      <c r="A434" s="9"/>
      <c r="B434" s="9"/>
      <c r="C434" s="9"/>
      <c r="D434" s="9"/>
      <c r="E434" s="9"/>
      <c r="F434" s="9"/>
      <c r="G434" s="9"/>
      <c r="H434" s="9"/>
      <c r="I434" s="9"/>
      <c r="J434" s="9"/>
      <c r="K434" s="9"/>
      <c r="L434" s="9"/>
      <c r="M434" s="9"/>
      <c r="N434" s="9"/>
      <c r="O434" s="9"/>
      <c r="P434" s="9"/>
      <c r="Q434" s="9"/>
      <c r="R434" s="9"/>
      <c r="S434" s="9"/>
      <c r="T434" s="2332"/>
      <c r="U434" s="9"/>
      <c r="V434" s="9"/>
    </row>
    <row r="435" spans="1:22">
      <c r="A435" s="9"/>
      <c r="B435" s="9"/>
      <c r="C435" s="9"/>
      <c r="D435" s="9"/>
      <c r="E435" s="9"/>
      <c r="F435" s="9"/>
      <c r="G435" s="9"/>
      <c r="H435" s="9"/>
      <c r="I435" s="9"/>
      <c r="J435" s="9"/>
      <c r="K435" s="9"/>
      <c r="L435" s="9"/>
      <c r="M435" s="9"/>
      <c r="N435" s="9"/>
      <c r="O435" s="9"/>
      <c r="P435" s="9"/>
      <c r="Q435" s="9"/>
      <c r="R435" s="9"/>
      <c r="S435" s="9"/>
      <c r="T435" s="2332"/>
      <c r="U435" s="9"/>
      <c r="V435" s="9"/>
    </row>
    <row r="436" spans="1:22">
      <c r="A436" s="9"/>
      <c r="B436" s="9"/>
      <c r="C436" s="9"/>
      <c r="D436" s="9"/>
      <c r="E436" s="9"/>
      <c r="F436" s="9"/>
      <c r="G436" s="9"/>
      <c r="H436" s="9"/>
      <c r="I436" s="9"/>
      <c r="J436" s="9"/>
      <c r="K436" s="9"/>
      <c r="L436" s="9"/>
      <c r="M436" s="9"/>
      <c r="N436" s="9"/>
      <c r="O436" s="9"/>
      <c r="P436" s="9"/>
      <c r="Q436" s="9"/>
      <c r="R436" s="9"/>
      <c r="S436" s="9"/>
      <c r="T436" s="2332"/>
      <c r="U436" s="9"/>
      <c r="V436" s="9"/>
    </row>
    <row r="437" spans="1:22">
      <c r="A437" s="9"/>
      <c r="B437" s="9"/>
      <c r="C437" s="9"/>
      <c r="D437" s="9"/>
      <c r="E437" s="9"/>
      <c r="F437" s="9"/>
      <c r="G437" s="9"/>
      <c r="H437" s="9"/>
      <c r="I437" s="9"/>
      <c r="J437" s="9"/>
      <c r="K437" s="9"/>
      <c r="L437" s="9"/>
      <c r="M437" s="9"/>
      <c r="N437" s="9"/>
      <c r="O437" s="9"/>
      <c r="P437" s="9"/>
      <c r="Q437" s="9"/>
      <c r="R437" s="9"/>
      <c r="S437" s="9"/>
      <c r="T437" s="2332"/>
      <c r="U437" s="9"/>
      <c r="V437" s="9"/>
    </row>
    <row r="438" spans="1:22">
      <c r="A438" s="9"/>
      <c r="B438" s="9"/>
      <c r="C438" s="9"/>
      <c r="D438" s="9"/>
      <c r="E438" s="9"/>
      <c r="F438" s="9"/>
      <c r="G438" s="9"/>
      <c r="H438" s="9"/>
      <c r="I438" s="9"/>
      <c r="J438" s="9"/>
      <c r="K438" s="9"/>
      <c r="L438" s="9"/>
      <c r="M438" s="9"/>
      <c r="N438" s="9"/>
      <c r="O438" s="9"/>
      <c r="P438" s="9"/>
      <c r="Q438" s="9"/>
      <c r="R438" s="9"/>
      <c r="S438" s="9"/>
      <c r="T438" s="2332"/>
      <c r="U438" s="9"/>
      <c r="V438" s="9"/>
    </row>
    <row r="439" spans="1:22">
      <c r="A439" s="9"/>
      <c r="B439" s="9"/>
      <c r="C439" s="9"/>
      <c r="D439" s="9"/>
      <c r="E439" s="9"/>
      <c r="F439" s="9"/>
      <c r="G439" s="9"/>
      <c r="H439" s="9"/>
      <c r="I439" s="9"/>
      <c r="J439" s="9"/>
      <c r="K439" s="9"/>
      <c r="L439" s="9"/>
      <c r="M439" s="9"/>
      <c r="N439" s="9"/>
      <c r="O439" s="9"/>
      <c r="P439" s="9"/>
      <c r="Q439" s="9"/>
      <c r="R439" s="9"/>
      <c r="S439" s="9"/>
      <c r="T439" s="2332"/>
      <c r="U439" s="9"/>
      <c r="V439" s="9"/>
    </row>
    <row r="440" spans="1:22">
      <c r="A440" s="9"/>
      <c r="B440" s="9"/>
      <c r="C440" s="9"/>
      <c r="D440" s="9"/>
      <c r="E440" s="9"/>
      <c r="F440" s="9"/>
      <c r="G440" s="9"/>
      <c r="H440" s="9"/>
      <c r="I440" s="9"/>
      <c r="J440" s="9"/>
      <c r="K440" s="9"/>
      <c r="L440" s="9"/>
      <c r="M440" s="9"/>
      <c r="N440" s="9"/>
      <c r="O440" s="9"/>
      <c r="P440" s="9"/>
      <c r="Q440" s="9"/>
      <c r="R440" s="9"/>
      <c r="S440" s="9"/>
      <c r="T440" s="2332"/>
      <c r="U440" s="9"/>
      <c r="V440" s="9"/>
    </row>
    <row r="441" spans="1:22">
      <c r="A441" s="9"/>
      <c r="B441" s="9"/>
      <c r="C441" s="9"/>
      <c r="D441" s="9"/>
      <c r="E441" s="9"/>
      <c r="F441" s="9"/>
      <c r="G441" s="9"/>
      <c r="H441" s="9"/>
      <c r="I441" s="9"/>
      <c r="J441" s="9"/>
      <c r="K441" s="9"/>
      <c r="L441" s="9"/>
      <c r="M441" s="9"/>
      <c r="N441" s="9"/>
      <c r="O441" s="9"/>
      <c r="P441" s="9"/>
      <c r="Q441" s="9"/>
      <c r="R441" s="9"/>
      <c r="S441" s="9"/>
      <c r="T441" s="2332"/>
      <c r="U441" s="9"/>
      <c r="V441" s="9"/>
    </row>
    <row r="442" spans="1:22">
      <c r="A442" s="9"/>
      <c r="B442" s="9"/>
      <c r="C442" s="9"/>
      <c r="D442" s="9"/>
      <c r="E442" s="9"/>
      <c r="F442" s="9"/>
      <c r="G442" s="9"/>
      <c r="H442" s="9"/>
      <c r="I442" s="9"/>
      <c r="J442" s="9"/>
      <c r="K442" s="9"/>
      <c r="L442" s="9"/>
      <c r="M442" s="9"/>
      <c r="N442" s="9"/>
      <c r="O442" s="9"/>
      <c r="P442" s="9"/>
      <c r="Q442" s="9"/>
      <c r="R442" s="9"/>
      <c r="S442" s="9"/>
      <c r="T442" s="2332"/>
      <c r="U442" s="9"/>
      <c r="V442" s="9"/>
    </row>
    <row r="443" spans="1:22">
      <c r="A443" s="9"/>
      <c r="B443" s="9"/>
      <c r="C443" s="9"/>
      <c r="D443" s="9"/>
      <c r="E443" s="9"/>
      <c r="F443" s="9"/>
      <c r="G443" s="9"/>
      <c r="H443" s="9"/>
      <c r="I443" s="9"/>
      <c r="J443" s="9"/>
      <c r="K443" s="9"/>
      <c r="L443" s="9"/>
      <c r="M443" s="9"/>
      <c r="N443" s="9"/>
      <c r="O443" s="9"/>
      <c r="P443" s="9"/>
      <c r="Q443" s="9"/>
      <c r="R443" s="9"/>
      <c r="S443" s="9"/>
      <c r="T443" s="2332"/>
      <c r="U443" s="9"/>
      <c r="V443" s="9"/>
    </row>
    <row r="444" spans="1:22">
      <c r="A444" s="9"/>
      <c r="B444" s="9"/>
      <c r="C444" s="9"/>
      <c r="D444" s="9"/>
      <c r="E444" s="9"/>
      <c r="F444" s="9"/>
      <c r="G444" s="9"/>
      <c r="H444" s="9"/>
      <c r="I444" s="9"/>
      <c r="J444" s="9"/>
      <c r="K444" s="9"/>
      <c r="L444" s="9"/>
      <c r="M444" s="9"/>
      <c r="N444" s="9"/>
      <c r="O444" s="9"/>
      <c r="P444" s="9"/>
      <c r="Q444" s="9"/>
      <c r="R444" s="9"/>
      <c r="S444" s="9"/>
      <c r="T444" s="2332"/>
      <c r="U444" s="9"/>
      <c r="V444" s="9"/>
    </row>
    <row r="445" spans="1:22">
      <c r="A445" s="9"/>
      <c r="B445" s="9"/>
      <c r="C445" s="9"/>
      <c r="D445" s="9"/>
      <c r="E445" s="9"/>
      <c r="F445" s="9"/>
      <c r="G445" s="9"/>
      <c r="H445" s="9"/>
      <c r="I445" s="9"/>
      <c r="J445" s="9"/>
      <c r="K445" s="9"/>
      <c r="L445" s="9"/>
      <c r="M445" s="9"/>
      <c r="N445" s="9"/>
      <c r="O445" s="9"/>
      <c r="P445" s="9"/>
      <c r="Q445" s="9"/>
      <c r="R445" s="9"/>
      <c r="S445" s="9"/>
      <c r="T445" s="2332"/>
      <c r="U445" s="9"/>
      <c r="V445" s="9"/>
    </row>
    <row r="446" spans="1:22">
      <c r="A446" s="9"/>
      <c r="B446" s="9"/>
      <c r="C446" s="9"/>
      <c r="D446" s="9"/>
      <c r="E446" s="9"/>
      <c r="F446" s="9"/>
      <c r="G446" s="9"/>
      <c r="H446" s="9"/>
      <c r="I446" s="9"/>
      <c r="J446" s="9"/>
      <c r="K446" s="9"/>
      <c r="L446" s="9"/>
      <c r="M446" s="9"/>
      <c r="N446" s="9"/>
      <c r="O446" s="9"/>
      <c r="P446" s="9"/>
      <c r="Q446" s="9"/>
      <c r="R446" s="9"/>
      <c r="S446" s="9"/>
      <c r="T446" s="2332"/>
      <c r="U446" s="9"/>
      <c r="V446" s="9"/>
    </row>
    <row r="447" spans="1:22">
      <c r="A447" s="9"/>
      <c r="B447" s="9"/>
      <c r="C447" s="9"/>
      <c r="D447" s="9"/>
      <c r="E447" s="9"/>
      <c r="F447" s="9"/>
      <c r="G447" s="9"/>
      <c r="H447" s="9"/>
      <c r="I447" s="9"/>
      <c r="J447" s="9"/>
      <c r="K447" s="9"/>
      <c r="L447" s="9"/>
      <c r="M447" s="9"/>
      <c r="N447" s="9"/>
      <c r="O447" s="9"/>
      <c r="P447" s="9"/>
      <c r="Q447" s="9"/>
      <c r="R447" s="9"/>
      <c r="S447" s="9"/>
      <c r="T447" s="2332"/>
      <c r="U447" s="9"/>
      <c r="V447" s="9"/>
    </row>
    <row r="448" spans="1:22">
      <c r="A448" s="9"/>
      <c r="B448" s="9"/>
      <c r="C448" s="9"/>
      <c r="D448" s="9"/>
      <c r="E448" s="9"/>
      <c r="F448" s="9"/>
      <c r="G448" s="9"/>
      <c r="H448" s="9"/>
      <c r="I448" s="9"/>
      <c r="J448" s="9"/>
      <c r="K448" s="9"/>
      <c r="L448" s="9"/>
      <c r="M448" s="9"/>
      <c r="N448" s="9"/>
      <c r="O448" s="9"/>
      <c r="P448" s="9"/>
      <c r="Q448" s="9"/>
      <c r="R448" s="9"/>
      <c r="S448" s="9"/>
      <c r="T448" s="2332"/>
      <c r="U448" s="9"/>
      <c r="V448" s="9"/>
    </row>
    <row r="449" spans="1:22">
      <c r="A449" s="9"/>
      <c r="B449" s="9"/>
      <c r="C449" s="9"/>
      <c r="D449" s="9"/>
      <c r="E449" s="9"/>
      <c r="F449" s="9"/>
      <c r="G449" s="9"/>
      <c r="H449" s="9"/>
      <c r="I449" s="9"/>
      <c r="J449" s="9"/>
      <c r="K449" s="9"/>
      <c r="L449" s="9"/>
      <c r="M449" s="9"/>
      <c r="N449" s="9"/>
      <c r="O449" s="9"/>
      <c r="P449" s="9"/>
      <c r="Q449" s="9"/>
      <c r="R449" s="9"/>
      <c r="S449" s="9"/>
      <c r="T449" s="2332"/>
      <c r="U449" s="9"/>
      <c r="V449" s="9"/>
    </row>
    <row r="450" spans="1:22">
      <c r="A450" s="9"/>
      <c r="B450" s="9"/>
      <c r="C450" s="9"/>
      <c r="D450" s="9"/>
      <c r="E450" s="9"/>
      <c r="F450" s="9"/>
      <c r="G450" s="9"/>
      <c r="H450" s="9"/>
      <c r="I450" s="9"/>
      <c r="J450" s="9"/>
      <c r="K450" s="9"/>
      <c r="L450" s="9"/>
      <c r="M450" s="9"/>
      <c r="N450" s="9"/>
      <c r="O450" s="9"/>
      <c r="P450" s="9"/>
      <c r="Q450" s="9"/>
      <c r="R450" s="9"/>
      <c r="S450" s="9"/>
      <c r="T450" s="2332"/>
      <c r="U450" s="9"/>
      <c r="V450" s="9"/>
    </row>
    <row r="451" spans="1:22">
      <c r="A451" s="9"/>
      <c r="B451" s="9"/>
      <c r="C451" s="9"/>
      <c r="D451" s="9"/>
      <c r="E451" s="9"/>
      <c r="F451" s="9"/>
      <c r="G451" s="9"/>
      <c r="H451" s="9"/>
      <c r="I451" s="9"/>
      <c r="J451" s="9"/>
      <c r="K451" s="9"/>
      <c r="L451" s="9"/>
      <c r="M451" s="9"/>
      <c r="N451" s="9"/>
      <c r="O451" s="9"/>
      <c r="P451" s="9"/>
      <c r="Q451" s="9"/>
      <c r="R451" s="9"/>
      <c r="S451" s="9"/>
      <c r="T451" s="2332"/>
      <c r="U451" s="9"/>
      <c r="V451" s="9"/>
    </row>
    <row r="452" spans="1:22">
      <c r="A452" s="9"/>
      <c r="B452" s="9"/>
      <c r="C452" s="9"/>
      <c r="D452" s="9"/>
      <c r="E452" s="9"/>
      <c r="F452" s="9"/>
      <c r="G452" s="9"/>
      <c r="H452" s="9"/>
      <c r="I452" s="9"/>
      <c r="J452" s="9"/>
      <c r="K452" s="9"/>
      <c r="L452" s="9"/>
      <c r="M452" s="9"/>
      <c r="N452" s="9"/>
      <c r="O452" s="9"/>
      <c r="P452" s="9"/>
      <c r="Q452" s="9"/>
      <c r="R452" s="9"/>
      <c r="S452" s="9"/>
      <c r="T452" s="2332"/>
      <c r="U452" s="9"/>
      <c r="V452" s="9"/>
    </row>
    <row r="453" spans="1:22">
      <c r="A453" s="9"/>
      <c r="B453" s="9"/>
      <c r="C453" s="9"/>
      <c r="D453" s="9"/>
      <c r="E453" s="9"/>
      <c r="F453" s="9"/>
      <c r="G453" s="9"/>
      <c r="H453" s="9"/>
      <c r="I453" s="9"/>
      <c r="J453" s="9"/>
      <c r="K453" s="9"/>
      <c r="L453" s="9"/>
      <c r="M453" s="9"/>
      <c r="N453" s="9"/>
      <c r="O453" s="9"/>
      <c r="P453" s="9"/>
      <c r="Q453" s="9"/>
      <c r="R453" s="9"/>
      <c r="S453" s="9"/>
      <c r="T453" s="2332"/>
      <c r="U453" s="9"/>
      <c r="V453" s="9"/>
    </row>
    <row r="454" spans="1:22">
      <c r="A454" s="9"/>
      <c r="B454" s="9"/>
      <c r="C454" s="9"/>
      <c r="D454" s="9"/>
      <c r="E454" s="9"/>
      <c r="F454" s="9"/>
      <c r="G454" s="9"/>
      <c r="H454" s="9"/>
      <c r="I454" s="9"/>
      <c r="J454" s="9"/>
      <c r="K454" s="9"/>
      <c r="L454" s="9"/>
      <c r="M454" s="9"/>
      <c r="N454" s="9"/>
      <c r="O454" s="9"/>
      <c r="P454" s="9"/>
      <c r="Q454" s="9"/>
      <c r="R454" s="9"/>
      <c r="S454" s="9"/>
      <c r="T454" s="2332"/>
      <c r="U454" s="9"/>
      <c r="V454" s="9"/>
    </row>
    <row r="455" spans="1:22">
      <c r="A455" s="9"/>
      <c r="B455" s="9"/>
      <c r="C455" s="9"/>
      <c r="D455" s="9"/>
      <c r="E455" s="9"/>
      <c r="F455" s="9"/>
      <c r="G455" s="9"/>
      <c r="H455" s="9"/>
      <c r="I455" s="9"/>
      <c r="J455" s="9"/>
      <c r="K455" s="9"/>
      <c r="L455" s="9"/>
      <c r="M455" s="9"/>
      <c r="N455" s="9"/>
      <c r="O455" s="9"/>
      <c r="P455" s="9"/>
      <c r="Q455" s="9"/>
      <c r="R455" s="9"/>
      <c r="S455" s="9"/>
      <c r="T455" s="2332"/>
      <c r="U455" s="9"/>
      <c r="V455" s="9"/>
    </row>
    <row r="456" spans="1:22">
      <c r="A456" s="9"/>
      <c r="B456" s="9"/>
      <c r="C456" s="9"/>
      <c r="D456" s="9"/>
      <c r="E456" s="9"/>
      <c r="F456" s="9"/>
      <c r="G456" s="9"/>
      <c r="H456" s="9"/>
      <c r="I456" s="9"/>
      <c r="J456" s="9"/>
      <c r="K456" s="9"/>
      <c r="L456" s="9"/>
      <c r="M456" s="9"/>
      <c r="N456" s="9"/>
      <c r="O456" s="9"/>
      <c r="P456" s="9"/>
      <c r="Q456" s="9"/>
      <c r="R456" s="9"/>
      <c r="S456" s="9"/>
      <c r="T456" s="2332"/>
      <c r="U456" s="9"/>
      <c r="V456" s="9"/>
    </row>
    <row r="457" spans="1:22">
      <c r="A457" s="9"/>
      <c r="B457" s="9"/>
      <c r="C457" s="9"/>
      <c r="D457" s="9"/>
      <c r="E457" s="9"/>
      <c r="F457" s="9"/>
      <c r="G457" s="9"/>
      <c r="H457" s="9"/>
      <c r="I457" s="9"/>
      <c r="J457" s="9"/>
      <c r="K457" s="9"/>
      <c r="L457" s="9"/>
      <c r="M457" s="9"/>
      <c r="N457" s="9"/>
      <c r="O457" s="9"/>
      <c r="P457" s="9"/>
      <c r="Q457" s="9"/>
      <c r="R457" s="9"/>
      <c r="S457" s="9"/>
      <c r="T457" s="2332"/>
      <c r="U457" s="9"/>
      <c r="V457" s="9"/>
    </row>
    <row r="458" spans="1:22">
      <c r="A458" s="9"/>
      <c r="B458" s="9"/>
      <c r="C458" s="9"/>
      <c r="D458" s="9"/>
      <c r="E458" s="9"/>
      <c r="F458" s="9"/>
      <c r="G458" s="9"/>
      <c r="H458" s="9"/>
      <c r="I458" s="9"/>
      <c r="J458" s="9"/>
      <c r="K458" s="9"/>
      <c r="L458" s="9"/>
      <c r="M458" s="9"/>
      <c r="N458" s="9"/>
      <c r="O458" s="9"/>
      <c r="P458" s="9"/>
      <c r="Q458" s="9"/>
      <c r="R458" s="9"/>
      <c r="S458" s="9"/>
      <c r="T458" s="2332"/>
      <c r="U458" s="9"/>
      <c r="V458" s="9"/>
    </row>
    <row r="459" spans="1:22">
      <c r="A459" s="9"/>
      <c r="B459" s="9"/>
      <c r="C459" s="9"/>
      <c r="D459" s="9"/>
      <c r="E459" s="9"/>
      <c r="F459" s="9"/>
      <c r="G459" s="9"/>
      <c r="H459" s="9"/>
      <c r="I459" s="9"/>
      <c r="J459" s="9"/>
      <c r="K459" s="9"/>
      <c r="L459" s="9"/>
      <c r="M459" s="9"/>
      <c r="N459" s="9"/>
      <c r="O459" s="9"/>
      <c r="P459" s="9"/>
      <c r="Q459" s="9"/>
      <c r="R459" s="9"/>
      <c r="S459" s="9"/>
      <c r="T459" s="2332"/>
      <c r="U459" s="9"/>
      <c r="V459" s="9"/>
    </row>
    <row r="460" spans="1:22">
      <c r="A460" s="9"/>
      <c r="B460" s="9"/>
      <c r="C460" s="9"/>
      <c r="D460" s="9"/>
      <c r="E460" s="9"/>
      <c r="F460" s="9"/>
      <c r="G460" s="9"/>
      <c r="H460" s="9"/>
      <c r="I460" s="9"/>
      <c r="J460" s="9"/>
      <c r="K460" s="9"/>
      <c r="L460" s="9"/>
      <c r="M460" s="9"/>
      <c r="N460" s="9"/>
      <c r="O460" s="9"/>
      <c r="P460" s="9"/>
      <c r="Q460" s="9"/>
      <c r="R460" s="9"/>
      <c r="S460" s="9"/>
      <c r="T460" s="2332"/>
      <c r="U460" s="9"/>
      <c r="V460" s="9"/>
    </row>
    <row r="461" spans="1:22">
      <c r="A461" s="9"/>
      <c r="B461" s="9"/>
      <c r="C461" s="9"/>
      <c r="D461" s="9"/>
      <c r="E461" s="9"/>
      <c r="F461" s="9"/>
      <c r="G461" s="9"/>
      <c r="H461" s="9"/>
      <c r="I461" s="9"/>
      <c r="J461" s="9"/>
      <c r="K461" s="9"/>
      <c r="L461" s="9"/>
      <c r="M461" s="9"/>
      <c r="N461" s="9"/>
      <c r="O461" s="9"/>
      <c r="P461" s="9"/>
      <c r="Q461" s="9"/>
      <c r="R461" s="9"/>
      <c r="S461" s="9"/>
      <c r="T461" s="2332"/>
      <c r="U461" s="9"/>
      <c r="V461" s="9"/>
    </row>
    <row r="462" spans="1:22">
      <c r="A462" s="9"/>
      <c r="B462" s="9"/>
      <c r="C462" s="9"/>
      <c r="D462" s="9"/>
      <c r="E462" s="9"/>
      <c r="F462" s="9"/>
      <c r="G462" s="9"/>
      <c r="H462" s="9"/>
      <c r="I462" s="9"/>
      <c r="J462" s="9"/>
      <c r="K462" s="9"/>
      <c r="L462" s="9"/>
      <c r="M462" s="9"/>
      <c r="N462" s="9"/>
      <c r="O462" s="9"/>
      <c r="P462" s="9"/>
      <c r="Q462" s="9"/>
      <c r="R462" s="9"/>
      <c r="S462" s="9"/>
      <c r="T462" s="2332"/>
      <c r="U462" s="9"/>
      <c r="V462" s="9"/>
    </row>
    <row r="463" spans="1:22">
      <c r="A463" s="9"/>
      <c r="B463" s="9"/>
      <c r="C463" s="9"/>
      <c r="D463" s="9"/>
      <c r="E463" s="9"/>
      <c r="F463" s="9"/>
      <c r="G463" s="9"/>
      <c r="H463" s="9"/>
      <c r="I463" s="9"/>
      <c r="J463" s="9"/>
      <c r="K463" s="9"/>
      <c r="L463" s="9"/>
      <c r="M463" s="9"/>
      <c r="N463" s="9"/>
      <c r="O463" s="9"/>
      <c r="P463" s="9"/>
      <c r="Q463" s="9"/>
      <c r="R463" s="9"/>
      <c r="S463" s="9"/>
      <c r="T463" s="2332"/>
      <c r="U463" s="9"/>
      <c r="V463" s="9"/>
    </row>
    <row r="464" spans="1:22">
      <c r="A464" s="9"/>
      <c r="B464" s="9"/>
      <c r="C464" s="9"/>
      <c r="D464" s="9"/>
      <c r="E464" s="9"/>
      <c r="F464" s="9"/>
      <c r="G464" s="9"/>
      <c r="H464" s="9"/>
      <c r="I464" s="9"/>
      <c r="J464" s="9"/>
      <c r="K464" s="9"/>
      <c r="L464" s="9"/>
      <c r="M464" s="9"/>
      <c r="N464" s="9"/>
      <c r="O464" s="9"/>
      <c r="P464" s="9"/>
      <c r="Q464" s="9"/>
      <c r="R464" s="9"/>
      <c r="S464" s="9"/>
      <c r="T464" s="2332"/>
      <c r="U464" s="9"/>
      <c r="V464" s="9"/>
    </row>
    <row r="465" spans="1:22">
      <c r="A465" s="9"/>
      <c r="B465" s="9"/>
      <c r="C465" s="9"/>
      <c r="D465" s="9"/>
      <c r="E465" s="9"/>
      <c r="F465" s="9"/>
      <c r="G465" s="9"/>
      <c r="H465" s="9"/>
      <c r="I465" s="9"/>
      <c r="J465" s="9"/>
      <c r="K465" s="9"/>
      <c r="L465" s="9"/>
      <c r="M465" s="9"/>
      <c r="N465" s="9"/>
      <c r="O465" s="9"/>
      <c r="P465" s="9"/>
      <c r="Q465" s="9"/>
      <c r="R465" s="9"/>
      <c r="S465" s="9"/>
      <c r="T465" s="2332"/>
      <c r="U465" s="9"/>
      <c r="V465" s="9"/>
    </row>
    <row r="466" spans="1:22">
      <c r="A466" s="9"/>
      <c r="B466" s="9"/>
      <c r="C466" s="9"/>
      <c r="D466" s="9"/>
      <c r="E466" s="9"/>
      <c r="F466" s="9"/>
      <c r="G466" s="9"/>
      <c r="H466" s="9"/>
      <c r="I466" s="9"/>
      <c r="J466" s="9"/>
      <c r="K466" s="9"/>
      <c r="L466" s="9"/>
      <c r="M466" s="9"/>
      <c r="N466" s="9"/>
      <c r="O466" s="9"/>
      <c r="P466" s="9"/>
      <c r="Q466" s="9"/>
      <c r="R466" s="9"/>
      <c r="S466" s="9"/>
      <c r="T466" s="2332"/>
      <c r="U466" s="9"/>
      <c r="V466" s="9"/>
    </row>
    <row r="467" spans="1:22">
      <c r="A467" s="9"/>
      <c r="B467" s="9"/>
      <c r="C467" s="9"/>
      <c r="D467" s="9"/>
      <c r="E467" s="9"/>
      <c r="F467" s="9"/>
      <c r="G467" s="9"/>
      <c r="H467" s="9"/>
      <c r="I467" s="9"/>
      <c r="J467" s="9"/>
      <c r="K467" s="9"/>
      <c r="L467" s="9"/>
      <c r="M467" s="9"/>
      <c r="N467" s="9"/>
      <c r="O467" s="9"/>
      <c r="P467" s="9"/>
      <c r="Q467" s="9"/>
      <c r="R467" s="9"/>
      <c r="S467" s="9"/>
      <c r="T467" s="2332"/>
      <c r="U467" s="9"/>
      <c r="V467" s="9"/>
    </row>
    <row r="468" spans="1:22">
      <c r="A468" s="9"/>
      <c r="B468" s="9"/>
      <c r="C468" s="9"/>
      <c r="D468" s="9"/>
      <c r="E468" s="9"/>
      <c r="F468" s="9"/>
      <c r="G468" s="9"/>
      <c r="H468" s="9"/>
      <c r="I468" s="9"/>
      <c r="J468" s="9"/>
      <c r="K468" s="9"/>
      <c r="L468" s="9"/>
      <c r="M468" s="9"/>
      <c r="N468" s="9"/>
      <c r="O468" s="9"/>
      <c r="P468" s="9"/>
      <c r="Q468" s="9"/>
      <c r="R468" s="9"/>
      <c r="S468" s="9"/>
      <c r="T468" s="2332"/>
      <c r="U468" s="9"/>
      <c r="V468" s="9"/>
    </row>
    <row r="469" spans="1:22">
      <c r="A469" s="9"/>
      <c r="B469" s="9"/>
      <c r="C469" s="9"/>
      <c r="D469" s="9"/>
      <c r="E469" s="9"/>
      <c r="F469" s="9"/>
      <c r="G469" s="9"/>
      <c r="H469" s="9"/>
      <c r="I469" s="9"/>
      <c r="J469" s="9"/>
      <c r="K469" s="9"/>
      <c r="L469" s="9"/>
      <c r="M469" s="9"/>
      <c r="N469" s="9"/>
      <c r="O469" s="9"/>
      <c r="P469" s="9"/>
      <c r="Q469" s="9"/>
      <c r="R469" s="9"/>
      <c r="S469" s="9"/>
      <c r="T469" s="2332"/>
      <c r="U469" s="9"/>
      <c r="V469" s="9"/>
    </row>
    <row r="470" spans="1:22">
      <c r="A470" s="9"/>
      <c r="B470" s="9"/>
      <c r="C470" s="9"/>
      <c r="D470" s="9"/>
      <c r="E470" s="9"/>
      <c r="F470" s="9"/>
      <c r="G470" s="9"/>
      <c r="H470" s="9"/>
      <c r="I470" s="9"/>
      <c r="J470" s="9"/>
      <c r="K470" s="9"/>
      <c r="L470" s="9"/>
      <c r="M470" s="9"/>
      <c r="N470" s="9"/>
      <c r="O470" s="9"/>
      <c r="P470" s="9"/>
      <c r="Q470" s="9"/>
      <c r="R470" s="9"/>
      <c r="S470" s="9"/>
      <c r="T470" s="2332"/>
      <c r="U470" s="9"/>
      <c r="V470" s="9"/>
    </row>
    <row r="471" spans="1:22">
      <c r="A471" s="9"/>
      <c r="B471" s="9"/>
      <c r="C471" s="9"/>
      <c r="D471" s="9"/>
      <c r="E471" s="9"/>
      <c r="F471" s="9"/>
      <c r="G471" s="9"/>
      <c r="H471" s="9"/>
      <c r="I471" s="9"/>
      <c r="J471" s="9"/>
      <c r="K471" s="9"/>
      <c r="L471" s="9"/>
      <c r="M471" s="9"/>
      <c r="N471" s="9"/>
      <c r="O471" s="9"/>
      <c r="P471" s="9"/>
      <c r="Q471" s="9"/>
      <c r="R471" s="9"/>
      <c r="S471" s="9"/>
      <c r="T471" s="2332"/>
      <c r="U471" s="9"/>
      <c r="V471" s="9"/>
    </row>
    <row r="472" spans="1:22">
      <c r="A472" s="9"/>
      <c r="B472" s="9"/>
      <c r="C472" s="9"/>
      <c r="D472" s="9"/>
      <c r="E472" s="9"/>
      <c r="F472" s="9"/>
      <c r="G472" s="9"/>
      <c r="H472" s="9"/>
      <c r="I472" s="9"/>
      <c r="J472" s="9"/>
      <c r="K472" s="9"/>
      <c r="L472" s="9"/>
      <c r="M472" s="9"/>
      <c r="N472" s="9"/>
      <c r="O472" s="9"/>
      <c r="P472" s="9"/>
      <c r="Q472" s="9"/>
      <c r="R472" s="9"/>
      <c r="S472" s="9"/>
      <c r="T472" s="2332"/>
      <c r="U472" s="9"/>
      <c r="V472" s="9"/>
    </row>
    <row r="473" spans="1:22">
      <c r="A473" s="9"/>
      <c r="B473" s="9"/>
      <c r="C473" s="9"/>
      <c r="D473" s="9"/>
      <c r="E473" s="9"/>
      <c r="F473" s="9"/>
      <c r="G473" s="9"/>
      <c r="H473" s="9"/>
      <c r="I473" s="9"/>
      <c r="J473" s="9"/>
      <c r="K473" s="9"/>
      <c r="L473" s="9"/>
      <c r="M473" s="9"/>
      <c r="N473" s="9"/>
      <c r="O473" s="9"/>
      <c r="P473" s="9"/>
      <c r="Q473" s="9"/>
      <c r="R473" s="9"/>
      <c r="S473" s="9"/>
      <c r="T473" s="2332"/>
      <c r="U473" s="9"/>
      <c r="V473" s="9"/>
    </row>
    <row r="474" spans="1:22">
      <c r="A474" s="9"/>
      <c r="B474" s="9"/>
      <c r="C474" s="9"/>
      <c r="D474" s="9"/>
      <c r="E474" s="9"/>
      <c r="F474" s="9"/>
      <c r="G474" s="9"/>
      <c r="H474" s="9"/>
      <c r="I474" s="9"/>
      <c r="J474" s="9"/>
      <c r="K474" s="9"/>
      <c r="L474" s="9"/>
      <c r="M474" s="9"/>
      <c r="N474" s="9"/>
      <c r="O474" s="9"/>
      <c r="P474" s="9"/>
      <c r="Q474" s="9"/>
      <c r="R474" s="9"/>
      <c r="S474" s="9"/>
      <c r="T474" s="2332"/>
      <c r="U474" s="9"/>
      <c r="V474" s="9"/>
    </row>
    <row r="475" spans="1:22">
      <c r="A475" s="9"/>
      <c r="B475" s="9"/>
      <c r="C475" s="9"/>
      <c r="D475" s="9"/>
      <c r="E475" s="9"/>
      <c r="F475" s="9"/>
      <c r="G475" s="9"/>
      <c r="H475" s="9"/>
      <c r="I475" s="9"/>
      <c r="J475" s="9"/>
      <c r="K475" s="9"/>
      <c r="L475" s="9"/>
      <c r="M475" s="9"/>
      <c r="N475" s="9"/>
      <c r="O475" s="9"/>
      <c r="P475" s="9"/>
      <c r="Q475" s="9"/>
      <c r="R475" s="9"/>
      <c r="S475" s="9"/>
      <c r="T475" s="2332"/>
      <c r="U475" s="9"/>
      <c r="V475" s="9"/>
    </row>
    <row r="476" spans="1:22">
      <c r="A476" s="9"/>
      <c r="B476" s="9"/>
      <c r="C476" s="9"/>
      <c r="D476" s="9"/>
      <c r="E476" s="9"/>
      <c r="F476" s="9"/>
      <c r="G476" s="9"/>
      <c r="H476" s="9"/>
      <c r="I476" s="9"/>
      <c r="J476" s="9"/>
      <c r="K476" s="9"/>
      <c r="L476" s="9"/>
      <c r="M476" s="9"/>
      <c r="N476" s="9"/>
      <c r="O476" s="9"/>
      <c r="P476" s="9"/>
      <c r="Q476" s="9"/>
      <c r="R476" s="9"/>
      <c r="S476" s="9"/>
      <c r="T476" s="2332"/>
      <c r="U476" s="9"/>
      <c r="V476" s="9"/>
    </row>
    <row r="477" spans="1:22">
      <c r="A477" s="9"/>
      <c r="B477" s="9"/>
      <c r="C477" s="9"/>
      <c r="D477" s="9"/>
      <c r="E477" s="9"/>
      <c r="F477" s="9"/>
      <c r="G477" s="9"/>
      <c r="H477" s="9"/>
      <c r="I477" s="9"/>
      <c r="J477" s="9"/>
      <c r="K477" s="9"/>
      <c r="L477" s="9"/>
      <c r="M477" s="9"/>
      <c r="N477" s="9"/>
      <c r="O477" s="9"/>
      <c r="P477" s="9"/>
      <c r="Q477" s="9"/>
      <c r="R477" s="9"/>
      <c r="S477" s="9"/>
      <c r="T477" s="2332"/>
      <c r="U477" s="9"/>
      <c r="V477" s="9"/>
    </row>
    <row r="478" spans="1:22">
      <c r="A478" s="9"/>
      <c r="B478" s="9"/>
      <c r="C478" s="9"/>
      <c r="D478" s="9"/>
      <c r="E478" s="9"/>
      <c r="F478" s="9"/>
      <c r="G478" s="9"/>
      <c r="H478" s="9"/>
      <c r="I478" s="9"/>
      <c r="J478" s="9"/>
      <c r="K478" s="9"/>
      <c r="L478" s="9"/>
      <c r="M478" s="9"/>
      <c r="N478" s="9"/>
      <c r="O478" s="9"/>
      <c r="P478" s="9"/>
      <c r="Q478" s="9"/>
      <c r="R478" s="9"/>
      <c r="S478" s="9"/>
      <c r="T478" s="2332"/>
      <c r="U478" s="9"/>
      <c r="V478" s="9"/>
    </row>
    <row r="479" spans="1:22">
      <c r="A479" s="9"/>
      <c r="B479" s="9"/>
      <c r="C479" s="9"/>
      <c r="D479" s="9"/>
      <c r="E479" s="9"/>
      <c r="F479" s="9"/>
      <c r="G479" s="9"/>
      <c r="H479" s="9"/>
      <c r="I479" s="9"/>
      <c r="J479" s="9"/>
      <c r="K479" s="9"/>
      <c r="L479" s="9"/>
      <c r="M479" s="9"/>
      <c r="N479" s="9"/>
      <c r="O479" s="9"/>
      <c r="P479" s="9"/>
      <c r="Q479" s="9"/>
      <c r="R479" s="9"/>
      <c r="S479" s="9"/>
      <c r="T479" s="2332"/>
      <c r="U479" s="9"/>
      <c r="V479" s="9"/>
    </row>
    <row r="480" spans="1:22">
      <c r="A480" s="9"/>
      <c r="B480" s="9"/>
      <c r="C480" s="9"/>
      <c r="D480" s="9"/>
      <c r="E480" s="9"/>
      <c r="F480" s="9"/>
      <c r="G480" s="9"/>
      <c r="H480" s="9"/>
      <c r="I480" s="9"/>
      <c r="J480" s="9"/>
      <c r="K480" s="9"/>
      <c r="L480" s="9"/>
      <c r="M480" s="9"/>
      <c r="N480" s="9"/>
      <c r="O480" s="9"/>
      <c r="P480" s="9"/>
      <c r="Q480" s="9"/>
      <c r="R480" s="9"/>
      <c r="S480" s="9"/>
      <c r="T480" s="2332"/>
      <c r="U480" s="9"/>
      <c r="V480" s="9"/>
    </row>
    <row r="481" spans="1:22">
      <c r="A481" s="9"/>
      <c r="B481" s="9"/>
      <c r="C481" s="9"/>
      <c r="D481" s="9"/>
      <c r="E481" s="9"/>
      <c r="F481" s="9"/>
      <c r="G481" s="9"/>
      <c r="H481" s="9"/>
      <c r="I481" s="9"/>
      <c r="J481" s="9"/>
      <c r="K481" s="9"/>
      <c r="L481" s="9"/>
      <c r="M481" s="9"/>
      <c r="N481" s="9"/>
      <c r="O481" s="9"/>
      <c r="P481" s="9"/>
      <c r="Q481" s="9"/>
      <c r="R481" s="9"/>
      <c r="S481" s="9"/>
      <c r="T481" s="2332"/>
      <c r="U481" s="9"/>
      <c r="V481" s="9"/>
    </row>
    <row r="482" spans="1:22">
      <c r="A482" s="9"/>
      <c r="B482" s="9"/>
      <c r="C482" s="9"/>
      <c r="D482" s="9"/>
      <c r="E482" s="9"/>
      <c r="F482" s="9"/>
      <c r="G482" s="9"/>
      <c r="H482" s="9"/>
      <c r="I482" s="9"/>
      <c r="J482" s="9"/>
      <c r="K482" s="9"/>
      <c r="L482" s="9"/>
      <c r="M482" s="9"/>
      <c r="N482" s="9"/>
      <c r="O482" s="9"/>
      <c r="P482" s="9"/>
      <c r="Q482" s="9"/>
      <c r="R482" s="9"/>
      <c r="S482" s="9"/>
      <c r="T482" s="2332"/>
      <c r="U482" s="9"/>
      <c r="V482" s="9"/>
    </row>
    <row r="483" spans="1:22">
      <c r="A483" s="9"/>
      <c r="B483" s="9"/>
      <c r="C483" s="9"/>
      <c r="D483" s="9"/>
      <c r="E483" s="9"/>
      <c r="F483" s="9"/>
      <c r="G483" s="9"/>
      <c r="H483" s="9"/>
      <c r="I483" s="9"/>
      <c r="J483" s="9"/>
      <c r="K483" s="9"/>
      <c r="L483" s="9"/>
      <c r="M483" s="9"/>
      <c r="N483" s="9"/>
      <c r="O483" s="9"/>
      <c r="P483" s="9"/>
      <c r="Q483" s="9"/>
      <c r="R483" s="9"/>
      <c r="S483" s="9"/>
      <c r="T483" s="2332"/>
      <c r="U483" s="9"/>
      <c r="V483" s="9"/>
    </row>
    <row r="484" spans="1:22">
      <c r="A484" s="9"/>
      <c r="B484" s="9"/>
      <c r="C484" s="9"/>
      <c r="D484" s="9"/>
      <c r="E484" s="9"/>
      <c r="F484" s="9"/>
      <c r="G484" s="9"/>
      <c r="H484" s="9"/>
      <c r="I484" s="9"/>
      <c r="J484" s="9"/>
      <c r="K484" s="9"/>
      <c r="L484" s="9"/>
      <c r="M484" s="9"/>
      <c r="N484" s="9"/>
      <c r="O484" s="9"/>
      <c r="P484" s="9"/>
      <c r="Q484" s="9"/>
      <c r="R484" s="9"/>
      <c r="S484" s="9"/>
      <c r="T484" s="2332"/>
      <c r="U484" s="9"/>
      <c r="V484" s="9"/>
    </row>
    <row r="485" spans="1:22">
      <c r="A485" s="9"/>
      <c r="B485" s="9"/>
      <c r="C485" s="9"/>
      <c r="D485" s="9"/>
      <c r="E485" s="9"/>
      <c r="F485" s="9"/>
      <c r="G485" s="9"/>
      <c r="H485" s="9"/>
      <c r="I485" s="9"/>
      <c r="J485" s="9"/>
      <c r="K485" s="9"/>
      <c r="L485" s="9"/>
      <c r="M485" s="9"/>
      <c r="N485" s="9"/>
      <c r="O485" s="9"/>
      <c r="P485" s="9"/>
      <c r="Q485" s="9"/>
      <c r="R485" s="9"/>
      <c r="S485" s="9"/>
      <c r="T485" s="2332"/>
      <c r="U485" s="9"/>
      <c r="V485" s="9"/>
    </row>
    <row r="486" spans="1:22">
      <c r="A486" s="9"/>
      <c r="B486" s="9"/>
      <c r="C486" s="9"/>
      <c r="D486" s="9"/>
      <c r="E486" s="9"/>
      <c r="F486" s="9"/>
      <c r="G486" s="9"/>
      <c r="H486" s="9"/>
      <c r="I486" s="9"/>
      <c r="J486" s="9"/>
      <c r="K486" s="9"/>
      <c r="L486" s="9"/>
      <c r="M486" s="9"/>
      <c r="N486" s="9"/>
      <c r="O486" s="9"/>
      <c r="P486" s="9"/>
      <c r="Q486" s="9"/>
      <c r="R486" s="9"/>
      <c r="S486" s="9"/>
      <c r="T486" s="2332"/>
      <c r="U486" s="9"/>
      <c r="V486" s="9"/>
    </row>
    <row r="487" spans="1:22">
      <c r="A487" s="9"/>
      <c r="B487" s="9"/>
      <c r="C487" s="9"/>
      <c r="D487" s="9"/>
      <c r="E487" s="9"/>
      <c r="F487" s="9"/>
      <c r="G487" s="9"/>
      <c r="H487" s="9"/>
      <c r="I487" s="9"/>
      <c r="J487" s="9"/>
      <c r="K487" s="9"/>
      <c r="L487" s="9"/>
      <c r="M487" s="9"/>
      <c r="N487" s="9"/>
      <c r="O487" s="9"/>
      <c r="P487" s="9"/>
      <c r="Q487" s="9"/>
      <c r="R487" s="9"/>
      <c r="S487" s="9"/>
      <c r="T487" s="2332"/>
      <c r="U487" s="9"/>
      <c r="V487" s="9"/>
    </row>
    <row r="488" spans="1:22">
      <c r="A488" s="9"/>
      <c r="B488" s="9"/>
      <c r="C488" s="9"/>
      <c r="D488" s="9"/>
      <c r="E488" s="9"/>
      <c r="F488" s="9"/>
      <c r="G488" s="9"/>
      <c r="H488" s="9"/>
      <c r="I488" s="9"/>
      <c r="J488" s="9"/>
      <c r="K488" s="9"/>
      <c r="L488" s="9"/>
      <c r="M488" s="9"/>
      <c r="N488" s="9"/>
      <c r="O488" s="9"/>
      <c r="P488" s="9"/>
      <c r="Q488" s="9"/>
      <c r="R488" s="9"/>
      <c r="S488" s="9"/>
      <c r="T488" s="2332"/>
      <c r="U488" s="9"/>
      <c r="V488" s="9"/>
    </row>
    <row r="489" spans="1:22">
      <c r="A489" s="9"/>
      <c r="B489" s="9"/>
      <c r="C489" s="9"/>
      <c r="D489" s="9"/>
      <c r="E489" s="9"/>
      <c r="F489" s="9"/>
      <c r="G489" s="9"/>
      <c r="H489" s="9"/>
      <c r="I489" s="9"/>
      <c r="J489" s="9"/>
      <c r="K489" s="9"/>
      <c r="L489" s="9"/>
      <c r="M489" s="9"/>
      <c r="N489" s="9"/>
      <c r="O489" s="9"/>
      <c r="P489" s="9"/>
      <c r="Q489" s="9"/>
      <c r="R489" s="9"/>
      <c r="S489" s="9"/>
      <c r="T489" s="2332"/>
      <c r="U489" s="9"/>
      <c r="V489" s="9"/>
    </row>
    <row r="490" spans="1:22">
      <c r="A490" s="9"/>
      <c r="B490" s="9"/>
      <c r="C490" s="9"/>
      <c r="D490" s="9"/>
      <c r="E490" s="9"/>
      <c r="F490" s="9"/>
      <c r="G490" s="9"/>
      <c r="H490" s="9"/>
      <c r="I490" s="9"/>
      <c r="J490" s="9"/>
      <c r="K490" s="9"/>
      <c r="L490" s="9"/>
      <c r="M490" s="9"/>
      <c r="N490" s="9"/>
      <c r="O490" s="9"/>
      <c r="P490" s="9"/>
      <c r="Q490" s="9"/>
      <c r="R490" s="9"/>
      <c r="S490" s="9"/>
      <c r="T490" s="2332"/>
      <c r="U490" s="9"/>
      <c r="V490" s="9"/>
    </row>
    <row r="491" spans="1:22">
      <c r="A491" s="9"/>
      <c r="B491" s="9"/>
      <c r="C491" s="9"/>
      <c r="D491" s="9"/>
      <c r="E491" s="9"/>
      <c r="F491" s="9"/>
      <c r="G491" s="9"/>
      <c r="H491" s="9"/>
      <c r="I491" s="9"/>
      <c r="J491" s="9"/>
      <c r="K491" s="9"/>
      <c r="L491" s="9"/>
      <c r="M491" s="9"/>
      <c r="N491" s="9"/>
      <c r="O491" s="9"/>
      <c r="P491" s="9"/>
      <c r="Q491" s="9"/>
      <c r="R491" s="9"/>
      <c r="S491" s="9"/>
      <c r="T491" s="2332"/>
      <c r="U491" s="9"/>
      <c r="V491" s="9"/>
    </row>
    <row r="492" spans="1:22">
      <c r="A492" s="9"/>
      <c r="B492" s="9"/>
      <c r="C492" s="9"/>
      <c r="D492" s="9"/>
      <c r="E492" s="9"/>
      <c r="F492" s="9"/>
      <c r="G492" s="9"/>
      <c r="H492" s="9"/>
      <c r="I492" s="9"/>
      <c r="J492" s="9"/>
      <c r="K492" s="9"/>
      <c r="L492" s="9"/>
      <c r="M492" s="9"/>
      <c r="N492" s="9"/>
      <c r="O492" s="9"/>
      <c r="P492" s="9"/>
      <c r="Q492" s="9"/>
      <c r="R492" s="9"/>
      <c r="S492" s="9"/>
      <c r="T492" s="2332"/>
      <c r="U492" s="9"/>
      <c r="V492" s="9"/>
    </row>
    <row r="493" spans="1:22">
      <c r="A493" s="9"/>
      <c r="B493" s="9"/>
      <c r="C493" s="9"/>
      <c r="D493" s="9"/>
      <c r="E493" s="9"/>
      <c r="F493" s="9"/>
      <c r="G493" s="9"/>
      <c r="H493" s="9"/>
      <c r="I493" s="9"/>
      <c r="J493" s="9"/>
      <c r="K493" s="9"/>
      <c r="L493" s="9"/>
      <c r="M493" s="9"/>
      <c r="N493" s="9"/>
      <c r="O493" s="9"/>
      <c r="P493" s="9"/>
      <c r="Q493" s="9"/>
      <c r="R493" s="9"/>
      <c r="S493" s="9"/>
      <c r="T493" s="2332"/>
      <c r="U493" s="9"/>
      <c r="V493" s="9"/>
    </row>
    <row r="494" spans="1:22">
      <c r="A494" s="9"/>
      <c r="B494" s="9"/>
      <c r="C494" s="9"/>
      <c r="D494" s="9"/>
      <c r="E494" s="9"/>
      <c r="F494" s="9"/>
      <c r="G494" s="9"/>
      <c r="H494" s="9"/>
      <c r="I494" s="9"/>
      <c r="J494" s="9"/>
      <c r="K494" s="9"/>
      <c r="L494" s="9"/>
      <c r="M494" s="9"/>
      <c r="N494" s="9"/>
      <c r="O494" s="9"/>
      <c r="P494" s="9"/>
      <c r="Q494" s="9"/>
      <c r="R494" s="9"/>
      <c r="S494" s="9"/>
      <c r="T494" s="2332"/>
      <c r="U494" s="9"/>
      <c r="V494" s="9"/>
    </row>
    <row r="495" spans="1:22">
      <c r="A495" s="9"/>
      <c r="B495" s="9"/>
      <c r="C495" s="9"/>
      <c r="D495" s="9"/>
      <c r="E495" s="9"/>
      <c r="F495" s="9"/>
      <c r="G495" s="9"/>
      <c r="H495" s="9"/>
      <c r="I495" s="9"/>
      <c r="J495" s="9"/>
      <c r="K495" s="9"/>
      <c r="L495" s="9"/>
      <c r="M495" s="9"/>
      <c r="N495" s="9"/>
      <c r="O495" s="9"/>
      <c r="P495" s="9"/>
      <c r="Q495" s="9"/>
      <c r="R495" s="9"/>
      <c r="S495" s="9"/>
      <c r="T495" s="2332"/>
      <c r="U495" s="9"/>
      <c r="V495" s="9"/>
    </row>
    <row r="496" spans="1:22">
      <c r="A496" s="9"/>
      <c r="B496" s="9"/>
      <c r="C496" s="9"/>
      <c r="D496" s="9"/>
      <c r="E496" s="9"/>
      <c r="F496" s="9"/>
      <c r="G496" s="9"/>
      <c r="H496" s="9"/>
      <c r="I496" s="9"/>
      <c r="J496" s="9"/>
      <c r="K496" s="9"/>
      <c r="L496" s="9"/>
      <c r="M496" s="9"/>
      <c r="N496" s="9"/>
      <c r="O496" s="9"/>
      <c r="P496" s="9"/>
      <c r="Q496" s="9"/>
      <c r="R496" s="9"/>
      <c r="S496" s="9"/>
      <c r="T496" s="2332"/>
      <c r="U496" s="9"/>
      <c r="V496" s="9"/>
    </row>
    <row r="497" spans="1:22">
      <c r="A497" s="9"/>
      <c r="B497" s="9"/>
      <c r="C497" s="9"/>
      <c r="D497" s="9"/>
      <c r="E497" s="9"/>
      <c r="F497" s="9"/>
      <c r="G497" s="9"/>
      <c r="H497" s="9"/>
      <c r="I497" s="9"/>
      <c r="J497" s="9"/>
      <c r="K497" s="9"/>
      <c r="L497" s="9"/>
      <c r="M497" s="9"/>
      <c r="N497" s="9"/>
      <c r="O497" s="9"/>
      <c r="P497" s="9"/>
      <c r="Q497" s="9"/>
      <c r="R497" s="9"/>
      <c r="S497" s="9"/>
      <c r="T497" s="2332"/>
      <c r="U497" s="9"/>
      <c r="V497" s="9"/>
    </row>
    <row r="498" spans="1:22">
      <c r="A498" s="9"/>
      <c r="B498" s="9"/>
      <c r="C498" s="9"/>
      <c r="D498" s="9"/>
      <c r="E498" s="9"/>
      <c r="F498" s="9"/>
      <c r="G498" s="9"/>
      <c r="H498" s="9"/>
      <c r="I498" s="9"/>
      <c r="J498" s="9"/>
      <c r="K498" s="9"/>
      <c r="L498" s="9"/>
      <c r="M498" s="9"/>
      <c r="N498" s="9"/>
      <c r="O498" s="9"/>
      <c r="P498" s="9"/>
      <c r="Q498" s="9"/>
      <c r="R498" s="9"/>
      <c r="S498" s="9"/>
      <c r="T498" s="2332"/>
      <c r="U498" s="9"/>
      <c r="V498" s="9"/>
    </row>
    <row r="499" spans="1:22">
      <c r="A499" s="9"/>
      <c r="B499" s="9"/>
      <c r="C499" s="9"/>
      <c r="D499" s="9"/>
      <c r="E499" s="9"/>
      <c r="F499" s="9"/>
      <c r="G499" s="9"/>
      <c r="H499" s="9"/>
      <c r="I499" s="9"/>
      <c r="J499" s="9"/>
      <c r="K499" s="9"/>
      <c r="L499" s="9"/>
      <c r="M499" s="9"/>
      <c r="N499" s="9"/>
      <c r="O499" s="9"/>
      <c r="P499" s="9"/>
      <c r="Q499" s="9"/>
      <c r="R499" s="9"/>
      <c r="S499" s="9"/>
      <c r="T499" s="2332"/>
      <c r="U499" s="9"/>
      <c r="V499" s="9"/>
    </row>
    <row r="500" spans="1:22">
      <c r="A500" s="9"/>
      <c r="B500" s="9"/>
      <c r="C500" s="9"/>
      <c r="D500" s="9"/>
      <c r="E500" s="9"/>
      <c r="F500" s="9"/>
      <c r="G500" s="9"/>
      <c r="H500" s="9"/>
      <c r="I500" s="9"/>
      <c r="J500" s="9"/>
      <c r="K500" s="9"/>
      <c r="L500" s="9"/>
      <c r="M500" s="9"/>
      <c r="N500" s="9"/>
      <c r="O500" s="9"/>
      <c r="P500" s="9"/>
      <c r="Q500" s="9"/>
      <c r="R500" s="9"/>
      <c r="S500" s="9"/>
      <c r="T500" s="2332"/>
      <c r="U500" s="9"/>
      <c r="V500" s="9"/>
    </row>
    <row r="501" spans="1:22">
      <c r="A501" s="9"/>
      <c r="B501" s="9"/>
      <c r="C501" s="9"/>
      <c r="D501" s="9"/>
      <c r="E501" s="9"/>
      <c r="F501" s="9"/>
      <c r="G501" s="9"/>
      <c r="H501" s="9"/>
      <c r="I501" s="9"/>
      <c r="J501" s="9"/>
      <c r="K501" s="9"/>
      <c r="L501" s="9"/>
      <c r="M501" s="9"/>
      <c r="N501" s="9"/>
      <c r="O501" s="9"/>
      <c r="P501" s="9"/>
      <c r="Q501" s="9"/>
      <c r="R501" s="9"/>
      <c r="S501" s="9"/>
      <c r="T501" s="2332"/>
      <c r="U501" s="9"/>
      <c r="V501" s="9"/>
    </row>
    <row r="502" spans="1:22">
      <c r="A502" s="9"/>
      <c r="B502" s="9"/>
      <c r="C502" s="9"/>
      <c r="D502" s="9"/>
      <c r="E502" s="9"/>
      <c r="F502" s="9"/>
      <c r="G502" s="9"/>
      <c r="H502" s="9"/>
      <c r="I502" s="9"/>
      <c r="J502" s="9"/>
      <c r="K502" s="9"/>
      <c r="L502" s="9"/>
      <c r="M502" s="9"/>
      <c r="N502" s="9"/>
      <c r="O502" s="9"/>
      <c r="P502" s="9"/>
      <c r="Q502" s="9"/>
      <c r="R502" s="9"/>
      <c r="S502" s="9"/>
      <c r="T502" s="2332"/>
      <c r="U502" s="9"/>
      <c r="V502" s="9"/>
    </row>
    <row r="503" spans="1:22">
      <c r="A503" s="9"/>
      <c r="B503" s="9"/>
      <c r="C503" s="9"/>
      <c r="D503" s="9"/>
      <c r="E503" s="9"/>
      <c r="F503" s="9"/>
      <c r="G503" s="9"/>
      <c r="H503" s="9"/>
      <c r="I503" s="9"/>
      <c r="J503" s="9"/>
      <c r="K503" s="9"/>
      <c r="L503" s="9"/>
      <c r="M503" s="9"/>
      <c r="N503" s="9"/>
      <c r="O503" s="9"/>
      <c r="P503" s="9"/>
      <c r="Q503" s="9"/>
      <c r="R503" s="9"/>
      <c r="S503" s="9"/>
      <c r="T503" s="2332"/>
      <c r="U503" s="9"/>
      <c r="V503" s="9"/>
    </row>
    <row r="504" spans="1:22">
      <c r="A504" s="9"/>
      <c r="B504" s="9"/>
      <c r="C504" s="9"/>
      <c r="D504" s="9"/>
      <c r="E504" s="9"/>
      <c r="F504" s="9"/>
      <c r="G504" s="9"/>
      <c r="H504" s="9"/>
      <c r="I504" s="9"/>
      <c r="J504" s="9"/>
      <c r="K504" s="9"/>
      <c r="L504" s="9"/>
      <c r="M504" s="9"/>
      <c r="N504" s="9"/>
      <c r="O504" s="9"/>
      <c r="P504" s="9"/>
      <c r="Q504" s="9"/>
      <c r="R504" s="9"/>
      <c r="S504" s="9"/>
      <c r="T504" s="2332"/>
      <c r="U504" s="9"/>
      <c r="V504" s="9"/>
    </row>
    <row r="505" spans="1:22">
      <c r="A505" s="9"/>
      <c r="B505" s="9"/>
      <c r="C505" s="9"/>
      <c r="D505" s="9"/>
      <c r="E505" s="9"/>
      <c r="F505" s="9"/>
      <c r="G505" s="9"/>
      <c r="H505" s="9"/>
      <c r="I505" s="9"/>
      <c r="J505" s="9"/>
      <c r="K505" s="9"/>
      <c r="L505" s="9"/>
      <c r="M505" s="9"/>
      <c r="N505" s="9"/>
      <c r="O505" s="9"/>
      <c r="P505" s="9"/>
      <c r="Q505" s="9"/>
      <c r="R505" s="9"/>
      <c r="S505" s="9"/>
      <c r="T505" s="2332"/>
      <c r="U505" s="9"/>
      <c r="V505" s="9"/>
    </row>
    <row r="506" spans="1:22">
      <c r="A506" s="9"/>
      <c r="B506" s="9"/>
      <c r="C506" s="9"/>
      <c r="D506" s="9"/>
      <c r="E506" s="9"/>
      <c r="F506" s="9"/>
      <c r="G506" s="9"/>
      <c r="H506" s="9"/>
      <c r="I506" s="9"/>
      <c r="J506" s="9"/>
      <c r="K506" s="9"/>
      <c r="L506" s="9"/>
      <c r="M506" s="9"/>
      <c r="N506" s="9"/>
      <c r="O506" s="9"/>
      <c r="P506" s="9"/>
      <c r="Q506" s="9"/>
      <c r="R506" s="9"/>
      <c r="S506" s="9"/>
      <c r="T506" s="2332"/>
      <c r="U506" s="9"/>
      <c r="V506" s="9"/>
    </row>
    <row r="507" spans="1:22">
      <c r="A507" s="9"/>
      <c r="B507" s="9"/>
      <c r="C507" s="9"/>
      <c r="D507" s="9"/>
      <c r="E507" s="9"/>
      <c r="F507" s="9"/>
      <c r="G507" s="9"/>
      <c r="H507" s="9"/>
      <c r="I507" s="9"/>
      <c r="J507" s="9"/>
      <c r="K507" s="9"/>
      <c r="L507" s="9"/>
      <c r="M507" s="9"/>
      <c r="N507" s="9"/>
      <c r="O507" s="9"/>
      <c r="P507" s="9"/>
      <c r="Q507" s="9"/>
      <c r="R507" s="9"/>
      <c r="S507" s="9"/>
      <c r="T507" s="2332"/>
      <c r="U507" s="9"/>
      <c r="V507" s="9"/>
    </row>
    <row r="508" spans="1:22">
      <c r="A508" s="9"/>
      <c r="B508" s="9"/>
      <c r="C508" s="9"/>
      <c r="D508" s="9"/>
      <c r="E508" s="9"/>
      <c r="F508" s="9"/>
      <c r="G508" s="9"/>
      <c r="H508" s="9"/>
      <c r="I508" s="9"/>
      <c r="J508" s="9"/>
      <c r="K508" s="9"/>
      <c r="L508" s="9"/>
      <c r="M508" s="9"/>
      <c r="N508" s="9"/>
      <c r="O508" s="9"/>
      <c r="P508" s="9"/>
      <c r="Q508" s="9"/>
      <c r="R508" s="9"/>
      <c r="S508" s="9"/>
      <c r="T508" s="2332"/>
      <c r="U508" s="9"/>
      <c r="V508" s="9"/>
    </row>
    <row r="509" spans="1:22">
      <c r="A509" s="9"/>
      <c r="B509" s="9"/>
      <c r="C509" s="9"/>
      <c r="D509" s="9"/>
      <c r="E509" s="9"/>
      <c r="F509" s="9"/>
      <c r="G509" s="9"/>
      <c r="H509" s="9"/>
      <c r="I509" s="9"/>
      <c r="J509" s="9"/>
      <c r="K509" s="9"/>
      <c r="L509" s="9"/>
      <c r="M509" s="9"/>
      <c r="N509" s="9"/>
      <c r="O509" s="9"/>
      <c r="P509" s="9"/>
      <c r="Q509" s="9"/>
      <c r="R509" s="9"/>
      <c r="S509" s="9"/>
      <c r="T509" s="2332"/>
      <c r="U509" s="9"/>
      <c r="V509" s="9"/>
    </row>
    <row r="510" spans="1:22">
      <c r="A510" s="9"/>
      <c r="B510" s="9"/>
      <c r="C510" s="9"/>
      <c r="D510" s="9"/>
      <c r="E510" s="9"/>
      <c r="F510" s="9"/>
      <c r="G510" s="9"/>
      <c r="H510" s="9"/>
      <c r="I510" s="9"/>
      <c r="J510" s="9"/>
      <c r="K510" s="9"/>
      <c r="L510" s="9"/>
      <c r="M510" s="9"/>
      <c r="N510" s="9"/>
      <c r="O510" s="9"/>
      <c r="P510" s="9"/>
      <c r="Q510" s="9"/>
      <c r="R510" s="9"/>
      <c r="S510" s="9"/>
      <c r="T510" s="2332"/>
      <c r="U510" s="9"/>
      <c r="V510" s="9"/>
    </row>
    <row r="511" spans="1:22">
      <c r="A511" s="9"/>
      <c r="B511" s="9"/>
      <c r="C511" s="9"/>
      <c r="D511" s="9"/>
      <c r="E511" s="9"/>
      <c r="F511" s="9"/>
      <c r="G511" s="9"/>
      <c r="H511" s="9"/>
      <c r="I511" s="9"/>
      <c r="J511" s="9"/>
      <c r="K511" s="9"/>
      <c r="L511" s="9"/>
      <c r="M511" s="9"/>
      <c r="N511" s="9"/>
      <c r="O511" s="9"/>
      <c r="P511" s="9"/>
      <c r="Q511" s="9"/>
      <c r="R511" s="9"/>
      <c r="S511" s="9"/>
      <c r="T511" s="2332"/>
      <c r="U511" s="9"/>
      <c r="V511" s="9"/>
    </row>
    <row r="512" spans="1:22">
      <c r="A512" s="9"/>
      <c r="B512" s="9"/>
      <c r="C512" s="9"/>
      <c r="D512" s="9"/>
      <c r="E512" s="9"/>
      <c r="F512" s="9"/>
      <c r="G512" s="9"/>
      <c r="H512" s="9"/>
      <c r="I512" s="9"/>
      <c r="J512" s="9"/>
      <c r="K512" s="9"/>
      <c r="L512" s="9"/>
      <c r="M512" s="9"/>
      <c r="N512" s="9"/>
      <c r="O512" s="9"/>
      <c r="P512" s="9"/>
      <c r="Q512" s="9"/>
      <c r="R512" s="9"/>
      <c r="S512" s="9"/>
      <c r="T512" s="2332"/>
      <c r="U512" s="9"/>
      <c r="V512" s="9"/>
    </row>
    <row r="513" spans="1:22">
      <c r="A513" s="9"/>
      <c r="B513" s="9"/>
      <c r="C513" s="9"/>
      <c r="D513" s="9"/>
      <c r="E513" s="9"/>
      <c r="F513" s="9"/>
      <c r="G513" s="9"/>
      <c r="H513" s="9"/>
      <c r="I513" s="9"/>
      <c r="J513" s="9"/>
      <c r="K513" s="9"/>
      <c r="L513" s="9"/>
      <c r="M513" s="9"/>
      <c r="N513" s="9"/>
      <c r="O513" s="9"/>
      <c r="P513" s="9"/>
      <c r="Q513" s="9"/>
      <c r="R513" s="9"/>
      <c r="S513" s="9"/>
      <c r="T513" s="2332"/>
      <c r="U513" s="9"/>
      <c r="V513" s="9"/>
    </row>
    <row r="514" spans="1:22">
      <c r="A514" s="9"/>
      <c r="B514" s="9"/>
      <c r="C514" s="9"/>
      <c r="D514" s="9"/>
      <c r="E514" s="9"/>
      <c r="F514" s="9"/>
      <c r="G514" s="9"/>
      <c r="H514" s="9"/>
      <c r="I514" s="9"/>
      <c r="J514" s="9"/>
      <c r="K514" s="9"/>
      <c r="L514" s="9"/>
      <c r="M514" s="9"/>
      <c r="N514" s="9"/>
      <c r="O514" s="9"/>
      <c r="P514" s="9"/>
      <c r="Q514" s="9"/>
      <c r="R514" s="9"/>
      <c r="S514" s="9"/>
      <c r="T514" s="2332"/>
      <c r="U514" s="9"/>
      <c r="V514" s="9"/>
    </row>
    <row r="515" spans="1:22">
      <c r="A515" s="9"/>
      <c r="B515" s="9"/>
      <c r="C515" s="9"/>
      <c r="D515" s="9"/>
      <c r="E515" s="9"/>
      <c r="F515" s="9"/>
      <c r="G515" s="9"/>
      <c r="H515" s="9"/>
      <c r="I515" s="9"/>
      <c r="J515" s="9"/>
      <c r="K515" s="9"/>
      <c r="L515" s="9"/>
      <c r="M515" s="9"/>
      <c r="N515" s="9"/>
      <c r="O515" s="9"/>
      <c r="P515" s="9"/>
      <c r="Q515" s="9"/>
      <c r="R515" s="9"/>
      <c r="S515" s="9"/>
      <c r="T515" s="2332"/>
      <c r="U515" s="9"/>
      <c r="V515" s="9"/>
    </row>
    <row r="516" spans="1:22">
      <c r="A516" s="9"/>
      <c r="B516" s="9"/>
      <c r="C516" s="9"/>
      <c r="D516" s="9"/>
      <c r="E516" s="9"/>
      <c r="F516" s="9"/>
      <c r="G516" s="9"/>
      <c r="H516" s="9"/>
      <c r="I516" s="9"/>
      <c r="J516" s="9"/>
      <c r="K516" s="9"/>
      <c r="L516" s="9"/>
      <c r="M516" s="9"/>
      <c r="N516" s="9"/>
      <c r="O516" s="9"/>
      <c r="P516" s="9"/>
      <c r="Q516" s="9"/>
      <c r="R516" s="9"/>
      <c r="S516" s="9"/>
      <c r="T516" s="2332"/>
      <c r="U516" s="9"/>
      <c r="V516" s="9"/>
    </row>
    <row r="517" spans="1:22">
      <c r="A517" s="9"/>
      <c r="B517" s="9"/>
      <c r="C517" s="9"/>
      <c r="D517" s="9"/>
      <c r="E517" s="9"/>
      <c r="F517" s="9"/>
      <c r="G517" s="9"/>
      <c r="H517" s="9"/>
      <c r="I517" s="9"/>
      <c r="J517" s="9"/>
      <c r="K517" s="9"/>
      <c r="L517" s="9"/>
      <c r="M517" s="9"/>
      <c r="N517" s="9"/>
      <c r="O517" s="9"/>
      <c r="P517" s="9"/>
      <c r="Q517" s="9"/>
      <c r="R517" s="9"/>
      <c r="S517" s="9"/>
      <c r="T517" s="2332"/>
      <c r="U517" s="9"/>
      <c r="V517" s="9"/>
    </row>
    <row r="518" spans="1:22">
      <c r="A518" s="9"/>
      <c r="B518" s="9"/>
      <c r="C518" s="9"/>
      <c r="D518" s="9"/>
      <c r="E518" s="9"/>
      <c r="F518" s="9"/>
      <c r="G518" s="9"/>
      <c r="H518" s="9"/>
      <c r="I518" s="9"/>
      <c r="J518" s="9"/>
      <c r="K518" s="9"/>
      <c r="L518" s="9"/>
      <c r="M518" s="9"/>
      <c r="N518" s="9"/>
      <c r="O518" s="9"/>
      <c r="P518" s="9"/>
      <c r="Q518" s="9"/>
      <c r="R518" s="9"/>
      <c r="S518" s="9"/>
      <c r="T518" s="2332"/>
      <c r="U518" s="9"/>
      <c r="V518" s="9"/>
    </row>
    <row r="519" spans="1:22">
      <c r="A519" s="9"/>
      <c r="B519" s="9"/>
      <c r="C519" s="9"/>
      <c r="D519" s="9"/>
      <c r="E519" s="9"/>
      <c r="F519" s="9"/>
      <c r="G519" s="9"/>
      <c r="H519" s="9"/>
      <c r="I519" s="9"/>
      <c r="J519" s="9"/>
      <c r="K519" s="9"/>
      <c r="L519" s="9"/>
      <c r="M519" s="9"/>
      <c r="N519" s="9"/>
      <c r="O519" s="9"/>
      <c r="P519" s="9"/>
      <c r="Q519" s="9"/>
      <c r="R519" s="9"/>
      <c r="S519" s="9"/>
      <c r="T519" s="2332"/>
      <c r="U519" s="9"/>
      <c r="V519" s="9"/>
    </row>
    <row r="520" spans="1:22">
      <c r="A520" s="9"/>
      <c r="B520" s="9"/>
      <c r="C520" s="9"/>
      <c r="D520" s="9"/>
      <c r="E520" s="9"/>
      <c r="F520" s="9"/>
      <c r="G520" s="9"/>
      <c r="H520" s="9"/>
      <c r="I520" s="9"/>
      <c r="J520" s="9"/>
      <c r="K520" s="9"/>
      <c r="L520" s="9"/>
      <c r="M520" s="9"/>
      <c r="N520" s="9"/>
      <c r="O520" s="9"/>
      <c r="P520" s="9"/>
      <c r="Q520" s="9"/>
      <c r="R520" s="9"/>
      <c r="S520" s="9"/>
      <c r="T520" s="2332"/>
      <c r="U520" s="9"/>
      <c r="V520" s="9"/>
    </row>
    <row r="521" spans="1:22">
      <c r="A521" s="9"/>
      <c r="B521" s="9"/>
      <c r="C521" s="9"/>
      <c r="D521" s="9"/>
      <c r="E521" s="9"/>
      <c r="F521" s="9"/>
      <c r="G521" s="9"/>
      <c r="H521" s="9"/>
      <c r="I521" s="9"/>
      <c r="J521" s="9"/>
      <c r="K521" s="9"/>
      <c r="L521" s="9"/>
      <c r="M521" s="9"/>
      <c r="N521" s="9"/>
      <c r="O521" s="9"/>
      <c r="P521" s="9"/>
      <c r="Q521" s="9"/>
      <c r="R521" s="9"/>
      <c r="S521" s="9"/>
      <c r="T521" s="2332"/>
      <c r="U521" s="9"/>
      <c r="V521" s="9"/>
    </row>
    <row r="522" spans="1:22">
      <c r="A522" s="9"/>
      <c r="B522" s="9"/>
      <c r="C522" s="9"/>
      <c r="D522" s="9"/>
      <c r="E522" s="9"/>
      <c r="F522" s="9"/>
      <c r="G522" s="9"/>
      <c r="H522" s="9"/>
      <c r="I522" s="9"/>
      <c r="J522" s="9"/>
      <c r="K522" s="9"/>
      <c r="L522" s="9"/>
      <c r="M522" s="9"/>
      <c r="N522" s="9"/>
      <c r="O522" s="9"/>
      <c r="P522" s="9"/>
      <c r="Q522" s="9"/>
      <c r="R522" s="9"/>
      <c r="S522" s="9"/>
      <c r="T522" s="2332"/>
      <c r="U522" s="9"/>
      <c r="V522" s="9"/>
    </row>
    <row r="523" spans="1:22">
      <c r="A523" s="9"/>
      <c r="B523" s="9"/>
      <c r="C523" s="9"/>
      <c r="D523" s="9"/>
      <c r="E523" s="9"/>
      <c r="F523" s="9"/>
      <c r="G523" s="9"/>
      <c r="H523" s="9"/>
      <c r="I523" s="9"/>
      <c r="J523" s="9"/>
      <c r="K523" s="9"/>
      <c r="L523" s="9"/>
      <c r="M523" s="9"/>
      <c r="N523" s="9"/>
      <c r="O523" s="9"/>
      <c r="P523" s="9"/>
      <c r="Q523" s="9"/>
      <c r="R523" s="9"/>
      <c r="S523" s="9"/>
      <c r="T523" s="2332"/>
      <c r="U523" s="9"/>
      <c r="V523" s="9"/>
    </row>
    <row r="524" spans="1:22">
      <c r="A524" s="9"/>
      <c r="B524" s="9"/>
      <c r="C524" s="9"/>
      <c r="D524" s="9"/>
      <c r="E524" s="9"/>
      <c r="F524" s="9"/>
      <c r="G524" s="9"/>
      <c r="H524" s="9"/>
      <c r="I524" s="9"/>
      <c r="J524" s="9"/>
      <c r="K524" s="9"/>
      <c r="L524" s="9"/>
      <c r="M524" s="9"/>
      <c r="N524" s="9"/>
      <c r="O524" s="9"/>
      <c r="P524" s="9"/>
      <c r="Q524" s="9"/>
      <c r="R524" s="9"/>
      <c r="S524" s="9"/>
      <c r="T524" s="2332"/>
      <c r="U524" s="9"/>
      <c r="V524" s="9"/>
    </row>
    <row r="525" spans="1:22">
      <c r="A525" s="9"/>
      <c r="B525" s="9"/>
      <c r="C525" s="9"/>
      <c r="D525" s="9"/>
      <c r="E525" s="9"/>
      <c r="F525" s="9"/>
      <c r="G525" s="9"/>
      <c r="H525" s="9"/>
      <c r="I525" s="9"/>
      <c r="J525" s="9"/>
      <c r="K525" s="9"/>
      <c r="L525" s="9"/>
      <c r="M525" s="9"/>
      <c r="N525" s="9"/>
      <c r="O525" s="9"/>
      <c r="P525" s="9"/>
      <c r="Q525" s="9"/>
      <c r="R525" s="9"/>
      <c r="S525" s="9"/>
      <c r="T525" s="2332"/>
      <c r="U525" s="9"/>
      <c r="V525" s="9"/>
    </row>
    <row r="526" spans="1:22">
      <c r="A526" s="9"/>
      <c r="B526" s="9"/>
      <c r="C526" s="9"/>
      <c r="D526" s="9"/>
      <c r="E526" s="9"/>
      <c r="F526" s="9"/>
      <c r="G526" s="9"/>
      <c r="H526" s="9"/>
      <c r="I526" s="9"/>
      <c r="J526" s="9"/>
      <c r="K526" s="9"/>
      <c r="L526" s="9"/>
      <c r="M526" s="9"/>
      <c r="N526" s="9"/>
      <c r="O526" s="9"/>
      <c r="P526" s="9"/>
      <c r="Q526" s="9"/>
      <c r="R526" s="9"/>
      <c r="S526" s="9"/>
      <c r="T526" s="2332"/>
      <c r="U526" s="9"/>
      <c r="V526" s="9"/>
    </row>
    <row r="527" spans="1:22">
      <c r="A527" s="9"/>
      <c r="B527" s="9"/>
      <c r="C527" s="9"/>
      <c r="D527" s="9"/>
      <c r="E527" s="9"/>
      <c r="F527" s="9"/>
      <c r="G527" s="9"/>
      <c r="H527" s="9"/>
      <c r="I527" s="9"/>
      <c r="J527" s="9"/>
      <c r="K527" s="9"/>
      <c r="L527" s="9"/>
      <c r="M527" s="9"/>
      <c r="N527" s="9"/>
      <c r="O527" s="9"/>
      <c r="P527" s="9"/>
      <c r="Q527" s="9"/>
      <c r="R527" s="9"/>
      <c r="S527" s="9"/>
      <c r="T527" s="2332"/>
      <c r="U527" s="9"/>
      <c r="V527" s="9"/>
    </row>
    <row r="528" spans="1:22">
      <c r="A528" s="9"/>
      <c r="B528" s="9"/>
      <c r="C528" s="9"/>
      <c r="D528" s="9"/>
      <c r="E528" s="9"/>
      <c r="F528" s="9"/>
      <c r="G528" s="9"/>
      <c r="H528" s="9"/>
      <c r="I528" s="9"/>
      <c r="J528" s="9"/>
      <c r="K528" s="9"/>
      <c r="L528" s="9"/>
      <c r="M528" s="9"/>
      <c r="N528" s="9"/>
      <c r="O528" s="9"/>
      <c r="P528" s="9"/>
      <c r="Q528" s="9"/>
      <c r="R528" s="9"/>
      <c r="S528" s="9"/>
      <c r="T528" s="2332"/>
      <c r="U528" s="9"/>
      <c r="V528" s="9"/>
    </row>
    <row r="529" spans="1:22">
      <c r="A529" s="9"/>
      <c r="B529" s="9"/>
      <c r="C529" s="9"/>
      <c r="D529" s="9"/>
      <c r="E529" s="9"/>
      <c r="F529" s="9"/>
      <c r="G529" s="9"/>
      <c r="H529" s="9"/>
      <c r="I529" s="9"/>
      <c r="J529" s="9"/>
      <c r="K529" s="9"/>
      <c r="L529" s="9"/>
      <c r="M529" s="9"/>
      <c r="N529" s="9"/>
      <c r="O529" s="9"/>
      <c r="P529" s="9"/>
      <c r="Q529" s="9"/>
      <c r="R529" s="9"/>
      <c r="S529" s="9"/>
      <c r="T529" s="2332"/>
      <c r="U529" s="9"/>
      <c r="V529" s="9"/>
    </row>
    <row r="530" spans="1:22">
      <c r="A530" s="9"/>
      <c r="B530" s="9"/>
      <c r="C530" s="9"/>
      <c r="D530" s="9"/>
      <c r="E530" s="9"/>
      <c r="F530" s="9"/>
      <c r="G530" s="9"/>
      <c r="H530" s="9"/>
      <c r="I530" s="9"/>
      <c r="J530" s="9"/>
      <c r="K530" s="9"/>
      <c r="L530" s="9"/>
      <c r="M530" s="9"/>
      <c r="N530" s="9"/>
      <c r="O530" s="9"/>
      <c r="P530" s="9"/>
      <c r="Q530" s="9"/>
      <c r="R530" s="9"/>
      <c r="S530" s="9"/>
      <c r="T530" s="2332"/>
      <c r="U530" s="9"/>
      <c r="V530" s="9"/>
    </row>
    <row r="531" spans="1:22">
      <c r="A531" s="9"/>
      <c r="B531" s="9"/>
      <c r="C531" s="9"/>
      <c r="D531" s="9"/>
      <c r="E531" s="9"/>
      <c r="F531" s="9"/>
      <c r="G531" s="9"/>
      <c r="H531" s="9"/>
      <c r="I531" s="9"/>
      <c r="J531" s="9"/>
      <c r="K531" s="9"/>
      <c r="L531" s="9"/>
      <c r="M531" s="9"/>
      <c r="N531" s="9"/>
      <c r="O531" s="9"/>
      <c r="P531" s="9"/>
      <c r="Q531" s="9"/>
      <c r="R531" s="9"/>
      <c r="S531" s="9"/>
      <c r="T531" s="2332"/>
      <c r="U531" s="9"/>
      <c r="V531" s="9"/>
    </row>
    <row r="532" spans="1:22">
      <c r="A532" s="9"/>
      <c r="B532" s="9"/>
      <c r="C532" s="9"/>
      <c r="D532" s="9"/>
      <c r="E532" s="9"/>
      <c r="F532" s="9"/>
      <c r="G532" s="9"/>
      <c r="H532" s="9"/>
      <c r="I532" s="9"/>
      <c r="J532" s="9"/>
      <c r="K532" s="9"/>
      <c r="L532" s="9"/>
      <c r="M532" s="9"/>
      <c r="N532" s="9"/>
      <c r="O532" s="9"/>
      <c r="P532" s="9"/>
      <c r="Q532" s="9"/>
      <c r="R532" s="9"/>
      <c r="S532" s="9"/>
      <c r="T532" s="2332"/>
      <c r="U532" s="9"/>
      <c r="V532" s="9"/>
    </row>
    <row r="533" spans="1:22">
      <c r="A533" s="9"/>
      <c r="B533" s="9"/>
      <c r="C533" s="9"/>
      <c r="D533" s="9"/>
      <c r="E533" s="9"/>
      <c r="F533" s="9"/>
      <c r="G533" s="9"/>
      <c r="H533" s="9"/>
      <c r="I533" s="9"/>
      <c r="J533" s="9"/>
      <c r="K533" s="9"/>
      <c r="L533" s="9"/>
      <c r="M533" s="9"/>
      <c r="N533" s="9"/>
      <c r="O533" s="9"/>
      <c r="P533" s="9"/>
      <c r="Q533" s="9"/>
      <c r="R533" s="9"/>
      <c r="S533" s="9"/>
      <c r="T533" s="2332"/>
      <c r="U533" s="9"/>
      <c r="V533" s="9"/>
    </row>
    <row r="534" spans="1:22">
      <c r="A534" s="9"/>
      <c r="B534" s="9"/>
      <c r="C534" s="9"/>
      <c r="D534" s="9"/>
      <c r="E534" s="9"/>
      <c r="F534" s="9"/>
      <c r="G534" s="9"/>
      <c r="H534" s="9"/>
      <c r="I534" s="9"/>
      <c r="J534" s="9"/>
      <c r="K534" s="9"/>
      <c r="L534" s="9"/>
      <c r="M534" s="9"/>
      <c r="N534" s="9"/>
      <c r="O534" s="9"/>
      <c r="P534" s="9"/>
      <c r="Q534" s="9"/>
      <c r="R534" s="9"/>
      <c r="S534" s="9"/>
      <c r="T534" s="2332"/>
      <c r="U534" s="9"/>
      <c r="V534" s="9"/>
    </row>
    <row r="535" spans="1:22">
      <c r="A535" s="9"/>
      <c r="B535" s="9"/>
      <c r="C535" s="9"/>
      <c r="D535" s="9"/>
      <c r="E535" s="9"/>
      <c r="F535" s="9"/>
      <c r="G535" s="9"/>
      <c r="H535" s="9"/>
      <c r="I535" s="9"/>
      <c r="J535" s="9"/>
      <c r="K535" s="9"/>
      <c r="L535" s="9"/>
      <c r="M535" s="9"/>
      <c r="N535" s="9"/>
      <c r="O535" s="9"/>
      <c r="P535" s="9"/>
      <c r="Q535" s="9"/>
      <c r="R535" s="9"/>
      <c r="S535" s="9"/>
      <c r="T535" s="2332"/>
      <c r="U535" s="9"/>
      <c r="V535" s="9"/>
    </row>
    <row r="536" spans="1:22">
      <c r="A536" s="9"/>
      <c r="B536" s="9"/>
      <c r="C536" s="9"/>
      <c r="D536" s="9"/>
      <c r="E536" s="9"/>
      <c r="F536" s="9"/>
      <c r="G536" s="9"/>
      <c r="H536" s="9"/>
      <c r="I536" s="9"/>
      <c r="J536" s="9"/>
      <c r="K536" s="9"/>
      <c r="L536" s="9"/>
      <c r="M536" s="9"/>
      <c r="N536" s="9"/>
      <c r="O536" s="9"/>
      <c r="P536" s="9"/>
      <c r="Q536" s="9"/>
      <c r="R536" s="9"/>
      <c r="S536" s="9"/>
      <c r="T536" s="2332"/>
      <c r="U536" s="9"/>
      <c r="V536" s="9"/>
    </row>
    <row r="537" spans="1:22">
      <c r="A537" s="9"/>
      <c r="B537" s="9"/>
      <c r="C537" s="9"/>
      <c r="D537" s="9"/>
      <c r="E537" s="9"/>
      <c r="F537" s="9"/>
      <c r="G537" s="9"/>
      <c r="H537" s="9"/>
      <c r="I537" s="9"/>
      <c r="J537" s="9"/>
      <c r="K537" s="9"/>
      <c r="L537" s="9"/>
      <c r="M537" s="9"/>
      <c r="N537" s="9"/>
      <c r="O537" s="9"/>
      <c r="P537" s="9"/>
      <c r="Q537" s="9"/>
      <c r="R537" s="9"/>
      <c r="S537" s="9"/>
      <c r="T537" s="2332"/>
      <c r="U537" s="9"/>
      <c r="V537" s="9"/>
    </row>
    <row r="538" spans="1:22">
      <c r="A538" s="9"/>
      <c r="B538" s="9"/>
      <c r="C538" s="9"/>
      <c r="D538" s="9"/>
      <c r="E538" s="9"/>
      <c r="F538" s="9"/>
      <c r="G538" s="9"/>
      <c r="H538" s="9"/>
      <c r="I538" s="9"/>
      <c r="J538" s="9"/>
      <c r="K538" s="9"/>
      <c r="L538" s="9"/>
      <c r="M538" s="9"/>
      <c r="N538" s="9"/>
      <c r="O538" s="9"/>
      <c r="P538" s="9"/>
      <c r="Q538" s="9"/>
      <c r="R538" s="9"/>
      <c r="S538" s="9"/>
      <c r="T538" s="2332"/>
      <c r="U538" s="9"/>
      <c r="V538" s="9"/>
    </row>
    <row r="539" spans="1:22">
      <c r="A539" s="9"/>
      <c r="B539" s="9"/>
      <c r="C539" s="9"/>
      <c r="D539" s="9"/>
      <c r="E539" s="9"/>
      <c r="F539" s="9"/>
      <c r="G539" s="9"/>
      <c r="H539" s="9"/>
      <c r="I539" s="9"/>
      <c r="J539" s="9"/>
      <c r="K539" s="9"/>
      <c r="L539" s="9"/>
      <c r="M539" s="9"/>
      <c r="N539" s="9"/>
      <c r="O539" s="9"/>
      <c r="P539" s="9"/>
      <c r="Q539" s="9"/>
      <c r="R539" s="9"/>
      <c r="S539" s="9"/>
      <c r="T539" s="2332"/>
      <c r="U539" s="9"/>
      <c r="V539" s="9"/>
    </row>
    <row r="540" spans="1:22">
      <c r="A540" s="9"/>
      <c r="B540" s="9"/>
      <c r="C540" s="9"/>
      <c r="D540" s="9"/>
      <c r="E540" s="9"/>
      <c r="F540" s="9"/>
      <c r="G540" s="9"/>
      <c r="H540" s="9"/>
      <c r="I540" s="9"/>
      <c r="J540" s="9"/>
      <c r="K540" s="9"/>
      <c r="L540" s="9"/>
      <c r="M540" s="9"/>
      <c r="N540" s="9"/>
      <c r="O540" s="9"/>
      <c r="P540" s="9"/>
      <c r="Q540" s="9"/>
      <c r="R540" s="9"/>
      <c r="S540" s="9"/>
      <c r="T540" s="2332"/>
      <c r="U540" s="9"/>
      <c r="V540" s="9"/>
    </row>
    <row r="541" spans="1:22">
      <c r="A541" s="9"/>
      <c r="B541" s="9"/>
      <c r="C541" s="9"/>
      <c r="D541" s="9"/>
      <c r="E541" s="9"/>
      <c r="F541" s="9"/>
      <c r="G541" s="9"/>
      <c r="H541" s="9"/>
      <c r="I541" s="9"/>
      <c r="J541" s="9"/>
      <c r="K541" s="9"/>
      <c r="L541" s="9"/>
      <c r="M541" s="9"/>
      <c r="N541" s="9"/>
      <c r="O541" s="9"/>
      <c r="P541" s="9"/>
      <c r="Q541" s="9"/>
      <c r="R541" s="9"/>
      <c r="S541" s="9"/>
      <c r="T541" s="2332"/>
      <c r="U541" s="9"/>
      <c r="V541" s="9"/>
    </row>
    <row r="542" spans="1:22">
      <c r="A542" s="9"/>
      <c r="B542" s="9"/>
      <c r="C542" s="9"/>
      <c r="D542" s="9"/>
      <c r="E542" s="9"/>
      <c r="F542" s="9"/>
      <c r="G542" s="9"/>
      <c r="H542" s="9"/>
      <c r="I542" s="9"/>
      <c r="J542" s="9"/>
      <c r="K542" s="9"/>
      <c r="L542" s="9"/>
      <c r="M542" s="9"/>
      <c r="N542" s="9"/>
      <c r="O542" s="9"/>
      <c r="P542" s="9"/>
      <c r="Q542" s="9"/>
      <c r="R542" s="9"/>
      <c r="S542" s="9"/>
      <c r="T542" s="2332"/>
      <c r="U542" s="9"/>
      <c r="V542" s="9"/>
    </row>
    <row r="543" spans="1:22">
      <c r="A543" s="9"/>
      <c r="B543" s="9"/>
      <c r="C543" s="9"/>
      <c r="D543" s="9"/>
      <c r="E543" s="9"/>
      <c r="F543" s="9"/>
      <c r="G543" s="9"/>
      <c r="H543" s="9"/>
      <c r="I543" s="9"/>
      <c r="J543" s="9"/>
      <c r="K543" s="9"/>
      <c r="L543" s="9"/>
      <c r="M543" s="9"/>
      <c r="N543" s="9"/>
      <c r="O543" s="9"/>
      <c r="P543" s="9"/>
      <c r="Q543" s="9"/>
      <c r="R543" s="9"/>
      <c r="S543" s="9"/>
      <c r="T543" s="2332"/>
      <c r="U543" s="9"/>
      <c r="V543" s="9"/>
    </row>
    <row r="544" spans="1:22">
      <c r="A544" s="9"/>
      <c r="B544" s="9"/>
      <c r="C544" s="9"/>
      <c r="D544" s="9"/>
      <c r="E544" s="9"/>
      <c r="F544" s="9"/>
      <c r="G544" s="9"/>
      <c r="H544" s="9"/>
      <c r="I544" s="9"/>
      <c r="J544" s="9"/>
      <c r="K544" s="9"/>
      <c r="L544" s="9"/>
      <c r="M544" s="9"/>
      <c r="N544" s="9"/>
      <c r="O544" s="9"/>
      <c r="P544" s="9"/>
      <c r="Q544" s="9"/>
      <c r="R544" s="9"/>
      <c r="S544" s="9"/>
      <c r="T544" s="2332"/>
      <c r="U544" s="9"/>
      <c r="V544" s="9"/>
    </row>
    <row r="545" spans="1:22">
      <c r="A545" s="9"/>
      <c r="B545" s="9"/>
      <c r="C545" s="9"/>
      <c r="D545" s="9"/>
      <c r="E545" s="9"/>
      <c r="F545" s="9"/>
      <c r="G545" s="9"/>
      <c r="H545" s="9"/>
      <c r="I545" s="9"/>
      <c r="J545" s="9"/>
      <c r="K545" s="9"/>
      <c r="L545" s="9"/>
      <c r="M545" s="9"/>
      <c r="N545" s="9"/>
      <c r="O545" s="9"/>
      <c r="P545" s="9"/>
      <c r="Q545" s="9"/>
      <c r="R545" s="9"/>
      <c r="S545" s="9"/>
      <c r="T545" s="2332"/>
      <c r="U545" s="9"/>
      <c r="V545" s="9"/>
    </row>
    <row r="546" spans="1:22">
      <c r="A546" s="9"/>
      <c r="B546" s="9"/>
      <c r="C546" s="9"/>
      <c r="D546" s="9"/>
      <c r="E546" s="9"/>
      <c r="F546" s="9"/>
      <c r="G546" s="9"/>
      <c r="H546" s="9"/>
      <c r="I546" s="9"/>
      <c r="J546" s="9"/>
      <c r="K546" s="9"/>
      <c r="L546" s="9"/>
      <c r="M546" s="9"/>
      <c r="N546" s="9"/>
      <c r="O546" s="9"/>
      <c r="P546" s="9"/>
      <c r="Q546" s="9"/>
      <c r="R546" s="9"/>
      <c r="S546" s="9"/>
      <c r="T546" s="2332"/>
      <c r="U546" s="9"/>
      <c r="V546" s="9"/>
    </row>
    <row r="547" spans="1:22">
      <c r="A547" s="9"/>
      <c r="B547" s="9"/>
      <c r="C547" s="9"/>
      <c r="D547" s="9"/>
      <c r="E547" s="9"/>
      <c r="F547" s="9"/>
      <c r="G547" s="9"/>
      <c r="H547" s="9"/>
      <c r="I547" s="9"/>
      <c r="J547" s="9"/>
      <c r="K547" s="9"/>
      <c r="L547" s="9"/>
      <c r="M547" s="9"/>
      <c r="N547" s="9"/>
      <c r="O547" s="9"/>
      <c r="P547" s="9"/>
      <c r="Q547" s="9"/>
      <c r="R547" s="9"/>
      <c r="S547" s="9"/>
      <c r="T547" s="2332"/>
      <c r="U547" s="9"/>
      <c r="V547" s="9"/>
    </row>
    <row r="548" spans="1:22">
      <c r="A548" s="9"/>
      <c r="B548" s="9"/>
      <c r="C548" s="9"/>
      <c r="D548" s="9"/>
      <c r="E548" s="9"/>
      <c r="F548" s="9"/>
      <c r="G548" s="9"/>
      <c r="H548" s="9"/>
      <c r="I548" s="9"/>
      <c r="J548" s="9"/>
      <c r="K548" s="9"/>
      <c r="L548" s="9"/>
      <c r="M548" s="9"/>
      <c r="N548" s="9"/>
      <c r="O548" s="9"/>
      <c r="P548" s="9"/>
      <c r="Q548" s="9"/>
      <c r="R548" s="9"/>
      <c r="S548" s="9"/>
      <c r="T548" s="2332"/>
      <c r="U548" s="9"/>
      <c r="V548" s="9"/>
    </row>
    <row r="549" spans="1:22">
      <c r="A549" s="9"/>
      <c r="B549" s="9"/>
      <c r="C549" s="9"/>
      <c r="D549" s="9"/>
      <c r="E549" s="9"/>
      <c r="F549" s="9"/>
      <c r="G549" s="9"/>
      <c r="H549" s="9"/>
      <c r="I549" s="9"/>
      <c r="J549" s="9"/>
      <c r="K549" s="9"/>
      <c r="L549" s="9"/>
      <c r="M549" s="9"/>
      <c r="N549" s="9"/>
      <c r="O549" s="9"/>
      <c r="P549" s="9"/>
      <c r="Q549" s="9"/>
      <c r="R549" s="9"/>
      <c r="S549" s="9"/>
      <c r="T549" s="2332"/>
      <c r="U549" s="9"/>
      <c r="V549" s="9"/>
    </row>
    <row r="550" spans="1:22">
      <c r="A550" s="9"/>
      <c r="B550" s="9"/>
      <c r="C550" s="9"/>
      <c r="D550" s="9"/>
      <c r="E550" s="9"/>
      <c r="F550" s="9"/>
      <c r="G550" s="9"/>
      <c r="H550" s="9"/>
      <c r="I550" s="9"/>
      <c r="J550" s="9"/>
      <c r="K550" s="9"/>
      <c r="L550" s="9"/>
      <c r="M550" s="9"/>
      <c r="N550" s="9"/>
      <c r="O550" s="9"/>
      <c r="P550" s="9"/>
      <c r="Q550" s="9"/>
      <c r="R550" s="9"/>
      <c r="S550" s="9"/>
      <c r="T550" s="2332"/>
      <c r="U550" s="9"/>
      <c r="V550" s="9"/>
    </row>
    <row r="551" spans="1:22">
      <c r="A551" s="9"/>
      <c r="B551" s="9"/>
      <c r="C551" s="9"/>
      <c r="D551" s="9"/>
      <c r="E551" s="9"/>
      <c r="F551" s="9"/>
      <c r="G551" s="9"/>
      <c r="H551" s="9"/>
      <c r="I551" s="9"/>
      <c r="J551" s="9"/>
      <c r="K551" s="9"/>
      <c r="L551" s="9"/>
      <c r="M551" s="9"/>
      <c r="N551" s="9"/>
      <c r="O551" s="9"/>
      <c r="P551" s="9"/>
      <c r="Q551" s="9"/>
      <c r="R551" s="9"/>
      <c r="S551" s="9"/>
      <c r="T551" s="2332"/>
      <c r="U551" s="9"/>
      <c r="V551" s="9"/>
    </row>
    <row r="552" spans="1:22">
      <c r="A552" s="9"/>
      <c r="B552" s="9"/>
      <c r="C552" s="9"/>
      <c r="D552" s="9"/>
      <c r="E552" s="9"/>
      <c r="F552" s="9"/>
      <c r="G552" s="9"/>
      <c r="H552" s="9"/>
      <c r="I552" s="9"/>
      <c r="J552" s="9"/>
      <c r="K552" s="9"/>
      <c r="L552" s="9"/>
      <c r="M552" s="9"/>
      <c r="N552" s="9"/>
      <c r="O552" s="9"/>
      <c r="P552" s="9"/>
      <c r="Q552" s="9"/>
      <c r="R552" s="9"/>
      <c r="S552" s="9"/>
      <c r="T552" s="2332"/>
      <c r="U552" s="9"/>
      <c r="V552" s="9"/>
    </row>
    <row r="553" spans="1:22">
      <c r="A553" s="9"/>
      <c r="B553" s="9"/>
      <c r="C553" s="9"/>
      <c r="D553" s="9"/>
      <c r="E553" s="9"/>
      <c r="F553" s="9"/>
      <c r="G553" s="9"/>
      <c r="H553" s="9"/>
      <c r="I553" s="9"/>
      <c r="J553" s="9"/>
      <c r="K553" s="9"/>
      <c r="L553" s="9"/>
      <c r="M553" s="9"/>
      <c r="N553" s="9"/>
      <c r="O553" s="9"/>
      <c r="P553" s="9"/>
      <c r="Q553" s="9"/>
      <c r="R553" s="9"/>
      <c r="S553" s="9"/>
      <c r="T553" s="2332"/>
      <c r="U553" s="9"/>
      <c r="V553" s="9"/>
    </row>
    <row r="554" spans="1:22">
      <c r="A554" s="9"/>
      <c r="B554" s="9"/>
      <c r="C554" s="9"/>
      <c r="D554" s="9"/>
      <c r="E554" s="9"/>
      <c r="F554" s="9"/>
      <c r="G554" s="9"/>
      <c r="H554" s="9"/>
      <c r="I554" s="9"/>
      <c r="J554" s="9"/>
      <c r="K554" s="9"/>
      <c r="L554" s="9"/>
      <c r="M554" s="9"/>
      <c r="N554" s="9"/>
      <c r="O554" s="9"/>
      <c r="P554" s="9"/>
      <c r="Q554" s="9"/>
      <c r="R554" s="9"/>
      <c r="S554" s="9"/>
      <c r="T554" s="2332"/>
      <c r="U554" s="9"/>
      <c r="V554" s="9"/>
    </row>
    <row r="555" spans="1:22">
      <c r="A555" s="9"/>
      <c r="B555" s="9"/>
      <c r="C555" s="9"/>
      <c r="D555" s="9"/>
      <c r="E555" s="9"/>
      <c r="F555" s="9"/>
      <c r="G555" s="9"/>
      <c r="H555" s="9"/>
      <c r="I555" s="9"/>
      <c r="J555" s="9"/>
      <c r="K555" s="9"/>
      <c r="L555" s="9"/>
      <c r="M555" s="9"/>
      <c r="N555" s="9"/>
      <c r="O555" s="9"/>
      <c r="P555" s="9"/>
      <c r="Q555" s="9"/>
      <c r="R555" s="9"/>
      <c r="S555" s="9"/>
      <c r="T555" s="2332"/>
      <c r="U555" s="9"/>
      <c r="V555" s="9"/>
    </row>
    <row r="556" spans="1:22">
      <c r="A556" s="9"/>
      <c r="B556" s="9"/>
      <c r="C556" s="9"/>
      <c r="D556" s="9"/>
      <c r="E556" s="9"/>
      <c r="F556" s="9"/>
      <c r="G556" s="9"/>
      <c r="H556" s="9"/>
      <c r="I556" s="9"/>
      <c r="J556" s="9"/>
      <c r="K556" s="9"/>
      <c r="L556" s="9"/>
      <c r="M556" s="9"/>
      <c r="N556" s="9"/>
      <c r="O556" s="9"/>
      <c r="P556" s="9"/>
      <c r="Q556" s="9"/>
      <c r="R556" s="9"/>
      <c r="S556" s="9"/>
      <c r="T556" s="2332"/>
      <c r="U556" s="9"/>
      <c r="V556" s="9"/>
    </row>
    <row r="557" spans="1:22">
      <c r="A557" s="9"/>
      <c r="B557" s="9"/>
      <c r="C557" s="9"/>
      <c r="D557" s="9"/>
      <c r="E557" s="9"/>
      <c r="F557" s="9"/>
      <c r="G557" s="9"/>
      <c r="H557" s="9"/>
      <c r="I557" s="9"/>
      <c r="J557" s="9"/>
      <c r="K557" s="9"/>
      <c r="L557" s="9"/>
      <c r="M557" s="9"/>
      <c r="N557" s="9"/>
      <c r="O557" s="9"/>
      <c r="P557" s="9"/>
      <c r="Q557" s="9"/>
      <c r="R557" s="9"/>
      <c r="S557" s="9"/>
      <c r="T557" s="2332"/>
      <c r="U557" s="9"/>
      <c r="V557" s="9"/>
    </row>
    <row r="558" spans="1:22">
      <c r="A558" s="9"/>
      <c r="B558" s="9"/>
      <c r="C558" s="9"/>
      <c r="D558" s="9"/>
      <c r="E558" s="9"/>
      <c r="F558" s="9"/>
      <c r="G558" s="9"/>
      <c r="H558" s="9"/>
      <c r="I558" s="9"/>
      <c r="J558" s="9"/>
      <c r="K558" s="9"/>
      <c r="L558" s="9"/>
      <c r="M558" s="9"/>
      <c r="N558" s="9"/>
      <c r="O558" s="9"/>
      <c r="P558" s="9"/>
      <c r="Q558" s="9"/>
      <c r="R558" s="9"/>
      <c r="S558" s="9"/>
      <c r="T558" s="2332"/>
      <c r="U558" s="9"/>
      <c r="V558" s="9"/>
    </row>
    <row r="559" spans="1:22">
      <c r="A559" s="9"/>
      <c r="B559" s="9"/>
      <c r="C559" s="9"/>
      <c r="D559" s="9"/>
      <c r="E559" s="9"/>
      <c r="F559" s="9"/>
      <c r="G559" s="9"/>
      <c r="H559" s="9"/>
      <c r="I559" s="9"/>
      <c r="J559" s="9"/>
      <c r="K559" s="9"/>
      <c r="L559" s="9"/>
      <c r="M559" s="9"/>
      <c r="N559" s="9"/>
      <c r="O559" s="9"/>
      <c r="P559" s="9"/>
      <c r="Q559" s="9"/>
      <c r="R559" s="9"/>
      <c r="S559" s="9"/>
      <c r="T559" s="2332"/>
      <c r="U559" s="9"/>
      <c r="V559" s="9"/>
    </row>
    <row r="560" spans="1:22">
      <c r="A560" s="9"/>
      <c r="B560" s="9"/>
      <c r="C560" s="9"/>
      <c r="D560" s="9"/>
      <c r="E560" s="9"/>
      <c r="F560" s="9"/>
      <c r="G560" s="9"/>
      <c r="H560" s="9"/>
      <c r="I560" s="9"/>
      <c r="J560" s="9"/>
      <c r="K560" s="9"/>
      <c r="L560" s="9"/>
      <c r="M560" s="9"/>
      <c r="N560" s="9"/>
      <c r="O560" s="9"/>
      <c r="P560" s="9"/>
      <c r="Q560" s="9"/>
      <c r="R560" s="9"/>
      <c r="S560" s="9"/>
      <c r="T560" s="2332"/>
      <c r="U560" s="9"/>
      <c r="V560" s="9"/>
    </row>
    <row r="561" spans="1:22">
      <c r="A561" s="9"/>
      <c r="B561" s="9"/>
      <c r="C561" s="9"/>
      <c r="D561" s="9"/>
      <c r="E561" s="9"/>
      <c r="F561" s="9"/>
      <c r="G561" s="9"/>
      <c r="H561" s="9"/>
      <c r="I561" s="9"/>
      <c r="J561" s="9"/>
      <c r="K561" s="9"/>
      <c r="L561" s="9"/>
      <c r="M561" s="9"/>
      <c r="N561" s="9"/>
      <c r="O561" s="9"/>
      <c r="P561" s="9"/>
      <c r="Q561" s="9"/>
      <c r="R561" s="9"/>
      <c r="S561" s="9"/>
      <c r="T561" s="2332"/>
      <c r="U561" s="9"/>
      <c r="V561" s="9"/>
    </row>
    <row r="562" spans="1:22">
      <c r="A562" s="9"/>
      <c r="B562" s="9"/>
      <c r="C562" s="9"/>
      <c r="D562" s="9"/>
      <c r="E562" s="9"/>
      <c r="F562" s="9"/>
      <c r="G562" s="9"/>
      <c r="H562" s="9"/>
      <c r="I562" s="9"/>
      <c r="J562" s="9"/>
      <c r="K562" s="9"/>
      <c r="L562" s="9"/>
      <c r="M562" s="9"/>
      <c r="N562" s="9"/>
      <c r="O562" s="9"/>
      <c r="P562" s="9"/>
      <c r="Q562" s="9"/>
      <c r="R562" s="9"/>
      <c r="S562" s="9"/>
      <c r="T562" s="2332"/>
      <c r="U562" s="9"/>
      <c r="V562" s="9"/>
    </row>
    <row r="563" spans="1:22">
      <c r="A563" s="9"/>
      <c r="B563" s="9"/>
      <c r="C563" s="9"/>
      <c r="D563" s="9"/>
      <c r="E563" s="9"/>
      <c r="F563" s="9"/>
      <c r="G563" s="9"/>
      <c r="H563" s="9"/>
      <c r="I563" s="9"/>
      <c r="J563" s="9"/>
      <c r="K563" s="9"/>
      <c r="L563" s="9"/>
      <c r="M563" s="9"/>
      <c r="N563" s="9"/>
      <c r="O563" s="9"/>
      <c r="P563" s="9"/>
      <c r="Q563" s="9"/>
      <c r="R563" s="9"/>
      <c r="S563" s="9"/>
      <c r="T563" s="2332"/>
      <c r="U563" s="9"/>
      <c r="V563" s="9"/>
    </row>
    <row r="564" spans="1:22">
      <c r="A564" s="9"/>
      <c r="B564" s="9"/>
      <c r="C564" s="9"/>
      <c r="D564" s="9"/>
      <c r="E564" s="9"/>
      <c r="F564" s="9"/>
      <c r="G564" s="9"/>
      <c r="H564" s="9"/>
      <c r="I564" s="9"/>
      <c r="J564" s="9"/>
      <c r="K564" s="9"/>
      <c r="L564" s="9"/>
      <c r="M564" s="9"/>
      <c r="N564" s="9"/>
      <c r="O564" s="9"/>
      <c r="P564" s="9"/>
      <c r="Q564" s="9"/>
      <c r="R564" s="9"/>
      <c r="S564" s="9"/>
      <c r="T564" s="2332"/>
      <c r="U564" s="9"/>
      <c r="V564" s="9"/>
    </row>
    <row r="565" spans="1:22">
      <c r="A565" s="9"/>
      <c r="B565" s="9"/>
      <c r="C565" s="9"/>
      <c r="D565" s="9"/>
      <c r="E565" s="9"/>
      <c r="F565" s="9"/>
      <c r="G565" s="9"/>
      <c r="H565" s="9"/>
      <c r="I565" s="9"/>
      <c r="J565" s="9"/>
      <c r="K565" s="9"/>
      <c r="L565" s="9"/>
      <c r="M565" s="9"/>
      <c r="N565" s="9"/>
      <c r="O565" s="9"/>
      <c r="P565" s="9"/>
      <c r="Q565" s="9"/>
      <c r="R565" s="9"/>
      <c r="S565" s="9"/>
      <c r="T565" s="2332"/>
      <c r="U565" s="9"/>
      <c r="V565" s="9"/>
    </row>
    <row r="566" spans="1:22">
      <c r="A566" s="9"/>
      <c r="B566" s="9"/>
      <c r="C566" s="9"/>
      <c r="D566" s="9"/>
      <c r="E566" s="9"/>
      <c r="F566" s="9"/>
      <c r="G566" s="9"/>
      <c r="H566" s="9"/>
      <c r="I566" s="9"/>
      <c r="J566" s="9"/>
      <c r="K566" s="9"/>
      <c r="L566" s="9"/>
      <c r="M566" s="9"/>
      <c r="N566" s="9"/>
      <c r="O566" s="9"/>
      <c r="P566" s="9"/>
      <c r="Q566" s="9"/>
      <c r="R566" s="9"/>
      <c r="S566" s="9"/>
      <c r="T566" s="2332"/>
      <c r="U566" s="9"/>
      <c r="V566" s="9"/>
    </row>
    <row r="567" spans="1:22">
      <c r="A567" s="9"/>
      <c r="B567" s="9"/>
      <c r="C567" s="9"/>
      <c r="D567" s="9"/>
      <c r="E567" s="9"/>
      <c r="F567" s="9"/>
      <c r="G567" s="9"/>
      <c r="H567" s="9"/>
      <c r="I567" s="9"/>
      <c r="J567" s="9"/>
      <c r="K567" s="9"/>
      <c r="L567" s="9"/>
      <c r="M567" s="9"/>
      <c r="N567" s="9"/>
      <c r="O567" s="9"/>
      <c r="P567" s="9"/>
      <c r="Q567" s="9"/>
      <c r="R567" s="9"/>
      <c r="S567" s="9"/>
      <c r="T567" s="2332"/>
      <c r="U567" s="9"/>
      <c r="V567" s="9"/>
    </row>
    <row r="568" spans="1:22">
      <c r="A568" s="9"/>
      <c r="B568" s="9"/>
      <c r="C568" s="9"/>
      <c r="D568" s="9"/>
      <c r="E568" s="9"/>
      <c r="F568" s="9"/>
      <c r="G568" s="9"/>
      <c r="H568" s="9"/>
      <c r="I568" s="9"/>
      <c r="J568" s="9"/>
      <c r="K568" s="9"/>
      <c r="L568" s="9"/>
      <c r="M568" s="9"/>
      <c r="N568" s="9"/>
      <c r="O568" s="9"/>
      <c r="P568" s="9"/>
      <c r="Q568" s="9"/>
      <c r="R568" s="9"/>
      <c r="S568" s="9"/>
      <c r="T568" s="2332"/>
      <c r="U568" s="9"/>
      <c r="V568" s="9"/>
    </row>
    <row r="569" spans="1:22">
      <c r="A569" s="9"/>
      <c r="B569" s="9"/>
      <c r="C569" s="9"/>
      <c r="D569" s="9"/>
      <c r="E569" s="9"/>
      <c r="F569" s="9"/>
      <c r="G569" s="9"/>
      <c r="H569" s="9"/>
      <c r="I569" s="9"/>
      <c r="J569" s="9"/>
      <c r="K569" s="9"/>
      <c r="L569" s="9"/>
      <c r="M569" s="9"/>
      <c r="N569" s="9"/>
      <c r="O569" s="9"/>
      <c r="P569" s="9"/>
      <c r="Q569" s="9"/>
      <c r="R569" s="9"/>
      <c r="S569" s="9"/>
      <c r="T569" s="2332"/>
      <c r="U569" s="9"/>
      <c r="V569" s="9"/>
    </row>
    <row r="570" spans="1:22">
      <c r="A570" s="9"/>
      <c r="B570" s="9"/>
      <c r="C570" s="9"/>
      <c r="D570" s="9"/>
      <c r="E570" s="9"/>
      <c r="F570" s="9"/>
      <c r="G570" s="9"/>
      <c r="H570" s="9"/>
      <c r="I570" s="9"/>
      <c r="J570" s="9"/>
      <c r="K570" s="9"/>
      <c r="L570" s="9"/>
      <c r="M570" s="9"/>
      <c r="N570" s="9"/>
      <c r="O570" s="9"/>
      <c r="P570" s="9"/>
      <c r="Q570" s="9"/>
      <c r="R570" s="9"/>
      <c r="S570" s="9"/>
      <c r="T570" s="2332"/>
      <c r="U570" s="9"/>
      <c r="V570" s="9"/>
    </row>
    <row r="571" spans="1:22">
      <c r="A571" s="9"/>
      <c r="B571" s="9"/>
      <c r="C571" s="9"/>
      <c r="D571" s="9"/>
      <c r="E571" s="9"/>
      <c r="F571" s="9"/>
      <c r="G571" s="9"/>
      <c r="H571" s="9"/>
      <c r="I571" s="9"/>
      <c r="J571" s="9"/>
      <c r="K571" s="9"/>
      <c r="L571" s="9"/>
      <c r="M571" s="9"/>
      <c r="N571" s="9"/>
      <c r="O571" s="9"/>
      <c r="P571" s="9"/>
      <c r="Q571" s="9"/>
      <c r="R571" s="9"/>
      <c r="S571" s="9"/>
      <c r="T571" s="2332"/>
      <c r="U571" s="9"/>
      <c r="V571" s="9"/>
    </row>
    <row r="572" spans="1:22">
      <c r="A572" s="9"/>
      <c r="B572" s="9"/>
      <c r="C572" s="9"/>
      <c r="D572" s="9"/>
      <c r="E572" s="9"/>
      <c r="F572" s="9"/>
      <c r="G572" s="9"/>
      <c r="H572" s="9"/>
      <c r="I572" s="9"/>
      <c r="J572" s="9"/>
      <c r="K572" s="9"/>
      <c r="L572" s="9"/>
      <c r="M572" s="9"/>
      <c r="N572" s="9"/>
      <c r="O572" s="9"/>
      <c r="P572" s="9"/>
      <c r="Q572" s="9"/>
      <c r="R572" s="9"/>
      <c r="S572" s="9"/>
      <c r="T572" s="2332"/>
      <c r="U572" s="9"/>
      <c r="V572" s="9"/>
    </row>
    <row r="573" spans="1:22">
      <c r="A573" s="9"/>
      <c r="B573" s="9"/>
      <c r="C573" s="9"/>
      <c r="D573" s="9"/>
      <c r="E573" s="9"/>
      <c r="F573" s="9"/>
      <c r="G573" s="9"/>
      <c r="H573" s="9"/>
      <c r="I573" s="9"/>
      <c r="J573" s="9"/>
      <c r="K573" s="9"/>
      <c r="L573" s="9"/>
      <c r="M573" s="9"/>
      <c r="N573" s="9"/>
      <c r="O573" s="9"/>
      <c r="P573" s="9"/>
      <c r="Q573" s="9"/>
      <c r="R573" s="9"/>
      <c r="S573" s="9"/>
      <c r="T573" s="2332"/>
      <c r="U573" s="9"/>
      <c r="V573" s="9"/>
    </row>
    <row r="574" spans="1:22">
      <c r="A574" s="9"/>
      <c r="B574" s="9"/>
      <c r="C574" s="9"/>
      <c r="D574" s="9"/>
      <c r="E574" s="9"/>
      <c r="F574" s="9"/>
      <c r="G574" s="9"/>
      <c r="H574" s="9"/>
      <c r="I574" s="9"/>
      <c r="J574" s="9"/>
      <c r="K574" s="9"/>
      <c r="L574" s="9"/>
      <c r="M574" s="9"/>
      <c r="N574" s="9"/>
      <c r="O574" s="9"/>
      <c r="P574" s="9"/>
      <c r="Q574" s="9"/>
      <c r="R574" s="9"/>
      <c r="S574" s="9"/>
      <c r="T574" s="2332"/>
      <c r="U574" s="9"/>
      <c r="V574" s="9"/>
    </row>
    <row r="575" spans="1:22">
      <c r="A575" s="9"/>
      <c r="B575" s="9"/>
      <c r="C575" s="9"/>
      <c r="D575" s="9"/>
      <c r="E575" s="9"/>
      <c r="F575" s="9"/>
      <c r="G575" s="9"/>
      <c r="H575" s="9"/>
      <c r="I575" s="9"/>
      <c r="J575" s="9"/>
      <c r="K575" s="9"/>
      <c r="L575" s="9"/>
      <c r="M575" s="9"/>
      <c r="N575" s="9"/>
      <c r="O575" s="9"/>
      <c r="P575" s="9"/>
      <c r="Q575" s="9"/>
      <c r="R575" s="9"/>
      <c r="S575" s="9"/>
      <c r="T575" s="2332"/>
      <c r="U575" s="9"/>
      <c r="V575" s="9"/>
    </row>
    <row r="576" spans="1:22">
      <c r="A576" s="9"/>
      <c r="B576" s="9"/>
      <c r="C576" s="9"/>
      <c r="D576" s="9"/>
      <c r="E576" s="9"/>
      <c r="F576" s="9"/>
      <c r="G576" s="9"/>
      <c r="H576" s="9"/>
      <c r="I576" s="9"/>
      <c r="J576" s="9"/>
      <c r="K576" s="9"/>
      <c r="L576" s="9"/>
      <c r="M576" s="9"/>
      <c r="N576" s="9"/>
      <c r="O576" s="9"/>
      <c r="P576" s="9"/>
      <c r="Q576" s="9"/>
      <c r="R576" s="9"/>
      <c r="S576" s="9"/>
      <c r="T576" s="2332"/>
      <c r="U576" s="9"/>
      <c r="V576" s="9"/>
    </row>
    <row r="577" spans="1:22">
      <c r="A577" s="9"/>
      <c r="B577" s="9"/>
      <c r="C577" s="9"/>
      <c r="D577" s="9"/>
      <c r="E577" s="9"/>
      <c r="F577" s="9"/>
      <c r="G577" s="9"/>
      <c r="H577" s="9"/>
      <c r="I577" s="9"/>
      <c r="J577" s="9"/>
      <c r="K577" s="9"/>
      <c r="L577" s="9"/>
      <c r="M577" s="9"/>
      <c r="N577" s="9"/>
      <c r="O577" s="9"/>
      <c r="P577" s="9"/>
      <c r="Q577" s="9"/>
      <c r="R577" s="9"/>
      <c r="S577" s="9"/>
      <c r="T577" s="2332"/>
      <c r="U577" s="9"/>
      <c r="V577" s="9"/>
    </row>
    <row r="578" spans="1:22">
      <c r="A578" s="9"/>
      <c r="B578" s="9"/>
      <c r="C578" s="9"/>
      <c r="D578" s="9"/>
      <c r="E578" s="9"/>
      <c r="F578" s="9"/>
      <c r="G578" s="9"/>
      <c r="H578" s="9"/>
      <c r="I578" s="9"/>
      <c r="J578" s="9"/>
      <c r="K578" s="9"/>
      <c r="L578" s="9"/>
      <c r="M578" s="9"/>
      <c r="N578" s="9"/>
      <c r="O578" s="9"/>
      <c r="P578" s="9"/>
      <c r="Q578" s="9"/>
      <c r="R578" s="9"/>
      <c r="S578" s="9"/>
      <c r="T578" s="2332"/>
      <c r="U578" s="9"/>
      <c r="V578" s="9"/>
    </row>
    <row r="579" spans="1:22">
      <c r="A579" s="9"/>
      <c r="B579" s="9"/>
      <c r="C579" s="9"/>
      <c r="D579" s="9"/>
      <c r="E579" s="9"/>
      <c r="F579" s="9"/>
      <c r="G579" s="9"/>
      <c r="H579" s="9"/>
      <c r="I579" s="9"/>
      <c r="J579" s="9"/>
      <c r="K579" s="9"/>
      <c r="L579" s="9"/>
      <c r="M579" s="9"/>
      <c r="N579" s="9"/>
      <c r="O579" s="9"/>
      <c r="P579" s="9"/>
      <c r="Q579" s="9"/>
      <c r="R579" s="9"/>
      <c r="S579" s="9"/>
      <c r="T579" s="2332"/>
      <c r="U579" s="9"/>
      <c r="V579" s="9"/>
    </row>
    <row r="580" spans="1:22">
      <c r="A580" s="9"/>
      <c r="B580" s="9"/>
      <c r="C580" s="9"/>
      <c r="D580" s="9"/>
      <c r="E580" s="9"/>
      <c r="F580" s="9"/>
      <c r="G580" s="9"/>
      <c r="H580" s="9"/>
      <c r="I580" s="9"/>
      <c r="J580" s="9"/>
      <c r="K580" s="9"/>
      <c r="L580" s="9"/>
      <c r="M580" s="9"/>
      <c r="N580" s="9"/>
      <c r="O580" s="9"/>
      <c r="P580" s="9"/>
      <c r="Q580" s="9"/>
      <c r="R580" s="9"/>
      <c r="S580" s="9"/>
      <c r="T580" s="2332"/>
      <c r="U580" s="9"/>
      <c r="V580" s="9"/>
    </row>
    <row r="581" spans="1:22">
      <c r="A581" s="9"/>
      <c r="B581" s="9"/>
      <c r="C581" s="9"/>
      <c r="D581" s="9"/>
      <c r="E581" s="9"/>
      <c r="F581" s="9"/>
      <c r="G581" s="9"/>
      <c r="H581" s="9"/>
      <c r="I581" s="9"/>
      <c r="J581" s="9"/>
      <c r="K581" s="9"/>
      <c r="L581" s="9"/>
      <c r="M581" s="9"/>
      <c r="N581" s="9"/>
      <c r="O581" s="9"/>
      <c r="P581" s="9"/>
      <c r="Q581" s="9"/>
      <c r="R581" s="9"/>
      <c r="S581" s="9"/>
      <c r="T581" s="2332"/>
      <c r="U581" s="9"/>
      <c r="V581" s="9"/>
    </row>
    <row r="582" spans="1:22">
      <c r="A582" s="9"/>
      <c r="B582" s="9"/>
      <c r="C582" s="9"/>
      <c r="D582" s="9"/>
      <c r="E582" s="9"/>
      <c r="F582" s="9"/>
      <c r="G582" s="9"/>
      <c r="H582" s="9"/>
      <c r="I582" s="9"/>
      <c r="J582" s="9"/>
      <c r="K582" s="9"/>
      <c r="L582" s="9"/>
      <c r="M582" s="9"/>
      <c r="N582" s="9"/>
      <c r="O582" s="9"/>
      <c r="P582" s="9"/>
      <c r="Q582" s="9"/>
      <c r="R582" s="9"/>
      <c r="S582" s="9"/>
      <c r="T582" s="2332"/>
      <c r="U582" s="9"/>
      <c r="V582" s="9"/>
    </row>
    <row r="583" spans="1:22">
      <c r="A583" s="9"/>
      <c r="B583" s="9"/>
      <c r="C583" s="9"/>
      <c r="D583" s="9"/>
      <c r="E583" s="9"/>
      <c r="F583" s="9"/>
      <c r="G583" s="9"/>
      <c r="H583" s="9"/>
      <c r="I583" s="9"/>
      <c r="J583" s="9"/>
      <c r="K583" s="9"/>
      <c r="L583" s="9"/>
      <c r="M583" s="9"/>
      <c r="N583" s="9"/>
      <c r="O583" s="9"/>
      <c r="P583" s="9"/>
      <c r="Q583" s="9"/>
      <c r="R583" s="9"/>
      <c r="S583" s="9"/>
      <c r="T583" s="2332"/>
      <c r="U583" s="9"/>
      <c r="V583" s="9"/>
    </row>
    <row r="584" spans="1:22">
      <c r="A584" s="9"/>
      <c r="B584" s="9"/>
      <c r="C584" s="9"/>
      <c r="D584" s="9"/>
      <c r="E584" s="9"/>
      <c r="F584" s="9"/>
      <c r="G584" s="9"/>
      <c r="H584" s="9"/>
      <c r="I584" s="9"/>
      <c r="J584" s="9"/>
      <c r="K584" s="9"/>
      <c r="L584" s="9"/>
      <c r="M584" s="9"/>
      <c r="N584" s="9"/>
      <c r="O584" s="9"/>
      <c r="P584" s="9"/>
      <c r="Q584" s="9"/>
      <c r="R584" s="9"/>
      <c r="S584" s="9"/>
      <c r="T584" s="2332"/>
      <c r="U584" s="9"/>
      <c r="V584" s="9"/>
    </row>
    <row r="585" spans="1:22">
      <c r="A585" s="9"/>
      <c r="B585" s="9"/>
      <c r="C585" s="9"/>
      <c r="D585" s="9"/>
      <c r="E585" s="9"/>
      <c r="F585" s="9"/>
      <c r="G585" s="9"/>
      <c r="H585" s="9"/>
      <c r="I585" s="9"/>
      <c r="J585" s="9"/>
      <c r="K585" s="9"/>
      <c r="L585" s="9"/>
      <c r="M585" s="9"/>
      <c r="N585" s="9"/>
      <c r="O585" s="9"/>
      <c r="P585" s="9"/>
      <c r="Q585" s="9"/>
      <c r="R585" s="9"/>
      <c r="S585" s="9"/>
      <c r="T585" s="2332"/>
      <c r="U585" s="9"/>
      <c r="V585" s="9"/>
    </row>
    <row r="586" spans="1:22">
      <c r="A586" s="9"/>
      <c r="B586" s="9"/>
      <c r="C586" s="9"/>
      <c r="D586" s="9"/>
      <c r="E586" s="9"/>
      <c r="F586" s="9"/>
      <c r="G586" s="9"/>
      <c r="H586" s="9"/>
      <c r="I586" s="9"/>
      <c r="J586" s="9"/>
      <c r="K586" s="9"/>
      <c r="L586" s="9"/>
      <c r="M586" s="9"/>
      <c r="N586" s="9"/>
      <c r="O586" s="9"/>
      <c r="P586" s="9"/>
      <c r="Q586" s="9"/>
      <c r="R586" s="9"/>
      <c r="S586" s="9"/>
      <c r="T586" s="2332"/>
      <c r="U586" s="9"/>
      <c r="V586" s="9"/>
    </row>
    <row r="587" spans="1:22">
      <c r="A587" s="9"/>
      <c r="B587" s="9"/>
      <c r="C587" s="9"/>
      <c r="D587" s="9"/>
      <c r="E587" s="9"/>
      <c r="F587" s="9"/>
      <c r="G587" s="9"/>
      <c r="H587" s="9"/>
      <c r="I587" s="9"/>
      <c r="J587" s="9"/>
      <c r="K587" s="9"/>
      <c r="L587" s="9"/>
      <c r="M587" s="9"/>
      <c r="N587" s="9"/>
      <c r="O587" s="9"/>
      <c r="P587" s="9"/>
      <c r="Q587" s="9"/>
      <c r="R587" s="9"/>
      <c r="S587" s="9"/>
      <c r="T587" s="2332"/>
      <c r="U587" s="9"/>
      <c r="V587" s="9"/>
    </row>
    <row r="588" spans="1:22">
      <c r="A588" s="9"/>
      <c r="B588" s="9"/>
      <c r="C588" s="9"/>
      <c r="D588" s="9"/>
      <c r="E588" s="9"/>
      <c r="F588" s="9"/>
      <c r="G588" s="9"/>
      <c r="H588" s="9"/>
      <c r="I588" s="9"/>
      <c r="J588" s="9"/>
      <c r="K588" s="9"/>
      <c r="L588" s="9"/>
      <c r="M588" s="9"/>
      <c r="N588" s="9"/>
      <c r="O588" s="9"/>
      <c r="P588" s="9"/>
      <c r="Q588" s="9"/>
      <c r="R588" s="9"/>
      <c r="S588" s="9"/>
      <c r="T588" s="2332"/>
      <c r="U588" s="9"/>
      <c r="V588" s="9"/>
    </row>
    <row r="589" spans="1:22">
      <c r="A589" s="9"/>
      <c r="B589" s="9"/>
      <c r="C589" s="9"/>
      <c r="D589" s="9"/>
      <c r="E589" s="9"/>
      <c r="F589" s="9"/>
      <c r="G589" s="9"/>
      <c r="H589" s="9"/>
      <c r="I589" s="9"/>
      <c r="J589" s="9"/>
      <c r="K589" s="9"/>
      <c r="L589" s="9"/>
      <c r="M589" s="9"/>
      <c r="N589" s="9"/>
      <c r="O589" s="9"/>
      <c r="P589" s="9"/>
      <c r="Q589" s="9"/>
      <c r="R589" s="9"/>
      <c r="S589" s="9"/>
      <c r="T589" s="2332"/>
      <c r="U589" s="9"/>
      <c r="V589" s="9"/>
    </row>
    <row r="590" spans="1:22">
      <c r="A590" s="9"/>
      <c r="B590" s="9"/>
      <c r="C590" s="9"/>
      <c r="D590" s="9"/>
      <c r="E590" s="9"/>
      <c r="F590" s="9"/>
      <c r="G590" s="9"/>
      <c r="H590" s="9"/>
      <c r="I590" s="9"/>
      <c r="J590" s="9"/>
      <c r="K590" s="9"/>
      <c r="L590" s="9"/>
      <c r="M590" s="9"/>
      <c r="N590" s="9"/>
      <c r="O590" s="9"/>
      <c r="P590" s="9"/>
      <c r="Q590" s="9"/>
      <c r="R590" s="9"/>
      <c r="S590" s="9"/>
      <c r="T590" s="2332"/>
      <c r="U590" s="9"/>
      <c r="V590" s="9"/>
    </row>
    <row r="591" spans="1:22">
      <c r="A591" s="9"/>
      <c r="B591" s="9"/>
      <c r="C591" s="9"/>
      <c r="D591" s="9"/>
      <c r="E591" s="9"/>
      <c r="F591" s="9"/>
      <c r="G591" s="9"/>
      <c r="H591" s="9"/>
      <c r="I591" s="9"/>
      <c r="J591" s="9"/>
      <c r="K591" s="9"/>
      <c r="L591" s="9"/>
      <c r="M591" s="9"/>
      <c r="N591" s="9"/>
      <c r="O591" s="9"/>
      <c r="P591" s="9"/>
      <c r="Q591" s="9"/>
      <c r="R591" s="9"/>
      <c r="S591" s="9"/>
      <c r="T591" s="2332"/>
      <c r="U591" s="9"/>
      <c r="V591" s="9"/>
    </row>
    <row r="592" spans="1:22">
      <c r="A592" s="9"/>
      <c r="B592" s="9"/>
      <c r="C592" s="9"/>
      <c r="D592" s="9"/>
      <c r="E592" s="9"/>
      <c r="F592" s="9"/>
      <c r="G592" s="9"/>
      <c r="H592" s="9"/>
      <c r="I592" s="9"/>
      <c r="J592" s="9"/>
      <c r="K592" s="9"/>
      <c r="L592" s="9"/>
      <c r="M592" s="9"/>
      <c r="N592" s="9"/>
      <c r="O592" s="9"/>
      <c r="P592" s="9"/>
      <c r="Q592" s="9"/>
      <c r="R592" s="9"/>
      <c r="S592" s="9"/>
      <c r="T592" s="2332"/>
      <c r="U592" s="9"/>
      <c r="V592" s="9"/>
    </row>
    <row r="593" spans="1:22">
      <c r="A593" s="9"/>
      <c r="B593" s="9"/>
      <c r="C593" s="9"/>
      <c r="D593" s="9"/>
      <c r="E593" s="9"/>
      <c r="F593" s="9"/>
      <c r="G593" s="9"/>
      <c r="H593" s="9"/>
      <c r="I593" s="9"/>
      <c r="J593" s="9"/>
      <c r="K593" s="9"/>
      <c r="L593" s="9"/>
      <c r="M593" s="9"/>
      <c r="N593" s="9"/>
      <c r="O593" s="9"/>
      <c r="P593" s="9"/>
      <c r="Q593" s="9"/>
      <c r="R593" s="9"/>
      <c r="S593" s="9"/>
      <c r="T593" s="2332"/>
      <c r="U593" s="9"/>
      <c r="V593" s="9"/>
    </row>
    <row r="594" spans="1:22">
      <c r="A594" s="9"/>
      <c r="B594" s="9"/>
      <c r="C594" s="9"/>
      <c r="D594" s="9"/>
      <c r="E594" s="9"/>
      <c r="F594" s="9"/>
      <c r="G594" s="9"/>
      <c r="H594" s="9"/>
      <c r="I594" s="9"/>
      <c r="J594" s="9"/>
      <c r="K594" s="9"/>
      <c r="L594" s="9"/>
      <c r="M594" s="9"/>
      <c r="N594" s="9"/>
      <c r="O594" s="9"/>
      <c r="P594" s="9"/>
      <c r="Q594" s="9"/>
      <c r="R594" s="9"/>
      <c r="S594" s="9"/>
      <c r="T594" s="2332"/>
      <c r="U594" s="9"/>
      <c r="V594" s="9"/>
    </row>
    <row r="595" spans="1:22">
      <c r="A595" s="9"/>
      <c r="B595" s="9"/>
      <c r="C595" s="9"/>
      <c r="D595" s="9"/>
      <c r="E595" s="9"/>
      <c r="F595" s="9"/>
      <c r="G595" s="9"/>
      <c r="H595" s="9"/>
      <c r="I595" s="9"/>
      <c r="J595" s="9"/>
      <c r="K595" s="9"/>
      <c r="L595" s="9"/>
      <c r="M595" s="9"/>
      <c r="N595" s="9"/>
      <c r="O595" s="9"/>
      <c r="P595" s="9"/>
      <c r="Q595" s="9"/>
      <c r="R595" s="9"/>
      <c r="S595" s="9"/>
      <c r="T595" s="2332"/>
      <c r="U595" s="9"/>
      <c r="V595" s="9"/>
    </row>
    <row r="596" spans="1:22">
      <c r="A596" s="9"/>
      <c r="B596" s="9"/>
      <c r="C596" s="9"/>
      <c r="D596" s="9"/>
      <c r="E596" s="9"/>
      <c r="F596" s="9"/>
      <c r="G596" s="9"/>
      <c r="H596" s="9"/>
      <c r="I596" s="9"/>
      <c r="J596" s="9"/>
      <c r="K596" s="9"/>
      <c r="L596" s="9"/>
      <c r="M596" s="9"/>
      <c r="N596" s="9"/>
      <c r="O596" s="9"/>
      <c r="P596" s="9"/>
      <c r="Q596" s="9"/>
      <c r="R596" s="9"/>
      <c r="S596" s="9"/>
      <c r="T596" s="2332"/>
      <c r="U596" s="9"/>
      <c r="V596" s="9"/>
    </row>
    <row r="597" spans="1:22">
      <c r="A597" s="9"/>
      <c r="B597" s="9"/>
      <c r="C597" s="9"/>
      <c r="D597" s="9"/>
      <c r="E597" s="9"/>
      <c r="F597" s="9"/>
      <c r="G597" s="9"/>
      <c r="H597" s="9"/>
      <c r="I597" s="9"/>
      <c r="J597" s="9"/>
      <c r="K597" s="9"/>
      <c r="L597" s="9"/>
      <c r="M597" s="9"/>
      <c r="N597" s="9"/>
      <c r="O597" s="9"/>
      <c r="P597" s="9"/>
      <c r="Q597" s="9"/>
      <c r="R597" s="9"/>
      <c r="S597" s="9"/>
      <c r="T597" s="2332"/>
      <c r="U597" s="9"/>
      <c r="V597" s="9"/>
    </row>
    <row r="598" spans="1:22">
      <c r="A598" s="9"/>
      <c r="B598" s="9"/>
      <c r="C598" s="9"/>
      <c r="D598" s="9"/>
      <c r="E598" s="9"/>
      <c r="F598" s="9"/>
      <c r="G598" s="9"/>
      <c r="H598" s="9"/>
      <c r="I598" s="9"/>
      <c r="J598" s="9"/>
      <c r="K598" s="9"/>
      <c r="L598" s="9"/>
      <c r="M598" s="9"/>
      <c r="N598" s="9"/>
      <c r="O598" s="9"/>
      <c r="P598" s="9"/>
      <c r="Q598" s="9"/>
      <c r="R598" s="9"/>
      <c r="S598" s="9"/>
      <c r="T598" s="2332"/>
      <c r="U598" s="9"/>
      <c r="V598" s="9"/>
    </row>
    <row r="599" spans="1:22">
      <c r="A599" s="9"/>
      <c r="B599" s="9"/>
      <c r="C599" s="9"/>
      <c r="D599" s="9"/>
      <c r="E599" s="9"/>
      <c r="F599" s="9"/>
      <c r="G599" s="9"/>
      <c r="H599" s="9"/>
      <c r="I599" s="9"/>
      <c r="J599" s="9"/>
      <c r="K599" s="9"/>
      <c r="L599" s="9"/>
      <c r="M599" s="9"/>
      <c r="N599" s="9"/>
      <c r="O599" s="9"/>
      <c r="P599" s="9"/>
      <c r="Q599" s="9"/>
      <c r="R599" s="9"/>
      <c r="S599" s="9"/>
      <c r="T599" s="2332"/>
      <c r="U599" s="9"/>
      <c r="V599" s="9"/>
    </row>
    <row r="600" spans="1:22">
      <c r="A600" s="9"/>
      <c r="B600" s="9"/>
      <c r="C600" s="9"/>
      <c r="D600" s="9"/>
      <c r="E600" s="9"/>
      <c r="F600" s="9"/>
      <c r="G600" s="9"/>
      <c r="H600" s="9"/>
      <c r="I600" s="9"/>
      <c r="J600" s="9"/>
      <c r="K600" s="9"/>
      <c r="L600" s="9"/>
      <c r="M600" s="9"/>
      <c r="N600" s="9"/>
      <c r="O600" s="9"/>
      <c r="P600" s="9"/>
      <c r="Q600" s="9"/>
      <c r="R600" s="9"/>
      <c r="S600" s="9"/>
      <c r="T600" s="2332"/>
      <c r="U600" s="9"/>
      <c r="V600" s="9"/>
    </row>
    <row r="601" spans="1:22">
      <c r="A601" s="9"/>
      <c r="B601" s="9"/>
      <c r="C601" s="9"/>
      <c r="D601" s="9"/>
      <c r="E601" s="9"/>
      <c r="F601" s="9"/>
      <c r="G601" s="9"/>
      <c r="H601" s="9"/>
      <c r="I601" s="9"/>
      <c r="J601" s="9"/>
      <c r="K601" s="9"/>
      <c r="L601" s="9"/>
      <c r="M601" s="9"/>
      <c r="N601" s="9"/>
      <c r="O601" s="9"/>
      <c r="P601" s="9"/>
      <c r="Q601" s="9"/>
      <c r="R601" s="9"/>
      <c r="S601" s="9"/>
      <c r="T601" s="2332"/>
      <c r="U601" s="9"/>
      <c r="V601" s="9"/>
    </row>
    <row r="602" spans="1:22">
      <c r="A602" s="9"/>
      <c r="B602" s="9"/>
      <c r="C602" s="9"/>
      <c r="D602" s="9"/>
      <c r="E602" s="9"/>
      <c r="F602" s="9"/>
      <c r="G602" s="9"/>
      <c r="H602" s="9"/>
      <c r="I602" s="9"/>
      <c r="J602" s="9"/>
      <c r="K602" s="9"/>
      <c r="L602" s="9"/>
      <c r="M602" s="9"/>
      <c r="N602" s="9"/>
      <c r="O602" s="9"/>
      <c r="P602" s="9"/>
      <c r="Q602" s="9"/>
      <c r="R602" s="9"/>
      <c r="S602" s="9"/>
      <c r="T602" s="2332"/>
      <c r="U602" s="9"/>
      <c r="V602" s="9"/>
    </row>
    <row r="603" spans="1:22">
      <c r="A603" s="9"/>
      <c r="B603" s="9"/>
      <c r="C603" s="9"/>
      <c r="D603" s="9"/>
      <c r="E603" s="9"/>
      <c r="F603" s="9"/>
      <c r="G603" s="9"/>
      <c r="H603" s="9"/>
      <c r="I603" s="9"/>
      <c r="J603" s="9"/>
      <c r="K603" s="9"/>
      <c r="L603" s="9"/>
      <c r="M603" s="9"/>
      <c r="N603" s="9"/>
      <c r="O603" s="9"/>
      <c r="P603" s="9"/>
      <c r="Q603" s="9"/>
      <c r="R603" s="9"/>
      <c r="S603" s="9"/>
      <c r="T603" s="2332"/>
      <c r="U603" s="9"/>
      <c r="V603" s="9"/>
    </row>
    <row r="604" spans="1:22">
      <c r="A604" s="9"/>
      <c r="B604" s="9"/>
      <c r="C604" s="9"/>
      <c r="D604" s="9"/>
      <c r="E604" s="9"/>
      <c r="F604" s="9"/>
      <c r="G604" s="9"/>
      <c r="H604" s="9"/>
      <c r="I604" s="9"/>
      <c r="J604" s="9"/>
      <c r="K604" s="9"/>
      <c r="L604" s="9"/>
      <c r="M604" s="9"/>
      <c r="N604" s="9"/>
      <c r="O604" s="9"/>
      <c r="P604" s="9"/>
      <c r="Q604" s="9"/>
      <c r="R604" s="9"/>
      <c r="S604" s="9"/>
      <c r="T604" s="2332"/>
      <c r="U604" s="9"/>
      <c r="V604" s="9"/>
    </row>
    <row r="605" spans="1:22">
      <c r="A605" s="9"/>
      <c r="B605" s="9"/>
      <c r="C605" s="9"/>
      <c r="D605" s="9"/>
      <c r="E605" s="9"/>
      <c r="F605" s="9"/>
      <c r="G605" s="9"/>
      <c r="H605" s="9"/>
      <c r="I605" s="9"/>
      <c r="J605" s="9"/>
      <c r="K605" s="9"/>
      <c r="L605" s="9"/>
      <c r="M605" s="9"/>
      <c r="N605" s="9"/>
      <c r="O605" s="9"/>
      <c r="P605" s="9"/>
      <c r="Q605" s="9"/>
      <c r="R605" s="9"/>
      <c r="S605" s="9"/>
      <c r="T605" s="2332"/>
      <c r="U605" s="9"/>
      <c r="V605" s="9"/>
    </row>
    <row r="606" spans="1:22">
      <c r="A606" s="9"/>
      <c r="B606" s="9"/>
      <c r="C606" s="9"/>
      <c r="D606" s="9"/>
      <c r="E606" s="9"/>
      <c r="F606" s="9"/>
      <c r="G606" s="9"/>
      <c r="H606" s="9"/>
      <c r="I606" s="9"/>
      <c r="J606" s="9"/>
      <c r="K606" s="9"/>
      <c r="L606" s="9"/>
      <c r="M606" s="9"/>
      <c r="N606" s="9"/>
      <c r="O606" s="9"/>
      <c r="P606" s="9"/>
      <c r="Q606" s="9"/>
      <c r="R606" s="9"/>
      <c r="S606" s="9"/>
      <c r="T606" s="2332"/>
      <c r="U606" s="9"/>
      <c r="V606" s="9"/>
    </row>
    <row r="607" spans="1:22">
      <c r="A607" s="9"/>
      <c r="B607" s="9"/>
      <c r="C607" s="9"/>
      <c r="D607" s="9"/>
      <c r="E607" s="9"/>
      <c r="F607" s="9"/>
      <c r="G607" s="9"/>
      <c r="H607" s="9"/>
      <c r="I607" s="9"/>
      <c r="J607" s="9"/>
      <c r="K607" s="9"/>
      <c r="L607" s="9"/>
      <c r="M607" s="9"/>
      <c r="N607" s="9"/>
      <c r="O607" s="9"/>
      <c r="P607" s="9"/>
      <c r="Q607" s="9"/>
      <c r="R607" s="9"/>
      <c r="S607" s="9"/>
      <c r="T607" s="2332"/>
      <c r="U607" s="9"/>
      <c r="V607" s="9"/>
    </row>
    <row r="608" spans="1:22">
      <c r="A608" s="9"/>
      <c r="B608" s="9"/>
      <c r="C608" s="9"/>
      <c r="D608" s="9"/>
      <c r="E608" s="9"/>
      <c r="F608" s="9"/>
      <c r="G608" s="9"/>
      <c r="H608" s="9"/>
      <c r="I608" s="9"/>
      <c r="J608" s="9"/>
      <c r="K608" s="9"/>
      <c r="L608" s="9"/>
      <c r="M608" s="9"/>
      <c r="N608" s="9"/>
      <c r="O608" s="9"/>
      <c r="P608" s="9"/>
      <c r="Q608" s="9"/>
      <c r="R608" s="9"/>
      <c r="S608" s="9"/>
      <c r="T608" s="2332"/>
      <c r="U608" s="9"/>
      <c r="V608" s="9"/>
    </row>
    <row r="609" spans="1:22">
      <c r="A609" s="9"/>
      <c r="B609" s="9"/>
      <c r="C609" s="9"/>
      <c r="D609" s="9"/>
      <c r="E609" s="9"/>
      <c r="F609" s="9"/>
      <c r="G609" s="9"/>
      <c r="H609" s="9"/>
      <c r="I609" s="9"/>
      <c r="J609" s="9"/>
      <c r="K609" s="9"/>
      <c r="L609" s="9"/>
      <c r="M609" s="9"/>
      <c r="N609" s="9"/>
      <c r="O609" s="9"/>
      <c r="P609" s="9"/>
      <c r="Q609" s="9"/>
      <c r="R609" s="9"/>
      <c r="S609" s="9"/>
      <c r="T609" s="2332"/>
      <c r="U609" s="9"/>
      <c r="V609" s="9"/>
    </row>
    <row r="610" spans="1:22">
      <c r="A610" s="9"/>
      <c r="B610" s="9"/>
      <c r="C610" s="9"/>
      <c r="D610" s="9"/>
      <c r="E610" s="9"/>
      <c r="F610" s="9"/>
      <c r="G610" s="9"/>
      <c r="H610" s="9"/>
      <c r="I610" s="9"/>
      <c r="J610" s="9"/>
      <c r="K610" s="9"/>
      <c r="L610" s="9"/>
      <c r="M610" s="9"/>
      <c r="N610" s="9"/>
      <c r="O610" s="9"/>
      <c r="P610" s="9"/>
      <c r="Q610" s="9"/>
      <c r="R610" s="9"/>
      <c r="S610" s="9"/>
      <c r="T610" s="2332"/>
      <c r="U610" s="9"/>
      <c r="V610" s="9"/>
    </row>
    <row r="611" spans="1:22">
      <c r="A611" s="9"/>
      <c r="B611" s="9"/>
      <c r="C611" s="9"/>
      <c r="D611" s="9"/>
      <c r="E611" s="9"/>
      <c r="F611" s="9"/>
      <c r="G611" s="9"/>
      <c r="H611" s="9"/>
      <c r="I611" s="9"/>
      <c r="J611" s="9"/>
      <c r="K611" s="9"/>
      <c r="L611" s="9"/>
      <c r="M611" s="9"/>
      <c r="N611" s="9"/>
      <c r="O611" s="9"/>
      <c r="P611" s="9"/>
      <c r="Q611" s="9"/>
      <c r="R611" s="9"/>
      <c r="S611" s="9"/>
      <c r="T611" s="2332"/>
      <c r="U611" s="9"/>
      <c r="V611" s="9"/>
    </row>
    <row r="612" spans="1:22">
      <c r="A612" s="9"/>
      <c r="B612" s="9"/>
      <c r="C612" s="9"/>
      <c r="D612" s="9"/>
      <c r="E612" s="9"/>
      <c r="F612" s="9"/>
      <c r="G612" s="9"/>
      <c r="H612" s="9"/>
      <c r="I612" s="9"/>
      <c r="J612" s="9"/>
      <c r="K612" s="9"/>
      <c r="L612" s="9"/>
      <c r="M612" s="9"/>
      <c r="N612" s="9"/>
      <c r="O612" s="9"/>
      <c r="P612" s="9"/>
      <c r="Q612" s="9"/>
      <c r="R612" s="9"/>
      <c r="S612" s="9"/>
      <c r="T612" s="2332"/>
      <c r="U612" s="9"/>
      <c r="V612" s="9"/>
    </row>
    <row r="613" spans="1:22">
      <c r="A613" s="9"/>
      <c r="B613" s="9"/>
      <c r="C613" s="9"/>
      <c r="D613" s="9"/>
      <c r="E613" s="9"/>
      <c r="F613" s="9"/>
      <c r="G613" s="9"/>
      <c r="H613" s="9"/>
      <c r="I613" s="9"/>
      <c r="J613" s="9"/>
      <c r="K613" s="9"/>
      <c r="L613" s="9"/>
      <c r="M613" s="9"/>
      <c r="N613" s="9"/>
      <c r="O613" s="9"/>
      <c r="P613" s="9"/>
      <c r="Q613" s="9"/>
      <c r="R613" s="9"/>
      <c r="S613" s="9"/>
      <c r="T613" s="2332"/>
      <c r="U613" s="9"/>
      <c r="V613" s="9"/>
    </row>
    <row r="614" spans="1:22">
      <c r="A614" s="9"/>
      <c r="B614" s="9"/>
      <c r="C614" s="9"/>
      <c r="D614" s="9"/>
      <c r="E614" s="9"/>
      <c r="F614" s="9"/>
      <c r="G614" s="9"/>
      <c r="H614" s="9"/>
      <c r="I614" s="9"/>
      <c r="J614" s="9"/>
      <c r="K614" s="9"/>
      <c r="L614" s="9"/>
      <c r="M614" s="9"/>
      <c r="N614" s="9"/>
      <c r="O614" s="9"/>
      <c r="P614" s="9"/>
      <c r="Q614" s="9"/>
      <c r="R614" s="9"/>
      <c r="S614" s="9"/>
      <c r="T614" s="2332"/>
      <c r="U614" s="9"/>
      <c r="V614" s="9"/>
    </row>
    <row r="615" spans="1:22">
      <c r="A615" s="9"/>
      <c r="B615" s="9"/>
      <c r="C615" s="9"/>
      <c r="D615" s="9"/>
      <c r="E615" s="9"/>
      <c r="F615" s="9"/>
      <c r="G615" s="9"/>
      <c r="H615" s="9"/>
      <c r="I615" s="9"/>
      <c r="J615" s="9"/>
      <c r="K615" s="9"/>
      <c r="L615" s="9"/>
      <c r="M615" s="9"/>
      <c r="N615" s="9"/>
      <c r="O615" s="9"/>
      <c r="P615" s="9"/>
      <c r="Q615" s="9"/>
      <c r="R615" s="9"/>
      <c r="S615" s="9"/>
      <c r="T615" s="2332"/>
      <c r="U615" s="9"/>
      <c r="V615" s="9"/>
    </row>
    <row r="616" spans="1:22">
      <c r="A616" s="9"/>
      <c r="B616" s="9"/>
      <c r="C616" s="9"/>
      <c r="D616" s="9"/>
      <c r="E616" s="9"/>
      <c r="F616" s="9"/>
      <c r="G616" s="9"/>
      <c r="H616" s="9"/>
      <c r="I616" s="9"/>
      <c r="J616" s="9"/>
      <c r="K616" s="9"/>
      <c r="L616" s="9"/>
      <c r="M616" s="9"/>
      <c r="N616" s="9"/>
      <c r="O616" s="9"/>
      <c r="P616" s="9"/>
      <c r="Q616" s="9"/>
      <c r="R616" s="9"/>
      <c r="S616" s="9"/>
      <c r="T616" s="2332"/>
      <c r="U616" s="9"/>
      <c r="V616" s="9"/>
    </row>
    <row r="617" spans="1:22">
      <c r="A617" s="9"/>
      <c r="B617" s="9"/>
      <c r="C617" s="9"/>
      <c r="D617" s="9"/>
      <c r="E617" s="9"/>
      <c r="F617" s="9"/>
      <c r="G617" s="9"/>
      <c r="H617" s="9"/>
      <c r="I617" s="9"/>
      <c r="J617" s="9"/>
      <c r="K617" s="9"/>
      <c r="L617" s="9"/>
      <c r="M617" s="9"/>
      <c r="N617" s="9"/>
      <c r="O617" s="9"/>
      <c r="P617" s="9"/>
      <c r="Q617" s="9"/>
      <c r="R617" s="9"/>
      <c r="S617" s="9"/>
      <c r="T617" s="2332"/>
      <c r="U617" s="9"/>
      <c r="V617" s="9"/>
    </row>
    <row r="618" spans="1:22">
      <c r="A618" s="9"/>
      <c r="B618" s="9"/>
      <c r="C618" s="9"/>
      <c r="D618" s="9"/>
      <c r="E618" s="9"/>
      <c r="F618" s="9"/>
      <c r="G618" s="9"/>
      <c r="H618" s="9"/>
      <c r="I618" s="9"/>
      <c r="J618" s="9"/>
      <c r="K618" s="9"/>
      <c r="L618" s="9"/>
      <c r="M618" s="9"/>
      <c r="N618" s="9"/>
      <c r="O618" s="9"/>
      <c r="P618" s="9"/>
      <c r="Q618" s="9"/>
      <c r="R618" s="9"/>
      <c r="S618" s="9"/>
      <c r="T618" s="2332"/>
      <c r="U618" s="9"/>
      <c r="V618" s="9"/>
    </row>
    <row r="619" spans="1:22">
      <c r="A619" s="9"/>
      <c r="B619" s="9"/>
      <c r="C619" s="9"/>
      <c r="D619" s="9"/>
      <c r="E619" s="9"/>
      <c r="F619" s="9"/>
      <c r="G619" s="9"/>
      <c r="H619" s="9"/>
      <c r="I619" s="9"/>
      <c r="J619" s="9"/>
      <c r="K619" s="9"/>
      <c r="L619" s="9"/>
      <c r="M619" s="9"/>
      <c r="N619" s="9"/>
      <c r="O619" s="9"/>
      <c r="P619" s="9"/>
      <c r="Q619" s="9"/>
      <c r="R619" s="9"/>
      <c r="S619" s="9"/>
      <c r="T619" s="2332"/>
      <c r="U619" s="9"/>
      <c r="V619" s="9"/>
    </row>
    <row r="620" spans="1:22">
      <c r="A620" s="9"/>
      <c r="B620" s="9"/>
      <c r="C620" s="9"/>
      <c r="D620" s="9"/>
      <c r="E620" s="9"/>
      <c r="F620" s="9"/>
      <c r="G620" s="9"/>
      <c r="H620" s="9"/>
      <c r="I620" s="9"/>
      <c r="J620" s="9"/>
      <c r="K620" s="9"/>
      <c r="L620" s="9"/>
      <c r="M620" s="9"/>
      <c r="N620" s="9"/>
      <c r="O620" s="9"/>
      <c r="P620" s="9"/>
      <c r="Q620" s="9"/>
      <c r="R620" s="9"/>
      <c r="S620" s="9"/>
      <c r="T620" s="2332"/>
      <c r="U620" s="9"/>
      <c r="V620" s="9"/>
    </row>
    <row r="621" spans="1:22">
      <c r="A621" s="9"/>
      <c r="B621" s="9"/>
      <c r="C621" s="9"/>
      <c r="D621" s="9"/>
      <c r="E621" s="9"/>
      <c r="F621" s="9"/>
      <c r="G621" s="9"/>
      <c r="H621" s="9"/>
      <c r="I621" s="9"/>
      <c r="J621" s="9"/>
      <c r="K621" s="9"/>
      <c r="L621" s="9"/>
      <c r="M621" s="9"/>
      <c r="N621" s="9"/>
      <c r="O621" s="9"/>
      <c r="P621" s="9"/>
      <c r="Q621" s="9"/>
      <c r="R621" s="9"/>
      <c r="S621" s="9"/>
      <c r="T621" s="2332"/>
      <c r="U621" s="9"/>
      <c r="V621" s="9"/>
    </row>
    <row r="622" spans="1:22">
      <c r="A622" s="9"/>
      <c r="B622" s="9"/>
      <c r="C622" s="9"/>
      <c r="D622" s="9"/>
      <c r="E622" s="9"/>
      <c r="F622" s="9"/>
      <c r="G622" s="9"/>
      <c r="H622" s="9"/>
      <c r="I622" s="9"/>
      <c r="J622" s="9"/>
      <c r="K622" s="9"/>
      <c r="L622" s="9"/>
      <c r="M622" s="9"/>
      <c r="N622" s="9"/>
      <c r="O622" s="9"/>
      <c r="P622" s="9"/>
      <c r="Q622" s="9"/>
      <c r="R622" s="9"/>
      <c r="S622" s="9"/>
      <c r="T622" s="2332"/>
      <c r="U622" s="9"/>
      <c r="V622" s="9"/>
    </row>
    <row r="623" spans="1:22">
      <c r="A623" s="9"/>
      <c r="B623" s="9"/>
      <c r="C623" s="9"/>
      <c r="D623" s="9"/>
      <c r="E623" s="9"/>
      <c r="F623" s="9"/>
      <c r="G623" s="9"/>
      <c r="H623" s="9"/>
      <c r="I623" s="9"/>
      <c r="J623" s="9"/>
      <c r="K623" s="9"/>
      <c r="L623" s="9"/>
      <c r="M623" s="9"/>
      <c r="N623" s="9"/>
      <c r="O623" s="9"/>
      <c r="P623" s="9"/>
      <c r="Q623" s="9"/>
      <c r="R623" s="9"/>
      <c r="S623" s="9"/>
      <c r="T623" s="2332"/>
      <c r="U623" s="9"/>
      <c r="V623" s="9"/>
    </row>
    <row r="624" spans="1:22">
      <c r="A624" s="9"/>
      <c r="B624" s="9"/>
      <c r="C624" s="9"/>
      <c r="D624" s="9"/>
      <c r="E624" s="9"/>
      <c r="F624" s="9"/>
      <c r="G624" s="9"/>
      <c r="H624" s="9"/>
      <c r="I624" s="9"/>
      <c r="J624" s="9"/>
      <c r="K624" s="9"/>
      <c r="L624" s="9"/>
      <c r="M624" s="9"/>
      <c r="N624" s="9"/>
      <c r="O624" s="9"/>
      <c r="P624" s="9"/>
      <c r="Q624" s="9"/>
      <c r="R624" s="9"/>
      <c r="S624" s="9"/>
      <c r="T624" s="2332"/>
      <c r="U624" s="9"/>
      <c r="V624" s="9"/>
    </row>
    <row r="625" spans="1:22">
      <c r="A625" s="9"/>
      <c r="B625" s="9"/>
      <c r="C625" s="9"/>
      <c r="D625" s="9"/>
      <c r="E625" s="9"/>
      <c r="F625" s="9"/>
      <c r="G625" s="9"/>
      <c r="H625" s="9"/>
      <c r="I625" s="9"/>
      <c r="J625" s="9"/>
      <c r="K625" s="9"/>
      <c r="L625" s="9"/>
      <c r="M625" s="9"/>
      <c r="N625" s="9"/>
      <c r="O625" s="9"/>
      <c r="P625" s="9"/>
      <c r="Q625" s="9"/>
      <c r="R625" s="9"/>
      <c r="S625" s="9"/>
      <c r="T625" s="2332"/>
      <c r="U625" s="9"/>
      <c r="V625" s="9"/>
    </row>
    <row r="626" spans="1:22">
      <c r="A626" s="9"/>
      <c r="B626" s="9"/>
      <c r="C626" s="9"/>
      <c r="D626" s="9"/>
      <c r="E626" s="9"/>
      <c r="F626" s="9"/>
      <c r="G626" s="9"/>
      <c r="H626" s="9"/>
      <c r="I626" s="9"/>
      <c r="J626" s="9"/>
      <c r="K626" s="9"/>
      <c r="L626" s="9"/>
      <c r="M626" s="9"/>
      <c r="N626" s="9"/>
      <c r="O626" s="9"/>
      <c r="P626" s="9"/>
      <c r="Q626" s="9"/>
      <c r="R626" s="9"/>
      <c r="S626" s="9"/>
      <c r="T626" s="2332"/>
      <c r="U626" s="9"/>
      <c r="V626" s="9"/>
    </row>
    <row r="627" spans="1:22">
      <c r="A627" s="9"/>
      <c r="B627" s="9"/>
      <c r="C627" s="9"/>
      <c r="D627" s="9"/>
      <c r="E627" s="9"/>
      <c r="F627" s="9"/>
      <c r="G627" s="9"/>
      <c r="H627" s="9"/>
      <c r="I627" s="9"/>
      <c r="J627" s="9"/>
      <c r="K627" s="9"/>
      <c r="L627" s="9"/>
      <c r="M627" s="9"/>
      <c r="N627" s="9"/>
      <c r="O627" s="9"/>
      <c r="P627" s="9"/>
      <c r="Q627" s="9"/>
      <c r="R627" s="9"/>
      <c r="S627" s="9"/>
      <c r="T627" s="2332"/>
      <c r="U627" s="9"/>
      <c r="V627" s="9"/>
    </row>
    <row r="628" spans="1:22">
      <c r="A628" s="9"/>
      <c r="B628" s="9"/>
      <c r="C628" s="9"/>
      <c r="D628" s="9"/>
      <c r="E628" s="9"/>
      <c r="F628" s="9"/>
      <c r="G628" s="9"/>
      <c r="H628" s="9"/>
      <c r="I628" s="9"/>
      <c r="J628" s="9"/>
      <c r="K628" s="9"/>
      <c r="L628" s="9"/>
      <c r="M628" s="9"/>
      <c r="N628" s="9"/>
      <c r="O628" s="9"/>
      <c r="P628" s="9"/>
      <c r="Q628" s="9"/>
      <c r="R628" s="9"/>
      <c r="S628" s="9"/>
      <c r="T628" s="2332"/>
      <c r="U628" s="9"/>
      <c r="V628" s="9"/>
    </row>
    <row r="629" spans="1:22">
      <c r="A629" s="9"/>
      <c r="B629" s="9"/>
      <c r="C629" s="9"/>
      <c r="D629" s="9"/>
      <c r="E629" s="9"/>
      <c r="F629" s="9"/>
      <c r="G629" s="9"/>
      <c r="H629" s="9"/>
      <c r="I629" s="9"/>
      <c r="J629" s="9"/>
      <c r="K629" s="9"/>
      <c r="L629" s="9"/>
      <c r="M629" s="9"/>
      <c r="N629" s="9"/>
      <c r="O629" s="9"/>
      <c r="P629" s="9"/>
      <c r="Q629" s="9"/>
      <c r="R629" s="9"/>
      <c r="S629" s="9"/>
      <c r="T629" s="2332"/>
      <c r="U629" s="9"/>
      <c r="V629" s="9"/>
    </row>
    <row r="630" spans="1:22">
      <c r="A630" s="9"/>
      <c r="B630" s="9"/>
      <c r="C630" s="9"/>
      <c r="D630" s="9"/>
      <c r="E630" s="9"/>
      <c r="F630" s="9"/>
      <c r="G630" s="9"/>
      <c r="H630" s="9"/>
      <c r="I630" s="9"/>
      <c r="J630" s="9"/>
      <c r="K630" s="9"/>
      <c r="L630" s="9"/>
      <c r="M630" s="9"/>
      <c r="N630" s="9"/>
      <c r="O630" s="9"/>
      <c r="P630" s="9"/>
      <c r="Q630" s="9"/>
      <c r="R630" s="9"/>
      <c r="S630" s="9"/>
      <c r="T630" s="2332"/>
      <c r="U630" s="9"/>
      <c r="V630" s="9"/>
    </row>
    <row r="631" spans="1:22">
      <c r="A631" s="9"/>
      <c r="B631" s="9"/>
      <c r="C631" s="9"/>
      <c r="D631" s="9"/>
      <c r="E631" s="9"/>
      <c r="F631" s="9"/>
      <c r="G631" s="9"/>
      <c r="H631" s="9"/>
      <c r="I631" s="9"/>
      <c r="J631" s="9"/>
      <c r="K631" s="9"/>
      <c r="L631" s="9"/>
      <c r="M631" s="9"/>
      <c r="N631" s="9"/>
      <c r="O631" s="9"/>
      <c r="P631" s="9"/>
      <c r="Q631" s="9"/>
      <c r="R631" s="9"/>
      <c r="S631" s="9"/>
      <c r="T631" s="2332"/>
      <c r="U631" s="9"/>
      <c r="V631" s="9"/>
    </row>
    <row r="632" spans="1:22">
      <c r="A632" s="9"/>
      <c r="B632" s="9"/>
      <c r="C632" s="9"/>
      <c r="D632" s="9"/>
      <c r="E632" s="9"/>
      <c r="F632" s="9"/>
      <c r="G632" s="9"/>
      <c r="H632" s="9"/>
      <c r="I632" s="9"/>
      <c r="J632" s="9"/>
      <c r="K632" s="9"/>
      <c r="L632" s="9"/>
      <c r="M632" s="9"/>
      <c r="N632" s="9"/>
      <c r="O632" s="9"/>
      <c r="P632" s="9"/>
      <c r="Q632" s="9"/>
      <c r="R632" s="9"/>
      <c r="S632" s="9"/>
      <c r="T632" s="2332"/>
      <c r="U632" s="9"/>
      <c r="V632" s="9"/>
    </row>
    <row r="633" spans="1:22">
      <c r="A633" s="9"/>
      <c r="B633" s="9"/>
      <c r="C633" s="9"/>
      <c r="D633" s="9"/>
      <c r="E633" s="9"/>
      <c r="F633" s="9"/>
      <c r="G633" s="9"/>
      <c r="H633" s="9"/>
      <c r="I633" s="9"/>
      <c r="J633" s="9"/>
      <c r="K633" s="9"/>
      <c r="L633" s="9"/>
      <c r="M633" s="9"/>
      <c r="N633" s="9"/>
      <c r="O633" s="9"/>
      <c r="P633" s="9"/>
      <c r="Q633" s="9"/>
      <c r="R633" s="9"/>
      <c r="S633" s="9"/>
      <c r="T633" s="2332"/>
      <c r="U633" s="9"/>
      <c r="V633" s="9"/>
    </row>
    <row r="634" spans="1:22">
      <c r="A634" s="9"/>
      <c r="B634" s="9"/>
      <c r="C634" s="9"/>
      <c r="D634" s="9"/>
      <c r="E634" s="9"/>
      <c r="F634" s="9"/>
      <c r="G634" s="9"/>
      <c r="H634" s="9"/>
      <c r="I634" s="9"/>
      <c r="J634" s="9"/>
      <c r="K634" s="9"/>
      <c r="L634" s="9"/>
      <c r="M634" s="9"/>
      <c r="N634" s="9"/>
      <c r="O634" s="9"/>
      <c r="P634" s="9"/>
      <c r="Q634" s="9"/>
      <c r="R634" s="9"/>
      <c r="S634" s="9"/>
      <c r="T634" s="2332"/>
      <c r="U634" s="9"/>
      <c r="V634" s="9"/>
    </row>
    <row r="635" spans="1:22">
      <c r="A635" s="9"/>
      <c r="B635" s="9"/>
      <c r="C635" s="9"/>
      <c r="D635" s="9"/>
      <c r="E635" s="9"/>
      <c r="F635" s="9"/>
      <c r="G635" s="9"/>
      <c r="H635" s="9"/>
      <c r="I635" s="9"/>
      <c r="J635" s="9"/>
      <c r="K635" s="9"/>
      <c r="L635" s="9"/>
      <c r="M635" s="9"/>
      <c r="N635" s="9"/>
      <c r="O635" s="9"/>
      <c r="P635" s="9"/>
      <c r="Q635" s="9"/>
      <c r="R635" s="9"/>
      <c r="S635" s="9"/>
      <c r="T635" s="2332"/>
      <c r="U635" s="9"/>
      <c r="V635" s="9"/>
    </row>
    <row r="636" spans="1:22">
      <c r="A636" s="9"/>
      <c r="B636" s="9"/>
      <c r="C636" s="9"/>
      <c r="D636" s="9"/>
      <c r="E636" s="9"/>
      <c r="F636" s="9"/>
      <c r="G636" s="9"/>
      <c r="H636" s="9"/>
      <c r="I636" s="9"/>
      <c r="J636" s="9"/>
      <c r="K636" s="9"/>
      <c r="L636" s="9"/>
      <c r="M636" s="9"/>
      <c r="N636" s="9"/>
      <c r="O636" s="9"/>
      <c r="P636" s="9"/>
      <c r="Q636" s="9"/>
      <c r="R636" s="9"/>
      <c r="S636" s="9"/>
      <c r="T636" s="2332"/>
      <c r="U636" s="9"/>
      <c r="V636" s="9"/>
    </row>
    <row r="637" spans="1:22">
      <c r="A637" s="9"/>
      <c r="B637" s="9"/>
      <c r="C637" s="9"/>
      <c r="D637" s="9"/>
      <c r="E637" s="9"/>
      <c r="F637" s="9"/>
      <c r="G637" s="9"/>
      <c r="H637" s="9"/>
      <c r="I637" s="9"/>
      <c r="J637" s="9"/>
      <c r="K637" s="9"/>
      <c r="L637" s="9"/>
      <c r="M637" s="9"/>
      <c r="N637" s="9"/>
      <c r="O637" s="9"/>
      <c r="P637" s="9"/>
      <c r="Q637" s="9"/>
      <c r="R637" s="9"/>
      <c r="S637" s="9"/>
      <c r="T637" s="2332"/>
      <c r="U637" s="9"/>
      <c r="V637" s="9"/>
    </row>
    <row r="638" spans="1:22">
      <c r="A638" s="9"/>
      <c r="B638" s="9"/>
      <c r="C638" s="9"/>
      <c r="D638" s="9"/>
      <c r="E638" s="9"/>
      <c r="F638" s="9"/>
      <c r="G638" s="9"/>
      <c r="H638" s="9"/>
      <c r="I638" s="9"/>
      <c r="J638" s="9"/>
      <c r="K638" s="9"/>
      <c r="L638" s="9"/>
      <c r="M638" s="9"/>
      <c r="N638" s="9"/>
      <c r="O638" s="9"/>
      <c r="P638" s="9"/>
      <c r="Q638" s="9"/>
      <c r="R638" s="9"/>
      <c r="S638" s="9"/>
      <c r="T638" s="2332"/>
      <c r="U638" s="9"/>
      <c r="V638" s="9"/>
    </row>
    <row r="639" spans="1:22">
      <c r="A639" s="9"/>
      <c r="B639" s="9"/>
      <c r="C639" s="9"/>
      <c r="D639" s="9"/>
      <c r="E639" s="9"/>
      <c r="F639" s="9"/>
      <c r="G639" s="9"/>
      <c r="H639" s="9"/>
      <c r="I639" s="9"/>
      <c r="J639" s="9"/>
      <c r="K639" s="9"/>
      <c r="L639" s="9"/>
      <c r="M639" s="9"/>
      <c r="N639" s="9"/>
      <c r="O639" s="9"/>
      <c r="P639" s="9"/>
      <c r="Q639" s="9"/>
      <c r="R639" s="9"/>
      <c r="S639" s="9"/>
      <c r="T639" s="2332"/>
      <c r="U639" s="9"/>
      <c r="V639" s="9"/>
    </row>
    <row r="640" spans="1:22">
      <c r="A640" s="9"/>
      <c r="B640" s="9"/>
      <c r="C640" s="9"/>
      <c r="D640" s="9"/>
      <c r="E640" s="9"/>
      <c r="F640" s="9"/>
      <c r="G640" s="9"/>
      <c r="H640" s="9"/>
      <c r="I640" s="9"/>
      <c r="J640" s="9"/>
      <c r="K640" s="9"/>
      <c r="L640" s="9"/>
      <c r="M640" s="9"/>
      <c r="N640" s="9"/>
      <c r="O640" s="9"/>
      <c r="P640" s="9"/>
      <c r="Q640" s="9"/>
      <c r="R640" s="9"/>
      <c r="S640" s="9"/>
      <c r="T640" s="2332"/>
      <c r="U640" s="9"/>
      <c r="V640" s="9"/>
    </row>
    <row r="641" spans="1:22">
      <c r="A641" s="9"/>
      <c r="B641" s="9"/>
      <c r="C641" s="9"/>
      <c r="D641" s="9"/>
      <c r="E641" s="9"/>
      <c r="F641" s="9"/>
      <c r="G641" s="9"/>
      <c r="H641" s="9"/>
      <c r="I641" s="9"/>
      <c r="J641" s="9"/>
      <c r="K641" s="9"/>
      <c r="L641" s="9"/>
      <c r="M641" s="9"/>
      <c r="N641" s="9"/>
      <c r="O641" s="9"/>
      <c r="P641" s="9"/>
      <c r="Q641" s="9"/>
      <c r="R641" s="9"/>
      <c r="S641" s="9"/>
      <c r="T641" s="2332"/>
      <c r="U641" s="9"/>
      <c r="V641" s="9"/>
    </row>
    <row r="642" spans="1:22">
      <c r="A642" s="9"/>
      <c r="B642" s="9"/>
      <c r="C642" s="9"/>
      <c r="D642" s="9"/>
      <c r="E642" s="9"/>
      <c r="F642" s="9"/>
      <c r="G642" s="9"/>
      <c r="H642" s="9"/>
      <c r="I642" s="9"/>
      <c r="J642" s="9"/>
      <c r="K642" s="9"/>
      <c r="L642" s="9"/>
      <c r="M642" s="9"/>
      <c r="N642" s="9"/>
      <c r="O642" s="9"/>
      <c r="P642" s="9"/>
      <c r="Q642" s="9"/>
      <c r="R642" s="9"/>
      <c r="S642" s="9"/>
      <c r="T642" s="2332"/>
      <c r="U642" s="9"/>
      <c r="V642" s="9"/>
    </row>
    <row r="643" spans="1:22">
      <c r="A643" s="9"/>
      <c r="B643" s="9"/>
      <c r="C643" s="9"/>
      <c r="D643" s="9"/>
      <c r="E643" s="9"/>
      <c r="F643" s="9"/>
      <c r="G643" s="9"/>
      <c r="H643" s="9"/>
      <c r="I643" s="9"/>
      <c r="J643" s="9"/>
      <c r="K643" s="9"/>
      <c r="L643" s="9"/>
      <c r="M643" s="9"/>
      <c r="N643" s="9"/>
      <c r="O643" s="9"/>
      <c r="P643" s="9"/>
      <c r="Q643" s="9"/>
      <c r="R643" s="9"/>
      <c r="S643" s="9"/>
      <c r="T643" s="2332"/>
      <c r="U643" s="9"/>
      <c r="V643" s="9"/>
    </row>
    <row r="644" spans="1:22">
      <c r="A644" s="9"/>
      <c r="B644" s="9"/>
      <c r="C644" s="9"/>
      <c r="D644" s="9"/>
      <c r="E644" s="9"/>
      <c r="F644" s="9"/>
      <c r="G644" s="9"/>
      <c r="H644" s="9"/>
      <c r="I644" s="9"/>
      <c r="J644" s="9"/>
      <c r="K644" s="9"/>
      <c r="L644" s="9"/>
      <c r="M644" s="9"/>
      <c r="N644" s="9"/>
      <c r="O644" s="9"/>
      <c r="P644" s="9"/>
      <c r="Q644" s="9"/>
      <c r="R644" s="9"/>
      <c r="S644" s="9"/>
      <c r="T644" s="2332"/>
      <c r="U644" s="9"/>
      <c r="V644" s="9"/>
    </row>
    <row r="645" spans="1:22">
      <c r="A645" s="9"/>
      <c r="B645" s="9"/>
      <c r="C645" s="9"/>
      <c r="D645" s="9"/>
      <c r="E645" s="9"/>
      <c r="F645" s="9"/>
      <c r="G645" s="9"/>
      <c r="H645" s="9"/>
      <c r="I645" s="9"/>
      <c r="J645" s="9"/>
      <c r="K645" s="9"/>
      <c r="L645" s="9"/>
      <c r="M645" s="9"/>
      <c r="N645" s="9"/>
      <c r="O645" s="9"/>
      <c r="P645" s="9"/>
      <c r="Q645" s="9"/>
      <c r="R645" s="9"/>
      <c r="S645" s="9"/>
      <c r="T645" s="2332"/>
      <c r="U645" s="9"/>
      <c r="V645" s="9"/>
    </row>
    <row r="646" spans="1:22">
      <c r="A646" s="9"/>
      <c r="B646" s="9"/>
      <c r="C646" s="9"/>
      <c r="D646" s="9"/>
      <c r="E646" s="9"/>
      <c r="F646" s="9"/>
      <c r="G646" s="9"/>
      <c r="H646" s="9"/>
      <c r="I646" s="9"/>
      <c r="J646" s="9"/>
      <c r="K646" s="9"/>
      <c r="L646" s="9"/>
      <c r="M646" s="9"/>
      <c r="N646" s="9"/>
      <c r="O646" s="9"/>
      <c r="P646" s="9"/>
      <c r="Q646" s="9"/>
      <c r="R646" s="9"/>
      <c r="S646" s="9"/>
      <c r="T646" s="2332"/>
      <c r="U646" s="9"/>
      <c r="V646" s="9"/>
    </row>
    <row r="647" spans="1:22">
      <c r="A647" s="9"/>
      <c r="B647" s="9"/>
      <c r="C647" s="9"/>
      <c r="D647" s="9"/>
      <c r="E647" s="9"/>
      <c r="F647" s="9"/>
      <c r="G647" s="9"/>
      <c r="H647" s="9"/>
      <c r="I647" s="9"/>
      <c r="J647" s="9"/>
      <c r="K647" s="9"/>
      <c r="L647" s="9"/>
      <c r="M647" s="9"/>
      <c r="N647" s="9"/>
      <c r="O647" s="9"/>
      <c r="P647" s="9"/>
      <c r="Q647" s="9"/>
      <c r="R647" s="9"/>
      <c r="S647" s="9"/>
      <c r="T647" s="2332"/>
      <c r="U647" s="9"/>
      <c r="V647" s="9"/>
    </row>
    <row r="648" spans="1:22">
      <c r="A648" s="9"/>
      <c r="B648" s="9"/>
      <c r="C648" s="9"/>
      <c r="D648" s="9"/>
      <c r="E648" s="9"/>
      <c r="F648" s="9"/>
      <c r="G648" s="9"/>
      <c r="H648" s="9"/>
      <c r="I648" s="9"/>
      <c r="J648" s="9"/>
      <c r="K648" s="9"/>
      <c r="L648" s="9"/>
      <c r="M648" s="9"/>
      <c r="N648" s="9"/>
      <c r="O648" s="9"/>
      <c r="P648" s="9"/>
      <c r="Q648" s="9"/>
      <c r="R648" s="9"/>
      <c r="S648" s="9"/>
      <c r="T648" s="2332"/>
      <c r="U648" s="9"/>
      <c r="V648" s="9"/>
    </row>
    <row r="649" spans="1:22">
      <c r="A649" s="9"/>
      <c r="B649" s="9"/>
      <c r="C649" s="9"/>
      <c r="D649" s="9"/>
      <c r="E649" s="9"/>
      <c r="F649" s="9"/>
      <c r="G649" s="9"/>
      <c r="H649" s="9"/>
      <c r="I649" s="9"/>
      <c r="J649" s="9"/>
      <c r="K649" s="9"/>
      <c r="L649" s="9"/>
      <c r="M649" s="9"/>
      <c r="N649" s="9"/>
      <c r="O649" s="9"/>
      <c r="P649" s="9"/>
      <c r="Q649" s="9"/>
      <c r="R649" s="9"/>
      <c r="S649" s="9"/>
      <c r="T649" s="2332"/>
      <c r="U649" s="9"/>
      <c r="V649" s="9"/>
    </row>
    <row r="650" spans="1:22">
      <c r="A650" s="9"/>
      <c r="B650" s="9"/>
      <c r="C650" s="9"/>
      <c r="D650" s="9"/>
      <c r="E650" s="9"/>
      <c r="F650" s="9"/>
      <c r="G650" s="9"/>
      <c r="H650" s="9"/>
      <c r="I650" s="9"/>
      <c r="J650" s="9"/>
      <c r="K650" s="9"/>
      <c r="L650" s="9"/>
      <c r="M650" s="9"/>
      <c r="N650" s="9"/>
      <c r="O650" s="9"/>
      <c r="P650" s="9"/>
      <c r="Q650" s="9"/>
      <c r="R650" s="9"/>
      <c r="S650" s="9"/>
      <c r="T650" s="2332"/>
      <c r="U650" s="9"/>
      <c r="V650" s="9"/>
    </row>
    <row r="651" spans="1:22">
      <c r="A651" s="9"/>
      <c r="B651" s="9"/>
      <c r="C651" s="9"/>
      <c r="D651" s="9"/>
      <c r="E651" s="9"/>
      <c r="F651" s="9"/>
      <c r="G651" s="9"/>
      <c r="H651" s="9"/>
      <c r="I651" s="9"/>
      <c r="J651" s="9"/>
      <c r="K651" s="9"/>
      <c r="L651" s="9"/>
      <c r="M651" s="9"/>
      <c r="N651" s="9"/>
      <c r="O651" s="9"/>
      <c r="P651" s="9"/>
      <c r="Q651" s="9"/>
      <c r="R651" s="9"/>
      <c r="S651" s="9"/>
      <c r="T651" s="2332"/>
      <c r="U651" s="9"/>
      <c r="V651" s="9"/>
    </row>
    <row r="652" spans="1:22">
      <c r="A652" s="9"/>
      <c r="B652" s="9"/>
      <c r="C652" s="9"/>
      <c r="D652" s="9"/>
      <c r="E652" s="9"/>
      <c r="F652" s="9"/>
      <c r="G652" s="9"/>
      <c r="H652" s="9"/>
      <c r="I652" s="9"/>
      <c r="J652" s="9"/>
      <c r="K652" s="9"/>
      <c r="L652" s="9"/>
      <c r="M652" s="9"/>
      <c r="N652" s="9"/>
      <c r="O652" s="9"/>
      <c r="P652" s="9"/>
      <c r="Q652" s="9"/>
      <c r="R652" s="9"/>
      <c r="S652" s="9"/>
      <c r="T652" s="2332"/>
      <c r="U652" s="9"/>
      <c r="V652" s="9"/>
    </row>
    <row r="653" spans="1:22">
      <c r="A653" s="9"/>
      <c r="B653" s="9"/>
      <c r="C653" s="9"/>
      <c r="D653" s="9"/>
      <c r="E653" s="9"/>
      <c r="F653" s="9"/>
      <c r="G653" s="9"/>
      <c r="H653" s="9"/>
      <c r="I653" s="9"/>
      <c r="J653" s="9"/>
      <c r="K653" s="9"/>
      <c r="L653" s="9"/>
      <c r="M653" s="9"/>
      <c r="N653" s="9"/>
      <c r="O653" s="9"/>
      <c r="P653" s="9"/>
      <c r="Q653" s="9"/>
      <c r="R653" s="9"/>
      <c r="S653" s="9"/>
      <c r="T653" s="2332"/>
      <c r="U653" s="9"/>
      <c r="V653" s="9"/>
    </row>
    <row r="654" spans="1:22">
      <c r="A654" s="9"/>
      <c r="B654" s="9"/>
      <c r="C654" s="9"/>
      <c r="D654" s="9"/>
      <c r="E654" s="9"/>
      <c r="F654" s="9"/>
      <c r="G654" s="9"/>
      <c r="H654" s="9"/>
      <c r="I654" s="9"/>
      <c r="J654" s="9"/>
      <c r="K654" s="9"/>
      <c r="L654" s="9"/>
      <c r="M654" s="9"/>
      <c r="N654" s="9"/>
      <c r="O654" s="9"/>
      <c r="P654" s="9"/>
      <c r="Q654" s="9"/>
      <c r="R654" s="9"/>
      <c r="S654" s="9"/>
      <c r="T654" s="2332"/>
      <c r="U654" s="9"/>
      <c r="V654" s="9"/>
    </row>
    <row r="655" spans="1:22">
      <c r="A655" s="9"/>
      <c r="B655" s="9"/>
      <c r="C655" s="9"/>
      <c r="D655" s="9"/>
      <c r="E655" s="9"/>
      <c r="F655" s="9"/>
      <c r="G655" s="9"/>
      <c r="H655" s="9"/>
      <c r="I655" s="9"/>
      <c r="J655" s="9"/>
      <c r="K655" s="9"/>
      <c r="L655" s="9"/>
      <c r="M655" s="9"/>
      <c r="N655" s="9"/>
      <c r="O655" s="9"/>
      <c r="P655" s="9"/>
      <c r="Q655" s="9"/>
      <c r="R655" s="9"/>
      <c r="S655" s="9"/>
      <c r="T655" s="2332"/>
      <c r="U655" s="9"/>
      <c r="V655" s="9"/>
    </row>
    <row r="656" spans="1:22">
      <c r="A656" s="9"/>
      <c r="B656" s="9"/>
      <c r="C656" s="9"/>
      <c r="D656" s="9"/>
      <c r="E656" s="9"/>
      <c r="F656" s="9"/>
      <c r="G656" s="9"/>
      <c r="H656" s="9"/>
      <c r="I656" s="9"/>
      <c r="J656" s="9"/>
      <c r="K656" s="9"/>
      <c r="L656" s="9"/>
      <c r="M656" s="9"/>
      <c r="N656" s="9"/>
      <c r="O656" s="9"/>
      <c r="P656" s="9"/>
      <c r="Q656" s="9"/>
      <c r="R656" s="9"/>
      <c r="S656" s="9"/>
      <c r="T656" s="2332"/>
      <c r="U656" s="9"/>
      <c r="V656" s="9"/>
    </row>
    <row r="657" spans="1:22">
      <c r="A657" s="9"/>
      <c r="B657" s="9"/>
      <c r="C657" s="9"/>
      <c r="D657" s="9"/>
      <c r="E657" s="9"/>
      <c r="F657" s="9"/>
      <c r="G657" s="9"/>
      <c r="H657" s="9"/>
      <c r="I657" s="9"/>
      <c r="J657" s="9"/>
      <c r="K657" s="9"/>
      <c r="L657" s="9"/>
      <c r="M657" s="9"/>
      <c r="N657" s="9"/>
      <c r="O657" s="9"/>
      <c r="P657" s="9"/>
      <c r="Q657" s="9"/>
      <c r="R657" s="9"/>
      <c r="S657" s="9"/>
      <c r="T657" s="2332"/>
      <c r="U657" s="9"/>
      <c r="V657" s="9"/>
    </row>
    <row r="658" spans="1:22">
      <c r="A658" s="9"/>
      <c r="B658" s="9"/>
      <c r="C658" s="9"/>
      <c r="D658" s="9"/>
      <c r="E658" s="9"/>
      <c r="F658" s="9"/>
      <c r="G658" s="9"/>
      <c r="H658" s="9"/>
      <c r="I658" s="9"/>
      <c r="J658" s="9"/>
      <c r="K658" s="9"/>
      <c r="L658" s="9"/>
      <c r="M658" s="9"/>
      <c r="N658" s="9"/>
      <c r="O658" s="9"/>
      <c r="P658" s="9"/>
      <c r="Q658" s="9"/>
      <c r="R658" s="9"/>
      <c r="S658" s="9"/>
      <c r="T658" s="2332"/>
      <c r="U658" s="9"/>
      <c r="V658" s="9"/>
    </row>
    <row r="659" spans="1:22">
      <c r="A659" s="9"/>
      <c r="B659" s="9"/>
      <c r="C659" s="9"/>
      <c r="D659" s="9"/>
      <c r="E659" s="9"/>
      <c r="F659" s="9"/>
      <c r="G659" s="9"/>
      <c r="H659" s="9"/>
      <c r="I659" s="9"/>
      <c r="J659" s="9"/>
      <c r="K659" s="9"/>
      <c r="L659" s="9"/>
      <c r="M659" s="9"/>
      <c r="N659" s="9"/>
      <c r="O659" s="9"/>
      <c r="P659" s="9"/>
      <c r="Q659" s="9"/>
      <c r="R659" s="9"/>
      <c r="S659" s="9"/>
      <c r="T659" s="2332"/>
      <c r="U659" s="9"/>
      <c r="V659" s="9"/>
    </row>
    <row r="660" spans="1:22">
      <c r="A660" s="9"/>
      <c r="B660" s="9"/>
      <c r="C660" s="9"/>
      <c r="D660" s="9"/>
      <c r="E660" s="9"/>
      <c r="F660" s="9"/>
      <c r="G660" s="9"/>
      <c r="H660" s="9"/>
      <c r="I660" s="9"/>
      <c r="J660" s="9"/>
      <c r="K660" s="9"/>
      <c r="L660" s="9"/>
      <c r="M660" s="9"/>
      <c r="N660" s="9"/>
      <c r="O660" s="9"/>
      <c r="P660" s="9"/>
      <c r="Q660" s="9"/>
      <c r="R660" s="9"/>
      <c r="S660" s="9"/>
      <c r="T660" s="2332"/>
      <c r="U660" s="9"/>
      <c r="V660" s="9"/>
    </row>
    <row r="661" spans="1:22">
      <c r="A661" s="9"/>
      <c r="B661" s="9"/>
      <c r="C661" s="9"/>
      <c r="D661" s="9"/>
      <c r="E661" s="9"/>
      <c r="F661" s="9"/>
      <c r="G661" s="9"/>
      <c r="H661" s="9"/>
      <c r="I661" s="9"/>
      <c r="J661" s="9"/>
      <c r="K661" s="9"/>
      <c r="L661" s="9"/>
      <c r="M661" s="9"/>
      <c r="N661" s="9"/>
      <c r="O661" s="9"/>
      <c r="P661" s="9"/>
      <c r="Q661" s="9"/>
      <c r="R661" s="9"/>
      <c r="S661" s="9"/>
      <c r="T661" s="2332"/>
      <c r="U661" s="9"/>
      <c r="V661" s="9"/>
    </row>
    <row r="662" spans="1:22">
      <c r="A662" s="9"/>
      <c r="B662" s="9"/>
      <c r="C662" s="9"/>
      <c r="D662" s="9"/>
      <c r="E662" s="9"/>
      <c r="F662" s="9"/>
      <c r="G662" s="9"/>
      <c r="H662" s="9"/>
      <c r="I662" s="9"/>
      <c r="J662" s="9"/>
      <c r="K662" s="9"/>
      <c r="L662" s="9"/>
      <c r="M662" s="9"/>
      <c r="N662" s="9"/>
      <c r="O662" s="9"/>
      <c r="P662" s="9"/>
      <c r="Q662" s="9"/>
      <c r="R662" s="9"/>
      <c r="S662" s="9"/>
      <c r="T662" s="2332"/>
      <c r="U662" s="9"/>
      <c r="V662" s="9"/>
    </row>
    <row r="663" spans="1:22">
      <c r="A663" s="9"/>
      <c r="B663" s="9"/>
      <c r="C663" s="9"/>
      <c r="D663" s="9"/>
      <c r="E663" s="9"/>
      <c r="F663" s="9"/>
      <c r="G663" s="9"/>
      <c r="H663" s="9"/>
      <c r="I663" s="9"/>
      <c r="J663" s="9"/>
      <c r="K663" s="9"/>
      <c r="L663" s="9"/>
      <c r="M663" s="9"/>
      <c r="N663" s="9"/>
      <c r="O663" s="9"/>
      <c r="P663" s="9"/>
      <c r="Q663" s="9"/>
      <c r="R663" s="9"/>
      <c r="S663" s="9"/>
      <c r="T663" s="2332"/>
      <c r="U663" s="9"/>
      <c r="V663" s="9"/>
    </row>
    <row r="664" spans="1:22">
      <c r="A664" s="9"/>
      <c r="B664" s="9"/>
      <c r="C664" s="9"/>
      <c r="D664" s="9"/>
      <c r="E664" s="9"/>
      <c r="F664" s="9"/>
      <c r="G664" s="9"/>
      <c r="H664" s="9"/>
      <c r="I664" s="9"/>
      <c r="J664" s="9"/>
      <c r="K664" s="9"/>
      <c r="L664" s="9"/>
      <c r="M664" s="9"/>
      <c r="N664" s="9"/>
      <c r="O664" s="9"/>
      <c r="P664" s="9"/>
      <c r="Q664" s="9"/>
      <c r="R664" s="9"/>
      <c r="S664" s="9"/>
      <c r="T664" s="2332"/>
      <c r="U664" s="9"/>
      <c r="V664" s="9"/>
    </row>
    <row r="665" spans="1:22">
      <c r="A665" s="9"/>
      <c r="B665" s="9"/>
      <c r="C665" s="9"/>
      <c r="D665" s="9"/>
      <c r="E665" s="9"/>
      <c r="F665" s="9"/>
      <c r="G665" s="9"/>
      <c r="H665" s="9"/>
      <c r="I665" s="9"/>
      <c r="J665" s="9"/>
      <c r="K665" s="9"/>
      <c r="L665" s="9"/>
      <c r="M665" s="9"/>
      <c r="N665" s="9"/>
      <c r="O665" s="9"/>
      <c r="P665" s="9"/>
      <c r="Q665" s="9"/>
      <c r="R665" s="9"/>
      <c r="S665" s="9"/>
      <c r="T665" s="2332"/>
      <c r="U665" s="9"/>
      <c r="V665" s="9"/>
    </row>
    <row r="666" spans="1:22">
      <c r="A666" s="9"/>
      <c r="B666" s="9"/>
      <c r="C666" s="9"/>
      <c r="D666" s="9"/>
      <c r="E666" s="9"/>
      <c r="F666" s="9"/>
      <c r="G666" s="9"/>
      <c r="H666" s="9"/>
      <c r="I666" s="9"/>
      <c r="J666" s="9"/>
      <c r="K666" s="9"/>
      <c r="L666" s="9"/>
      <c r="M666" s="9"/>
      <c r="N666" s="9"/>
      <c r="O666" s="9"/>
      <c r="P666" s="9"/>
      <c r="Q666" s="9"/>
      <c r="R666" s="9"/>
      <c r="S666" s="9"/>
      <c r="T666" s="2332"/>
      <c r="U666" s="9"/>
      <c r="V666" s="9"/>
    </row>
    <row r="667" spans="1:22">
      <c r="A667" s="9"/>
      <c r="B667" s="9"/>
      <c r="C667" s="9"/>
      <c r="D667" s="9"/>
      <c r="E667" s="9"/>
      <c r="F667" s="9"/>
      <c r="G667" s="9"/>
      <c r="H667" s="9"/>
      <c r="I667" s="9"/>
      <c r="J667" s="9"/>
      <c r="K667" s="9"/>
      <c r="L667" s="9"/>
      <c r="M667" s="9"/>
      <c r="N667" s="9"/>
      <c r="O667" s="9"/>
      <c r="P667" s="9"/>
      <c r="Q667" s="9"/>
      <c r="R667" s="9"/>
      <c r="S667" s="9"/>
      <c r="T667" s="2332"/>
      <c r="U667" s="9"/>
      <c r="V667" s="9"/>
    </row>
    <row r="668" spans="1:22">
      <c r="A668" s="9"/>
      <c r="B668" s="9"/>
      <c r="C668" s="9"/>
      <c r="D668" s="9"/>
      <c r="E668" s="9"/>
      <c r="F668" s="9"/>
      <c r="G668" s="9"/>
      <c r="H668" s="9"/>
      <c r="I668" s="9"/>
      <c r="J668" s="9"/>
      <c r="K668" s="9"/>
      <c r="L668" s="9"/>
      <c r="M668" s="9"/>
      <c r="N668" s="9"/>
      <c r="O668" s="9"/>
      <c r="P668" s="9"/>
      <c r="Q668" s="9"/>
      <c r="R668" s="9"/>
      <c r="S668" s="9"/>
      <c r="T668" s="2332"/>
      <c r="U668" s="9"/>
      <c r="V668" s="9"/>
    </row>
    <row r="669" spans="1:22">
      <c r="A669" s="9"/>
      <c r="B669" s="9"/>
      <c r="C669" s="9"/>
      <c r="D669" s="9"/>
      <c r="E669" s="9"/>
      <c r="F669" s="9"/>
      <c r="G669" s="9"/>
      <c r="H669" s="9"/>
      <c r="I669" s="9"/>
      <c r="J669" s="9"/>
      <c r="K669" s="9"/>
      <c r="L669" s="9"/>
      <c r="M669" s="9"/>
      <c r="N669" s="9"/>
      <c r="O669" s="9"/>
      <c r="P669" s="9"/>
      <c r="Q669" s="9"/>
      <c r="R669" s="9"/>
      <c r="S669" s="9"/>
      <c r="T669" s="2332"/>
      <c r="U669" s="9"/>
      <c r="V669" s="9"/>
    </row>
    <row r="670" spans="1:22">
      <c r="A670" s="9"/>
      <c r="B670" s="9"/>
      <c r="C670" s="9"/>
      <c r="D670" s="9"/>
      <c r="E670" s="9"/>
      <c r="F670" s="9"/>
      <c r="G670" s="9"/>
      <c r="H670" s="9"/>
      <c r="I670" s="9"/>
      <c r="J670" s="9"/>
      <c r="K670" s="9"/>
      <c r="L670" s="9"/>
      <c r="M670" s="9"/>
      <c r="N670" s="9"/>
      <c r="O670" s="9"/>
      <c r="P670" s="9"/>
      <c r="Q670" s="9"/>
      <c r="R670" s="9"/>
      <c r="S670" s="9"/>
      <c r="T670" s="2332"/>
      <c r="U670" s="9"/>
      <c r="V670" s="9"/>
    </row>
    <row r="671" spans="1:22">
      <c r="A671" s="9"/>
      <c r="B671" s="9"/>
      <c r="C671" s="9"/>
      <c r="D671" s="9"/>
      <c r="E671" s="9"/>
      <c r="F671" s="9"/>
      <c r="G671" s="9"/>
      <c r="H671" s="9"/>
      <c r="I671" s="9"/>
      <c r="J671" s="9"/>
      <c r="K671" s="9"/>
      <c r="L671" s="9"/>
      <c r="M671" s="9"/>
      <c r="N671" s="9"/>
      <c r="O671" s="9"/>
      <c r="P671" s="9"/>
      <c r="Q671" s="9"/>
      <c r="R671" s="9"/>
      <c r="S671" s="9"/>
      <c r="T671" s="2332"/>
      <c r="U671" s="9"/>
      <c r="V671" s="9"/>
    </row>
    <row r="672" spans="1:22">
      <c r="A672" s="9"/>
      <c r="B672" s="9"/>
      <c r="C672" s="9"/>
      <c r="D672" s="9"/>
      <c r="E672" s="9"/>
      <c r="F672" s="9"/>
      <c r="G672" s="9"/>
      <c r="H672" s="9"/>
      <c r="I672" s="9"/>
      <c r="J672" s="9"/>
      <c r="K672" s="9"/>
      <c r="L672" s="9"/>
      <c r="M672" s="9"/>
      <c r="N672" s="9"/>
      <c r="O672" s="9"/>
      <c r="P672" s="9"/>
      <c r="Q672" s="9"/>
      <c r="R672" s="9"/>
      <c r="S672" s="9"/>
      <c r="T672" s="2332"/>
      <c r="U672" s="9"/>
      <c r="V672" s="9"/>
    </row>
    <row r="673" spans="1:22">
      <c r="A673" s="9"/>
      <c r="B673" s="9"/>
      <c r="C673" s="9"/>
      <c r="D673" s="9"/>
      <c r="E673" s="9"/>
      <c r="F673" s="9"/>
      <c r="G673" s="9"/>
      <c r="H673" s="9"/>
      <c r="I673" s="9"/>
      <c r="J673" s="9"/>
      <c r="K673" s="9"/>
      <c r="L673" s="9"/>
      <c r="M673" s="9"/>
      <c r="N673" s="9"/>
      <c r="O673" s="9"/>
      <c r="P673" s="9"/>
      <c r="Q673" s="9"/>
      <c r="R673" s="9"/>
      <c r="S673" s="9"/>
      <c r="T673" s="2332"/>
      <c r="U673" s="9"/>
      <c r="V673" s="9"/>
    </row>
    <row r="674" spans="1:22">
      <c r="A674" s="9"/>
      <c r="B674" s="9"/>
      <c r="C674" s="9"/>
      <c r="D674" s="9"/>
      <c r="E674" s="9"/>
      <c r="F674" s="9"/>
      <c r="G674" s="9"/>
      <c r="H674" s="9"/>
      <c r="I674" s="9"/>
      <c r="J674" s="9"/>
      <c r="K674" s="9"/>
      <c r="L674" s="9"/>
      <c r="M674" s="9"/>
      <c r="N674" s="9"/>
      <c r="O674" s="9"/>
      <c r="P674" s="9"/>
      <c r="Q674" s="9"/>
      <c r="R674" s="9"/>
      <c r="S674" s="9"/>
      <c r="T674" s="2332"/>
      <c r="U674" s="9"/>
      <c r="V674" s="9"/>
    </row>
    <row r="675" spans="1:22">
      <c r="A675" s="9"/>
      <c r="B675" s="9"/>
      <c r="C675" s="9"/>
      <c r="D675" s="9"/>
      <c r="E675" s="9"/>
      <c r="F675" s="9"/>
      <c r="G675" s="9"/>
      <c r="H675" s="9"/>
      <c r="I675" s="9"/>
      <c r="J675" s="9"/>
      <c r="K675" s="9"/>
      <c r="L675" s="9"/>
      <c r="M675" s="9"/>
      <c r="N675" s="9"/>
      <c r="O675" s="9"/>
      <c r="P675" s="9"/>
      <c r="Q675" s="9"/>
      <c r="R675" s="9"/>
      <c r="S675" s="9"/>
      <c r="T675" s="2332"/>
      <c r="U675" s="9"/>
      <c r="V675" s="9"/>
    </row>
    <row r="676" spans="1:22">
      <c r="A676" s="9"/>
      <c r="B676" s="9"/>
      <c r="C676" s="9"/>
      <c r="D676" s="9"/>
      <c r="E676" s="9"/>
      <c r="F676" s="9"/>
      <c r="G676" s="9"/>
      <c r="H676" s="9"/>
      <c r="I676" s="9"/>
      <c r="J676" s="9"/>
      <c r="K676" s="9"/>
      <c r="L676" s="9"/>
      <c r="M676" s="9"/>
      <c r="N676" s="9"/>
      <c r="O676" s="9"/>
      <c r="P676" s="9"/>
      <c r="Q676" s="9"/>
      <c r="R676" s="9"/>
      <c r="S676" s="9"/>
      <c r="T676" s="2332"/>
      <c r="U676" s="9"/>
      <c r="V676" s="9"/>
    </row>
    <row r="677" spans="1:22">
      <c r="A677" s="9"/>
      <c r="B677" s="9"/>
      <c r="C677" s="9"/>
      <c r="D677" s="9"/>
      <c r="E677" s="9"/>
      <c r="F677" s="9"/>
      <c r="G677" s="9"/>
      <c r="H677" s="9"/>
      <c r="I677" s="9"/>
      <c r="J677" s="9"/>
      <c r="K677" s="9"/>
      <c r="L677" s="9"/>
      <c r="M677" s="9"/>
      <c r="N677" s="9"/>
      <c r="O677" s="9"/>
      <c r="P677" s="9"/>
      <c r="Q677" s="9"/>
      <c r="R677" s="9"/>
      <c r="S677" s="9"/>
      <c r="T677" s="2332"/>
      <c r="U677" s="9"/>
      <c r="V677" s="9"/>
    </row>
    <row r="678" spans="1:22">
      <c r="A678" s="9"/>
      <c r="B678" s="9"/>
      <c r="C678" s="9"/>
      <c r="D678" s="9"/>
      <c r="E678" s="9"/>
      <c r="F678" s="9"/>
      <c r="G678" s="9"/>
      <c r="H678" s="9"/>
      <c r="I678" s="9"/>
      <c r="J678" s="9"/>
      <c r="K678" s="9"/>
      <c r="L678" s="9"/>
      <c r="M678" s="9"/>
      <c r="N678" s="9"/>
      <c r="O678" s="9"/>
      <c r="P678" s="9"/>
      <c r="Q678" s="9"/>
      <c r="R678" s="9"/>
      <c r="S678" s="9"/>
      <c r="T678" s="2332"/>
      <c r="U678" s="9"/>
      <c r="V678" s="9"/>
    </row>
    <row r="679" spans="1:22">
      <c r="A679" s="9"/>
      <c r="B679" s="9"/>
      <c r="C679" s="9"/>
      <c r="D679" s="9"/>
      <c r="E679" s="9"/>
      <c r="F679" s="9"/>
      <c r="G679" s="9"/>
      <c r="H679" s="9"/>
      <c r="I679" s="9"/>
      <c r="J679" s="9"/>
      <c r="K679" s="9"/>
      <c r="L679" s="9"/>
      <c r="M679" s="9"/>
      <c r="N679" s="9"/>
      <c r="O679" s="9"/>
      <c r="P679" s="9"/>
      <c r="Q679" s="9"/>
      <c r="R679" s="9"/>
      <c r="S679" s="9"/>
      <c r="T679" s="2332"/>
      <c r="U679" s="9"/>
      <c r="V679" s="9"/>
    </row>
    <row r="680" spans="1:22">
      <c r="A680" s="9"/>
      <c r="B680" s="9"/>
      <c r="C680" s="9"/>
      <c r="D680" s="9"/>
      <c r="E680" s="9"/>
      <c r="F680" s="9"/>
      <c r="G680" s="9"/>
      <c r="H680" s="9"/>
      <c r="I680" s="9"/>
      <c r="J680" s="9"/>
      <c r="K680" s="9"/>
      <c r="L680" s="9"/>
      <c r="M680" s="9"/>
      <c r="N680" s="9"/>
      <c r="O680" s="9"/>
      <c r="P680" s="9"/>
      <c r="Q680" s="9"/>
      <c r="R680" s="9"/>
      <c r="S680" s="9"/>
      <c r="T680" s="2332"/>
      <c r="U680" s="9"/>
      <c r="V680" s="9"/>
    </row>
    <row r="681" spans="1:22">
      <c r="A681" s="9"/>
      <c r="B681" s="9"/>
      <c r="C681" s="9"/>
      <c r="D681" s="9"/>
      <c r="E681" s="9"/>
      <c r="F681" s="9"/>
      <c r="G681" s="9"/>
      <c r="H681" s="9"/>
      <c r="I681" s="9"/>
      <c r="J681" s="9"/>
      <c r="K681" s="9"/>
      <c r="L681" s="9"/>
      <c r="M681" s="9"/>
      <c r="N681" s="9"/>
      <c r="O681" s="9"/>
      <c r="P681" s="9"/>
      <c r="Q681" s="9"/>
      <c r="R681" s="9"/>
      <c r="S681" s="9"/>
      <c r="T681" s="2332"/>
      <c r="U681" s="9"/>
      <c r="V681" s="9"/>
    </row>
    <row r="682" spans="1:22">
      <c r="A682" s="9"/>
      <c r="B682" s="9"/>
      <c r="C682" s="9"/>
      <c r="D682" s="9"/>
      <c r="E682" s="9"/>
      <c r="F682" s="9"/>
      <c r="G682" s="9"/>
      <c r="H682" s="9"/>
      <c r="I682" s="9"/>
      <c r="J682" s="9"/>
      <c r="K682" s="9"/>
      <c r="L682" s="9"/>
      <c r="M682" s="9"/>
      <c r="N682" s="9"/>
      <c r="O682" s="9"/>
      <c r="P682" s="9"/>
      <c r="Q682" s="9"/>
      <c r="R682" s="9"/>
      <c r="S682" s="9"/>
      <c r="T682" s="2332"/>
      <c r="U682" s="9"/>
      <c r="V682" s="9"/>
    </row>
    <row r="683" spans="1:22">
      <c r="A683" s="9"/>
      <c r="B683" s="9"/>
      <c r="C683" s="9"/>
      <c r="D683" s="9"/>
      <c r="E683" s="9"/>
      <c r="F683" s="9"/>
      <c r="G683" s="9"/>
      <c r="H683" s="9"/>
      <c r="I683" s="9"/>
      <c r="J683" s="9"/>
      <c r="K683" s="9"/>
      <c r="L683" s="9"/>
      <c r="M683" s="9"/>
      <c r="N683" s="9"/>
      <c r="O683" s="9"/>
      <c r="P683" s="9"/>
      <c r="Q683" s="9"/>
      <c r="R683" s="9"/>
      <c r="S683" s="9"/>
      <c r="T683" s="2332"/>
      <c r="U683" s="9"/>
      <c r="V683" s="9"/>
    </row>
    <row r="684" spans="1:22">
      <c r="A684" s="9"/>
      <c r="B684" s="9"/>
      <c r="C684" s="9"/>
      <c r="D684" s="9"/>
      <c r="E684" s="9"/>
      <c r="F684" s="9"/>
      <c r="G684" s="9"/>
      <c r="H684" s="9"/>
      <c r="I684" s="9"/>
      <c r="J684" s="9"/>
      <c r="K684" s="9"/>
      <c r="L684" s="9"/>
      <c r="M684" s="9"/>
      <c r="N684" s="9"/>
      <c r="O684" s="9"/>
      <c r="P684" s="9"/>
      <c r="Q684" s="9"/>
      <c r="R684" s="9"/>
      <c r="S684" s="9"/>
      <c r="T684" s="2332"/>
      <c r="U684" s="9"/>
      <c r="V684" s="9"/>
    </row>
    <row r="685" spans="1:22">
      <c r="A685" s="9"/>
      <c r="B685" s="9"/>
      <c r="C685" s="9"/>
      <c r="D685" s="9"/>
      <c r="E685" s="9"/>
      <c r="F685" s="9"/>
      <c r="G685" s="9"/>
      <c r="H685" s="9"/>
      <c r="I685" s="9"/>
      <c r="J685" s="9"/>
      <c r="K685" s="9"/>
      <c r="L685" s="9"/>
      <c r="M685" s="9"/>
      <c r="N685" s="9"/>
      <c r="O685" s="9"/>
      <c r="P685" s="9"/>
      <c r="Q685" s="9"/>
      <c r="R685" s="9"/>
      <c r="S685" s="9"/>
      <c r="T685" s="2332"/>
      <c r="U685" s="9"/>
      <c r="V685" s="9"/>
    </row>
    <row r="686" spans="1:22">
      <c r="A686" s="9"/>
      <c r="B686" s="9"/>
      <c r="C686" s="9"/>
      <c r="D686" s="9"/>
      <c r="E686" s="9"/>
      <c r="F686" s="9"/>
      <c r="G686" s="9"/>
      <c r="H686" s="9"/>
      <c r="I686" s="9"/>
      <c r="J686" s="9"/>
      <c r="K686" s="9"/>
      <c r="L686" s="9"/>
      <c r="M686" s="9"/>
      <c r="N686" s="9"/>
      <c r="O686" s="9"/>
      <c r="P686" s="9"/>
      <c r="Q686" s="9"/>
      <c r="R686" s="9"/>
      <c r="S686" s="9"/>
      <c r="T686" s="2332"/>
      <c r="U686" s="9"/>
      <c r="V686" s="9"/>
    </row>
    <row r="687" spans="1:22">
      <c r="A687" s="9"/>
      <c r="B687" s="9"/>
      <c r="C687" s="9"/>
      <c r="D687" s="9"/>
      <c r="E687" s="9"/>
      <c r="F687" s="9"/>
      <c r="G687" s="9"/>
      <c r="H687" s="9"/>
      <c r="I687" s="9"/>
      <c r="J687" s="9"/>
      <c r="K687" s="9"/>
      <c r="L687" s="9"/>
      <c r="M687" s="9"/>
      <c r="N687" s="9"/>
      <c r="O687" s="9"/>
      <c r="P687" s="9"/>
      <c r="Q687" s="9"/>
      <c r="R687" s="9"/>
      <c r="S687" s="9"/>
      <c r="T687" s="2332"/>
      <c r="U687" s="9"/>
      <c r="V687" s="9"/>
    </row>
    <row r="688" spans="1:22">
      <c r="A688" s="9"/>
      <c r="B688" s="9"/>
      <c r="C688" s="9"/>
      <c r="D688" s="9"/>
      <c r="E688" s="9"/>
      <c r="F688" s="9"/>
      <c r="G688" s="9"/>
      <c r="H688" s="9"/>
      <c r="I688" s="9"/>
      <c r="J688" s="9"/>
      <c r="K688" s="9"/>
      <c r="L688" s="9"/>
      <c r="M688" s="9"/>
      <c r="N688" s="9"/>
      <c r="O688" s="9"/>
      <c r="P688" s="9"/>
      <c r="Q688" s="9"/>
      <c r="R688" s="9"/>
      <c r="S688" s="9"/>
      <c r="T688" s="2332"/>
      <c r="U688" s="9"/>
      <c r="V688" s="9"/>
    </row>
    <row r="689" spans="1:22">
      <c r="A689" s="9"/>
      <c r="B689" s="9"/>
      <c r="C689" s="9"/>
      <c r="D689" s="9"/>
      <c r="E689" s="9"/>
      <c r="F689" s="9"/>
      <c r="G689" s="9"/>
      <c r="H689" s="9"/>
      <c r="I689" s="9"/>
      <c r="J689" s="9"/>
      <c r="K689" s="9"/>
      <c r="L689" s="9"/>
      <c r="M689" s="9"/>
      <c r="N689" s="9"/>
      <c r="O689" s="9"/>
      <c r="P689" s="9"/>
      <c r="Q689" s="9"/>
      <c r="R689" s="9"/>
      <c r="S689" s="9"/>
      <c r="T689" s="2332"/>
      <c r="U689" s="9"/>
      <c r="V689" s="9"/>
    </row>
    <row r="690" spans="1:22">
      <c r="A690" s="9"/>
      <c r="B690" s="9"/>
      <c r="C690" s="9"/>
      <c r="D690" s="9"/>
      <c r="E690" s="9"/>
      <c r="F690" s="9"/>
      <c r="G690" s="9"/>
      <c r="H690" s="9"/>
      <c r="I690" s="9"/>
      <c r="J690" s="9"/>
      <c r="K690" s="9"/>
      <c r="L690" s="9"/>
      <c r="M690" s="9"/>
      <c r="N690" s="9"/>
      <c r="O690" s="9"/>
      <c r="P690" s="9"/>
      <c r="Q690" s="9"/>
      <c r="R690" s="9"/>
      <c r="S690" s="9"/>
      <c r="T690" s="2332"/>
      <c r="U690" s="9"/>
      <c r="V690" s="9"/>
    </row>
    <row r="691" spans="1:22">
      <c r="A691" s="9"/>
      <c r="B691" s="9"/>
      <c r="C691" s="9"/>
      <c r="D691" s="9"/>
      <c r="E691" s="9"/>
      <c r="F691" s="9"/>
      <c r="G691" s="9"/>
      <c r="H691" s="9"/>
      <c r="I691" s="9"/>
      <c r="J691" s="9"/>
      <c r="K691" s="9"/>
      <c r="L691" s="9"/>
      <c r="M691" s="9"/>
      <c r="N691" s="9"/>
      <c r="O691" s="9"/>
      <c r="P691" s="9"/>
      <c r="Q691" s="9"/>
      <c r="R691" s="9"/>
      <c r="S691" s="9"/>
      <c r="T691" s="2332"/>
      <c r="U691" s="9"/>
      <c r="V691" s="9"/>
    </row>
    <row r="692" spans="1:22">
      <c r="A692" s="9"/>
      <c r="B692" s="9"/>
      <c r="C692" s="9"/>
      <c r="D692" s="9"/>
      <c r="E692" s="9"/>
      <c r="F692" s="9"/>
      <c r="G692" s="9"/>
      <c r="H692" s="9"/>
      <c r="I692" s="9"/>
      <c r="J692" s="9"/>
      <c r="K692" s="9"/>
      <c r="L692" s="9"/>
      <c r="M692" s="9"/>
      <c r="N692" s="9"/>
      <c r="O692" s="9"/>
      <c r="P692" s="9"/>
      <c r="Q692" s="9"/>
      <c r="R692" s="9"/>
      <c r="S692" s="9"/>
      <c r="T692" s="2332"/>
      <c r="U692" s="9"/>
      <c r="V692" s="9"/>
    </row>
    <row r="693" spans="1:22">
      <c r="A693" s="9"/>
      <c r="B693" s="9"/>
      <c r="C693" s="9"/>
      <c r="D693" s="9"/>
      <c r="E693" s="9"/>
      <c r="F693" s="9"/>
      <c r="G693" s="9"/>
      <c r="H693" s="9"/>
      <c r="I693" s="9"/>
      <c r="J693" s="9"/>
      <c r="K693" s="9"/>
      <c r="L693" s="9"/>
      <c r="M693" s="9"/>
      <c r="N693" s="9"/>
      <c r="O693" s="9"/>
      <c r="P693" s="9"/>
      <c r="Q693" s="9"/>
      <c r="R693" s="9"/>
      <c r="S693" s="9"/>
      <c r="T693" s="2332"/>
      <c r="U693" s="9"/>
      <c r="V693" s="9"/>
    </row>
    <row r="694" spans="1:22">
      <c r="A694" s="9"/>
      <c r="B694" s="9"/>
      <c r="C694" s="9"/>
      <c r="D694" s="9"/>
      <c r="E694" s="9"/>
      <c r="F694" s="9"/>
      <c r="G694" s="9"/>
      <c r="H694" s="9"/>
      <c r="I694" s="9"/>
      <c r="J694" s="9"/>
      <c r="K694" s="9"/>
      <c r="L694" s="9"/>
      <c r="M694" s="9"/>
      <c r="N694" s="9"/>
      <c r="O694" s="9"/>
      <c r="P694" s="9"/>
      <c r="Q694" s="9"/>
      <c r="R694" s="9"/>
      <c r="S694" s="9"/>
      <c r="T694" s="2332"/>
      <c r="U694" s="9"/>
      <c r="V694" s="9"/>
    </row>
    <row r="695" spans="1:22">
      <c r="A695" s="9"/>
      <c r="B695" s="9"/>
      <c r="C695" s="9"/>
      <c r="D695" s="9"/>
      <c r="E695" s="9"/>
      <c r="F695" s="9"/>
      <c r="G695" s="9"/>
      <c r="H695" s="9"/>
      <c r="I695" s="9"/>
      <c r="J695" s="9"/>
      <c r="K695" s="9"/>
      <c r="L695" s="9"/>
      <c r="M695" s="9"/>
      <c r="N695" s="9"/>
      <c r="O695" s="9"/>
      <c r="P695" s="9"/>
      <c r="Q695" s="9"/>
      <c r="R695" s="9"/>
      <c r="S695" s="9"/>
      <c r="T695" s="2332"/>
      <c r="U695" s="9"/>
      <c r="V695" s="9"/>
    </row>
    <row r="696" spans="1:22">
      <c r="A696" s="9"/>
      <c r="B696" s="9"/>
      <c r="C696" s="9"/>
      <c r="D696" s="9"/>
      <c r="E696" s="9"/>
      <c r="F696" s="9"/>
      <c r="G696" s="9"/>
      <c r="H696" s="9"/>
      <c r="I696" s="9"/>
      <c r="J696" s="9"/>
      <c r="K696" s="9"/>
      <c r="L696" s="9"/>
      <c r="M696" s="9"/>
      <c r="N696" s="9"/>
      <c r="O696" s="9"/>
      <c r="P696" s="9"/>
      <c r="Q696" s="9"/>
      <c r="R696" s="9"/>
      <c r="S696" s="9"/>
      <c r="T696" s="2332"/>
      <c r="U696" s="9"/>
      <c r="V696" s="9"/>
    </row>
    <row r="697" spans="1:22">
      <c r="A697" s="9"/>
      <c r="B697" s="9"/>
      <c r="C697" s="9"/>
      <c r="D697" s="9"/>
      <c r="E697" s="9"/>
      <c r="F697" s="9"/>
      <c r="G697" s="9"/>
      <c r="H697" s="9"/>
      <c r="I697" s="9"/>
      <c r="J697" s="9"/>
      <c r="K697" s="9"/>
      <c r="L697" s="9"/>
      <c r="M697" s="9"/>
      <c r="N697" s="9"/>
      <c r="O697" s="9"/>
      <c r="P697" s="9"/>
      <c r="Q697" s="9"/>
      <c r="R697" s="9"/>
      <c r="S697" s="9"/>
      <c r="T697" s="2332"/>
      <c r="U697" s="9"/>
      <c r="V697" s="9"/>
    </row>
    <row r="698" spans="1:22">
      <c r="A698" s="9"/>
      <c r="B698" s="9"/>
      <c r="C698" s="9"/>
      <c r="D698" s="9"/>
      <c r="E698" s="9"/>
      <c r="F698" s="9"/>
      <c r="G698" s="9"/>
      <c r="H698" s="9"/>
      <c r="I698" s="9"/>
      <c r="J698" s="9"/>
      <c r="K698" s="9"/>
      <c r="L698" s="9"/>
      <c r="M698" s="9"/>
      <c r="N698" s="9"/>
      <c r="O698" s="9"/>
      <c r="P698" s="9"/>
      <c r="Q698" s="9"/>
      <c r="R698" s="9"/>
      <c r="S698" s="9"/>
      <c r="T698" s="2332"/>
      <c r="U698" s="9"/>
      <c r="V698" s="9"/>
    </row>
    <row r="699" spans="1:22">
      <c r="A699" s="9"/>
      <c r="B699" s="9"/>
      <c r="C699" s="9"/>
      <c r="D699" s="9"/>
      <c r="E699" s="9"/>
      <c r="F699" s="9"/>
      <c r="G699" s="9"/>
      <c r="H699" s="9"/>
      <c r="I699" s="9"/>
      <c r="J699" s="9"/>
      <c r="K699" s="9"/>
      <c r="L699" s="9"/>
      <c r="M699" s="9"/>
      <c r="N699" s="9"/>
      <c r="O699" s="9"/>
      <c r="P699" s="9"/>
      <c r="Q699" s="9"/>
      <c r="R699" s="9"/>
      <c r="S699" s="9"/>
      <c r="T699" s="2332"/>
      <c r="U699" s="9"/>
      <c r="V699" s="9"/>
    </row>
    <row r="700" spans="1:22">
      <c r="A700" s="9"/>
      <c r="B700" s="9"/>
      <c r="C700" s="9"/>
      <c r="D700" s="9"/>
      <c r="E700" s="9"/>
      <c r="F700" s="9"/>
      <c r="G700" s="9"/>
      <c r="H700" s="9"/>
      <c r="I700" s="9"/>
      <c r="J700" s="9"/>
      <c r="K700" s="9"/>
      <c r="L700" s="9"/>
      <c r="M700" s="9"/>
      <c r="N700" s="9"/>
      <c r="O700" s="9"/>
      <c r="P700" s="9"/>
      <c r="Q700" s="9"/>
      <c r="R700" s="9"/>
      <c r="S700" s="9"/>
      <c r="T700" s="2332"/>
      <c r="U700" s="9"/>
      <c r="V700" s="9"/>
    </row>
    <row r="701" spans="1:22">
      <c r="A701" s="9"/>
      <c r="B701" s="9"/>
      <c r="C701" s="9"/>
      <c r="D701" s="9"/>
      <c r="E701" s="9"/>
      <c r="F701" s="9"/>
      <c r="G701" s="9"/>
      <c r="H701" s="9"/>
      <c r="I701" s="9"/>
      <c r="J701" s="9"/>
      <c r="K701" s="9"/>
      <c r="L701" s="9"/>
      <c r="M701" s="9"/>
      <c r="N701" s="9"/>
      <c r="O701" s="9"/>
      <c r="P701" s="9"/>
      <c r="Q701" s="9"/>
      <c r="R701" s="9"/>
      <c r="S701" s="9"/>
      <c r="T701" s="2332"/>
      <c r="U701" s="9"/>
      <c r="V701" s="9"/>
    </row>
    <row r="702" spans="1:22">
      <c r="A702" s="9"/>
      <c r="B702" s="9"/>
      <c r="C702" s="9"/>
      <c r="D702" s="9"/>
      <c r="E702" s="9"/>
      <c r="F702" s="9"/>
      <c r="G702" s="9"/>
      <c r="H702" s="9"/>
      <c r="I702" s="9"/>
      <c r="J702" s="9"/>
      <c r="K702" s="9"/>
      <c r="L702" s="9"/>
      <c r="M702" s="9"/>
      <c r="N702" s="9"/>
      <c r="O702" s="9"/>
      <c r="P702" s="9"/>
      <c r="Q702" s="9"/>
      <c r="R702" s="9"/>
      <c r="S702" s="9"/>
      <c r="T702" s="2332"/>
      <c r="U702" s="9"/>
      <c r="V702" s="9"/>
    </row>
    <row r="703" spans="1:22">
      <c r="A703" s="9"/>
      <c r="B703" s="9"/>
      <c r="C703" s="9"/>
      <c r="D703" s="9"/>
      <c r="E703" s="9"/>
      <c r="F703" s="9"/>
      <c r="G703" s="9"/>
      <c r="H703" s="9"/>
      <c r="I703" s="9"/>
      <c r="J703" s="9"/>
      <c r="K703" s="9"/>
      <c r="L703" s="9"/>
      <c r="M703" s="9"/>
      <c r="N703" s="9"/>
      <c r="O703" s="9"/>
      <c r="P703" s="9"/>
      <c r="Q703" s="9"/>
      <c r="R703" s="9"/>
      <c r="S703" s="9"/>
      <c r="T703" s="2332"/>
      <c r="U703" s="9"/>
      <c r="V703" s="9"/>
    </row>
    <row r="704" spans="1:22">
      <c r="A704" s="9"/>
      <c r="B704" s="9"/>
      <c r="C704" s="9"/>
      <c r="D704" s="9"/>
      <c r="E704" s="9"/>
      <c r="F704" s="9"/>
      <c r="G704" s="9"/>
      <c r="H704" s="9"/>
      <c r="I704" s="9"/>
      <c r="J704" s="9"/>
      <c r="K704" s="9"/>
      <c r="L704" s="9"/>
      <c r="M704" s="9"/>
      <c r="N704" s="9"/>
      <c r="O704" s="9"/>
      <c r="P704" s="9"/>
      <c r="Q704" s="9"/>
      <c r="R704" s="9"/>
      <c r="S704" s="9"/>
      <c r="T704" s="2332"/>
      <c r="U704" s="9"/>
      <c r="V704" s="9"/>
    </row>
    <row r="705" spans="1:22">
      <c r="A705" s="9"/>
      <c r="B705" s="9"/>
      <c r="C705" s="9"/>
      <c r="D705" s="9"/>
      <c r="E705" s="9"/>
      <c r="F705" s="9"/>
      <c r="G705" s="9"/>
      <c r="H705" s="9"/>
      <c r="I705" s="9"/>
      <c r="J705" s="9"/>
      <c r="K705" s="9"/>
      <c r="L705" s="9"/>
      <c r="M705" s="9"/>
      <c r="N705" s="9"/>
      <c r="O705" s="9"/>
      <c r="P705" s="9"/>
      <c r="Q705" s="9"/>
      <c r="R705" s="9"/>
      <c r="S705" s="9"/>
      <c r="T705" s="2332"/>
      <c r="U705" s="9"/>
      <c r="V705" s="9"/>
    </row>
    <row r="706" spans="1:22">
      <c r="A706" s="9"/>
      <c r="B706" s="9"/>
      <c r="C706" s="9"/>
      <c r="D706" s="9"/>
      <c r="E706" s="9"/>
      <c r="F706" s="9"/>
      <c r="G706" s="9"/>
      <c r="H706" s="9"/>
      <c r="I706" s="9"/>
      <c r="J706" s="9"/>
      <c r="K706" s="9"/>
      <c r="L706" s="9"/>
      <c r="M706" s="9"/>
      <c r="N706" s="9"/>
      <c r="O706" s="9"/>
      <c r="P706" s="9"/>
      <c r="Q706" s="9"/>
      <c r="R706" s="9"/>
      <c r="S706" s="9"/>
      <c r="T706" s="2332"/>
      <c r="U706" s="9"/>
      <c r="V706" s="9"/>
    </row>
    <row r="707" spans="1:22">
      <c r="A707" s="9"/>
      <c r="B707" s="9"/>
      <c r="C707" s="9"/>
      <c r="D707" s="9"/>
      <c r="E707" s="9"/>
      <c r="F707" s="9"/>
      <c r="G707" s="9"/>
      <c r="H707" s="9"/>
      <c r="I707" s="9"/>
      <c r="J707" s="9"/>
      <c r="K707" s="9"/>
      <c r="L707" s="9"/>
      <c r="M707" s="9"/>
      <c r="N707" s="9"/>
      <c r="O707" s="9"/>
      <c r="P707" s="9"/>
      <c r="Q707" s="9"/>
      <c r="R707" s="9"/>
      <c r="S707" s="9"/>
      <c r="T707" s="2332"/>
      <c r="U707" s="9"/>
      <c r="V707" s="9"/>
    </row>
    <row r="708" spans="1:22">
      <c r="A708" s="9"/>
      <c r="B708" s="9"/>
      <c r="C708" s="9"/>
      <c r="D708" s="9"/>
      <c r="E708" s="9"/>
      <c r="F708" s="9"/>
      <c r="G708" s="9"/>
      <c r="H708" s="9"/>
      <c r="I708" s="9"/>
      <c r="J708" s="9"/>
      <c r="K708" s="9"/>
      <c r="L708" s="9"/>
      <c r="M708" s="9"/>
      <c r="N708" s="9"/>
      <c r="O708" s="9"/>
      <c r="P708" s="9"/>
      <c r="Q708" s="9"/>
      <c r="R708" s="9"/>
      <c r="S708" s="9"/>
      <c r="T708" s="2332"/>
      <c r="U708" s="9"/>
      <c r="V708" s="9"/>
    </row>
    <row r="709" spans="1:22">
      <c r="A709" s="9"/>
      <c r="B709" s="9"/>
      <c r="C709" s="9"/>
      <c r="D709" s="9"/>
      <c r="E709" s="9"/>
      <c r="F709" s="9"/>
      <c r="G709" s="9"/>
      <c r="H709" s="9"/>
      <c r="I709" s="9"/>
      <c r="J709" s="9"/>
      <c r="K709" s="9"/>
      <c r="L709" s="9"/>
      <c r="M709" s="9"/>
      <c r="N709" s="9"/>
      <c r="O709" s="9"/>
      <c r="P709" s="9"/>
      <c r="Q709" s="9"/>
      <c r="R709" s="9"/>
      <c r="S709" s="9"/>
      <c r="T709" s="2332"/>
      <c r="U709" s="9"/>
      <c r="V709" s="9"/>
    </row>
    <row r="710" spans="1:22">
      <c r="A710" s="9"/>
      <c r="B710" s="9"/>
      <c r="C710" s="9"/>
      <c r="D710" s="9"/>
      <c r="E710" s="9"/>
      <c r="F710" s="9"/>
      <c r="G710" s="9"/>
      <c r="H710" s="9"/>
      <c r="I710" s="9"/>
      <c r="J710" s="9"/>
      <c r="K710" s="9"/>
      <c r="L710" s="9"/>
      <c r="M710" s="9"/>
      <c r="N710" s="9"/>
      <c r="O710" s="9"/>
      <c r="P710" s="9"/>
      <c r="Q710" s="9"/>
      <c r="R710" s="9"/>
      <c r="S710" s="9"/>
      <c r="T710" s="2332"/>
      <c r="U710" s="9"/>
      <c r="V710" s="9"/>
    </row>
    <row r="711" spans="1:22">
      <c r="A711" s="9"/>
      <c r="B711" s="9"/>
      <c r="C711" s="9"/>
      <c r="D711" s="9"/>
      <c r="E711" s="9"/>
      <c r="F711" s="9"/>
      <c r="G711" s="9"/>
      <c r="H711" s="9"/>
      <c r="I711" s="9"/>
      <c r="J711" s="9"/>
      <c r="K711" s="9"/>
      <c r="L711" s="9"/>
      <c r="M711" s="9"/>
      <c r="N711" s="9"/>
      <c r="O711" s="9"/>
      <c r="P711" s="9"/>
      <c r="Q711" s="9"/>
      <c r="R711" s="9"/>
      <c r="S711" s="9"/>
      <c r="T711" s="2332"/>
      <c r="U711" s="9"/>
      <c r="V711" s="9"/>
    </row>
    <row r="712" spans="1:22">
      <c r="A712" s="9"/>
      <c r="B712" s="9"/>
      <c r="C712" s="9"/>
      <c r="D712" s="9"/>
      <c r="E712" s="9"/>
      <c r="F712" s="9"/>
      <c r="G712" s="9"/>
      <c r="H712" s="9"/>
      <c r="I712" s="9"/>
      <c r="J712" s="9"/>
      <c r="K712" s="9"/>
      <c r="L712" s="9"/>
      <c r="M712" s="9"/>
      <c r="N712" s="9"/>
      <c r="O712" s="9"/>
      <c r="P712" s="9"/>
      <c r="Q712" s="9"/>
      <c r="R712" s="9"/>
      <c r="S712" s="9"/>
      <c r="T712" s="2332"/>
      <c r="U712" s="9"/>
      <c r="V712" s="9"/>
    </row>
    <row r="713" spans="1:22">
      <c r="A713" s="9"/>
      <c r="B713" s="9"/>
      <c r="C713" s="9"/>
      <c r="D713" s="9"/>
      <c r="E713" s="9"/>
      <c r="F713" s="9"/>
      <c r="G713" s="9"/>
      <c r="H713" s="9"/>
      <c r="I713" s="9"/>
      <c r="J713" s="9"/>
      <c r="K713" s="9"/>
      <c r="L713" s="9"/>
      <c r="M713" s="9"/>
      <c r="N713" s="9"/>
      <c r="O713" s="9"/>
      <c r="P713" s="9"/>
      <c r="Q713" s="9"/>
      <c r="R713" s="9"/>
      <c r="S713" s="9"/>
      <c r="T713" s="2332"/>
      <c r="U713" s="9"/>
      <c r="V713" s="9"/>
    </row>
    <row r="714" spans="1:22">
      <c r="A714" s="9"/>
      <c r="B714" s="9"/>
      <c r="C714" s="9"/>
      <c r="D714" s="9"/>
      <c r="E714" s="9"/>
      <c r="F714" s="9"/>
      <c r="G714" s="9"/>
      <c r="H714" s="9"/>
      <c r="I714" s="9"/>
      <c r="J714" s="9"/>
      <c r="K714" s="9"/>
      <c r="L714" s="9"/>
      <c r="M714" s="9"/>
      <c r="N714" s="9"/>
      <c r="O714" s="9"/>
      <c r="P714" s="9"/>
      <c r="Q714" s="9"/>
      <c r="R714" s="9"/>
      <c r="S714" s="9"/>
      <c r="T714" s="2332"/>
      <c r="U714" s="9"/>
      <c r="V714" s="9"/>
    </row>
    <row r="715" spans="1:22">
      <c r="A715" s="9"/>
      <c r="B715" s="9"/>
      <c r="C715" s="9"/>
      <c r="D715" s="9"/>
      <c r="E715" s="9"/>
      <c r="F715" s="9"/>
      <c r="G715" s="9"/>
      <c r="H715" s="9"/>
      <c r="I715" s="9"/>
      <c r="J715" s="9"/>
      <c r="K715" s="9"/>
      <c r="L715" s="9"/>
      <c r="M715" s="9"/>
      <c r="N715" s="9"/>
      <c r="O715" s="9"/>
      <c r="P715" s="9"/>
      <c r="Q715" s="9"/>
      <c r="R715" s="9"/>
      <c r="S715" s="9"/>
      <c r="T715" s="2332"/>
      <c r="U715" s="9"/>
      <c r="V715" s="9"/>
    </row>
    <row r="716" spans="1:22">
      <c r="A716" s="9"/>
      <c r="B716" s="9"/>
      <c r="C716" s="9"/>
      <c r="D716" s="9"/>
      <c r="E716" s="9"/>
      <c r="F716" s="9"/>
      <c r="G716" s="9"/>
      <c r="H716" s="9"/>
      <c r="I716" s="9"/>
      <c r="J716" s="9"/>
      <c r="K716" s="9"/>
      <c r="L716" s="9"/>
      <c r="M716" s="9"/>
      <c r="N716" s="9"/>
      <c r="O716" s="9"/>
      <c r="P716" s="9"/>
      <c r="Q716" s="9"/>
      <c r="R716" s="9"/>
      <c r="S716" s="9"/>
      <c r="T716" s="2332"/>
      <c r="U716" s="9"/>
      <c r="V716" s="9"/>
    </row>
    <row r="717" spans="1:22">
      <c r="A717" s="9"/>
      <c r="B717" s="9"/>
      <c r="C717" s="9"/>
      <c r="D717" s="9"/>
      <c r="E717" s="9"/>
      <c r="F717" s="9"/>
      <c r="G717" s="9"/>
      <c r="H717" s="9"/>
      <c r="I717" s="9"/>
      <c r="J717" s="9"/>
      <c r="K717" s="9"/>
      <c r="L717" s="9"/>
      <c r="M717" s="9"/>
      <c r="N717" s="9"/>
      <c r="O717" s="9"/>
      <c r="P717" s="9"/>
      <c r="Q717" s="9"/>
      <c r="R717" s="9"/>
      <c r="S717" s="9"/>
      <c r="T717" s="2332"/>
      <c r="U717" s="9"/>
      <c r="V717" s="9"/>
    </row>
    <row r="718" spans="1:22">
      <c r="A718" s="9"/>
      <c r="B718" s="9"/>
      <c r="C718" s="9"/>
      <c r="D718" s="9"/>
      <c r="E718" s="9"/>
      <c r="F718" s="9"/>
      <c r="G718" s="9"/>
      <c r="H718" s="9"/>
      <c r="I718" s="9"/>
      <c r="J718" s="9"/>
      <c r="K718" s="9"/>
      <c r="L718" s="9"/>
      <c r="M718" s="9"/>
      <c r="N718" s="9"/>
      <c r="O718" s="9"/>
      <c r="P718" s="9"/>
      <c r="Q718" s="9"/>
      <c r="R718" s="9"/>
      <c r="S718" s="9"/>
      <c r="T718" s="2332"/>
      <c r="U718" s="9"/>
      <c r="V718" s="9"/>
    </row>
    <row r="719" spans="1:22">
      <c r="A719" s="9"/>
      <c r="B719" s="9"/>
      <c r="C719" s="9"/>
      <c r="D719" s="9"/>
      <c r="E719" s="9"/>
      <c r="F719" s="9"/>
      <c r="G719" s="9"/>
      <c r="H719" s="9"/>
      <c r="I719" s="9"/>
      <c r="J719" s="9"/>
      <c r="K719" s="9"/>
      <c r="L719" s="9"/>
      <c r="M719" s="9"/>
      <c r="N719" s="9"/>
      <c r="O719" s="9"/>
      <c r="P719" s="9"/>
      <c r="Q719" s="9"/>
      <c r="R719" s="9"/>
      <c r="S719" s="9"/>
      <c r="T719" s="2332"/>
      <c r="U719" s="9"/>
      <c r="V719" s="9"/>
    </row>
    <row r="720" spans="1:22">
      <c r="A720" s="9"/>
      <c r="B720" s="9"/>
      <c r="C720" s="9"/>
      <c r="D720" s="9"/>
      <c r="E720" s="9"/>
      <c r="F720" s="9"/>
      <c r="G720" s="9"/>
      <c r="H720" s="9"/>
      <c r="I720" s="9"/>
      <c r="J720" s="9"/>
      <c r="K720" s="9"/>
      <c r="L720" s="9"/>
      <c r="M720" s="9"/>
      <c r="N720" s="9"/>
      <c r="O720" s="9"/>
      <c r="P720" s="9"/>
      <c r="Q720" s="9"/>
      <c r="R720" s="9"/>
      <c r="S720" s="9"/>
      <c r="T720" s="2332"/>
      <c r="U720" s="9"/>
      <c r="V720" s="9"/>
    </row>
    <row r="721" spans="1:22">
      <c r="A721" s="9"/>
      <c r="B721" s="9"/>
      <c r="C721" s="9"/>
      <c r="D721" s="9"/>
      <c r="E721" s="9"/>
      <c r="F721" s="9"/>
      <c r="G721" s="9"/>
      <c r="H721" s="9"/>
      <c r="I721" s="9"/>
      <c r="J721" s="9"/>
      <c r="K721" s="9"/>
      <c r="L721" s="9"/>
      <c r="M721" s="9"/>
      <c r="N721" s="9"/>
      <c r="O721" s="9"/>
      <c r="P721" s="9"/>
      <c r="Q721" s="9"/>
      <c r="R721" s="9"/>
      <c r="S721" s="9"/>
      <c r="T721" s="2332"/>
      <c r="U721" s="9"/>
      <c r="V721" s="9"/>
    </row>
    <row r="722" spans="1:22">
      <c r="A722" s="9"/>
      <c r="B722" s="9"/>
      <c r="C722" s="9"/>
      <c r="D722" s="9"/>
      <c r="E722" s="9"/>
      <c r="F722" s="9"/>
      <c r="G722" s="9"/>
      <c r="H722" s="9"/>
      <c r="I722" s="9"/>
      <c r="J722" s="9"/>
      <c r="K722" s="9"/>
      <c r="L722" s="9"/>
      <c r="M722" s="9"/>
      <c r="N722" s="9"/>
      <c r="O722" s="9"/>
      <c r="P722" s="9"/>
      <c r="Q722" s="9"/>
      <c r="R722" s="9"/>
      <c r="S722" s="9"/>
      <c r="T722" s="2332"/>
      <c r="U722" s="9"/>
      <c r="V722" s="9"/>
    </row>
    <row r="723" spans="1:22">
      <c r="A723" s="9"/>
      <c r="B723" s="9"/>
      <c r="C723" s="9"/>
      <c r="D723" s="9"/>
      <c r="E723" s="9"/>
      <c r="F723" s="9"/>
      <c r="G723" s="9"/>
      <c r="H723" s="9"/>
      <c r="I723" s="9"/>
      <c r="J723" s="9"/>
      <c r="K723" s="9"/>
      <c r="L723" s="9"/>
      <c r="M723" s="9"/>
      <c r="N723" s="9"/>
      <c r="O723" s="9"/>
      <c r="P723" s="9"/>
      <c r="Q723" s="9"/>
      <c r="R723" s="9"/>
      <c r="S723" s="9"/>
      <c r="T723" s="2332"/>
      <c r="U723" s="9"/>
      <c r="V723" s="9"/>
    </row>
    <row r="724" spans="1:22">
      <c r="A724" s="9"/>
      <c r="B724" s="9"/>
      <c r="C724" s="9"/>
      <c r="D724" s="9"/>
      <c r="E724" s="9"/>
      <c r="F724" s="9"/>
      <c r="G724" s="9"/>
      <c r="H724" s="9"/>
      <c r="I724" s="9"/>
      <c r="J724" s="9"/>
      <c r="K724" s="9"/>
      <c r="L724" s="9"/>
      <c r="M724" s="9"/>
      <c r="N724" s="9"/>
      <c r="O724" s="9"/>
      <c r="P724" s="9"/>
      <c r="Q724" s="9"/>
      <c r="R724" s="9"/>
      <c r="S724" s="9"/>
      <c r="T724" s="2332"/>
      <c r="U724" s="9"/>
      <c r="V724" s="9"/>
    </row>
    <row r="725" spans="1:22">
      <c r="A725" s="9"/>
      <c r="B725" s="9"/>
      <c r="C725" s="9"/>
      <c r="D725" s="9"/>
      <c r="E725" s="9"/>
      <c r="F725" s="9"/>
      <c r="G725" s="9"/>
      <c r="H725" s="9"/>
      <c r="I725" s="9"/>
      <c r="J725" s="9"/>
      <c r="K725" s="9"/>
      <c r="L725" s="9"/>
      <c r="M725" s="9"/>
      <c r="N725" s="9"/>
      <c r="O725" s="9"/>
      <c r="P725" s="9"/>
      <c r="Q725" s="9"/>
      <c r="R725" s="9"/>
      <c r="S725" s="9"/>
      <c r="T725" s="2332"/>
      <c r="U725" s="9"/>
      <c r="V725" s="9"/>
    </row>
    <row r="726" spans="1:22">
      <c r="A726" s="9"/>
      <c r="B726" s="9"/>
      <c r="C726" s="9"/>
      <c r="D726" s="9"/>
      <c r="E726" s="9"/>
      <c r="F726" s="9"/>
      <c r="G726" s="9"/>
      <c r="H726" s="9"/>
      <c r="I726" s="9"/>
      <c r="J726" s="9"/>
      <c r="K726" s="9"/>
      <c r="L726" s="9"/>
      <c r="M726" s="9"/>
      <c r="N726" s="9"/>
      <c r="O726" s="9"/>
      <c r="P726" s="9"/>
      <c r="Q726" s="9"/>
      <c r="R726" s="9"/>
      <c r="S726" s="9"/>
      <c r="T726" s="2332"/>
      <c r="U726" s="9"/>
      <c r="V726" s="9"/>
    </row>
    <row r="727" spans="1:22">
      <c r="A727" s="9"/>
      <c r="B727" s="9"/>
      <c r="C727" s="9"/>
      <c r="D727" s="9"/>
      <c r="E727" s="9"/>
      <c r="F727" s="9"/>
      <c r="G727" s="9"/>
      <c r="H727" s="9"/>
      <c r="I727" s="9"/>
      <c r="J727" s="9"/>
      <c r="K727" s="9"/>
      <c r="L727" s="9"/>
      <c r="M727" s="9"/>
      <c r="N727" s="9"/>
      <c r="O727" s="9"/>
      <c r="P727" s="9"/>
      <c r="Q727" s="9"/>
      <c r="R727" s="9"/>
      <c r="S727" s="9"/>
      <c r="T727" s="2332"/>
      <c r="U727" s="9"/>
      <c r="V727" s="9"/>
    </row>
    <row r="728" spans="1:22">
      <c r="A728" s="9"/>
      <c r="B728" s="9"/>
      <c r="C728" s="9"/>
      <c r="D728" s="9"/>
      <c r="E728" s="9"/>
      <c r="F728" s="9"/>
      <c r="G728" s="9"/>
      <c r="H728" s="9"/>
      <c r="I728" s="9"/>
      <c r="J728" s="9"/>
      <c r="K728" s="9"/>
      <c r="L728" s="9"/>
      <c r="M728" s="9"/>
      <c r="N728" s="9"/>
      <c r="O728" s="9"/>
      <c r="P728" s="9"/>
      <c r="Q728" s="9"/>
      <c r="R728" s="9"/>
      <c r="S728" s="9"/>
      <c r="T728" s="2332"/>
      <c r="U728" s="9"/>
      <c r="V728" s="9"/>
    </row>
    <row r="729" spans="1:22">
      <c r="A729" s="9"/>
      <c r="B729" s="9"/>
      <c r="C729" s="9"/>
      <c r="D729" s="9"/>
      <c r="E729" s="9"/>
      <c r="F729" s="9"/>
      <c r="G729" s="9"/>
      <c r="H729" s="9"/>
      <c r="I729" s="9"/>
      <c r="J729" s="9"/>
      <c r="K729" s="9"/>
      <c r="L729" s="9"/>
      <c r="M729" s="9"/>
      <c r="N729" s="9"/>
      <c r="O729" s="9"/>
      <c r="P729" s="9"/>
      <c r="Q729" s="9"/>
      <c r="R729" s="9"/>
      <c r="S729" s="9"/>
      <c r="T729" s="2332"/>
      <c r="U729" s="9"/>
      <c r="V729" s="9"/>
    </row>
    <row r="730" spans="1:22">
      <c r="A730" s="9"/>
      <c r="B730" s="9"/>
      <c r="C730" s="9"/>
      <c r="D730" s="9"/>
      <c r="E730" s="9"/>
      <c r="F730" s="9"/>
      <c r="G730" s="9"/>
      <c r="H730" s="9"/>
      <c r="I730" s="9"/>
      <c r="J730" s="9"/>
      <c r="K730" s="9"/>
      <c r="L730" s="9"/>
      <c r="M730" s="9"/>
      <c r="N730" s="9"/>
      <c r="O730" s="9"/>
      <c r="P730" s="9"/>
      <c r="Q730" s="9"/>
      <c r="R730" s="9"/>
      <c r="S730" s="9"/>
      <c r="T730" s="2332"/>
      <c r="U730" s="9"/>
      <c r="V730" s="9"/>
    </row>
    <row r="731" spans="1:22">
      <c r="A731" s="9"/>
      <c r="B731" s="9"/>
      <c r="C731" s="9"/>
      <c r="D731" s="9"/>
      <c r="E731" s="9"/>
      <c r="F731" s="9"/>
      <c r="G731" s="9"/>
      <c r="H731" s="9"/>
      <c r="I731" s="9"/>
      <c r="J731" s="9"/>
      <c r="K731" s="9"/>
      <c r="L731" s="9"/>
      <c r="M731" s="9"/>
      <c r="N731" s="9"/>
      <c r="O731" s="9"/>
      <c r="P731" s="9"/>
      <c r="Q731" s="9"/>
      <c r="R731" s="9"/>
      <c r="S731" s="9"/>
      <c r="T731" s="2332"/>
      <c r="U731" s="9"/>
      <c r="V731" s="9"/>
    </row>
    <row r="732" spans="1:22">
      <c r="A732" s="9"/>
      <c r="B732" s="9"/>
      <c r="C732" s="9"/>
      <c r="D732" s="9"/>
      <c r="E732" s="9"/>
      <c r="F732" s="9"/>
      <c r="G732" s="9"/>
      <c r="H732" s="9"/>
      <c r="I732" s="9"/>
      <c r="J732" s="9"/>
      <c r="K732" s="9"/>
      <c r="L732" s="9"/>
      <c r="M732" s="9"/>
      <c r="N732" s="9"/>
      <c r="O732" s="9"/>
      <c r="P732" s="9"/>
      <c r="Q732" s="9"/>
      <c r="R732" s="9"/>
      <c r="S732" s="9"/>
      <c r="T732" s="2332"/>
      <c r="U732" s="9"/>
      <c r="V732" s="9"/>
    </row>
    <row r="733" spans="1:22">
      <c r="A733" s="9"/>
      <c r="B733" s="9"/>
      <c r="C733" s="9"/>
      <c r="D733" s="9"/>
      <c r="E733" s="9"/>
      <c r="F733" s="9"/>
      <c r="G733" s="9"/>
      <c r="H733" s="9"/>
      <c r="I733" s="9"/>
      <c r="J733" s="9"/>
      <c r="K733" s="9"/>
      <c r="L733" s="9"/>
      <c r="M733" s="9"/>
      <c r="N733" s="9"/>
      <c r="O733" s="9"/>
      <c r="P733" s="9"/>
      <c r="Q733" s="9"/>
      <c r="R733" s="9"/>
      <c r="S733" s="9"/>
      <c r="T733" s="2332"/>
      <c r="U733" s="9"/>
      <c r="V733" s="9"/>
    </row>
    <row r="734" spans="1:22">
      <c r="A734" s="9"/>
      <c r="B734" s="9"/>
      <c r="C734" s="9"/>
      <c r="D734" s="9"/>
      <c r="E734" s="9"/>
      <c r="F734" s="9"/>
      <c r="G734" s="9"/>
      <c r="H734" s="9"/>
      <c r="I734" s="9"/>
      <c r="J734" s="9"/>
      <c r="K734" s="9"/>
      <c r="L734" s="9"/>
      <c r="M734" s="9"/>
      <c r="N734" s="9"/>
      <c r="O734" s="9"/>
      <c r="P734" s="9"/>
      <c r="Q734" s="9"/>
      <c r="R734" s="9"/>
      <c r="S734" s="9"/>
      <c r="T734" s="2332"/>
      <c r="U734" s="9"/>
      <c r="V734" s="9"/>
    </row>
    <row r="735" spans="1:22">
      <c r="A735" s="9"/>
      <c r="B735" s="9"/>
      <c r="C735" s="9"/>
      <c r="D735" s="9"/>
      <c r="E735" s="9"/>
      <c r="F735" s="9"/>
      <c r="G735" s="9"/>
      <c r="H735" s="9"/>
      <c r="I735" s="9"/>
      <c r="J735" s="9"/>
      <c r="K735" s="9"/>
      <c r="L735" s="9"/>
      <c r="M735" s="9"/>
      <c r="N735" s="9"/>
      <c r="O735" s="9"/>
      <c r="P735" s="9"/>
      <c r="Q735" s="9"/>
      <c r="R735" s="9"/>
      <c r="S735" s="9"/>
      <c r="T735" s="2332"/>
      <c r="U735" s="9"/>
      <c r="V735" s="9"/>
    </row>
    <row r="736" spans="1:22">
      <c r="A736" s="9"/>
      <c r="B736" s="9"/>
      <c r="C736" s="9"/>
      <c r="D736" s="9"/>
      <c r="E736" s="9"/>
      <c r="F736" s="9"/>
      <c r="G736" s="9"/>
      <c r="H736" s="9"/>
      <c r="I736" s="9"/>
      <c r="J736" s="9"/>
      <c r="K736" s="9"/>
      <c r="L736" s="9"/>
      <c r="M736" s="9"/>
      <c r="N736" s="9"/>
      <c r="O736" s="9"/>
      <c r="P736" s="9"/>
      <c r="Q736" s="9"/>
      <c r="R736" s="9"/>
      <c r="S736" s="9"/>
      <c r="T736" s="2332"/>
      <c r="U736" s="9"/>
      <c r="V736" s="9"/>
    </row>
    <row r="737" spans="1:22">
      <c r="A737" s="9"/>
      <c r="B737" s="9"/>
      <c r="C737" s="9"/>
      <c r="D737" s="9"/>
      <c r="E737" s="9"/>
      <c r="F737" s="9"/>
      <c r="G737" s="9"/>
      <c r="H737" s="9"/>
      <c r="I737" s="9"/>
      <c r="J737" s="9"/>
      <c r="K737" s="9"/>
      <c r="L737" s="9"/>
      <c r="M737" s="9"/>
      <c r="N737" s="9"/>
      <c r="O737" s="9"/>
      <c r="P737" s="9"/>
      <c r="Q737" s="9"/>
      <c r="R737" s="9"/>
      <c r="S737" s="9"/>
      <c r="T737" s="2332"/>
      <c r="U737" s="9"/>
      <c r="V737" s="9"/>
    </row>
    <row r="738" spans="1:22">
      <c r="A738" s="9"/>
      <c r="B738" s="9"/>
      <c r="C738" s="9"/>
      <c r="D738" s="9"/>
      <c r="E738" s="9"/>
      <c r="F738" s="9"/>
      <c r="G738" s="9"/>
      <c r="H738" s="9"/>
      <c r="I738" s="9"/>
      <c r="J738" s="9"/>
      <c r="K738" s="9"/>
      <c r="L738" s="9"/>
      <c r="M738" s="9"/>
      <c r="N738" s="9"/>
      <c r="O738" s="9"/>
      <c r="P738" s="9"/>
      <c r="Q738" s="9"/>
      <c r="R738" s="9"/>
      <c r="S738" s="9"/>
      <c r="T738" s="2332"/>
      <c r="U738" s="9"/>
      <c r="V738" s="9"/>
    </row>
    <row r="739" spans="1:22">
      <c r="A739" s="9"/>
      <c r="B739" s="9"/>
      <c r="C739" s="9"/>
      <c r="D739" s="9"/>
      <c r="E739" s="9"/>
      <c r="F739" s="9"/>
      <c r="G739" s="9"/>
      <c r="H739" s="9"/>
      <c r="I739" s="9"/>
      <c r="J739" s="9"/>
      <c r="K739" s="9"/>
      <c r="L739" s="9"/>
      <c r="M739" s="9"/>
      <c r="N739" s="9"/>
      <c r="O739" s="9"/>
      <c r="P739" s="9"/>
      <c r="Q739" s="9"/>
      <c r="R739" s="9"/>
      <c r="S739" s="9"/>
      <c r="T739" s="2332"/>
      <c r="U739" s="9"/>
      <c r="V739" s="9"/>
    </row>
    <row r="740" spans="1:22">
      <c r="A740" s="9"/>
      <c r="B740" s="9"/>
      <c r="C740" s="9"/>
      <c r="D740" s="9"/>
      <c r="E740" s="9"/>
      <c r="F740" s="9"/>
      <c r="G740" s="9"/>
      <c r="H740" s="9"/>
      <c r="I740" s="9"/>
      <c r="J740" s="9"/>
      <c r="K740" s="9"/>
      <c r="L740" s="9"/>
      <c r="M740" s="9"/>
      <c r="N740" s="9"/>
      <c r="O740" s="9"/>
      <c r="P740" s="9"/>
      <c r="Q740" s="9"/>
      <c r="R740" s="9"/>
      <c r="S740" s="9"/>
      <c r="T740" s="2332"/>
      <c r="U740" s="9"/>
      <c r="V740" s="9"/>
    </row>
    <row r="741" spans="1:22">
      <c r="A741" s="9"/>
      <c r="B741" s="9"/>
      <c r="C741" s="9"/>
      <c r="D741" s="9"/>
      <c r="E741" s="9"/>
      <c r="F741" s="9"/>
      <c r="G741" s="9"/>
      <c r="H741" s="9"/>
      <c r="I741" s="9"/>
      <c r="J741" s="9"/>
      <c r="K741" s="9"/>
      <c r="L741" s="9"/>
      <c r="M741" s="9"/>
      <c r="N741" s="9"/>
      <c r="O741" s="9"/>
      <c r="P741" s="9"/>
      <c r="Q741" s="9"/>
      <c r="R741" s="9"/>
      <c r="S741" s="9"/>
      <c r="T741" s="2332"/>
      <c r="U741" s="9"/>
      <c r="V741" s="9"/>
    </row>
    <row r="742" spans="1:22">
      <c r="A742" s="9"/>
      <c r="B742" s="9"/>
      <c r="C742" s="9"/>
      <c r="D742" s="9"/>
      <c r="E742" s="9"/>
      <c r="F742" s="9"/>
      <c r="G742" s="9"/>
      <c r="H742" s="9"/>
      <c r="I742" s="9"/>
      <c r="J742" s="9"/>
      <c r="K742" s="9"/>
      <c r="L742" s="9"/>
      <c r="M742" s="9"/>
      <c r="N742" s="9"/>
      <c r="O742" s="9"/>
      <c r="P742" s="9"/>
      <c r="Q742" s="9"/>
      <c r="R742" s="9"/>
      <c r="S742" s="9"/>
      <c r="T742" s="2332"/>
      <c r="U742" s="9"/>
      <c r="V742" s="9"/>
    </row>
    <row r="743" spans="1:22">
      <c r="A743" s="9"/>
      <c r="B743" s="9"/>
      <c r="C743" s="9"/>
      <c r="D743" s="9"/>
      <c r="E743" s="9"/>
      <c r="F743" s="9"/>
      <c r="G743" s="9"/>
      <c r="H743" s="9"/>
      <c r="I743" s="9"/>
      <c r="J743" s="9"/>
      <c r="K743" s="9"/>
      <c r="L743" s="9"/>
      <c r="M743" s="9"/>
      <c r="N743" s="9"/>
      <c r="O743" s="9"/>
      <c r="P743" s="9"/>
      <c r="Q743" s="9"/>
      <c r="R743" s="9"/>
      <c r="S743" s="9"/>
      <c r="T743" s="2332"/>
      <c r="U743" s="9"/>
      <c r="V743" s="9"/>
    </row>
    <row r="744" spans="1:22">
      <c r="A744" s="9"/>
      <c r="B744" s="9"/>
      <c r="C744" s="9"/>
      <c r="D744" s="9"/>
      <c r="E744" s="9"/>
      <c r="F744" s="9"/>
      <c r="G744" s="9"/>
      <c r="H744" s="9"/>
      <c r="I744" s="9"/>
      <c r="J744" s="9"/>
      <c r="K744" s="9"/>
      <c r="L744" s="9"/>
      <c r="M744" s="9"/>
      <c r="N744" s="9"/>
      <c r="O744" s="9"/>
      <c r="P744" s="9"/>
      <c r="Q744" s="9"/>
      <c r="R744" s="9"/>
      <c r="S744" s="9"/>
      <c r="T744" s="2332"/>
      <c r="U744" s="9"/>
      <c r="V744" s="9"/>
    </row>
    <row r="745" spans="1:22">
      <c r="A745" s="9"/>
      <c r="B745" s="9"/>
      <c r="C745" s="9"/>
      <c r="D745" s="9"/>
      <c r="E745" s="9"/>
      <c r="F745" s="9"/>
      <c r="G745" s="9"/>
      <c r="H745" s="9"/>
      <c r="I745" s="9"/>
      <c r="J745" s="9"/>
      <c r="K745" s="9"/>
      <c r="L745" s="9"/>
      <c r="M745" s="9"/>
      <c r="N745" s="9"/>
      <c r="O745" s="9"/>
      <c r="P745" s="9"/>
      <c r="Q745" s="9"/>
      <c r="R745" s="9"/>
      <c r="S745" s="9"/>
      <c r="T745" s="2332"/>
      <c r="U745" s="9"/>
      <c r="V745" s="9"/>
    </row>
    <row r="746" spans="1:22">
      <c r="A746" s="9"/>
      <c r="B746" s="9"/>
      <c r="C746" s="9"/>
      <c r="D746" s="9"/>
      <c r="E746" s="9"/>
      <c r="F746" s="9"/>
      <c r="G746" s="9"/>
      <c r="H746" s="9"/>
      <c r="I746" s="9"/>
      <c r="J746" s="9"/>
      <c r="K746" s="9"/>
      <c r="L746" s="9"/>
      <c r="M746" s="9"/>
      <c r="N746" s="9"/>
      <c r="O746" s="9"/>
      <c r="P746" s="9"/>
      <c r="Q746" s="9"/>
      <c r="R746" s="9"/>
      <c r="S746" s="9"/>
      <c r="T746" s="2332"/>
      <c r="U746" s="9"/>
      <c r="V746" s="9"/>
    </row>
    <row r="747" spans="1:22">
      <c r="A747" s="9"/>
      <c r="B747" s="9"/>
      <c r="C747" s="9"/>
      <c r="D747" s="9"/>
      <c r="E747" s="9"/>
      <c r="F747" s="9"/>
      <c r="G747" s="9"/>
      <c r="H747" s="9"/>
      <c r="I747" s="9"/>
      <c r="J747" s="9"/>
      <c r="K747" s="9"/>
      <c r="L747" s="9"/>
      <c r="M747" s="9"/>
      <c r="N747" s="9"/>
      <c r="O747" s="9"/>
      <c r="P747" s="9"/>
      <c r="Q747" s="9"/>
      <c r="R747" s="9"/>
      <c r="S747" s="9"/>
      <c r="T747" s="2332"/>
      <c r="U747" s="9"/>
      <c r="V747" s="9"/>
    </row>
    <row r="748" spans="1:22">
      <c r="A748" s="9"/>
      <c r="B748" s="9"/>
      <c r="C748" s="9"/>
      <c r="D748" s="9"/>
      <c r="E748" s="9"/>
      <c r="F748" s="9"/>
      <c r="G748" s="9"/>
      <c r="H748" s="9"/>
      <c r="I748" s="9"/>
      <c r="J748" s="9"/>
      <c r="K748" s="9"/>
      <c r="L748" s="9"/>
      <c r="M748" s="9"/>
      <c r="N748" s="9"/>
      <c r="O748" s="9"/>
      <c r="P748" s="9"/>
      <c r="Q748" s="9"/>
      <c r="R748" s="9"/>
      <c r="S748" s="9"/>
      <c r="T748" s="2332"/>
      <c r="U748" s="9"/>
      <c r="V748" s="9"/>
    </row>
    <row r="749" spans="1:22">
      <c r="A749" s="9"/>
      <c r="B749" s="9"/>
      <c r="C749" s="9"/>
      <c r="D749" s="9"/>
      <c r="E749" s="9"/>
      <c r="F749" s="9"/>
      <c r="G749" s="9"/>
      <c r="H749" s="9"/>
      <c r="I749" s="9"/>
      <c r="J749" s="9"/>
      <c r="K749" s="9"/>
      <c r="L749" s="9"/>
      <c r="M749" s="9"/>
      <c r="N749" s="9"/>
      <c r="O749" s="9"/>
      <c r="P749" s="9"/>
      <c r="Q749" s="9"/>
      <c r="R749" s="9"/>
      <c r="S749" s="9"/>
      <c r="T749" s="2332"/>
      <c r="U749" s="9"/>
      <c r="V749" s="9"/>
    </row>
    <row r="750" spans="1:22">
      <c r="A750" s="9"/>
      <c r="B750" s="9"/>
      <c r="C750" s="9"/>
      <c r="D750" s="9"/>
      <c r="E750" s="9"/>
      <c r="F750" s="9"/>
      <c r="G750" s="9"/>
      <c r="H750" s="9"/>
      <c r="I750" s="9"/>
      <c r="J750" s="9"/>
      <c r="K750" s="9"/>
      <c r="L750" s="9"/>
      <c r="M750" s="9"/>
      <c r="N750" s="9"/>
      <c r="O750" s="9"/>
      <c r="P750" s="9"/>
      <c r="Q750" s="9"/>
      <c r="R750" s="9"/>
      <c r="S750" s="9"/>
      <c r="T750" s="2332"/>
      <c r="U750" s="9"/>
      <c r="V750" s="9"/>
    </row>
    <row r="751" spans="1:22">
      <c r="A751" s="9"/>
      <c r="B751" s="9"/>
      <c r="C751" s="9"/>
      <c r="D751" s="9"/>
      <c r="E751" s="9"/>
      <c r="F751" s="9"/>
      <c r="G751" s="9"/>
      <c r="H751" s="9"/>
      <c r="I751" s="9"/>
      <c r="J751" s="9"/>
      <c r="K751" s="9"/>
      <c r="L751" s="9"/>
      <c r="M751" s="9"/>
      <c r="N751" s="9"/>
      <c r="O751" s="9"/>
      <c r="P751" s="9"/>
      <c r="Q751" s="9"/>
      <c r="R751" s="9"/>
      <c r="S751" s="9"/>
      <c r="T751" s="2332"/>
      <c r="U751" s="9"/>
      <c r="V751" s="9"/>
    </row>
    <row r="752" spans="1:22">
      <c r="A752" s="9"/>
      <c r="B752" s="9"/>
      <c r="C752" s="9"/>
      <c r="D752" s="9"/>
      <c r="E752" s="9"/>
      <c r="F752" s="9"/>
      <c r="G752" s="9"/>
      <c r="H752" s="9"/>
      <c r="I752" s="9"/>
      <c r="J752" s="9"/>
      <c r="K752" s="9"/>
      <c r="L752" s="9"/>
      <c r="M752" s="9"/>
      <c r="N752" s="9"/>
      <c r="O752" s="9"/>
      <c r="P752" s="9"/>
      <c r="Q752" s="9"/>
      <c r="R752" s="9"/>
      <c r="S752" s="9"/>
      <c r="T752" s="2332"/>
      <c r="U752" s="9"/>
      <c r="V752" s="9"/>
    </row>
    <row r="753" spans="1:22">
      <c r="A753" s="9"/>
      <c r="B753" s="9"/>
      <c r="C753" s="9"/>
      <c r="D753" s="9"/>
      <c r="E753" s="9"/>
      <c r="F753" s="9"/>
      <c r="G753" s="9"/>
      <c r="H753" s="9"/>
      <c r="I753" s="9"/>
      <c r="J753" s="9"/>
      <c r="K753" s="9"/>
      <c r="L753" s="9"/>
      <c r="M753" s="9"/>
      <c r="N753" s="9"/>
      <c r="O753" s="9"/>
      <c r="P753" s="9"/>
      <c r="Q753" s="9"/>
      <c r="R753" s="9"/>
      <c r="S753" s="9"/>
      <c r="T753" s="2332"/>
      <c r="U753" s="9"/>
      <c r="V753" s="9"/>
    </row>
    <row r="754" spans="1:22">
      <c r="A754" s="9"/>
      <c r="B754" s="9"/>
      <c r="C754" s="9"/>
      <c r="D754" s="9"/>
      <c r="E754" s="9"/>
      <c r="F754" s="9"/>
      <c r="G754" s="9"/>
      <c r="H754" s="9"/>
      <c r="I754" s="9"/>
      <c r="J754" s="9"/>
      <c r="K754" s="9"/>
      <c r="L754" s="9"/>
      <c r="M754" s="9"/>
      <c r="N754" s="9"/>
      <c r="O754" s="9"/>
      <c r="P754" s="9"/>
      <c r="Q754" s="9"/>
      <c r="R754" s="9"/>
      <c r="S754" s="9"/>
      <c r="T754" s="2332"/>
      <c r="U754" s="9"/>
      <c r="V754" s="9"/>
    </row>
    <row r="755" spans="1:22">
      <c r="A755" s="9"/>
      <c r="B755" s="9"/>
      <c r="C755" s="9"/>
      <c r="D755" s="9"/>
      <c r="E755" s="9"/>
      <c r="F755" s="9"/>
      <c r="G755" s="9"/>
      <c r="H755" s="9"/>
      <c r="I755" s="9"/>
      <c r="J755" s="9"/>
      <c r="K755" s="9"/>
      <c r="L755" s="9"/>
      <c r="M755" s="9"/>
      <c r="N755" s="9"/>
      <c r="O755" s="9"/>
      <c r="P755" s="9"/>
      <c r="Q755" s="9"/>
      <c r="R755" s="9"/>
      <c r="S755" s="9"/>
      <c r="T755" s="2332"/>
      <c r="U755" s="9"/>
      <c r="V755" s="9"/>
    </row>
    <row r="756" spans="1:22">
      <c r="A756" s="9"/>
      <c r="B756" s="9"/>
      <c r="C756" s="9"/>
      <c r="D756" s="9"/>
      <c r="E756" s="9"/>
      <c r="F756" s="9"/>
      <c r="G756" s="9"/>
      <c r="H756" s="9"/>
      <c r="I756" s="9"/>
      <c r="J756" s="9"/>
      <c r="K756" s="9"/>
      <c r="L756" s="9"/>
      <c r="M756" s="9"/>
      <c r="N756" s="9"/>
      <c r="O756" s="9"/>
      <c r="P756" s="9"/>
      <c r="Q756" s="9"/>
      <c r="R756" s="9"/>
      <c r="S756" s="9"/>
      <c r="T756" s="2332"/>
      <c r="U756" s="9"/>
      <c r="V756" s="9"/>
    </row>
    <row r="757" spans="1:22">
      <c r="A757" s="9"/>
      <c r="B757" s="9"/>
      <c r="C757" s="9"/>
      <c r="D757" s="9"/>
      <c r="E757" s="9"/>
      <c r="F757" s="9"/>
      <c r="G757" s="9"/>
      <c r="H757" s="9"/>
      <c r="I757" s="9"/>
      <c r="J757" s="9"/>
      <c r="K757" s="9"/>
      <c r="L757" s="9"/>
      <c r="M757" s="9"/>
      <c r="N757" s="9"/>
      <c r="O757" s="9"/>
      <c r="P757" s="9"/>
      <c r="Q757" s="9"/>
      <c r="R757" s="9"/>
      <c r="S757" s="9"/>
      <c r="T757" s="2332"/>
      <c r="U757" s="9"/>
      <c r="V757" s="9"/>
    </row>
    <row r="758" spans="1:22">
      <c r="A758" s="9"/>
      <c r="B758" s="9"/>
      <c r="C758" s="9"/>
      <c r="D758" s="9"/>
      <c r="E758" s="9"/>
      <c r="F758" s="9"/>
      <c r="G758" s="9"/>
      <c r="H758" s="9"/>
      <c r="I758" s="9"/>
      <c r="J758" s="9"/>
      <c r="K758" s="9"/>
      <c r="L758" s="9"/>
      <c r="M758" s="9"/>
      <c r="N758" s="9"/>
      <c r="O758" s="9"/>
      <c r="P758" s="9"/>
      <c r="Q758" s="9"/>
      <c r="R758" s="9"/>
      <c r="S758" s="9"/>
      <c r="T758" s="2332"/>
      <c r="U758" s="9"/>
      <c r="V758" s="9"/>
    </row>
    <row r="759" spans="1:22">
      <c r="A759" s="9"/>
      <c r="B759" s="9"/>
      <c r="C759" s="9"/>
      <c r="D759" s="9"/>
      <c r="E759" s="9"/>
      <c r="F759" s="9"/>
      <c r="G759" s="9"/>
      <c r="H759" s="9"/>
      <c r="I759" s="9"/>
      <c r="J759" s="9"/>
      <c r="K759" s="9"/>
      <c r="L759" s="9"/>
      <c r="M759" s="9"/>
      <c r="N759" s="9"/>
      <c r="O759" s="9"/>
      <c r="P759" s="9"/>
      <c r="Q759" s="9"/>
      <c r="R759" s="9"/>
      <c r="S759" s="9"/>
      <c r="T759" s="2332"/>
      <c r="U759" s="9"/>
      <c r="V759" s="9"/>
    </row>
    <row r="760" spans="1:22">
      <c r="A760" s="9"/>
      <c r="B760" s="9"/>
      <c r="C760" s="9"/>
      <c r="D760" s="9"/>
      <c r="E760" s="9"/>
      <c r="F760" s="9"/>
      <c r="G760" s="9"/>
      <c r="H760" s="9"/>
      <c r="I760" s="9"/>
      <c r="J760" s="9"/>
      <c r="K760" s="9"/>
      <c r="L760" s="9"/>
      <c r="M760" s="9"/>
      <c r="N760" s="9"/>
      <c r="O760" s="9"/>
      <c r="P760" s="9"/>
      <c r="Q760" s="9"/>
      <c r="R760" s="9"/>
      <c r="S760" s="9"/>
      <c r="T760" s="2332"/>
      <c r="U760" s="9"/>
      <c r="V760" s="9"/>
    </row>
    <row r="761" spans="1:22">
      <c r="A761" s="9"/>
      <c r="B761" s="9"/>
      <c r="C761" s="9"/>
      <c r="D761" s="9"/>
      <c r="E761" s="9"/>
      <c r="F761" s="9"/>
      <c r="G761" s="9"/>
      <c r="H761" s="9"/>
      <c r="I761" s="9"/>
      <c r="J761" s="9"/>
      <c r="K761" s="9"/>
      <c r="L761" s="9"/>
      <c r="M761" s="9"/>
      <c r="N761" s="9"/>
      <c r="O761" s="9"/>
      <c r="P761" s="9"/>
      <c r="Q761" s="9"/>
      <c r="R761" s="9"/>
      <c r="S761" s="9"/>
      <c r="T761" s="2332"/>
      <c r="U761" s="9"/>
      <c r="V761" s="9"/>
    </row>
    <row r="762" spans="1:22">
      <c r="A762" s="9"/>
      <c r="B762" s="9"/>
      <c r="C762" s="9"/>
      <c r="D762" s="9"/>
      <c r="E762" s="9"/>
      <c r="F762" s="9"/>
      <c r="G762" s="9"/>
      <c r="H762" s="9"/>
      <c r="I762" s="9"/>
      <c r="J762" s="9"/>
      <c r="K762" s="9"/>
      <c r="L762" s="9"/>
      <c r="M762" s="9"/>
      <c r="N762" s="9"/>
      <c r="O762" s="9"/>
      <c r="P762" s="9"/>
      <c r="Q762" s="9"/>
      <c r="R762" s="9"/>
      <c r="S762" s="9"/>
      <c r="T762" s="2332"/>
      <c r="U762" s="9"/>
      <c r="V762" s="9"/>
    </row>
    <row r="763" spans="1:22">
      <c r="A763" s="9"/>
      <c r="B763" s="9"/>
      <c r="C763" s="9"/>
      <c r="D763" s="9"/>
      <c r="E763" s="9"/>
      <c r="F763" s="9"/>
      <c r="G763" s="9"/>
      <c r="H763" s="9"/>
      <c r="I763" s="9"/>
      <c r="J763" s="9"/>
      <c r="K763" s="9"/>
      <c r="L763" s="9"/>
      <c r="M763" s="9"/>
      <c r="N763" s="9"/>
      <c r="O763" s="9"/>
      <c r="P763" s="9"/>
      <c r="Q763" s="9"/>
      <c r="R763" s="9"/>
      <c r="S763" s="9"/>
      <c r="T763" s="2332"/>
      <c r="U763" s="9"/>
      <c r="V763" s="9"/>
    </row>
    <row r="764" spans="1:22">
      <c r="A764" s="9"/>
      <c r="B764" s="9"/>
      <c r="C764" s="9"/>
      <c r="D764" s="9"/>
      <c r="E764" s="9"/>
      <c r="F764" s="9"/>
      <c r="G764" s="9"/>
      <c r="H764" s="9"/>
      <c r="I764" s="9"/>
      <c r="J764" s="9"/>
      <c r="K764" s="9"/>
      <c r="L764" s="9"/>
      <c r="M764" s="9"/>
      <c r="N764" s="9"/>
      <c r="O764" s="9"/>
      <c r="P764" s="9"/>
      <c r="Q764" s="9"/>
      <c r="R764" s="9"/>
      <c r="S764" s="9"/>
      <c r="T764" s="2332"/>
      <c r="U764" s="9"/>
      <c r="V764" s="9"/>
    </row>
    <row r="765" spans="1:22">
      <c r="A765" s="9"/>
      <c r="B765" s="9"/>
      <c r="C765" s="9"/>
      <c r="D765" s="9"/>
      <c r="E765" s="9"/>
      <c r="F765" s="9"/>
      <c r="G765" s="9"/>
      <c r="H765" s="9"/>
      <c r="I765" s="9"/>
      <c r="J765" s="9"/>
      <c r="K765" s="9"/>
      <c r="L765" s="9"/>
      <c r="M765" s="9"/>
      <c r="N765" s="9"/>
      <c r="O765" s="9"/>
      <c r="P765" s="9"/>
      <c r="Q765" s="9"/>
      <c r="R765" s="9"/>
      <c r="S765" s="9"/>
      <c r="T765" s="2332"/>
      <c r="U765" s="9"/>
      <c r="V765" s="9"/>
    </row>
    <row r="766" spans="1:22">
      <c r="A766" s="9"/>
      <c r="B766" s="9"/>
      <c r="C766" s="9"/>
      <c r="D766" s="9"/>
      <c r="E766" s="9"/>
      <c r="F766" s="9"/>
      <c r="G766" s="9"/>
      <c r="H766" s="9"/>
      <c r="I766" s="9"/>
      <c r="J766" s="9"/>
      <c r="K766" s="9"/>
      <c r="L766" s="9"/>
      <c r="M766" s="9"/>
      <c r="N766" s="9"/>
      <c r="O766" s="9"/>
      <c r="P766" s="9"/>
      <c r="Q766" s="9"/>
      <c r="R766" s="9"/>
      <c r="S766" s="9"/>
      <c r="T766" s="2332"/>
      <c r="U766" s="9"/>
      <c r="V766" s="9"/>
    </row>
    <row r="767" spans="1:22">
      <c r="A767" s="9"/>
      <c r="B767" s="9"/>
      <c r="C767" s="9"/>
      <c r="D767" s="9"/>
      <c r="E767" s="9"/>
      <c r="F767" s="9"/>
      <c r="G767" s="9"/>
      <c r="H767" s="9"/>
      <c r="I767" s="9"/>
      <c r="J767" s="9"/>
      <c r="K767" s="9"/>
      <c r="L767" s="9"/>
      <c r="M767" s="9"/>
      <c r="N767" s="9"/>
      <c r="O767" s="9"/>
      <c r="P767" s="9"/>
      <c r="Q767" s="9"/>
      <c r="R767" s="9"/>
      <c r="S767" s="9"/>
      <c r="T767" s="2332"/>
      <c r="U767" s="9"/>
      <c r="V767" s="9"/>
    </row>
    <row r="768" spans="1:22">
      <c r="A768" s="9"/>
      <c r="B768" s="9"/>
      <c r="C768" s="9"/>
      <c r="D768" s="9"/>
      <c r="E768" s="9"/>
      <c r="F768" s="9"/>
      <c r="G768" s="9"/>
      <c r="H768" s="9"/>
      <c r="I768" s="9"/>
      <c r="J768" s="9"/>
      <c r="K768" s="9"/>
      <c r="L768" s="9"/>
      <c r="M768" s="9"/>
      <c r="N768" s="9"/>
      <c r="O768" s="9"/>
      <c r="P768" s="9"/>
      <c r="Q768" s="9"/>
      <c r="R768" s="9"/>
      <c r="S768" s="9"/>
      <c r="T768" s="2332"/>
      <c r="U768" s="9"/>
      <c r="V768" s="9"/>
    </row>
    <row r="769" spans="1:22">
      <c r="A769" s="9"/>
      <c r="B769" s="9"/>
      <c r="C769" s="9"/>
      <c r="D769" s="9"/>
      <c r="E769" s="9"/>
      <c r="F769" s="9"/>
      <c r="G769" s="9"/>
      <c r="H769" s="9"/>
      <c r="I769" s="9"/>
      <c r="J769" s="9"/>
      <c r="K769" s="9"/>
      <c r="L769" s="9"/>
      <c r="M769" s="9"/>
      <c r="N769" s="9"/>
      <c r="O769" s="9"/>
      <c r="P769" s="9"/>
      <c r="Q769" s="9"/>
      <c r="R769" s="9"/>
      <c r="S769" s="9"/>
      <c r="T769" s="2332"/>
      <c r="U769" s="9"/>
      <c r="V769" s="9"/>
    </row>
    <row r="770" spans="1:22">
      <c r="A770" s="9"/>
      <c r="B770" s="9"/>
      <c r="C770" s="9"/>
      <c r="D770" s="9"/>
      <c r="E770" s="9"/>
      <c r="F770" s="9"/>
      <c r="G770" s="9"/>
      <c r="H770" s="9"/>
      <c r="I770" s="9"/>
      <c r="J770" s="9"/>
      <c r="K770" s="9"/>
      <c r="L770" s="9"/>
      <c r="M770" s="9"/>
      <c r="N770" s="9"/>
      <c r="O770" s="9"/>
      <c r="P770" s="9"/>
      <c r="Q770" s="9"/>
      <c r="R770" s="9"/>
      <c r="S770" s="9"/>
      <c r="T770" s="2332"/>
      <c r="U770" s="9"/>
      <c r="V770" s="9"/>
    </row>
    <row r="771" spans="1:22">
      <c r="A771" s="9"/>
      <c r="B771" s="9"/>
      <c r="C771" s="9"/>
      <c r="D771" s="9"/>
      <c r="E771" s="9"/>
      <c r="F771" s="9"/>
      <c r="G771" s="9"/>
      <c r="H771" s="9"/>
      <c r="I771" s="9"/>
      <c r="J771" s="9"/>
      <c r="K771" s="9"/>
      <c r="L771" s="9"/>
      <c r="M771" s="9"/>
      <c r="N771" s="9"/>
      <c r="O771" s="9"/>
      <c r="P771" s="9"/>
      <c r="Q771" s="9"/>
      <c r="R771" s="9"/>
      <c r="S771" s="9"/>
      <c r="T771" s="2332"/>
      <c r="U771" s="9"/>
      <c r="V771" s="9"/>
    </row>
    <row r="772" spans="1:22">
      <c r="A772" s="9"/>
      <c r="B772" s="9"/>
      <c r="C772" s="9"/>
      <c r="D772" s="9"/>
      <c r="E772" s="9"/>
      <c r="F772" s="9"/>
      <c r="G772" s="9"/>
      <c r="H772" s="9"/>
      <c r="I772" s="9"/>
      <c r="J772" s="9"/>
      <c r="K772" s="9"/>
      <c r="L772" s="9"/>
      <c r="M772" s="9"/>
      <c r="N772" s="9"/>
      <c r="O772" s="9"/>
      <c r="P772" s="9"/>
      <c r="Q772" s="9"/>
      <c r="R772" s="9"/>
      <c r="S772" s="9"/>
      <c r="T772" s="2332"/>
      <c r="U772" s="9"/>
      <c r="V772" s="9"/>
    </row>
    <row r="773" spans="1:22">
      <c r="A773" s="9"/>
      <c r="B773" s="9"/>
      <c r="C773" s="9"/>
      <c r="D773" s="9"/>
      <c r="E773" s="9"/>
      <c r="F773" s="9"/>
      <c r="G773" s="9"/>
      <c r="H773" s="9"/>
      <c r="I773" s="9"/>
      <c r="J773" s="9"/>
      <c r="K773" s="9"/>
      <c r="L773" s="9"/>
      <c r="M773" s="9"/>
      <c r="N773" s="9"/>
      <c r="O773" s="9"/>
      <c r="P773" s="9"/>
      <c r="Q773" s="9"/>
      <c r="R773" s="9"/>
      <c r="S773" s="9"/>
      <c r="T773" s="2332"/>
      <c r="U773" s="9"/>
      <c r="V773" s="9"/>
    </row>
    <row r="774" spans="1:22">
      <c r="A774" s="9"/>
      <c r="B774" s="9"/>
      <c r="C774" s="9"/>
      <c r="D774" s="9"/>
      <c r="E774" s="9"/>
      <c r="F774" s="9"/>
      <c r="G774" s="9"/>
      <c r="H774" s="9"/>
      <c r="I774" s="9"/>
      <c r="J774" s="9"/>
      <c r="K774" s="9"/>
      <c r="L774" s="9"/>
      <c r="M774" s="9"/>
      <c r="N774" s="9"/>
      <c r="O774" s="9"/>
      <c r="P774" s="9"/>
      <c r="Q774" s="9"/>
      <c r="R774" s="9"/>
      <c r="S774" s="9"/>
      <c r="T774" s="2332"/>
      <c r="U774" s="9"/>
      <c r="V774" s="9"/>
    </row>
    <row r="775" spans="1:22">
      <c r="A775" s="9"/>
      <c r="B775" s="9"/>
      <c r="C775" s="9"/>
      <c r="D775" s="9"/>
      <c r="E775" s="9"/>
      <c r="F775" s="9"/>
      <c r="G775" s="9"/>
      <c r="H775" s="9"/>
      <c r="I775" s="9"/>
      <c r="J775" s="9"/>
      <c r="K775" s="9"/>
      <c r="L775" s="9"/>
      <c r="M775" s="9"/>
      <c r="N775" s="9"/>
      <c r="O775" s="9"/>
      <c r="P775" s="9"/>
      <c r="Q775" s="9"/>
      <c r="R775" s="9"/>
      <c r="S775" s="9"/>
      <c r="T775" s="2332"/>
      <c r="U775" s="9"/>
      <c r="V775" s="9"/>
    </row>
    <row r="776" spans="1:22">
      <c r="A776" s="9"/>
      <c r="B776" s="9"/>
      <c r="C776" s="9"/>
      <c r="D776" s="9"/>
      <c r="E776" s="9"/>
      <c r="F776" s="9"/>
      <c r="G776" s="9"/>
      <c r="H776" s="9"/>
      <c r="I776" s="9"/>
      <c r="J776" s="9"/>
      <c r="K776" s="9"/>
      <c r="L776" s="9"/>
      <c r="M776" s="9"/>
      <c r="N776" s="9"/>
      <c r="O776" s="9"/>
      <c r="P776" s="9"/>
      <c r="Q776" s="9"/>
      <c r="R776" s="9"/>
      <c r="S776" s="9"/>
      <c r="T776" s="2332"/>
      <c r="U776" s="9"/>
      <c r="V776" s="9"/>
    </row>
    <row r="777" spans="1:22">
      <c r="A777" s="9"/>
      <c r="B777" s="9"/>
      <c r="C777" s="9"/>
      <c r="D777" s="9"/>
      <c r="E777" s="9"/>
      <c r="F777" s="9"/>
      <c r="G777" s="9"/>
      <c r="H777" s="9"/>
      <c r="I777" s="9"/>
      <c r="J777" s="9"/>
      <c r="K777" s="9"/>
      <c r="L777" s="9"/>
      <c r="M777" s="9"/>
      <c r="N777" s="9"/>
      <c r="O777" s="9"/>
      <c r="P777" s="9"/>
      <c r="Q777" s="9"/>
      <c r="R777" s="9"/>
      <c r="S777" s="9"/>
      <c r="T777" s="2332"/>
      <c r="U777" s="9"/>
      <c r="V777" s="9"/>
    </row>
    <row r="778" spans="1:22">
      <c r="A778" s="9"/>
      <c r="B778" s="9"/>
      <c r="C778" s="9"/>
      <c r="D778" s="9"/>
      <c r="E778" s="9"/>
      <c r="F778" s="9"/>
      <c r="G778" s="9"/>
      <c r="H778" s="9"/>
      <c r="I778" s="9"/>
      <c r="J778" s="9"/>
      <c r="K778" s="9"/>
      <c r="L778" s="9"/>
      <c r="M778" s="9"/>
      <c r="N778" s="9"/>
      <c r="O778" s="9"/>
      <c r="P778" s="9"/>
      <c r="Q778" s="9"/>
      <c r="R778" s="9"/>
      <c r="S778" s="9"/>
      <c r="T778" s="2332"/>
      <c r="U778" s="9"/>
      <c r="V778" s="9"/>
    </row>
    <row r="779" spans="1:22">
      <c r="A779" s="9"/>
      <c r="B779" s="9"/>
      <c r="C779" s="9"/>
      <c r="D779" s="9"/>
      <c r="E779" s="9"/>
      <c r="F779" s="9"/>
      <c r="G779" s="9"/>
      <c r="H779" s="9"/>
      <c r="I779" s="9"/>
      <c r="J779" s="9"/>
      <c r="K779" s="9"/>
      <c r="L779" s="9"/>
      <c r="M779" s="9"/>
      <c r="N779" s="9"/>
      <c r="O779" s="9"/>
      <c r="P779" s="9"/>
      <c r="Q779" s="9"/>
      <c r="R779" s="9"/>
      <c r="S779" s="9"/>
      <c r="T779" s="2332"/>
      <c r="U779" s="9"/>
      <c r="V779" s="9"/>
    </row>
    <row r="780" spans="1:22">
      <c r="A780" s="9"/>
      <c r="B780" s="9"/>
      <c r="C780" s="9"/>
      <c r="D780" s="9"/>
      <c r="E780" s="9"/>
      <c r="F780" s="9"/>
      <c r="G780" s="9"/>
      <c r="H780" s="9"/>
      <c r="I780" s="9"/>
      <c r="J780" s="9"/>
      <c r="K780" s="9"/>
      <c r="L780" s="9"/>
      <c r="M780" s="9"/>
      <c r="N780" s="9"/>
      <c r="O780" s="9"/>
      <c r="P780" s="9"/>
      <c r="Q780" s="9"/>
      <c r="R780" s="9"/>
      <c r="S780" s="9"/>
      <c r="T780" s="2332"/>
      <c r="U780" s="9"/>
      <c r="V780" s="9"/>
    </row>
    <row r="781" spans="1:22">
      <c r="A781" s="9"/>
      <c r="B781" s="9"/>
      <c r="C781" s="9"/>
      <c r="D781" s="9"/>
      <c r="E781" s="9"/>
      <c r="F781" s="9"/>
      <c r="G781" s="9"/>
      <c r="H781" s="9"/>
      <c r="I781" s="9"/>
      <c r="J781" s="9"/>
      <c r="K781" s="9"/>
      <c r="L781" s="9"/>
      <c r="M781" s="9"/>
      <c r="N781" s="9"/>
      <c r="O781" s="9"/>
      <c r="P781" s="9"/>
      <c r="Q781" s="9"/>
      <c r="R781" s="9"/>
      <c r="S781" s="9"/>
      <c r="T781" s="2332"/>
      <c r="U781" s="9"/>
      <c r="V781" s="9"/>
    </row>
    <row r="782" spans="1:22">
      <c r="A782" s="9"/>
      <c r="B782" s="9"/>
      <c r="C782" s="9"/>
      <c r="D782" s="9"/>
      <c r="E782" s="9"/>
      <c r="F782" s="9"/>
      <c r="G782" s="9"/>
      <c r="H782" s="9"/>
      <c r="I782" s="9"/>
      <c r="J782" s="9"/>
      <c r="K782" s="9"/>
      <c r="L782" s="9"/>
      <c r="M782" s="9"/>
      <c r="N782" s="9"/>
      <c r="O782" s="9"/>
      <c r="P782" s="9"/>
      <c r="Q782" s="9"/>
      <c r="R782" s="9"/>
      <c r="S782" s="9"/>
      <c r="T782" s="2332"/>
      <c r="U782" s="9"/>
      <c r="V782" s="9"/>
    </row>
    <row r="783" spans="1:22">
      <c r="A783" s="9"/>
      <c r="B783" s="9"/>
      <c r="C783" s="9"/>
      <c r="D783" s="9"/>
      <c r="E783" s="9"/>
      <c r="F783" s="9"/>
      <c r="G783" s="9"/>
      <c r="H783" s="9"/>
      <c r="I783" s="9"/>
      <c r="J783" s="9"/>
      <c r="K783" s="9"/>
      <c r="L783" s="9"/>
      <c r="M783" s="9"/>
      <c r="N783" s="9"/>
      <c r="O783" s="9"/>
      <c r="P783" s="9"/>
      <c r="Q783" s="9"/>
      <c r="R783" s="9"/>
      <c r="S783" s="9"/>
      <c r="T783" s="2332"/>
      <c r="U783" s="9"/>
      <c r="V783" s="9"/>
    </row>
    <row r="784" spans="1:22">
      <c r="A784" s="9"/>
      <c r="B784" s="9"/>
      <c r="C784" s="9"/>
      <c r="D784" s="9"/>
      <c r="E784" s="9"/>
      <c r="F784" s="9"/>
      <c r="G784" s="9"/>
      <c r="H784" s="9"/>
      <c r="I784" s="9"/>
      <c r="J784" s="9"/>
      <c r="K784" s="9"/>
      <c r="L784" s="9"/>
      <c r="M784" s="9"/>
      <c r="N784" s="9"/>
      <c r="O784" s="9"/>
      <c r="P784" s="9"/>
      <c r="Q784" s="9"/>
      <c r="R784" s="9"/>
      <c r="S784" s="9"/>
      <c r="T784" s="2332"/>
      <c r="U784" s="9"/>
      <c r="V784" s="9"/>
    </row>
    <row r="785" spans="1:22">
      <c r="A785" s="9"/>
      <c r="B785" s="9"/>
      <c r="C785" s="9"/>
      <c r="D785" s="9"/>
      <c r="E785" s="9"/>
      <c r="F785" s="9"/>
      <c r="G785" s="9"/>
      <c r="H785" s="9"/>
      <c r="I785" s="9"/>
      <c r="J785" s="9"/>
      <c r="K785" s="9"/>
      <c r="L785" s="9"/>
      <c r="M785" s="9"/>
      <c r="N785" s="9"/>
      <c r="O785" s="9"/>
      <c r="P785" s="9"/>
      <c r="Q785" s="9"/>
      <c r="R785" s="9"/>
      <c r="S785" s="9"/>
      <c r="T785" s="2332"/>
      <c r="U785" s="9"/>
      <c r="V785" s="9"/>
    </row>
    <row r="786" spans="1:22">
      <c r="A786" s="9"/>
      <c r="B786" s="9"/>
      <c r="C786" s="9"/>
      <c r="D786" s="9"/>
      <c r="E786" s="9"/>
      <c r="F786" s="9"/>
      <c r="G786" s="9"/>
      <c r="H786" s="9"/>
      <c r="I786" s="9"/>
      <c r="J786" s="9"/>
      <c r="K786" s="9"/>
      <c r="L786" s="9"/>
      <c r="M786" s="9"/>
      <c r="N786" s="9"/>
      <c r="O786" s="9"/>
      <c r="P786" s="9"/>
      <c r="Q786" s="9"/>
      <c r="R786" s="9"/>
      <c r="S786" s="9"/>
      <c r="T786" s="2332"/>
      <c r="U786" s="9"/>
      <c r="V786" s="9"/>
    </row>
    <row r="787" spans="1:22">
      <c r="A787" s="9"/>
      <c r="B787" s="9"/>
      <c r="C787" s="9"/>
      <c r="D787" s="9"/>
      <c r="E787" s="9"/>
      <c r="F787" s="9"/>
      <c r="G787" s="9"/>
      <c r="H787" s="9"/>
      <c r="I787" s="9"/>
      <c r="J787" s="9"/>
      <c r="K787" s="9"/>
      <c r="L787" s="9"/>
      <c r="M787" s="9"/>
      <c r="N787" s="9"/>
      <c r="O787" s="9"/>
      <c r="P787" s="9"/>
      <c r="Q787" s="9"/>
      <c r="R787" s="9"/>
      <c r="S787" s="9"/>
      <c r="T787" s="2332"/>
      <c r="U787" s="9"/>
      <c r="V787" s="9"/>
    </row>
    <row r="788" spans="1:22">
      <c r="A788" s="9"/>
      <c r="B788" s="9"/>
      <c r="C788" s="9"/>
      <c r="D788" s="9"/>
      <c r="E788" s="9"/>
      <c r="F788" s="9"/>
      <c r="G788" s="9"/>
      <c r="H788" s="9"/>
      <c r="I788" s="9"/>
      <c r="J788" s="9"/>
      <c r="K788" s="9"/>
      <c r="L788" s="9"/>
      <c r="M788" s="9"/>
      <c r="N788" s="9"/>
      <c r="O788" s="9"/>
      <c r="P788" s="9"/>
      <c r="Q788" s="9"/>
      <c r="R788" s="9"/>
      <c r="S788" s="9"/>
      <c r="T788" s="2332"/>
      <c r="U788" s="9"/>
      <c r="V788" s="9"/>
    </row>
    <row r="789" spans="1:22">
      <c r="A789" s="9"/>
      <c r="B789" s="9"/>
      <c r="C789" s="9"/>
      <c r="D789" s="9"/>
      <c r="E789" s="9"/>
      <c r="F789" s="9"/>
      <c r="G789" s="9"/>
      <c r="H789" s="9"/>
      <c r="I789" s="9"/>
      <c r="J789" s="9"/>
      <c r="K789" s="9"/>
      <c r="L789" s="9"/>
      <c r="M789" s="9"/>
      <c r="N789" s="9"/>
      <c r="O789" s="9"/>
      <c r="P789" s="9"/>
      <c r="Q789" s="9"/>
      <c r="R789" s="9"/>
      <c r="S789" s="9"/>
      <c r="T789" s="2332"/>
      <c r="U789" s="9"/>
      <c r="V789" s="9"/>
    </row>
    <row r="790" spans="1:22">
      <c r="A790" s="9"/>
      <c r="B790" s="9"/>
      <c r="C790" s="9"/>
      <c r="D790" s="9"/>
      <c r="E790" s="9"/>
      <c r="F790" s="9"/>
      <c r="G790" s="9"/>
      <c r="H790" s="9"/>
      <c r="I790" s="9"/>
      <c r="J790" s="9"/>
      <c r="K790" s="9"/>
      <c r="L790" s="9"/>
      <c r="M790" s="9"/>
      <c r="N790" s="9"/>
      <c r="O790" s="9"/>
      <c r="P790" s="9"/>
      <c r="Q790" s="9"/>
      <c r="R790" s="9"/>
      <c r="S790" s="9"/>
      <c r="T790" s="2332"/>
      <c r="U790" s="9"/>
      <c r="V790" s="9"/>
    </row>
    <row r="791" spans="1:22">
      <c r="A791" s="9"/>
      <c r="B791" s="9"/>
      <c r="C791" s="9"/>
      <c r="D791" s="9"/>
      <c r="E791" s="9"/>
      <c r="F791" s="9"/>
      <c r="G791" s="9"/>
      <c r="H791" s="9"/>
      <c r="I791" s="9"/>
      <c r="J791" s="9"/>
      <c r="K791" s="9"/>
      <c r="L791" s="9"/>
      <c r="M791" s="9"/>
      <c r="N791" s="9"/>
      <c r="O791" s="9"/>
      <c r="P791" s="9"/>
      <c r="Q791" s="9"/>
      <c r="R791" s="9"/>
      <c r="S791" s="9"/>
      <c r="T791" s="2332"/>
      <c r="U791" s="9"/>
      <c r="V791" s="9"/>
    </row>
    <row r="792" spans="1:22">
      <c r="A792" s="9"/>
      <c r="B792" s="9"/>
      <c r="C792" s="9"/>
      <c r="D792" s="9"/>
      <c r="E792" s="9"/>
      <c r="F792" s="9"/>
      <c r="G792" s="9"/>
      <c r="H792" s="9"/>
      <c r="I792" s="9"/>
      <c r="J792" s="9"/>
      <c r="K792" s="9"/>
      <c r="L792" s="9"/>
      <c r="M792" s="9"/>
      <c r="N792" s="9"/>
      <c r="O792" s="9"/>
      <c r="P792" s="9"/>
      <c r="Q792" s="9"/>
      <c r="R792" s="9"/>
      <c r="S792" s="9"/>
      <c r="T792" s="2332"/>
      <c r="U792" s="9"/>
      <c r="V792" s="9"/>
    </row>
    <row r="793" spans="1:22">
      <c r="A793" s="9"/>
      <c r="B793" s="9"/>
      <c r="C793" s="9"/>
      <c r="D793" s="9"/>
      <c r="E793" s="9"/>
      <c r="F793" s="9"/>
      <c r="G793" s="9"/>
      <c r="H793" s="9"/>
      <c r="I793" s="9"/>
      <c r="J793" s="9"/>
      <c r="K793" s="9"/>
      <c r="L793" s="9"/>
      <c r="M793" s="9"/>
      <c r="N793" s="9"/>
      <c r="O793" s="9"/>
      <c r="P793" s="9"/>
      <c r="Q793" s="9"/>
      <c r="R793" s="9"/>
      <c r="S793" s="9"/>
      <c r="T793" s="2332"/>
      <c r="U793" s="9"/>
      <c r="V793" s="9"/>
    </row>
    <row r="794" spans="1:22">
      <c r="A794" s="9"/>
      <c r="B794" s="9"/>
      <c r="C794" s="9"/>
      <c r="D794" s="9"/>
      <c r="E794" s="9"/>
      <c r="F794" s="9"/>
      <c r="G794" s="9"/>
      <c r="H794" s="9"/>
      <c r="I794" s="9"/>
      <c r="J794" s="9"/>
      <c r="K794" s="9"/>
      <c r="L794" s="9"/>
      <c r="M794" s="9"/>
      <c r="N794" s="9"/>
      <c r="O794" s="9"/>
      <c r="P794" s="9"/>
      <c r="Q794" s="9"/>
      <c r="R794" s="9"/>
      <c r="S794" s="9"/>
      <c r="T794" s="2332"/>
      <c r="U794" s="9"/>
      <c r="V794" s="9"/>
    </row>
    <row r="795" spans="1:22">
      <c r="A795" s="9"/>
      <c r="B795" s="9"/>
      <c r="C795" s="9"/>
      <c r="D795" s="9"/>
      <c r="E795" s="9"/>
      <c r="F795" s="9"/>
      <c r="G795" s="9"/>
      <c r="H795" s="9"/>
      <c r="I795" s="9"/>
      <c r="J795" s="9"/>
      <c r="K795" s="9"/>
      <c r="L795" s="9"/>
      <c r="M795" s="9"/>
      <c r="N795" s="9"/>
      <c r="O795" s="9"/>
      <c r="P795" s="9"/>
      <c r="Q795" s="9"/>
      <c r="R795" s="9"/>
      <c r="S795" s="9"/>
      <c r="T795" s="2332"/>
      <c r="U795" s="9"/>
      <c r="V795" s="9"/>
    </row>
    <row r="796" spans="1:22">
      <c r="A796" s="9"/>
      <c r="B796" s="9"/>
      <c r="C796" s="9"/>
      <c r="D796" s="9"/>
      <c r="E796" s="9"/>
      <c r="F796" s="9"/>
      <c r="G796" s="9"/>
      <c r="H796" s="9"/>
      <c r="I796" s="9"/>
      <c r="J796" s="9"/>
      <c r="K796" s="9"/>
      <c r="L796" s="9"/>
      <c r="M796" s="9"/>
      <c r="N796" s="9"/>
      <c r="O796" s="9"/>
      <c r="P796" s="9"/>
      <c r="Q796" s="9"/>
      <c r="R796" s="9"/>
      <c r="S796" s="9"/>
      <c r="T796" s="2332"/>
      <c r="U796" s="9"/>
      <c r="V796" s="9"/>
    </row>
    <row r="797" spans="1:22">
      <c r="A797" s="9"/>
      <c r="B797" s="9"/>
      <c r="C797" s="9"/>
      <c r="D797" s="9"/>
      <c r="E797" s="9"/>
      <c r="F797" s="9"/>
      <c r="G797" s="9"/>
      <c r="H797" s="9"/>
      <c r="I797" s="9"/>
      <c r="J797" s="9"/>
      <c r="K797" s="9"/>
      <c r="L797" s="9"/>
      <c r="M797" s="9"/>
      <c r="N797" s="9"/>
      <c r="O797" s="9"/>
      <c r="P797" s="9"/>
      <c r="Q797" s="9"/>
      <c r="R797" s="9"/>
      <c r="S797" s="9"/>
      <c r="T797" s="2332"/>
      <c r="U797" s="9"/>
      <c r="V797" s="9"/>
    </row>
    <row r="798" spans="1:22">
      <c r="A798" s="9"/>
      <c r="B798" s="9"/>
      <c r="C798" s="9"/>
      <c r="D798" s="9"/>
      <c r="E798" s="9"/>
      <c r="F798" s="9"/>
      <c r="G798" s="9"/>
      <c r="H798" s="9"/>
      <c r="I798" s="9"/>
      <c r="J798" s="9"/>
      <c r="K798" s="9"/>
      <c r="L798" s="9"/>
      <c r="M798" s="9"/>
      <c r="N798" s="9"/>
      <c r="O798" s="9"/>
      <c r="P798" s="9"/>
      <c r="Q798" s="9"/>
      <c r="R798" s="9"/>
      <c r="S798" s="9"/>
      <c r="T798" s="2332"/>
      <c r="U798" s="9"/>
      <c r="V798" s="9"/>
    </row>
    <row r="799" spans="1:22">
      <c r="A799" s="9"/>
      <c r="B799" s="9"/>
      <c r="C799" s="9"/>
      <c r="D799" s="9"/>
      <c r="E799" s="9"/>
      <c r="F799" s="9"/>
      <c r="G799" s="9"/>
      <c r="H799" s="9"/>
      <c r="I799" s="9"/>
      <c r="J799" s="9"/>
      <c r="K799" s="9"/>
      <c r="L799" s="9"/>
      <c r="M799" s="9"/>
      <c r="N799" s="9"/>
      <c r="O799" s="9"/>
      <c r="P799" s="9"/>
      <c r="Q799" s="9"/>
      <c r="R799" s="9"/>
      <c r="S799" s="9"/>
      <c r="T799" s="2332"/>
      <c r="U799" s="9"/>
      <c r="V799" s="9"/>
    </row>
    <row r="800" spans="1:22">
      <c r="A800" s="9"/>
      <c r="B800" s="9"/>
      <c r="C800" s="9"/>
      <c r="D800" s="9"/>
      <c r="E800" s="9"/>
      <c r="F800" s="9"/>
      <c r="G800" s="9"/>
      <c r="H800" s="9"/>
      <c r="I800" s="9"/>
      <c r="J800" s="9"/>
      <c r="K800" s="9"/>
      <c r="L800" s="9"/>
      <c r="M800" s="9"/>
      <c r="N800" s="9"/>
      <c r="O800" s="9"/>
      <c r="P800" s="9"/>
      <c r="Q800" s="9"/>
      <c r="R800" s="9"/>
      <c r="S800" s="9"/>
      <c r="T800" s="2332"/>
      <c r="U800" s="9"/>
      <c r="V800" s="9"/>
    </row>
    <row r="801" spans="1:22">
      <c r="A801" s="9"/>
      <c r="B801" s="9"/>
      <c r="C801" s="9"/>
      <c r="D801" s="9"/>
      <c r="E801" s="9"/>
      <c r="F801" s="9"/>
      <c r="G801" s="9"/>
      <c r="H801" s="9"/>
      <c r="I801" s="9"/>
      <c r="J801" s="9"/>
      <c r="K801" s="9"/>
      <c r="L801" s="9"/>
      <c r="M801" s="9"/>
      <c r="N801" s="9"/>
      <c r="O801" s="9"/>
      <c r="P801" s="9"/>
      <c r="Q801" s="9"/>
      <c r="R801" s="9"/>
      <c r="S801" s="9"/>
      <c r="T801" s="2332"/>
      <c r="U801" s="9"/>
      <c r="V801" s="9"/>
    </row>
    <row r="802" spans="1:22">
      <c r="A802" s="9"/>
      <c r="B802" s="9"/>
      <c r="C802" s="9"/>
      <c r="D802" s="9"/>
      <c r="E802" s="9"/>
      <c r="F802" s="9"/>
      <c r="G802" s="9"/>
      <c r="H802" s="9"/>
      <c r="I802" s="9"/>
      <c r="J802" s="9"/>
      <c r="K802" s="9"/>
      <c r="L802" s="9"/>
      <c r="M802" s="9"/>
      <c r="N802" s="9"/>
      <c r="O802" s="9"/>
      <c r="P802" s="9"/>
      <c r="Q802" s="9"/>
      <c r="R802" s="9"/>
      <c r="S802" s="9"/>
      <c r="T802" s="2332"/>
      <c r="U802" s="9"/>
      <c r="V802" s="9"/>
    </row>
    <row r="803" spans="1:22">
      <c r="A803" s="9"/>
      <c r="B803" s="9"/>
      <c r="C803" s="9"/>
      <c r="D803" s="9"/>
      <c r="E803" s="9"/>
      <c r="F803" s="9"/>
      <c r="G803" s="9"/>
      <c r="H803" s="9"/>
      <c r="I803" s="9"/>
      <c r="J803" s="9"/>
      <c r="K803" s="9"/>
      <c r="L803" s="9"/>
      <c r="M803" s="9"/>
      <c r="N803" s="9"/>
      <c r="O803" s="9"/>
      <c r="P803" s="9"/>
      <c r="Q803" s="9"/>
      <c r="R803" s="9"/>
      <c r="S803" s="9"/>
      <c r="T803" s="2332"/>
      <c r="U803" s="9"/>
      <c r="V803" s="9"/>
    </row>
    <row r="804" spans="1:22">
      <c r="A804" s="9"/>
      <c r="B804" s="9"/>
      <c r="C804" s="9"/>
      <c r="D804" s="9"/>
      <c r="E804" s="9"/>
      <c r="F804" s="9"/>
      <c r="G804" s="9"/>
      <c r="H804" s="9"/>
      <c r="I804" s="9"/>
      <c r="J804" s="9"/>
      <c r="K804" s="9"/>
      <c r="L804" s="9"/>
      <c r="M804" s="9"/>
      <c r="N804" s="9"/>
      <c r="O804" s="9"/>
      <c r="P804" s="9"/>
      <c r="Q804" s="9"/>
      <c r="R804" s="9"/>
      <c r="S804" s="9"/>
      <c r="T804" s="2332"/>
      <c r="U804" s="9"/>
      <c r="V804" s="9"/>
    </row>
    <row r="805" spans="1:22">
      <c r="A805" s="9"/>
      <c r="B805" s="9"/>
      <c r="C805" s="9"/>
      <c r="D805" s="9"/>
      <c r="E805" s="9"/>
      <c r="F805" s="9"/>
      <c r="G805" s="9"/>
      <c r="H805" s="9"/>
      <c r="I805" s="9"/>
      <c r="J805" s="9"/>
      <c r="K805" s="9"/>
      <c r="L805" s="9"/>
      <c r="M805" s="9"/>
      <c r="N805" s="9"/>
      <c r="O805" s="9"/>
      <c r="P805" s="9"/>
      <c r="Q805" s="9"/>
      <c r="R805" s="9"/>
      <c r="S805" s="9"/>
      <c r="T805" s="2332"/>
      <c r="U805" s="9"/>
      <c r="V805" s="9"/>
    </row>
    <row r="806" spans="1:22">
      <c r="A806" s="9"/>
      <c r="B806" s="9"/>
      <c r="C806" s="9"/>
      <c r="D806" s="9"/>
      <c r="E806" s="9"/>
      <c r="F806" s="9"/>
      <c r="G806" s="9"/>
      <c r="H806" s="9"/>
      <c r="I806" s="9"/>
      <c r="J806" s="9"/>
      <c r="K806" s="9"/>
      <c r="L806" s="9"/>
      <c r="M806" s="9"/>
      <c r="N806" s="9"/>
      <c r="O806" s="9"/>
      <c r="P806" s="9"/>
      <c r="Q806" s="9"/>
      <c r="R806" s="9"/>
      <c r="S806" s="9"/>
      <c r="T806" s="2332"/>
      <c r="U806" s="9"/>
      <c r="V806" s="9"/>
    </row>
    <row r="807" spans="1:22">
      <c r="A807" s="9"/>
      <c r="B807" s="9"/>
      <c r="C807" s="9"/>
      <c r="D807" s="9"/>
      <c r="E807" s="9"/>
      <c r="F807" s="9"/>
      <c r="G807" s="9"/>
      <c r="H807" s="9"/>
      <c r="I807" s="9"/>
      <c r="J807" s="9"/>
      <c r="K807" s="9"/>
      <c r="L807" s="9"/>
      <c r="M807" s="9"/>
      <c r="N807" s="9"/>
      <c r="O807" s="9"/>
      <c r="P807" s="9"/>
      <c r="Q807" s="9"/>
      <c r="R807" s="9"/>
      <c r="S807" s="9"/>
      <c r="T807" s="2332"/>
      <c r="U807" s="9"/>
      <c r="V807" s="9"/>
    </row>
    <row r="808" spans="1:22">
      <c r="A808" s="9"/>
      <c r="B808" s="9"/>
      <c r="C808" s="9"/>
      <c r="D808" s="9"/>
      <c r="E808" s="9"/>
      <c r="F808" s="9"/>
      <c r="G808" s="9"/>
      <c r="H808" s="9"/>
      <c r="I808" s="9"/>
      <c r="J808" s="9"/>
      <c r="K808" s="9"/>
      <c r="L808" s="9"/>
      <c r="M808" s="9"/>
      <c r="N808" s="9"/>
      <c r="O808" s="9"/>
      <c r="P808" s="9"/>
      <c r="Q808" s="9"/>
      <c r="R808" s="9"/>
      <c r="S808" s="9"/>
      <c r="T808" s="2332"/>
      <c r="U808" s="9"/>
      <c r="V808" s="9"/>
    </row>
    <row r="809" spans="1:22">
      <c r="A809" s="9"/>
      <c r="B809" s="9"/>
      <c r="C809" s="9"/>
      <c r="D809" s="9"/>
      <c r="E809" s="9"/>
      <c r="F809" s="9"/>
      <c r="G809" s="9"/>
      <c r="H809" s="9"/>
      <c r="I809" s="9"/>
      <c r="J809" s="9"/>
      <c r="K809" s="9"/>
      <c r="L809" s="9"/>
      <c r="M809" s="9"/>
      <c r="N809" s="9"/>
      <c r="O809" s="9"/>
      <c r="P809" s="9"/>
      <c r="Q809" s="9"/>
      <c r="R809" s="9"/>
      <c r="S809" s="9"/>
      <c r="T809" s="2332"/>
      <c r="U809" s="9"/>
      <c r="V809" s="9"/>
    </row>
    <row r="810" spans="1:22">
      <c r="A810" s="9"/>
      <c r="B810" s="9"/>
      <c r="C810" s="9"/>
      <c r="D810" s="9"/>
      <c r="E810" s="9"/>
      <c r="F810" s="9"/>
      <c r="G810" s="9"/>
      <c r="H810" s="9"/>
      <c r="I810" s="9"/>
      <c r="J810" s="9"/>
      <c r="K810" s="9"/>
      <c r="L810" s="9"/>
      <c r="M810" s="9"/>
      <c r="N810" s="9"/>
      <c r="O810" s="9"/>
      <c r="P810" s="9"/>
      <c r="Q810" s="9"/>
      <c r="R810" s="9"/>
      <c r="S810" s="9"/>
      <c r="T810" s="2332"/>
      <c r="U810" s="9"/>
      <c r="V810" s="9"/>
    </row>
    <row r="811" spans="1:22">
      <c r="A811" s="9"/>
      <c r="B811" s="9"/>
      <c r="C811" s="9"/>
      <c r="D811" s="9"/>
      <c r="E811" s="9"/>
      <c r="F811" s="9"/>
      <c r="G811" s="9"/>
      <c r="H811" s="9"/>
      <c r="I811" s="9"/>
      <c r="J811" s="9"/>
      <c r="K811" s="9"/>
      <c r="L811" s="9"/>
      <c r="M811" s="9"/>
      <c r="N811" s="9"/>
      <c r="O811" s="9"/>
      <c r="P811" s="9"/>
      <c r="Q811" s="9"/>
      <c r="R811" s="9"/>
      <c r="S811" s="9"/>
      <c r="T811" s="2332"/>
      <c r="U811" s="9"/>
      <c r="V811" s="9"/>
    </row>
    <row r="812" spans="1:22">
      <c r="A812" s="9"/>
      <c r="B812" s="9"/>
      <c r="C812" s="9"/>
      <c r="D812" s="9"/>
      <c r="E812" s="9"/>
      <c r="F812" s="9"/>
      <c r="G812" s="9"/>
      <c r="H812" s="9"/>
      <c r="I812" s="9"/>
      <c r="J812" s="9"/>
      <c r="K812" s="9"/>
      <c r="L812" s="9"/>
      <c r="M812" s="9"/>
      <c r="N812" s="9"/>
      <c r="O812" s="9"/>
      <c r="P812" s="9"/>
      <c r="Q812" s="9"/>
      <c r="R812" s="9"/>
      <c r="S812" s="9"/>
      <c r="T812" s="2332"/>
      <c r="U812" s="9"/>
      <c r="V812" s="9"/>
    </row>
    <row r="813" spans="1:22">
      <c r="A813" s="9"/>
      <c r="B813" s="9"/>
      <c r="C813" s="9"/>
      <c r="D813" s="9"/>
      <c r="E813" s="9"/>
      <c r="F813" s="9"/>
      <c r="G813" s="9"/>
      <c r="H813" s="9"/>
      <c r="I813" s="9"/>
      <c r="J813" s="9"/>
      <c r="K813" s="9"/>
      <c r="L813" s="9"/>
      <c r="M813" s="9"/>
      <c r="N813" s="9"/>
      <c r="O813" s="9"/>
      <c r="P813" s="9"/>
      <c r="Q813" s="9"/>
      <c r="R813" s="9"/>
      <c r="S813" s="9"/>
      <c r="T813" s="2332"/>
      <c r="U813" s="9"/>
      <c r="V813" s="9"/>
    </row>
    <row r="814" spans="1:22">
      <c r="A814" s="9"/>
      <c r="B814" s="9"/>
      <c r="C814" s="9"/>
      <c r="D814" s="9"/>
      <c r="E814" s="9"/>
      <c r="F814" s="9"/>
      <c r="G814" s="9"/>
      <c r="H814" s="9"/>
      <c r="I814" s="9"/>
      <c r="J814" s="9"/>
      <c r="K814" s="9"/>
      <c r="L814" s="9"/>
      <c r="M814" s="9"/>
      <c r="N814" s="9"/>
      <c r="O814" s="9"/>
      <c r="P814" s="9"/>
      <c r="Q814" s="9"/>
      <c r="R814" s="9"/>
      <c r="S814" s="9"/>
      <c r="T814" s="2332"/>
      <c r="U814" s="9"/>
      <c r="V814" s="9"/>
    </row>
    <row r="815" spans="1:22">
      <c r="A815" s="9"/>
      <c r="B815" s="9"/>
      <c r="C815" s="9"/>
      <c r="D815" s="9"/>
      <c r="E815" s="9"/>
      <c r="F815" s="9"/>
      <c r="G815" s="9"/>
      <c r="H815" s="9"/>
      <c r="I815" s="9"/>
      <c r="J815" s="9"/>
      <c r="K815" s="9"/>
      <c r="L815" s="9"/>
      <c r="M815" s="9"/>
      <c r="N815" s="9"/>
      <c r="O815" s="9"/>
      <c r="P815" s="9"/>
      <c r="Q815" s="9"/>
      <c r="R815" s="9"/>
      <c r="S815" s="9"/>
      <c r="T815" s="2332"/>
      <c r="U815" s="9"/>
      <c r="V815" s="9"/>
    </row>
    <row r="816" spans="1:22">
      <c r="A816" s="9"/>
      <c r="B816" s="9"/>
      <c r="C816" s="9"/>
      <c r="D816" s="9"/>
      <c r="E816" s="9"/>
      <c r="F816" s="9"/>
      <c r="G816" s="9"/>
      <c r="H816" s="9"/>
      <c r="I816" s="9"/>
      <c r="J816" s="9"/>
      <c r="K816" s="9"/>
      <c r="L816" s="9"/>
      <c r="M816" s="9"/>
      <c r="N816" s="9"/>
      <c r="O816" s="9"/>
      <c r="P816" s="9"/>
      <c r="Q816" s="9"/>
      <c r="R816" s="9"/>
      <c r="S816" s="9"/>
      <c r="T816" s="2332"/>
      <c r="U816" s="9"/>
      <c r="V816" s="9"/>
    </row>
    <row r="817" spans="1:22">
      <c r="A817" s="9"/>
      <c r="B817" s="9"/>
      <c r="C817" s="9"/>
      <c r="D817" s="9"/>
      <c r="E817" s="9"/>
      <c r="F817" s="9"/>
      <c r="G817" s="9"/>
      <c r="H817" s="9"/>
      <c r="I817" s="9"/>
      <c r="J817" s="9"/>
      <c r="K817" s="9"/>
      <c r="L817" s="9"/>
      <c r="M817" s="9"/>
      <c r="N817" s="9"/>
      <c r="O817" s="9"/>
      <c r="P817" s="9"/>
      <c r="Q817" s="9"/>
      <c r="R817" s="9"/>
      <c r="S817" s="9"/>
      <c r="T817" s="2332"/>
      <c r="U817" s="9"/>
      <c r="V817" s="9"/>
    </row>
    <row r="818" spans="1:22">
      <c r="A818" s="9"/>
      <c r="B818" s="9"/>
      <c r="C818" s="9"/>
      <c r="D818" s="9"/>
      <c r="E818" s="9"/>
      <c r="F818" s="9"/>
      <c r="G818" s="9"/>
      <c r="H818" s="9"/>
      <c r="I818" s="9"/>
      <c r="J818" s="9"/>
      <c r="K818" s="9"/>
      <c r="L818" s="9"/>
      <c r="M818" s="9"/>
      <c r="N818" s="9"/>
      <c r="O818" s="9"/>
      <c r="P818" s="9"/>
      <c r="Q818" s="9"/>
      <c r="R818" s="9"/>
      <c r="S818" s="9"/>
      <c r="T818" s="2332"/>
      <c r="U818" s="9"/>
      <c r="V818" s="9"/>
    </row>
    <row r="819" spans="1:22">
      <c r="A819" s="9"/>
      <c r="B819" s="9"/>
      <c r="C819" s="9"/>
      <c r="D819" s="9"/>
      <c r="E819" s="9"/>
      <c r="F819" s="9"/>
      <c r="G819" s="9"/>
      <c r="H819" s="9"/>
      <c r="I819" s="9"/>
      <c r="J819" s="9"/>
      <c r="K819" s="9"/>
      <c r="L819" s="9"/>
      <c r="M819" s="9"/>
      <c r="N819" s="9"/>
      <c r="O819" s="9"/>
      <c r="P819" s="9"/>
      <c r="Q819" s="9"/>
      <c r="R819" s="9"/>
      <c r="S819" s="9"/>
      <c r="T819" s="2332"/>
      <c r="U819" s="9"/>
      <c r="V819" s="9"/>
    </row>
    <row r="820" spans="1:22">
      <c r="A820" s="9"/>
      <c r="B820" s="9"/>
      <c r="C820" s="9"/>
      <c r="D820" s="9"/>
      <c r="E820" s="9"/>
      <c r="F820" s="9"/>
      <c r="G820" s="9"/>
      <c r="H820" s="9"/>
      <c r="I820" s="9"/>
      <c r="J820" s="9"/>
      <c r="K820" s="9"/>
      <c r="L820" s="9"/>
      <c r="M820" s="9"/>
      <c r="N820" s="9"/>
      <c r="O820" s="9"/>
      <c r="P820" s="9"/>
      <c r="Q820" s="9"/>
      <c r="R820" s="9"/>
      <c r="S820" s="9"/>
      <c r="T820" s="2332"/>
      <c r="U820" s="9"/>
      <c r="V820" s="9"/>
    </row>
    <row r="821" spans="1:22">
      <c r="A821" s="9"/>
      <c r="B821" s="9"/>
      <c r="C821" s="9"/>
      <c r="D821" s="9"/>
      <c r="E821" s="9"/>
      <c r="F821" s="9"/>
      <c r="G821" s="9"/>
      <c r="H821" s="9"/>
      <c r="I821" s="9"/>
      <c r="J821" s="9"/>
      <c r="K821" s="9"/>
      <c r="L821" s="9"/>
      <c r="M821" s="9"/>
      <c r="N821" s="9"/>
      <c r="O821" s="9"/>
      <c r="P821" s="9"/>
      <c r="Q821" s="9"/>
      <c r="R821" s="9"/>
      <c r="S821" s="9"/>
      <c r="T821" s="2332"/>
      <c r="U821" s="9"/>
      <c r="V821" s="9"/>
    </row>
    <row r="822" spans="1:22">
      <c r="A822" s="9"/>
      <c r="B822" s="9"/>
      <c r="C822" s="9"/>
      <c r="D822" s="9"/>
      <c r="E822" s="9"/>
      <c r="F822" s="9"/>
      <c r="G822" s="9"/>
      <c r="H822" s="9"/>
      <c r="I822" s="9"/>
      <c r="J822" s="9"/>
      <c r="K822" s="9"/>
      <c r="L822" s="9"/>
      <c r="M822" s="9"/>
      <c r="N822" s="9"/>
      <c r="O822" s="9"/>
      <c r="P822" s="9"/>
      <c r="Q822" s="9"/>
      <c r="R822" s="9"/>
      <c r="S822" s="9"/>
      <c r="T822" s="2332"/>
      <c r="U822" s="9"/>
      <c r="V822" s="9"/>
    </row>
    <row r="823" spans="1:22">
      <c r="A823" s="9"/>
      <c r="B823" s="9"/>
      <c r="C823" s="9"/>
      <c r="D823" s="9"/>
      <c r="E823" s="9"/>
      <c r="F823" s="9"/>
      <c r="G823" s="9"/>
      <c r="H823" s="9"/>
      <c r="I823" s="9"/>
      <c r="J823" s="9"/>
      <c r="K823" s="9"/>
      <c r="L823" s="9"/>
      <c r="M823" s="9"/>
      <c r="N823" s="9"/>
      <c r="O823" s="9"/>
      <c r="P823" s="9"/>
      <c r="Q823" s="9"/>
      <c r="R823" s="9"/>
      <c r="S823" s="9"/>
      <c r="T823" s="2332"/>
      <c r="U823" s="9"/>
      <c r="V823" s="9"/>
    </row>
    <row r="824" spans="1:22">
      <c r="A824" s="9"/>
      <c r="B824" s="9"/>
      <c r="C824" s="9"/>
      <c r="D824" s="9"/>
      <c r="E824" s="9"/>
      <c r="F824" s="9"/>
      <c r="G824" s="9"/>
      <c r="H824" s="9"/>
      <c r="I824" s="9"/>
      <c r="J824" s="9"/>
      <c r="K824" s="9"/>
      <c r="L824" s="9"/>
      <c r="M824" s="9"/>
      <c r="N824" s="9"/>
      <c r="O824" s="9"/>
      <c r="P824" s="9"/>
      <c r="Q824" s="9"/>
      <c r="R824" s="9"/>
      <c r="S824" s="9"/>
      <c r="T824" s="2332"/>
      <c r="U824" s="9"/>
      <c r="V824" s="9"/>
    </row>
    <row r="825" spans="1:22">
      <c r="A825" s="9"/>
      <c r="B825" s="9"/>
      <c r="C825" s="9"/>
      <c r="D825" s="9"/>
      <c r="E825" s="9"/>
      <c r="F825" s="9"/>
      <c r="G825" s="9"/>
      <c r="H825" s="9"/>
      <c r="I825" s="9"/>
      <c r="J825" s="9"/>
      <c r="K825" s="9"/>
      <c r="L825" s="9"/>
      <c r="M825" s="9"/>
      <c r="N825" s="9"/>
      <c r="O825" s="9"/>
      <c r="P825" s="9"/>
      <c r="Q825" s="9"/>
      <c r="R825" s="9"/>
      <c r="S825" s="9"/>
      <c r="T825" s="2332"/>
      <c r="U825" s="9"/>
      <c r="V825" s="9"/>
    </row>
    <row r="826" spans="1:22">
      <c r="A826" s="9"/>
      <c r="B826" s="9"/>
      <c r="C826" s="9"/>
      <c r="D826" s="9"/>
      <c r="E826" s="9"/>
      <c r="F826" s="9"/>
      <c r="G826" s="9"/>
      <c r="H826" s="9"/>
      <c r="I826" s="9"/>
      <c r="J826" s="9"/>
      <c r="K826" s="9"/>
      <c r="L826" s="9"/>
      <c r="M826" s="9"/>
      <c r="N826" s="9"/>
      <c r="O826" s="9"/>
      <c r="P826" s="9"/>
      <c r="Q826" s="9"/>
      <c r="R826" s="9"/>
      <c r="S826" s="9"/>
      <c r="T826" s="2332"/>
      <c r="U826" s="9"/>
      <c r="V826" s="9"/>
    </row>
    <row r="827" spans="1:22">
      <c r="A827" s="9"/>
      <c r="B827" s="9"/>
      <c r="C827" s="9"/>
      <c r="D827" s="9"/>
      <c r="E827" s="9"/>
      <c r="F827" s="9"/>
      <c r="G827" s="9"/>
      <c r="H827" s="9"/>
      <c r="I827" s="9"/>
      <c r="J827" s="9"/>
      <c r="K827" s="9"/>
      <c r="L827" s="9"/>
      <c r="M827" s="9"/>
      <c r="N827" s="9"/>
      <c r="O827" s="9"/>
      <c r="P827" s="9"/>
      <c r="Q827" s="9"/>
      <c r="R827" s="9"/>
      <c r="S827" s="9"/>
      <c r="T827" s="2332"/>
      <c r="U827" s="9"/>
      <c r="V827" s="9"/>
    </row>
    <row r="828" spans="1:22">
      <c r="A828" s="9"/>
      <c r="B828" s="9"/>
      <c r="C828" s="9"/>
      <c r="D828" s="9"/>
      <c r="E828" s="9"/>
      <c r="F828" s="9"/>
      <c r="G828" s="9"/>
      <c r="H828" s="9"/>
      <c r="I828" s="9"/>
      <c r="J828" s="9"/>
      <c r="K828" s="9"/>
      <c r="L828" s="9"/>
      <c r="M828" s="9"/>
      <c r="N828" s="9"/>
      <c r="O828" s="9"/>
      <c r="P828" s="9"/>
      <c r="Q828" s="9"/>
      <c r="R828" s="9"/>
      <c r="S828" s="9"/>
      <c r="T828" s="2332"/>
      <c r="U828" s="9"/>
      <c r="V828" s="9"/>
    </row>
    <row r="829" spans="1:22">
      <c r="A829" s="9"/>
      <c r="B829" s="9"/>
      <c r="C829" s="9"/>
      <c r="D829" s="9"/>
      <c r="E829" s="9"/>
      <c r="F829" s="9"/>
      <c r="G829" s="9"/>
      <c r="H829" s="9"/>
      <c r="I829" s="9"/>
      <c r="J829" s="9"/>
      <c r="K829" s="9"/>
      <c r="L829" s="9"/>
      <c r="M829" s="9"/>
      <c r="N829" s="9"/>
      <c r="O829" s="9"/>
      <c r="P829" s="9"/>
      <c r="Q829" s="9"/>
      <c r="R829" s="9"/>
      <c r="S829" s="9"/>
      <c r="T829" s="2332"/>
      <c r="U829" s="9"/>
      <c r="V829" s="9"/>
    </row>
    <row r="830" spans="1:22">
      <c r="A830" s="9"/>
      <c r="B830" s="9"/>
      <c r="C830" s="9"/>
      <c r="D830" s="9"/>
      <c r="E830" s="9"/>
      <c r="F830" s="9"/>
      <c r="G830" s="9"/>
      <c r="H830" s="9"/>
      <c r="I830" s="9"/>
      <c r="J830" s="9"/>
      <c r="K830" s="9"/>
      <c r="L830" s="9"/>
      <c r="M830" s="9"/>
      <c r="N830" s="9"/>
      <c r="O830" s="9"/>
      <c r="P830" s="9"/>
      <c r="Q830" s="9"/>
      <c r="R830" s="9"/>
      <c r="S830" s="9"/>
      <c r="T830" s="2332"/>
      <c r="U830" s="9"/>
      <c r="V830" s="9"/>
    </row>
    <row r="831" spans="1:22">
      <c r="A831" s="9"/>
      <c r="B831" s="9"/>
      <c r="C831" s="9"/>
      <c r="D831" s="9"/>
      <c r="E831" s="9"/>
      <c r="F831" s="9"/>
      <c r="G831" s="9"/>
      <c r="H831" s="9"/>
      <c r="I831" s="9"/>
      <c r="J831" s="9"/>
      <c r="K831" s="9"/>
      <c r="L831" s="9"/>
      <c r="M831" s="9"/>
      <c r="N831" s="9"/>
      <c r="O831" s="9"/>
      <c r="P831" s="9"/>
      <c r="Q831" s="9"/>
      <c r="R831" s="9"/>
      <c r="S831" s="9"/>
      <c r="T831" s="2332"/>
      <c r="U831" s="9"/>
      <c r="V831" s="9"/>
    </row>
    <row r="832" spans="1:22">
      <c r="A832" s="9"/>
      <c r="B832" s="9"/>
      <c r="C832" s="9"/>
      <c r="D832" s="9"/>
      <c r="E832" s="9"/>
      <c r="F832" s="9"/>
      <c r="G832" s="9"/>
      <c r="H832" s="9"/>
      <c r="I832" s="9"/>
      <c r="J832" s="9"/>
      <c r="K832" s="9"/>
      <c r="L832" s="9"/>
      <c r="M832" s="9"/>
      <c r="N832" s="9"/>
      <c r="O832" s="9"/>
      <c r="P832" s="9"/>
      <c r="Q832" s="9"/>
      <c r="R832" s="9"/>
      <c r="S832" s="9"/>
      <c r="T832" s="2332"/>
      <c r="U832" s="9"/>
      <c r="V832" s="9"/>
    </row>
    <row r="833" spans="1:22">
      <c r="A833" s="9"/>
      <c r="B833" s="9"/>
      <c r="C833" s="9"/>
      <c r="D833" s="9"/>
      <c r="E833" s="9"/>
      <c r="F833" s="9"/>
      <c r="G833" s="9"/>
      <c r="H833" s="9"/>
      <c r="I833" s="9"/>
      <c r="J833" s="9"/>
      <c r="K833" s="9"/>
      <c r="L833" s="9"/>
      <c r="M833" s="9"/>
      <c r="N833" s="9"/>
      <c r="O833" s="9"/>
      <c r="P833" s="9"/>
      <c r="Q833" s="9"/>
      <c r="R833" s="9"/>
      <c r="S833" s="9"/>
      <c r="T833" s="2332"/>
      <c r="U833" s="9"/>
      <c r="V833" s="9"/>
    </row>
    <row r="834" spans="1:22">
      <c r="A834" s="9"/>
      <c r="B834" s="9"/>
      <c r="C834" s="9"/>
      <c r="D834" s="9"/>
      <c r="E834" s="9"/>
      <c r="F834" s="9"/>
      <c r="G834" s="9"/>
      <c r="H834" s="9"/>
      <c r="I834" s="9"/>
      <c r="J834" s="9"/>
      <c r="K834" s="9"/>
      <c r="L834" s="9"/>
      <c r="M834" s="9"/>
      <c r="N834" s="9"/>
      <c r="O834" s="9"/>
      <c r="P834" s="9"/>
      <c r="Q834" s="9"/>
      <c r="R834" s="9"/>
      <c r="S834" s="9"/>
      <c r="T834" s="2332"/>
      <c r="U834" s="9"/>
      <c r="V834" s="9"/>
    </row>
    <row r="835" spans="1:22">
      <c r="A835" s="9"/>
      <c r="B835" s="9"/>
      <c r="C835" s="9"/>
      <c r="D835" s="9"/>
      <c r="E835" s="9"/>
      <c r="F835" s="9"/>
      <c r="G835" s="9"/>
      <c r="H835" s="9"/>
      <c r="I835" s="9"/>
      <c r="J835" s="9"/>
      <c r="K835" s="9"/>
      <c r="L835" s="9"/>
      <c r="M835" s="9"/>
      <c r="N835" s="9"/>
      <c r="O835" s="9"/>
      <c r="P835" s="9"/>
      <c r="Q835" s="9"/>
      <c r="R835" s="9"/>
      <c r="S835" s="9"/>
      <c r="T835" s="2332"/>
      <c r="U835" s="9"/>
      <c r="V835" s="9"/>
    </row>
    <row r="836" spans="1:22">
      <c r="A836" s="9"/>
      <c r="B836" s="9"/>
      <c r="C836" s="9"/>
      <c r="D836" s="9"/>
      <c r="E836" s="9"/>
      <c r="F836" s="9"/>
      <c r="G836" s="9"/>
      <c r="H836" s="9"/>
      <c r="I836" s="9"/>
      <c r="J836" s="9"/>
      <c r="K836" s="9"/>
      <c r="L836" s="9"/>
      <c r="M836" s="9"/>
      <c r="N836" s="9"/>
      <c r="O836" s="9"/>
      <c r="P836" s="9"/>
      <c r="Q836" s="9"/>
      <c r="R836" s="9"/>
      <c r="S836" s="9"/>
      <c r="T836" s="2332"/>
      <c r="U836" s="9"/>
      <c r="V836" s="9"/>
    </row>
    <row r="837" spans="1:22">
      <c r="A837" s="9"/>
      <c r="B837" s="9"/>
      <c r="C837" s="9"/>
      <c r="D837" s="9"/>
      <c r="E837" s="9"/>
      <c r="F837" s="9"/>
      <c r="G837" s="9"/>
      <c r="H837" s="9"/>
      <c r="I837" s="9"/>
      <c r="J837" s="9"/>
      <c r="K837" s="9"/>
      <c r="L837" s="9"/>
      <c r="M837" s="9"/>
      <c r="N837" s="9"/>
      <c r="O837" s="9"/>
      <c r="P837" s="9"/>
      <c r="Q837" s="9"/>
      <c r="R837" s="9"/>
      <c r="S837" s="9"/>
      <c r="T837" s="2332"/>
      <c r="U837" s="9"/>
      <c r="V837" s="9"/>
    </row>
    <row r="838" spans="1:22">
      <c r="A838" s="9"/>
      <c r="B838" s="9"/>
      <c r="C838" s="9"/>
      <c r="D838" s="9"/>
      <c r="E838" s="9"/>
      <c r="F838" s="9"/>
      <c r="G838" s="9"/>
      <c r="H838" s="9"/>
      <c r="I838" s="9"/>
      <c r="J838" s="9"/>
      <c r="K838" s="9"/>
      <c r="L838" s="9"/>
      <c r="M838" s="9"/>
      <c r="N838" s="9"/>
      <c r="O838" s="9"/>
      <c r="P838" s="9"/>
      <c r="Q838" s="9"/>
      <c r="R838" s="9"/>
      <c r="S838" s="9"/>
      <c r="T838" s="2332"/>
      <c r="U838" s="9"/>
      <c r="V838" s="9"/>
    </row>
    <row r="839" spans="1:22">
      <c r="A839" s="9"/>
      <c r="B839" s="9"/>
      <c r="C839" s="9"/>
      <c r="D839" s="9"/>
      <c r="E839" s="9"/>
      <c r="F839" s="9"/>
      <c r="G839" s="9"/>
      <c r="H839" s="9"/>
      <c r="I839" s="9"/>
      <c r="J839" s="9"/>
      <c r="K839" s="9"/>
      <c r="L839" s="9"/>
      <c r="M839" s="9"/>
      <c r="N839" s="9"/>
      <c r="O839" s="9"/>
      <c r="P839" s="9"/>
      <c r="Q839" s="9"/>
      <c r="R839" s="9"/>
      <c r="S839" s="9"/>
      <c r="T839" s="2332"/>
      <c r="U839" s="9"/>
      <c r="V839" s="9"/>
    </row>
    <row r="840" spans="1:22">
      <c r="A840" s="9"/>
      <c r="B840" s="9"/>
      <c r="C840" s="9"/>
      <c r="D840" s="9"/>
      <c r="E840" s="9"/>
      <c r="F840" s="9"/>
      <c r="G840" s="9"/>
      <c r="H840" s="9"/>
      <c r="I840" s="9"/>
      <c r="J840" s="9"/>
      <c r="K840" s="9"/>
      <c r="L840" s="9"/>
      <c r="M840" s="9"/>
      <c r="N840" s="9"/>
      <c r="O840" s="9"/>
      <c r="P840" s="9"/>
      <c r="Q840" s="9"/>
      <c r="R840" s="9"/>
      <c r="S840" s="9"/>
      <c r="T840" s="2332"/>
      <c r="U840" s="9"/>
      <c r="V840" s="9"/>
    </row>
    <row r="841" spans="1:22">
      <c r="A841" s="9"/>
      <c r="B841" s="9"/>
      <c r="C841" s="9"/>
      <c r="D841" s="9"/>
      <c r="E841" s="9"/>
      <c r="F841" s="9"/>
      <c r="G841" s="9"/>
      <c r="H841" s="9"/>
      <c r="I841" s="9"/>
      <c r="J841" s="9"/>
      <c r="K841" s="9"/>
      <c r="L841" s="9"/>
      <c r="M841" s="9"/>
      <c r="N841" s="9"/>
      <c r="O841" s="9"/>
      <c r="P841" s="9"/>
      <c r="Q841" s="9"/>
      <c r="R841" s="9"/>
      <c r="S841" s="9"/>
      <c r="T841" s="2332"/>
      <c r="U841" s="9"/>
      <c r="V841" s="9"/>
    </row>
    <row r="842" spans="1:22">
      <c r="A842" s="9"/>
      <c r="B842" s="9"/>
      <c r="C842" s="9"/>
      <c r="D842" s="9"/>
      <c r="E842" s="9"/>
      <c r="F842" s="9"/>
      <c r="G842" s="9"/>
      <c r="H842" s="9"/>
      <c r="I842" s="9"/>
      <c r="J842" s="9"/>
      <c r="K842" s="9"/>
      <c r="L842" s="9"/>
      <c r="M842" s="9"/>
      <c r="N842" s="9"/>
      <c r="O842" s="9"/>
      <c r="P842" s="9"/>
      <c r="Q842" s="9"/>
      <c r="R842" s="9"/>
      <c r="S842" s="9"/>
      <c r="T842" s="2332"/>
      <c r="U842" s="9"/>
      <c r="V842" s="9"/>
    </row>
    <row r="843" spans="1:22">
      <c r="A843" s="9"/>
      <c r="B843" s="9"/>
      <c r="C843" s="9"/>
      <c r="D843" s="9"/>
      <c r="E843" s="9"/>
      <c r="F843" s="9"/>
      <c r="G843" s="9"/>
      <c r="H843" s="9"/>
      <c r="I843" s="9"/>
      <c r="J843" s="9"/>
      <c r="K843" s="9"/>
      <c r="L843" s="9"/>
      <c r="M843" s="9"/>
      <c r="N843" s="9"/>
      <c r="O843" s="9"/>
      <c r="P843" s="9"/>
      <c r="Q843" s="9"/>
      <c r="R843" s="9"/>
      <c r="S843" s="9"/>
      <c r="T843" s="2332"/>
      <c r="U843" s="9"/>
      <c r="V843" s="9"/>
    </row>
    <row r="844" spans="1:22">
      <c r="A844" s="9"/>
      <c r="B844" s="9"/>
      <c r="C844" s="9"/>
      <c r="D844" s="9"/>
      <c r="E844" s="9"/>
      <c r="F844" s="9"/>
      <c r="G844" s="9"/>
      <c r="H844" s="9"/>
      <c r="I844" s="9"/>
      <c r="J844" s="9"/>
      <c r="K844" s="9"/>
      <c r="L844" s="9"/>
      <c r="M844" s="9"/>
      <c r="N844" s="9"/>
      <c r="O844" s="9"/>
      <c r="P844" s="9"/>
      <c r="Q844" s="9"/>
      <c r="R844" s="9"/>
      <c r="S844" s="9"/>
      <c r="T844" s="2332"/>
      <c r="U844" s="9"/>
      <c r="V844" s="9"/>
    </row>
    <row r="845" spans="1:22">
      <c r="A845" s="9"/>
      <c r="B845" s="9"/>
      <c r="C845" s="9"/>
      <c r="D845" s="9"/>
      <c r="E845" s="9"/>
      <c r="F845" s="9"/>
      <c r="G845" s="9"/>
      <c r="H845" s="9"/>
      <c r="I845" s="9"/>
      <c r="J845" s="9"/>
      <c r="K845" s="9"/>
      <c r="L845" s="9"/>
      <c r="M845" s="9"/>
      <c r="N845" s="9"/>
      <c r="O845" s="9"/>
      <c r="P845" s="9"/>
      <c r="Q845" s="9"/>
      <c r="R845" s="9"/>
      <c r="S845" s="9"/>
      <c r="T845" s="2332"/>
      <c r="U845" s="9"/>
      <c r="V845" s="9"/>
    </row>
    <row r="846" spans="1:22">
      <c r="A846" s="9"/>
      <c r="B846" s="9"/>
      <c r="C846" s="9"/>
      <c r="D846" s="9"/>
      <c r="E846" s="9"/>
      <c r="F846" s="9"/>
      <c r="G846" s="9"/>
      <c r="H846" s="9"/>
      <c r="I846" s="9"/>
      <c r="J846" s="9"/>
      <c r="K846" s="9"/>
      <c r="L846" s="9"/>
      <c r="M846" s="9"/>
      <c r="N846" s="9"/>
      <c r="O846" s="9"/>
      <c r="P846" s="9"/>
      <c r="Q846" s="9"/>
      <c r="R846" s="9"/>
      <c r="S846" s="9"/>
      <c r="T846" s="2332"/>
      <c r="U846" s="9"/>
      <c r="V846" s="9"/>
    </row>
    <row r="847" spans="1:22">
      <c r="A847" s="9"/>
      <c r="B847" s="9"/>
      <c r="C847" s="9"/>
      <c r="D847" s="9"/>
      <c r="E847" s="9"/>
      <c r="F847" s="9"/>
      <c r="G847" s="9"/>
      <c r="H847" s="9"/>
      <c r="I847" s="9"/>
      <c r="J847" s="9"/>
      <c r="K847" s="9"/>
      <c r="L847" s="9"/>
      <c r="M847" s="9"/>
      <c r="N847" s="9"/>
      <c r="O847" s="9"/>
      <c r="P847" s="9"/>
      <c r="Q847" s="9"/>
      <c r="R847" s="9"/>
      <c r="S847" s="9"/>
      <c r="T847" s="2332"/>
      <c r="U847" s="9"/>
      <c r="V847" s="9"/>
    </row>
    <row r="848" spans="1:22">
      <c r="A848" s="9"/>
      <c r="B848" s="9"/>
      <c r="C848" s="9"/>
      <c r="D848" s="9"/>
      <c r="E848" s="9"/>
      <c r="F848" s="9"/>
      <c r="G848" s="9"/>
      <c r="H848" s="9"/>
      <c r="I848" s="9"/>
      <c r="J848" s="9"/>
      <c r="K848" s="9"/>
      <c r="L848" s="9"/>
      <c r="M848" s="9"/>
      <c r="N848" s="9"/>
      <c r="O848" s="9"/>
      <c r="P848" s="9"/>
      <c r="Q848" s="9"/>
      <c r="R848" s="9"/>
      <c r="S848" s="9"/>
      <c r="T848" s="2332"/>
      <c r="U848" s="9"/>
      <c r="V848" s="9"/>
    </row>
    <row r="849" spans="1:22">
      <c r="A849" s="9"/>
      <c r="B849" s="9"/>
      <c r="C849" s="9"/>
      <c r="D849" s="9"/>
      <c r="E849" s="9"/>
      <c r="F849" s="9"/>
      <c r="G849" s="9"/>
      <c r="H849" s="9"/>
      <c r="I849" s="9"/>
      <c r="J849" s="9"/>
      <c r="K849" s="9"/>
      <c r="L849" s="9"/>
      <c r="M849" s="9"/>
      <c r="N849" s="9"/>
      <c r="O849" s="9"/>
      <c r="P849" s="9"/>
      <c r="Q849" s="9"/>
      <c r="R849" s="9"/>
      <c r="S849" s="9"/>
      <c r="T849" s="2332"/>
      <c r="U849" s="9"/>
      <c r="V849" s="9"/>
    </row>
    <row r="850" spans="1:22">
      <c r="A850" s="9"/>
      <c r="B850" s="9"/>
      <c r="C850" s="9"/>
      <c r="D850" s="9"/>
      <c r="E850" s="9"/>
      <c r="F850" s="9"/>
      <c r="G850" s="9"/>
      <c r="H850" s="9"/>
      <c r="I850" s="9"/>
      <c r="J850" s="9"/>
      <c r="K850" s="9"/>
      <c r="L850" s="9"/>
      <c r="M850" s="9"/>
      <c r="N850" s="9"/>
      <c r="O850" s="9"/>
      <c r="P850" s="9"/>
      <c r="Q850" s="9"/>
      <c r="R850" s="9"/>
      <c r="S850" s="9"/>
      <c r="T850" s="2332"/>
      <c r="U850" s="9"/>
      <c r="V850" s="9"/>
    </row>
    <row r="851" spans="1:22">
      <c r="A851" s="9"/>
      <c r="B851" s="9"/>
      <c r="C851" s="9"/>
      <c r="D851" s="9"/>
      <c r="E851" s="9"/>
      <c r="F851" s="9"/>
      <c r="G851" s="9"/>
      <c r="H851" s="9"/>
      <c r="I851" s="9"/>
      <c r="J851" s="9"/>
      <c r="K851" s="9"/>
      <c r="L851" s="9"/>
      <c r="M851" s="9"/>
      <c r="N851" s="9"/>
      <c r="O851" s="9"/>
      <c r="P851" s="9"/>
      <c r="Q851" s="9"/>
      <c r="R851" s="9"/>
      <c r="S851" s="9"/>
      <c r="T851" s="2332"/>
      <c r="U851" s="9"/>
      <c r="V851" s="9"/>
    </row>
    <row r="852" spans="1:22">
      <c r="A852" s="9"/>
      <c r="B852" s="9"/>
      <c r="C852" s="9"/>
      <c r="D852" s="9"/>
      <c r="E852" s="9"/>
      <c r="F852" s="9"/>
      <c r="G852" s="9"/>
      <c r="H852" s="9"/>
      <c r="I852" s="9"/>
      <c r="J852" s="9"/>
      <c r="K852" s="9"/>
      <c r="L852" s="9"/>
      <c r="M852" s="9"/>
      <c r="N852" s="9"/>
      <c r="O852" s="9"/>
      <c r="P852" s="9"/>
      <c r="Q852" s="9"/>
      <c r="R852" s="9"/>
      <c r="S852" s="9"/>
      <c r="T852" s="2332"/>
      <c r="U852" s="9"/>
      <c r="V852" s="9"/>
    </row>
    <row r="853" spans="1:22">
      <c r="A853" s="9"/>
      <c r="B853" s="9"/>
      <c r="C853" s="9"/>
      <c r="D853" s="9"/>
      <c r="E853" s="9"/>
      <c r="F853" s="9"/>
      <c r="G853" s="9"/>
      <c r="H853" s="9"/>
      <c r="I853" s="9"/>
      <c r="J853" s="9"/>
      <c r="K853" s="9"/>
      <c r="L853" s="9"/>
      <c r="M853" s="9"/>
      <c r="N853" s="9"/>
      <c r="O853" s="9"/>
      <c r="P853" s="9"/>
      <c r="Q853" s="9"/>
      <c r="R853" s="9"/>
      <c r="S853" s="9"/>
      <c r="T853" s="2332"/>
      <c r="U853" s="9"/>
      <c r="V853" s="9"/>
    </row>
    <row r="854" spans="1:22">
      <c r="A854" s="9"/>
      <c r="B854" s="9"/>
      <c r="C854" s="9"/>
      <c r="D854" s="9"/>
      <c r="E854" s="9"/>
      <c r="F854" s="9"/>
      <c r="G854" s="9"/>
      <c r="H854" s="9"/>
      <c r="I854" s="9"/>
      <c r="J854" s="9"/>
      <c r="K854" s="9"/>
      <c r="L854" s="9"/>
      <c r="M854" s="9"/>
      <c r="N854" s="9"/>
      <c r="O854" s="9"/>
      <c r="P854" s="9"/>
      <c r="Q854" s="9"/>
      <c r="R854" s="9"/>
      <c r="S854" s="9"/>
      <c r="T854" s="2332"/>
      <c r="U854" s="9"/>
      <c r="V854" s="9"/>
    </row>
    <row r="855" spans="1:22">
      <c r="A855" s="9"/>
      <c r="B855" s="9"/>
      <c r="C855" s="9"/>
      <c r="D855" s="9"/>
      <c r="E855" s="9"/>
      <c r="F855" s="9"/>
      <c r="G855" s="9"/>
      <c r="H855" s="9"/>
      <c r="I855" s="9"/>
      <c r="J855" s="9"/>
      <c r="K855" s="9"/>
      <c r="L855" s="9"/>
      <c r="M855" s="9"/>
      <c r="N855" s="9"/>
      <c r="O855" s="9"/>
      <c r="P855" s="9"/>
      <c r="Q855" s="9"/>
      <c r="R855" s="9"/>
      <c r="S855" s="9"/>
      <c r="T855" s="2332"/>
      <c r="U855" s="9"/>
      <c r="V855" s="9"/>
    </row>
    <row r="856" spans="1:22">
      <c r="A856" s="9"/>
      <c r="B856" s="9"/>
      <c r="C856" s="9"/>
      <c r="D856" s="9"/>
      <c r="E856" s="9"/>
      <c r="F856" s="9"/>
      <c r="G856" s="9"/>
      <c r="H856" s="9"/>
      <c r="I856" s="9"/>
      <c r="J856" s="9"/>
      <c r="K856" s="9"/>
      <c r="L856" s="9"/>
      <c r="M856" s="9"/>
      <c r="N856" s="9"/>
      <c r="O856" s="9"/>
      <c r="P856" s="9"/>
      <c r="Q856" s="9"/>
      <c r="R856" s="9"/>
      <c r="S856" s="9"/>
      <c r="T856" s="2332"/>
      <c r="U856" s="9"/>
      <c r="V856" s="9"/>
    </row>
    <row r="857" spans="1:22">
      <c r="A857" s="9"/>
      <c r="B857" s="9"/>
      <c r="C857" s="9"/>
      <c r="D857" s="9"/>
      <c r="E857" s="9"/>
      <c r="F857" s="9"/>
      <c r="G857" s="9"/>
      <c r="H857" s="9"/>
      <c r="I857" s="9"/>
      <c r="J857" s="9"/>
      <c r="K857" s="9"/>
      <c r="L857" s="9"/>
      <c r="M857" s="9"/>
      <c r="N857" s="9"/>
      <c r="O857" s="9"/>
      <c r="P857" s="9"/>
      <c r="Q857" s="9"/>
      <c r="R857" s="9"/>
      <c r="S857" s="9"/>
      <c r="T857" s="2332"/>
      <c r="U857" s="9"/>
      <c r="V857" s="9"/>
    </row>
    <row r="858" spans="1:22">
      <c r="A858" s="9"/>
      <c r="B858" s="9"/>
      <c r="C858" s="9"/>
      <c r="D858" s="9"/>
      <c r="E858" s="9"/>
      <c r="F858" s="9"/>
      <c r="G858" s="9"/>
      <c r="H858" s="9"/>
      <c r="I858" s="9"/>
      <c r="J858" s="9"/>
      <c r="K858" s="9"/>
      <c r="L858" s="9"/>
      <c r="M858" s="9"/>
      <c r="N858" s="9"/>
      <c r="O858" s="9"/>
      <c r="P858" s="9"/>
      <c r="Q858" s="9"/>
      <c r="R858" s="9"/>
      <c r="S858" s="9"/>
      <c r="T858" s="2332"/>
      <c r="U858" s="9"/>
      <c r="V858" s="9"/>
    </row>
    <row r="859" spans="1:22">
      <c r="A859" s="9"/>
      <c r="B859" s="9"/>
      <c r="C859" s="9"/>
      <c r="D859" s="9"/>
      <c r="E859" s="9"/>
      <c r="F859" s="9"/>
      <c r="G859" s="9"/>
      <c r="H859" s="9"/>
      <c r="I859" s="9"/>
      <c r="J859" s="9"/>
      <c r="K859" s="9"/>
      <c r="L859" s="9"/>
      <c r="M859" s="9"/>
      <c r="N859" s="9"/>
      <c r="O859" s="9"/>
      <c r="P859" s="9"/>
      <c r="Q859" s="9"/>
      <c r="R859" s="9"/>
      <c r="S859" s="9"/>
      <c r="T859" s="2332"/>
      <c r="U859" s="9"/>
      <c r="V859" s="9"/>
    </row>
    <row r="860" spans="1:22">
      <c r="A860" s="9"/>
      <c r="B860" s="9"/>
      <c r="C860" s="9"/>
      <c r="D860" s="9"/>
      <c r="E860" s="9"/>
      <c r="F860" s="9"/>
      <c r="G860" s="9"/>
      <c r="H860" s="9"/>
      <c r="I860" s="9"/>
      <c r="J860" s="9"/>
      <c r="K860" s="9"/>
      <c r="L860" s="9"/>
      <c r="M860" s="9"/>
      <c r="N860" s="9"/>
      <c r="O860" s="9"/>
      <c r="P860" s="9"/>
      <c r="Q860" s="9"/>
      <c r="R860" s="9"/>
      <c r="S860" s="9"/>
      <c r="T860" s="2332"/>
      <c r="U860" s="9"/>
      <c r="V860" s="9"/>
    </row>
    <row r="861" spans="1:22">
      <c r="A861" s="9"/>
      <c r="B861" s="9"/>
      <c r="C861" s="9"/>
      <c r="D861" s="9"/>
      <c r="E861" s="9"/>
      <c r="F861" s="9"/>
      <c r="G861" s="9"/>
      <c r="H861" s="9"/>
      <c r="I861" s="9"/>
      <c r="J861" s="9"/>
      <c r="K861" s="9"/>
      <c r="L861" s="9"/>
      <c r="M861" s="9"/>
      <c r="N861" s="9"/>
      <c r="O861" s="9"/>
      <c r="P861" s="9"/>
      <c r="Q861" s="9"/>
      <c r="R861" s="9"/>
      <c r="S861" s="9"/>
      <c r="T861" s="2332"/>
      <c r="U861" s="9"/>
      <c r="V861" s="9"/>
    </row>
    <row r="862" spans="1:22">
      <c r="A862" s="9"/>
      <c r="B862" s="9"/>
      <c r="C862" s="9"/>
      <c r="D862" s="9"/>
      <c r="E862" s="9"/>
      <c r="F862" s="9"/>
      <c r="G862" s="9"/>
      <c r="H862" s="9"/>
      <c r="I862" s="9"/>
      <c r="J862" s="9"/>
      <c r="K862" s="9"/>
      <c r="L862" s="9"/>
      <c r="M862" s="9"/>
      <c r="N862" s="9"/>
      <c r="O862" s="9"/>
      <c r="P862" s="9"/>
      <c r="Q862" s="9"/>
      <c r="R862" s="9"/>
      <c r="S862" s="9"/>
      <c r="T862" s="2332"/>
      <c r="U862" s="9"/>
      <c r="V862" s="9"/>
    </row>
    <row r="863" spans="1:22">
      <c r="A863" s="9"/>
      <c r="B863" s="9"/>
      <c r="C863" s="9"/>
      <c r="D863" s="9"/>
      <c r="E863" s="9"/>
      <c r="F863" s="9"/>
      <c r="G863" s="9"/>
      <c r="H863" s="9"/>
      <c r="I863" s="9"/>
      <c r="J863" s="9"/>
      <c r="K863" s="9"/>
      <c r="L863" s="9"/>
      <c r="M863" s="9"/>
      <c r="N863" s="9"/>
      <c r="O863" s="9"/>
      <c r="P863" s="9"/>
      <c r="Q863" s="9"/>
      <c r="R863" s="9"/>
      <c r="S863" s="9"/>
      <c r="T863" s="2332"/>
      <c r="U863" s="9"/>
      <c r="V863" s="9"/>
    </row>
    <row r="864" spans="1:22">
      <c r="A864" s="9"/>
      <c r="B864" s="9"/>
      <c r="C864" s="9"/>
      <c r="D864" s="9"/>
      <c r="E864" s="9"/>
      <c r="F864" s="9"/>
      <c r="G864" s="9"/>
      <c r="H864" s="9"/>
      <c r="I864" s="9"/>
      <c r="J864" s="9"/>
      <c r="K864" s="9"/>
      <c r="L864" s="9"/>
      <c r="M864" s="9"/>
      <c r="N864" s="9"/>
      <c r="O864" s="9"/>
      <c r="P864" s="9"/>
      <c r="Q864" s="9"/>
      <c r="R864" s="9"/>
      <c r="S864" s="9"/>
      <c r="T864" s="2332"/>
      <c r="U864" s="9"/>
      <c r="V864" s="9"/>
    </row>
    <row r="865" spans="1:22">
      <c r="A865" s="9"/>
      <c r="B865" s="9"/>
      <c r="C865" s="9"/>
      <c r="D865" s="9"/>
      <c r="E865" s="9"/>
      <c r="F865" s="9"/>
      <c r="G865" s="9"/>
      <c r="H865" s="9"/>
      <c r="I865" s="9"/>
      <c r="J865" s="9"/>
      <c r="K865" s="9"/>
      <c r="L865" s="9"/>
      <c r="M865" s="9"/>
      <c r="N865" s="9"/>
      <c r="O865" s="9"/>
      <c r="P865" s="9"/>
      <c r="Q865" s="9"/>
      <c r="R865" s="9"/>
      <c r="S865" s="9"/>
      <c r="T865" s="2332"/>
      <c r="U865" s="9"/>
      <c r="V865" s="9"/>
    </row>
    <row r="866" spans="1:22">
      <c r="A866" s="9"/>
      <c r="B866" s="9"/>
      <c r="C866" s="9"/>
      <c r="D866" s="9"/>
      <c r="E866" s="9"/>
      <c r="F866" s="9"/>
      <c r="G866" s="9"/>
      <c r="H866" s="9"/>
      <c r="I866" s="9"/>
      <c r="J866" s="9"/>
      <c r="K866" s="9"/>
      <c r="L866" s="9"/>
      <c r="M866" s="9"/>
      <c r="N866" s="9"/>
      <c r="O866" s="9"/>
      <c r="P866" s="9"/>
      <c r="Q866" s="9"/>
      <c r="R866" s="9"/>
      <c r="S866" s="9"/>
      <c r="T866" s="2332"/>
      <c r="U866" s="9"/>
      <c r="V866" s="9"/>
    </row>
    <row r="867" spans="1:22">
      <c r="A867" s="9"/>
      <c r="B867" s="9"/>
      <c r="C867" s="9"/>
      <c r="D867" s="9"/>
      <c r="E867" s="9"/>
      <c r="F867" s="9"/>
      <c r="G867" s="9"/>
      <c r="H867" s="9"/>
      <c r="I867" s="9"/>
      <c r="J867" s="9"/>
      <c r="K867" s="9"/>
      <c r="L867" s="9"/>
      <c r="M867" s="9"/>
      <c r="N867" s="9"/>
      <c r="O867" s="9"/>
      <c r="P867" s="9"/>
      <c r="Q867" s="9"/>
      <c r="R867" s="9"/>
      <c r="S867" s="9"/>
      <c r="T867" s="2332"/>
      <c r="U867" s="9"/>
      <c r="V867" s="9"/>
    </row>
    <row r="868" spans="1:22">
      <c r="A868" s="9"/>
      <c r="B868" s="9"/>
      <c r="C868" s="9"/>
      <c r="D868" s="9"/>
      <c r="E868" s="9"/>
      <c r="F868" s="9"/>
      <c r="G868" s="9"/>
      <c r="H868" s="9"/>
      <c r="I868" s="9"/>
      <c r="J868" s="9"/>
      <c r="K868" s="9"/>
      <c r="L868" s="9"/>
      <c r="M868" s="9"/>
      <c r="N868" s="9"/>
      <c r="O868" s="9"/>
      <c r="P868" s="9"/>
      <c r="Q868" s="9"/>
      <c r="R868" s="9"/>
      <c r="S868" s="9"/>
      <c r="T868" s="2332"/>
      <c r="U868" s="9"/>
      <c r="V868" s="9"/>
    </row>
    <row r="869" spans="1:22">
      <c r="A869" s="9"/>
      <c r="B869" s="9"/>
      <c r="C869" s="9"/>
      <c r="D869" s="9"/>
      <c r="E869" s="9"/>
      <c r="F869" s="9"/>
      <c r="G869" s="9"/>
      <c r="H869" s="9"/>
      <c r="I869" s="9"/>
      <c r="J869" s="9"/>
      <c r="K869" s="9"/>
      <c r="L869" s="9"/>
      <c r="M869" s="9"/>
      <c r="N869" s="9"/>
      <c r="O869" s="9"/>
      <c r="P869" s="9"/>
      <c r="Q869" s="9"/>
      <c r="R869" s="9"/>
      <c r="S869" s="9"/>
      <c r="T869" s="2332"/>
      <c r="U869" s="9"/>
      <c r="V869" s="9"/>
    </row>
    <row r="870" spans="1:22">
      <c r="A870" s="9"/>
      <c r="B870" s="9"/>
      <c r="C870" s="9"/>
      <c r="D870" s="9"/>
      <c r="E870" s="9"/>
      <c r="F870" s="9"/>
      <c r="G870" s="9"/>
      <c r="H870" s="9"/>
      <c r="I870" s="9"/>
      <c r="J870" s="9"/>
      <c r="K870" s="9"/>
      <c r="L870" s="9"/>
      <c r="M870" s="9"/>
      <c r="N870" s="9"/>
      <c r="O870" s="9"/>
      <c r="P870" s="9"/>
      <c r="Q870" s="9"/>
      <c r="R870" s="9"/>
      <c r="S870" s="9"/>
      <c r="T870" s="2332"/>
      <c r="U870" s="9"/>
      <c r="V870" s="9"/>
    </row>
    <row r="871" spans="1:22">
      <c r="A871" s="9"/>
      <c r="B871" s="9"/>
      <c r="C871" s="9"/>
      <c r="D871" s="9"/>
      <c r="E871" s="9"/>
      <c r="F871" s="9"/>
      <c r="G871" s="9"/>
      <c r="H871" s="9"/>
      <c r="I871" s="9"/>
      <c r="J871" s="9"/>
      <c r="K871" s="9"/>
      <c r="L871" s="9"/>
      <c r="M871" s="9"/>
      <c r="N871" s="9"/>
      <c r="O871" s="9"/>
      <c r="P871" s="9"/>
      <c r="Q871" s="9"/>
      <c r="R871" s="9"/>
      <c r="S871" s="9"/>
      <c r="T871" s="2332"/>
      <c r="U871" s="9"/>
      <c r="V871" s="9"/>
    </row>
    <row r="872" spans="1:22">
      <c r="A872" s="9"/>
      <c r="B872" s="9"/>
      <c r="C872" s="9"/>
      <c r="D872" s="9"/>
      <c r="E872" s="9"/>
      <c r="F872" s="9"/>
      <c r="G872" s="9"/>
      <c r="H872" s="9"/>
      <c r="I872" s="9"/>
      <c r="J872" s="9"/>
      <c r="K872" s="9"/>
      <c r="L872" s="9"/>
      <c r="M872" s="9"/>
      <c r="N872" s="9"/>
      <c r="O872" s="9"/>
      <c r="P872" s="9"/>
      <c r="Q872" s="9"/>
      <c r="R872" s="9"/>
      <c r="S872" s="9"/>
      <c r="T872" s="2332"/>
      <c r="U872" s="9"/>
      <c r="V872" s="9"/>
    </row>
    <row r="873" spans="1:22">
      <c r="A873" s="9"/>
      <c r="B873" s="9"/>
      <c r="C873" s="9"/>
      <c r="D873" s="9"/>
      <c r="E873" s="9"/>
      <c r="F873" s="9"/>
      <c r="G873" s="9"/>
      <c r="H873" s="9"/>
      <c r="I873" s="9"/>
      <c r="J873" s="9"/>
      <c r="K873" s="9"/>
      <c r="L873" s="9"/>
      <c r="M873" s="9"/>
      <c r="N873" s="9"/>
      <c r="O873" s="9"/>
      <c r="P873" s="9"/>
      <c r="Q873" s="9"/>
      <c r="R873" s="9"/>
      <c r="S873" s="9"/>
      <c r="T873" s="2332"/>
      <c r="U873" s="9"/>
      <c r="V873" s="9"/>
    </row>
    <row r="874" spans="1:22">
      <c r="A874" s="9"/>
      <c r="B874" s="9"/>
      <c r="C874" s="9"/>
      <c r="D874" s="9"/>
      <c r="E874" s="9"/>
      <c r="F874" s="9"/>
      <c r="G874" s="9"/>
      <c r="H874" s="9"/>
      <c r="I874" s="9"/>
      <c r="J874" s="9"/>
      <c r="K874" s="9"/>
      <c r="L874" s="9"/>
      <c r="M874" s="9"/>
      <c r="N874" s="9"/>
      <c r="O874" s="9"/>
      <c r="P874" s="9"/>
      <c r="Q874" s="9"/>
      <c r="R874" s="9"/>
      <c r="S874" s="9"/>
      <c r="T874" s="2332"/>
      <c r="U874" s="9"/>
      <c r="V874" s="9"/>
    </row>
    <row r="875" spans="1:22">
      <c r="A875" s="9"/>
      <c r="B875" s="9"/>
      <c r="C875" s="9"/>
      <c r="D875" s="9"/>
      <c r="E875" s="9"/>
      <c r="F875" s="9"/>
      <c r="G875" s="9"/>
      <c r="H875" s="9"/>
      <c r="I875" s="9"/>
      <c r="J875" s="9"/>
      <c r="K875" s="9"/>
      <c r="L875" s="9"/>
      <c r="M875" s="9"/>
      <c r="N875" s="9"/>
      <c r="O875" s="9"/>
      <c r="P875" s="9"/>
      <c r="Q875" s="9"/>
      <c r="R875" s="9"/>
      <c r="S875" s="9"/>
      <c r="T875" s="2332"/>
      <c r="U875" s="9"/>
      <c r="V875" s="9"/>
    </row>
    <row r="876" spans="1:22">
      <c r="A876" s="9"/>
      <c r="B876" s="9"/>
      <c r="C876" s="9"/>
      <c r="D876" s="9"/>
      <c r="E876" s="9"/>
      <c r="F876" s="9"/>
      <c r="G876" s="9"/>
      <c r="H876" s="9"/>
      <c r="I876" s="9"/>
      <c r="J876" s="9"/>
      <c r="K876" s="9"/>
      <c r="L876" s="9"/>
      <c r="M876" s="9"/>
      <c r="N876" s="9"/>
      <c r="O876" s="9"/>
      <c r="P876" s="9"/>
      <c r="Q876" s="9"/>
      <c r="R876" s="9"/>
      <c r="S876" s="9"/>
      <c r="T876" s="2332"/>
      <c r="U876" s="9"/>
      <c r="V876" s="9"/>
    </row>
    <row r="877" spans="1:22">
      <c r="A877" s="9"/>
      <c r="B877" s="9"/>
      <c r="C877" s="9"/>
      <c r="D877" s="9"/>
      <c r="E877" s="9"/>
      <c r="F877" s="9"/>
      <c r="G877" s="9"/>
      <c r="H877" s="9"/>
      <c r="I877" s="9"/>
      <c r="J877" s="9"/>
      <c r="K877" s="9"/>
      <c r="L877" s="9"/>
      <c r="M877" s="9"/>
      <c r="N877" s="9"/>
      <c r="O877" s="9"/>
      <c r="P877" s="9"/>
      <c r="Q877" s="9"/>
      <c r="R877" s="9"/>
      <c r="S877" s="9"/>
      <c r="T877" s="2332"/>
      <c r="U877" s="9"/>
      <c r="V877" s="9"/>
    </row>
    <row r="878" spans="1:22">
      <c r="A878" s="9"/>
      <c r="B878" s="9"/>
      <c r="C878" s="9"/>
      <c r="D878" s="9"/>
      <c r="E878" s="9"/>
      <c r="F878" s="9"/>
      <c r="G878" s="9"/>
      <c r="H878" s="9"/>
      <c r="I878" s="9"/>
      <c r="J878" s="9"/>
      <c r="K878" s="9"/>
      <c r="L878" s="9"/>
      <c r="M878" s="9"/>
      <c r="N878" s="9"/>
      <c r="O878" s="9"/>
      <c r="P878" s="9"/>
      <c r="Q878" s="9"/>
      <c r="R878" s="9"/>
      <c r="S878" s="9"/>
      <c r="T878" s="2332"/>
      <c r="U878" s="9"/>
      <c r="V878" s="9"/>
    </row>
    <row r="879" spans="1:22">
      <c r="A879" s="9"/>
      <c r="B879" s="9"/>
      <c r="C879" s="9"/>
      <c r="D879" s="9"/>
      <c r="E879" s="9"/>
      <c r="F879" s="9"/>
      <c r="G879" s="9"/>
      <c r="H879" s="9"/>
      <c r="I879" s="9"/>
      <c r="J879" s="9"/>
      <c r="K879" s="9"/>
      <c r="L879" s="9"/>
      <c r="M879" s="9"/>
      <c r="N879" s="9"/>
      <c r="O879" s="9"/>
      <c r="P879" s="9"/>
      <c r="Q879" s="9"/>
      <c r="R879" s="9"/>
      <c r="S879" s="9"/>
      <c r="T879" s="2332"/>
      <c r="U879" s="9"/>
      <c r="V879" s="9"/>
    </row>
    <row r="880" spans="1:22">
      <c r="A880" s="9"/>
      <c r="B880" s="9"/>
      <c r="C880" s="9"/>
      <c r="D880" s="9"/>
      <c r="E880" s="9"/>
      <c r="F880" s="9"/>
      <c r="G880" s="9"/>
      <c r="H880" s="9"/>
      <c r="I880" s="9"/>
      <c r="J880" s="9"/>
      <c r="K880" s="9"/>
      <c r="L880" s="9"/>
      <c r="M880" s="9"/>
      <c r="N880" s="9"/>
      <c r="O880" s="9"/>
      <c r="P880" s="9"/>
      <c r="Q880" s="9"/>
      <c r="R880" s="9"/>
      <c r="S880" s="9"/>
      <c r="T880" s="2332"/>
      <c r="U880" s="9"/>
      <c r="V880" s="9"/>
    </row>
    <row r="881" spans="1:22">
      <c r="A881" s="9"/>
      <c r="B881" s="9"/>
      <c r="C881" s="9"/>
      <c r="D881" s="9"/>
      <c r="E881" s="9"/>
      <c r="F881" s="9"/>
      <c r="G881" s="9"/>
      <c r="H881" s="9"/>
      <c r="I881" s="9"/>
      <c r="J881" s="9"/>
      <c r="K881" s="9"/>
      <c r="L881" s="9"/>
      <c r="M881" s="9"/>
      <c r="N881" s="9"/>
      <c r="O881" s="9"/>
      <c r="P881" s="9"/>
      <c r="Q881" s="9"/>
      <c r="R881" s="9"/>
      <c r="S881" s="9"/>
      <c r="T881" s="2332"/>
      <c r="U881" s="9"/>
      <c r="V881" s="9"/>
    </row>
    <row r="882" spans="1:22">
      <c r="A882" s="9"/>
      <c r="B882" s="9"/>
      <c r="C882" s="9"/>
      <c r="D882" s="9"/>
      <c r="E882" s="9"/>
      <c r="F882" s="9"/>
      <c r="G882" s="9"/>
      <c r="H882" s="9"/>
      <c r="I882" s="9"/>
      <c r="J882" s="9"/>
      <c r="K882" s="9"/>
      <c r="L882" s="9"/>
      <c r="M882" s="9"/>
      <c r="N882" s="9"/>
      <c r="O882" s="9"/>
      <c r="P882" s="9"/>
      <c r="Q882" s="9"/>
      <c r="R882" s="9"/>
      <c r="S882" s="9"/>
      <c r="T882" s="2332"/>
      <c r="U882" s="9"/>
      <c r="V882" s="9"/>
    </row>
    <row r="883" spans="1:22">
      <c r="A883" s="9"/>
      <c r="B883" s="9"/>
      <c r="C883" s="9"/>
      <c r="D883" s="9"/>
      <c r="E883" s="9"/>
      <c r="F883" s="9"/>
      <c r="G883" s="9"/>
      <c r="H883" s="9"/>
      <c r="I883" s="9"/>
      <c r="J883" s="9"/>
      <c r="K883" s="9"/>
      <c r="L883" s="9"/>
      <c r="M883" s="9"/>
      <c r="N883" s="9"/>
      <c r="O883" s="9"/>
      <c r="P883" s="9"/>
      <c r="Q883" s="9"/>
      <c r="R883" s="9"/>
      <c r="S883" s="9"/>
      <c r="T883" s="2332"/>
      <c r="U883" s="9"/>
      <c r="V883" s="9"/>
    </row>
    <row r="884" spans="1:22">
      <c r="A884" s="9"/>
      <c r="B884" s="9"/>
      <c r="C884" s="9"/>
      <c r="D884" s="9"/>
      <c r="E884" s="9"/>
      <c r="F884" s="9"/>
      <c r="G884" s="9"/>
      <c r="H884" s="9"/>
      <c r="I884" s="9"/>
      <c r="J884" s="9"/>
      <c r="K884" s="9"/>
      <c r="L884" s="9"/>
      <c r="M884" s="9"/>
      <c r="N884" s="9"/>
      <c r="O884" s="9"/>
      <c r="P884" s="9"/>
      <c r="Q884" s="9"/>
      <c r="R884" s="9"/>
      <c r="S884" s="9"/>
      <c r="T884" s="2332"/>
      <c r="U884" s="9"/>
      <c r="V884" s="9"/>
    </row>
    <row r="885" spans="1:22">
      <c r="A885" s="9"/>
      <c r="B885" s="9"/>
      <c r="C885" s="9"/>
      <c r="D885" s="9"/>
      <c r="E885" s="9"/>
      <c r="F885" s="9"/>
      <c r="G885" s="9"/>
      <c r="H885" s="9"/>
      <c r="I885" s="9"/>
      <c r="J885" s="9"/>
      <c r="K885" s="9"/>
      <c r="L885" s="9"/>
      <c r="M885" s="9"/>
      <c r="N885" s="9"/>
      <c r="O885" s="9"/>
      <c r="P885" s="9"/>
      <c r="Q885" s="9"/>
      <c r="R885" s="9"/>
      <c r="S885" s="9"/>
      <c r="T885" s="2332"/>
      <c r="U885" s="9"/>
      <c r="V885" s="9"/>
    </row>
    <row r="886" spans="1:22">
      <c r="A886" s="9"/>
      <c r="B886" s="9"/>
      <c r="C886" s="9"/>
      <c r="D886" s="9"/>
      <c r="E886" s="9"/>
      <c r="F886" s="9"/>
      <c r="G886" s="9"/>
      <c r="H886" s="9"/>
      <c r="I886" s="9"/>
      <c r="J886" s="9"/>
      <c r="K886" s="9"/>
      <c r="L886" s="9"/>
      <c r="M886" s="9"/>
      <c r="N886" s="9"/>
      <c r="O886" s="9"/>
      <c r="P886" s="9"/>
      <c r="Q886" s="9"/>
      <c r="R886" s="9"/>
      <c r="S886" s="9"/>
      <c r="T886" s="2332"/>
      <c r="U886" s="9"/>
      <c r="V886" s="9"/>
    </row>
    <row r="887" spans="1:22">
      <c r="A887" s="9"/>
      <c r="B887" s="9"/>
      <c r="C887" s="9"/>
      <c r="D887" s="9"/>
      <c r="E887" s="9"/>
      <c r="F887" s="9"/>
      <c r="G887" s="9"/>
      <c r="H887" s="9"/>
      <c r="I887" s="9"/>
      <c r="J887" s="9"/>
      <c r="K887" s="9"/>
      <c r="L887" s="9"/>
      <c r="M887" s="9"/>
      <c r="N887" s="9"/>
      <c r="O887" s="9"/>
      <c r="P887" s="9"/>
      <c r="Q887" s="9"/>
      <c r="R887" s="9"/>
      <c r="S887" s="9"/>
      <c r="T887" s="2332"/>
      <c r="U887" s="9"/>
      <c r="V887" s="9"/>
    </row>
    <row r="888" spans="1:22">
      <c r="A888" s="9"/>
      <c r="B888" s="9"/>
      <c r="C888" s="9"/>
      <c r="D888" s="9"/>
      <c r="E888" s="9"/>
      <c r="F888" s="9"/>
      <c r="G888" s="9"/>
      <c r="H888" s="9"/>
      <c r="I888" s="9"/>
      <c r="J888" s="9"/>
      <c r="K888" s="9"/>
      <c r="L888" s="9"/>
      <c r="M888" s="9"/>
      <c r="N888" s="9"/>
      <c r="O888" s="9"/>
      <c r="P888" s="9"/>
      <c r="Q888" s="9"/>
      <c r="R888" s="9"/>
      <c r="S888" s="9"/>
      <c r="T888" s="2332"/>
      <c r="U888" s="9"/>
      <c r="V888" s="9"/>
    </row>
    <row r="889" spans="1:22">
      <c r="A889" s="9"/>
      <c r="B889" s="9"/>
      <c r="C889" s="9"/>
      <c r="D889" s="9"/>
      <c r="E889" s="9"/>
      <c r="F889" s="9"/>
      <c r="G889" s="9"/>
      <c r="H889" s="9"/>
      <c r="I889" s="9"/>
      <c r="J889" s="9"/>
      <c r="K889" s="9"/>
      <c r="L889" s="9"/>
      <c r="M889" s="9"/>
      <c r="N889" s="9"/>
      <c r="O889" s="9"/>
      <c r="P889" s="9"/>
      <c r="Q889" s="9"/>
      <c r="R889" s="9"/>
      <c r="S889" s="9"/>
      <c r="T889" s="2332"/>
      <c r="U889" s="9"/>
      <c r="V889" s="9"/>
    </row>
    <row r="890" spans="1:22">
      <c r="A890" s="9"/>
      <c r="B890" s="9"/>
      <c r="C890" s="9"/>
      <c r="D890" s="9"/>
      <c r="E890" s="9"/>
      <c r="F890" s="9"/>
      <c r="G890" s="9"/>
      <c r="H890" s="9"/>
      <c r="I890" s="9"/>
      <c r="J890" s="9"/>
      <c r="K890" s="9"/>
      <c r="L890" s="9"/>
      <c r="M890" s="9"/>
      <c r="N890" s="9"/>
      <c r="O890" s="9"/>
      <c r="P890" s="9"/>
      <c r="Q890" s="9"/>
      <c r="R890" s="9"/>
      <c r="S890" s="9"/>
      <c r="T890" s="2332"/>
      <c r="U890" s="9"/>
      <c r="V890" s="9"/>
    </row>
    <row r="891" spans="1:22">
      <c r="A891" s="9"/>
      <c r="B891" s="9"/>
      <c r="C891" s="9"/>
      <c r="D891" s="9"/>
      <c r="E891" s="9"/>
      <c r="F891" s="9"/>
      <c r="G891" s="9"/>
      <c r="H891" s="9"/>
      <c r="I891" s="9"/>
      <c r="J891" s="9"/>
      <c r="K891" s="9"/>
      <c r="L891" s="9"/>
      <c r="M891" s="9"/>
      <c r="N891" s="9"/>
      <c r="O891" s="9"/>
      <c r="P891" s="9"/>
      <c r="Q891" s="9"/>
      <c r="R891" s="9"/>
      <c r="S891" s="9"/>
      <c r="T891" s="2332"/>
      <c r="U891" s="9"/>
      <c r="V891" s="9"/>
    </row>
    <row r="892" spans="1:22">
      <c r="A892" s="9"/>
      <c r="B892" s="9"/>
      <c r="C892" s="9"/>
      <c r="D892" s="9"/>
      <c r="E892" s="9"/>
      <c r="F892" s="9"/>
      <c r="G892" s="9"/>
      <c r="H892" s="9"/>
      <c r="I892" s="9"/>
      <c r="J892" s="9"/>
      <c r="K892" s="9"/>
      <c r="L892" s="9"/>
      <c r="M892" s="9"/>
      <c r="N892" s="9"/>
      <c r="O892" s="9"/>
      <c r="P892" s="9"/>
      <c r="Q892" s="9"/>
      <c r="R892" s="9"/>
      <c r="S892" s="9"/>
      <c r="T892" s="2332"/>
      <c r="U892" s="9"/>
      <c r="V892" s="9"/>
    </row>
    <row r="893" spans="1:22">
      <c r="A893" s="9"/>
      <c r="B893" s="9"/>
      <c r="C893" s="9"/>
      <c r="D893" s="9"/>
      <c r="E893" s="9"/>
      <c r="F893" s="9"/>
      <c r="G893" s="9"/>
      <c r="H893" s="9"/>
      <c r="I893" s="9"/>
      <c r="J893" s="9"/>
      <c r="K893" s="9"/>
      <c r="L893" s="9"/>
      <c r="M893" s="9"/>
      <c r="N893" s="9"/>
      <c r="O893" s="9"/>
      <c r="P893" s="9"/>
      <c r="Q893" s="9"/>
      <c r="R893" s="9"/>
      <c r="S893" s="9"/>
      <c r="T893" s="2332"/>
      <c r="U893" s="9"/>
      <c r="V893" s="9"/>
    </row>
    <row r="894" spans="1:22">
      <c r="A894" s="9"/>
      <c r="B894" s="9"/>
      <c r="C894" s="9"/>
      <c r="D894" s="9"/>
      <c r="E894" s="9"/>
      <c r="F894" s="9"/>
      <c r="G894" s="9"/>
      <c r="H894" s="9"/>
      <c r="I894" s="9"/>
      <c r="J894" s="9"/>
      <c r="K894" s="9"/>
      <c r="L894" s="9"/>
      <c r="M894" s="9"/>
      <c r="N894" s="9"/>
      <c r="O894" s="9"/>
      <c r="P894" s="9"/>
      <c r="Q894" s="9"/>
      <c r="R894" s="9"/>
      <c r="S894" s="9"/>
      <c r="T894" s="2332"/>
      <c r="U894" s="9"/>
      <c r="V894" s="9"/>
    </row>
    <row r="895" spans="1:22">
      <c r="A895" s="9"/>
      <c r="B895" s="9"/>
      <c r="C895" s="9"/>
      <c r="D895" s="9"/>
      <c r="E895" s="9"/>
      <c r="F895" s="9"/>
      <c r="G895" s="9"/>
      <c r="H895" s="9"/>
      <c r="I895" s="9"/>
      <c r="J895" s="9"/>
      <c r="K895" s="9"/>
      <c r="L895" s="9"/>
      <c r="M895" s="9"/>
      <c r="N895" s="9"/>
      <c r="O895" s="9"/>
      <c r="P895" s="9"/>
      <c r="Q895" s="9"/>
      <c r="R895" s="9"/>
      <c r="S895" s="9"/>
      <c r="T895" s="2332"/>
      <c r="U895" s="9"/>
      <c r="V895" s="9"/>
    </row>
    <row r="896" spans="1:22">
      <c r="A896" s="9"/>
      <c r="B896" s="9"/>
      <c r="C896" s="9"/>
      <c r="D896" s="9"/>
      <c r="E896" s="9"/>
      <c r="F896" s="9"/>
      <c r="G896" s="9"/>
      <c r="H896" s="9"/>
      <c r="I896" s="9"/>
      <c r="J896" s="9"/>
      <c r="K896" s="9"/>
      <c r="L896" s="9"/>
      <c r="M896" s="9"/>
      <c r="N896" s="9"/>
      <c r="O896" s="9"/>
      <c r="P896" s="9"/>
      <c r="Q896" s="9"/>
      <c r="R896" s="9"/>
      <c r="S896" s="9"/>
      <c r="T896" s="2332"/>
      <c r="U896" s="9"/>
      <c r="V896" s="9"/>
    </row>
    <row r="897" spans="1:22">
      <c r="A897" s="9"/>
      <c r="B897" s="9"/>
      <c r="C897" s="9"/>
      <c r="D897" s="9"/>
      <c r="E897" s="9"/>
      <c r="F897" s="9"/>
      <c r="G897" s="9"/>
      <c r="H897" s="9"/>
      <c r="I897" s="9"/>
      <c r="J897" s="9"/>
      <c r="K897" s="9"/>
      <c r="L897" s="9"/>
      <c r="M897" s="9"/>
      <c r="N897" s="9"/>
      <c r="O897" s="9"/>
      <c r="P897" s="9"/>
      <c r="Q897" s="9"/>
      <c r="R897" s="9"/>
      <c r="S897" s="9"/>
      <c r="T897" s="2332"/>
      <c r="U897" s="9"/>
      <c r="V897" s="9"/>
    </row>
    <row r="898" spans="1:22">
      <c r="A898" s="9"/>
      <c r="B898" s="9"/>
      <c r="C898" s="9"/>
      <c r="D898" s="9"/>
      <c r="E898" s="9"/>
      <c r="F898" s="9"/>
      <c r="G898" s="9"/>
      <c r="H898" s="9"/>
      <c r="I898" s="9"/>
      <c r="J898" s="9"/>
      <c r="K898" s="9"/>
      <c r="L898" s="9"/>
      <c r="M898" s="9"/>
      <c r="N898" s="9"/>
      <c r="O898" s="9"/>
      <c r="P898" s="9"/>
      <c r="Q898" s="9"/>
      <c r="R898" s="9"/>
      <c r="S898" s="9"/>
      <c r="T898" s="2332"/>
      <c r="U898" s="9"/>
      <c r="V898" s="9"/>
    </row>
    <row r="899" spans="1:22">
      <c r="A899" s="9"/>
      <c r="B899" s="9"/>
      <c r="C899" s="9"/>
      <c r="D899" s="9"/>
      <c r="E899" s="9"/>
      <c r="F899" s="9"/>
      <c r="G899" s="9"/>
      <c r="H899" s="9"/>
      <c r="I899" s="9"/>
      <c r="J899" s="9"/>
      <c r="K899" s="9"/>
      <c r="L899" s="9"/>
      <c r="M899" s="9"/>
      <c r="N899" s="9"/>
      <c r="O899" s="9"/>
      <c r="P899" s="9"/>
      <c r="Q899" s="9"/>
      <c r="R899" s="9"/>
      <c r="S899" s="9"/>
      <c r="T899" s="2332"/>
      <c r="U899" s="9"/>
      <c r="V899" s="9"/>
    </row>
    <row r="900" spans="1:22">
      <c r="A900" s="9"/>
      <c r="B900" s="9"/>
      <c r="C900" s="9"/>
      <c r="D900" s="9"/>
      <c r="E900" s="9"/>
      <c r="F900" s="9"/>
      <c r="G900" s="9"/>
      <c r="H900" s="9"/>
      <c r="I900" s="9"/>
      <c r="J900" s="9"/>
      <c r="K900" s="9"/>
      <c r="L900" s="9"/>
      <c r="M900" s="9"/>
      <c r="N900" s="9"/>
      <c r="O900" s="9"/>
      <c r="P900" s="9"/>
      <c r="Q900" s="9"/>
      <c r="R900" s="9"/>
      <c r="S900" s="9"/>
      <c r="T900" s="2332"/>
      <c r="U900" s="9"/>
      <c r="V900" s="9"/>
    </row>
    <row r="901" spans="1:22">
      <c r="A901" s="9"/>
      <c r="B901" s="9"/>
      <c r="C901" s="9"/>
      <c r="D901" s="9"/>
      <c r="E901" s="9"/>
      <c r="F901" s="9"/>
      <c r="G901" s="9"/>
      <c r="H901" s="9"/>
      <c r="I901" s="9"/>
      <c r="J901" s="9"/>
      <c r="K901" s="9"/>
      <c r="L901" s="9"/>
      <c r="M901" s="9"/>
      <c r="N901" s="9"/>
      <c r="O901" s="9"/>
      <c r="P901" s="9"/>
      <c r="Q901" s="9"/>
      <c r="R901" s="9"/>
      <c r="S901" s="9"/>
      <c r="T901" s="2332"/>
      <c r="U901" s="9"/>
      <c r="V901" s="9"/>
    </row>
    <row r="902" spans="1:22">
      <c r="A902" s="9"/>
      <c r="B902" s="9"/>
      <c r="C902" s="9"/>
      <c r="D902" s="9"/>
      <c r="E902" s="9"/>
      <c r="F902" s="9"/>
      <c r="G902" s="9"/>
      <c r="H902" s="9"/>
      <c r="I902" s="9"/>
      <c r="J902" s="9"/>
      <c r="K902" s="9"/>
      <c r="L902" s="9"/>
      <c r="M902" s="9"/>
      <c r="N902" s="9"/>
      <c r="O902" s="9"/>
      <c r="P902" s="9"/>
      <c r="Q902" s="9"/>
      <c r="R902" s="9"/>
      <c r="S902" s="9"/>
      <c r="T902" s="2332"/>
      <c r="U902" s="9"/>
      <c r="V902" s="9"/>
    </row>
    <row r="903" spans="1:22">
      <c r="A903" s="9"/>
      <c r="B903" s="9"/>
      <c r="C903" s="9"/>
      <c r="D903" s="9"/>
      <c r="E903" s="9"/>
      <c r="F903" s="9"/>
      <c r="G903" s="9"/>
      <c r="H903" s="9"/>
      <c r="I903" s="9"/>
      <c r="J903" s="9"/>
      <c r="K903" s="9"/>
      <c r="L903" s="9"/>
      <c r="M903" s="9"/>
      <c r="N903" s="9"/>
      <c r="O903" s="9"/>
      <c r="P903" s="9"/>
      <c r="Q903" s="9"/>
      <c r="R903" s="9"/>
      <c r="S903" s="9"/>
      <c r="T903" s="2332"/>
      <c r="U903" s="9"/>
      <c r="V903" s="9"/>
    </row>
    <row r="904" spans="1:22">
      <c r="A904" s="9"/>
      <c r="B904" s="9"/>
      <c r="C904" s="9"/>
      <c r="D904" s="9"/>
      <c r="E904" s="9"/>
      <c r="F904" s="9"/>
      <c r="G904" s="9"/>
      <c r="H904" s="9"/>
      <c r="I904" s="9"/>
      <c r="J904" s="9"/>
      <c r="K904" s="9"/>
      <c r="L904" s="9"/>
      <c r="M904" s="9"/>
      <c r="N904" s="9"/>
      <c r="O904" s="9"/>
      <c r="P904" s="9"/>
      <c r="Q904" s="9"/>
      <c r="R904" s="9"/>
      <c r="S904" s="9"/>
      <c r="T904" s="2332"/>
      <c r="U904" s="9"/>
      <c r="V904" s="9"/>
    </row>
    <row r="905" spans="1:22">
      <c r="A905" s="9"/>
      <c r="B905" s="9"/>
      <c r="C905" s="9"/>
      <c r="D905" s="9"/>
      <c r="E905" s="9"/>
      <c r="F905" s="9"/>
      <c r="G905" s="9"/>
      <c r="H905" s="9"/>
      <c r="I905" s="9"/>
      <c r="J905" s="9"/>
      <c r="K905" s="9"/>
      <c r="L905" s="9"/>
      <c r="M905" s="9"/>
      <c r="N905" s="9"/>
      <c r="O905" s="9"/>
      <c r="P905" s="9"/>
      <c r="Q905" s="9"/>
      <c r="R905" s="9"/>
      <c r="S905" s="9"/>
      <c r="T905" s="2332"/>
      <c r="U905" s="9"/>
      <c r="V905" s="9"/>
    </row>
    <row r="906" spans="1:22">
      <c r="A906" s="9"/>
      <c r="B906" s="9"/>
      <c r="C906" s="9"/>
      <c r="D906" s="9"/>
      <c r="E906" s="9"/>
      <c r="F906" s="9"/>
      <c r="G906" s="9"/>
      <c r="H906" s="9"/>
      <c r="I906" s="9"/>
      <c r="J906" s="9"/>
      <c r="K906" s="9"/>
      <c r="L906" s="9"/>
      <c r="M906" s="9"/>
      <c r="N906" s="9"/>
      <c r="O906" s="9"/>
      <c r="P906" s="9"/>
      <c r="Q906" s="9"/>
      <c r="R906" s="9"/>
      <c r="S906" s="9"/>
      <c r="T906" s="2332"/>
      <c r="U906" s="9"/>
      <c r="V906" s="9"/>
    </row>
    <row r="907" spans="1:22">
      <c r="A907" s="9"/>
      <c r="B907" s="9"/>
      <c r="C907" s="9"/>
      <c r="D907" s="9"/>
      <c r="E907" s="9"/>
      <c r="F907" s="9"/>
      <c r="G907" s="9"/>
      <c r="H907" s="9"/>
      <c r="I907" s="9"/>
      <c r="J907" s="9"/>
      <c r="K907" s="9"/>
      <c r="L907" s="9"/>
      <c r="M907" s="9"/>
      <c r="N907" s="9"/>
      <c r="O907" s="9"/>
      <c r="P907" s="9"/>
      <c r="Q907" s="9"/>
      <c r="R907" s="9"/>
      <c r="S907" s="9"/>
      <c r="T907" s="2332"/>
      <c r="U907" s="9"/>
      <c r="V907" s="9"/>
    </row>
    <row r="908" spans="1:22">
      <c r="A908" s="9"/>
      <c r="B908" s="9"/>
      <c r="C908" s="9"/>
      <c r="D908" s="9"/>
      <c r="E908" s="9"/>
      <c r="F908" s="9"/>
      <c r="G908" s="9"/>
      <c r="H908" s="9"/>
      <c r="I908" s="9"/>
      <c r="J908" s="9"/>
      <c r="K908" s="9"/>
      <c r="L908" s="9"/>
      <c r="M908" s="9"/>
      <c r="N908" s="9"/>
      <c r="O908" s="9"/>
      <c r="P908" s="9"/>
      <c r="Q908" s="9"/>
      <c r="R908" s="9"/>
      <c r="S908" s="9"/>
      <c r="T908" s="2332"/>
      <c r="U908" s="9"/>
      <c r="V908" s="9"/>
    </row>
    <row r="909" spans="1:22">
      <c r="A909" s="9"/>
      <c r="B909" s="9"/>
      <c r="C909" s="9"/>
      <c r="D909" s="9"/>
      <c r="E909" s="9"/>
      <c r="F909" s="9"/>
      <c r="G909" s="9"/>
      <c r="H909" s="9"/>
      <c r="I909" s="9"/>
      <c r="J909" s="9"/>
      <c r="K909" s="9"/>
      <c r="L909" s="9"/>
      <c r="M909" s="9"/>
      <c r="N909" s="9"/>
      <c r="O909" s="9"/>
      <c r="P909" s="9"/>
      <c r="Q909" s="9"/>
      <c r="R909" s="9"/>
      <c r="S909" s="9"/>
      <c r="T909" s="2332"/>
      <c r="U909" s="9"/>
      <c r="V909" s="9"/>
    </row>
    <row r="910" spans="1:22">
      <c r="A910" s="9"/>
      <c r="B910" s="9"/>
      <c r="C910" s="9"/>
      <c r="D910" s="9"/>
      <c r="E910" s="9"/>
      <c r="F910" s="9"/>
      <c r="G910" s="9"/>
      <c r="H910" s="9"/>
      <c r="I910" s="9"/>
      <c r="J910" s="9"/>
      <c r="K910" s="9"/>
      <c r="L910" s="9"/>
      <c r="M910" s="9"/>
      <c r="N910" s="9"/>
      <c r="O910" s="9"/>
      <c r="P910" s="9"/>
      <c r="Q910" s="9"/>
      <c r="R910" s="9"/>
      <c r="S910" s="9"/>
      <c r="T910" s="2332"/>
      <c r="U910" s="9"/>
      <c r="V910" s="9"/>
    </row>
    <row r="911" spans="1:22">
      <c r="A911" s="9"/>
      <c r="B911" s="9"/>
      <c r="C911" s="9"/>
      <c r="D911" s="9"/>
      <c r="E911" s="9"/>
      <c r="F911" s="9"/>
      <c r="G911" s="9"/>
      <c r="H911" s="9"/>
      <c r="I911" s="9"/>
      <c r="J911" s="9"/>
      <c r="K911" s="9"/>
      <c r="L911" s="9"/>
      <c r="M911" s="9"/>
      <c r="N911" s="9"/>
      <c r="O911" s="9"/>
      <c r="P911" s="9"/>
      <c r="Q911" s="9"/>
      <c r="R911" s="9"/>
      <c r="S911" s="9"/>
      <c r="T911" s="2332"/>
      <c r="U911" s="9"/>
      <c r="V911" s="9"/>
    </row>
    <row r="912" spans="1:22">
      <c r="A912" s="9"/>
      <c r="B912" s="9"/>
      <c r="C912" s="9"/>
      <c r="D912" s="9"/>
      <c r="E912" s="9"/>
      <c r="F912" s="9"/>
      <c r="G912" s="9"/>
      <c r="H912" s="9"/>
      <c r="I912" s="9"/>
      <c r="J912" s="9"/>
      <c r="K912" s="9"/>
      <c r="L912" s="9"/>
      <c r="M912" s="9"/>
      <c r="N912" s="9"/>
      <c r="O912" s="9"/>
      <c r="P912" s="9"/>
      <c r="Q912" s="9"/>
      <c r="R912" s="9"/>
      <c r="S912" s="9"/>
      <c r="T912" s="2332"/>
      <c r="U912" s="9"/>
      <c r="V912" s="9"/>
    </row>
    <row r="913" spans="1:22">
      <c r="A913" s="9"/>
      <c r="B913" s="9"/>
      <c r="C913" s="9"/>
      <c r="D913" s="9"/>
      <c r="E913" s="9"/>
      <c r="F913" s="9"/>
      <c r="G913" s="9"/>
      <c r="H913" s="9"/>
      <c r="I913" s="9"/>
      <c r="J913" s="9"/>
      <c r="K913" s="9"/>
      <c r="L913" s="9"/>
      <c r="M913" s="9"/>
      <c r="N913" s="9"/>
      <c r="O913" s="9"/>
      <c r="P913" s="9"/>
      <c r="Q913" s="9"/>
      <c r="R913" s="9"/>
      <c r="S913" s="9"/>
      <c r="T913" s="2332"/>
      <c r="U913" s="9"/>
      <c r="V913" s="9"/>
    </row>
    <row r="914" spans="1:22">
      <c r="A914" s="9"/>
      <c r="B914" s="9"/>
      <c r="C914" s="9"/>
      <c r="D914" s="9"/>
      <c r="E914" s="9"/>
      <c r="F914" s="9"/>
      <c r="G914" s="9"/>
      <c r="H914" s="9"/>
      <c r="I914" s="9"/>
      <c r="J914" s="9"/>
      <c r="K914" s="9"/>
      <c r="L914" s="9"/>
      <c r="M914" s="9"/>
      <c r="N914" s="9"/>
      <c r="O914" s="9"/>
      <c r="P914" s="9"/>
      <c r="Q914" s="9"/>
      <c r="R914" s="9"/>
      <c r="S914" s="9"/>
      <c r="T914" s="2332"/>
      <c r="U914" s="9"/>
      <c r="V914" s="9"/>
    </row>
    <row r="915" spans="1:22">
      <c r="A915" s="9"/>
      <c r="B915" s="9"/>
      <c r="C915" s="9"/>
      <c r="D915" s="9"/>
      <c r="E915" s="9"/>
      <c r="F915" s="9"/>
      <c r="G915" s="9"/>
      <c r="H915" s="9"/>
      <c r="I915" s="9"/>
      <c r="J915" s="9"/>
      <c r="K915" s="9"/>
      <c r="L915" s="9"/>
      <c r="M915" s="9"/>
      <c r="N915" s="9"/>
      <c r="O915" s="9"/>
      <c r="P915" s="9"/>
      <c r="Q915" s="9"/>
      <c r="R915" s="9"/>
      <c r="S915" s="9"/>
      <c r="T915" s="2332"/>
      <c r="U915" s="9"/>
      <c r="V915" s="9"/>
    </row>
    <row r="916" spans="1:22">
      <c r="A916" s="9"/>
      <c r="B916" s="9"/>
      <c r="C916" s="9"/>
      <c r="D916" s="9"/>
      <c r="E916" s="9"/>
      <c r="F916" s="9"/>
      <c r="G916" s="9"/>
      <c r="H916" s="9"/>
      <c r="I916" s="9"/>
      <c r="J916" s="9"/>
      <c r="K916" s="9"/>
      <c r="L916" s="9"/>
      <c r="M916" s="9"/>
      <c r="N916" s="9"/>
      <c r="O916" s="9"/>
      <c r="P916" s="9"/>
      <c r="Q916" s="9"/>
      <c r="R916" s="9"/>
      <c r="S916" s="9"/>
      <c r="T916" s="2332"/>
      <c r="U916" s="9"/>
      <c r="V916" s="9"/>
    </row>
    <row r="917" spans="1:22">
      <c r="A917" s="9"/>
      <c r="B917" s="9"/>
      <c r="C917" s="9"/>
      <c r="D917" s="9"/>
      <c r="E917" s="9"/>
      <c r="F917" s="9"/>
      <c r="G917" s="9"/>
      <c r="H917" s="9"/>
      <c r="I917" s="9"/>
      <c r="J917" s="9"/>
      <c r="K917" s="9"/>
      <c r="L917" s="9"/>
      <c r="M917" s="9"/>
      <c r="N917" s="9"/>
      <c r="O917" s="9"/>
      <c r="P917" s="9"/>
      <c r="Q917" s="9"/>
      <c r="R917" s="9"/>
      <c r="S917" s="9"/>
      <c r="T917" s="2332"/>
      <c r="U917" s="9"/>
      <c r="V917" s="9"/>
    </row>
    <row r="918" spans="1:22">
      <c r="A918" s="9"/>
      <c r="B918" s="9"/>
      <c r="C918" s="9"/>
      <c r="D918" s="9"/>
      <c r="E918" s="9"/>
      <c r="F918" s="9"/>
      <c r="G918" s="9"/>
      <c r="H918" s="9"/>
      <c r="I918" s="9"/>
      <c r="J918" s="9"/>
      <c r="K918" s="9"/>
      <c r="L918" s="9"/>
      <c r="M918" s="9"/>
      <c r="N918" s="9"/>
      <c r="O918" s="9"/>
      <c r="P918" s="9"/>
      <c r="Q918" s="9"/>
      <c r="R918" s="9"/>
      <c r="S918" s="9"/>
      <c r="T918" s="2332"/>
      <c r="U918" s="9"/>
      <c r="V918" s="9"/>
    </row>
    <row r="919" spans="1:22">
      <c r="A919" s="9"/>
      <c r="B919" s="9"/>
      <c r="C919" s="9"/>
      <c r="D919" s="9"/>
      <c r="E919" s="9"/>
      <c r="F919" s="9"/>
      <c r="G919" s="9"/>
      <c r="H919" s="9"/>
      <c r="I919" s="9"/>
      <c r="J919" s="9"/>
      <c r="K919" s="9"/>
      <c r="L919" s="9"/>
      <c r="M919" s="9"/>
      <c r="N919" s="9"/>
      <c r="O919" s="9"/>
      <c r="P919" s="9"/>
      <c r="Q919" s="9"/>
      <c r="R919" s="9"/>
      <c r="S919" s="9"/>
      <c r="T919" s="2332"/>
      <c r="U919" s="9"/>
      <c r="V919" s="9"/>
    </row>
    <row r="920" spans="1:22">
      <c r="A920" s="9"/>
      <c r="B920" s="9"/>
      <c r="C920" s="9"/>
      <c r="D920" s="9"/>
      <c r="E920" s="9"/>
      <c r="F920" s="9"/>
      <c r="G920" s="9"/>
      <c r="H920" s="9"/>
      <c r="I920" s="9"/>
      <c r="J920" s="9"/>
      <c r="K920" s="9"/>
      <c r="L920" s="9"/>
      <c r="M920" s="9"/>
      <c r="N920" s="9"/>
      <c r="O920" s="9"/>
      <c r="P920" s="9"/>
      <c r="Q920" s="9"/>
      <c r="R920" s="9"/>
      <c r="S920" s="9"/>
      <c r="T920" s="2332"/>
      <c r="U920" s="9"/>
      <c r="V920" s="9"/>
    </row>
    <row r="921" spans="1:22">
      <c r="A921" s="9"/>
      <c r="B921" s="9"/>
      <c r="C921" s="9"/>
      <c r="D921" s="9"/>
      <c r="E921" s="9"/>
      <c r="F921" s="9"/>
      <c r="G921" s="9"/>
      <c r="H921" s="9"/>
      <c r="I921" s="9"/>
      <c r="J921" s="9"/>
      <c r="K921" s="9"/>
      <c r="L921" s="9"/>
      <c r="M921" s="9"/>
      <c r="N921" s="9"/>
      <c r="O921" s="9"/>
      <c r="P921" s="9"/>
      <c r="Q921" s="9"/>
      <c r="R921" s="9"/>
      <c r="S921" s="9"/>
      <c r="T921" s="2332"/>
      <c r="U921" s="9"/>
      <c r="V921" s="9"/>
    </row>
    <row r="922" spans="1:22">
      <c r="A922" s="9"/>
      <c r="B922" s="9"/>
      <c r="C922" s="9"/>
      <c r="D922" s="9"/>
      <c r="E922" s="9"/>
      <c r="F922" s="9"/>
      <c r="G922" s="9"/>
      <c r="H922" s="9"/>
      <c r="I922" s="9"/>
      <c r="J922" s="9"/>
      <c r="K922" s="9"/>
      <c r="L922" s="9"/>
      <c r="M922" s="9"/>
      <c r="N922" s="9"/>
      <c r="O922" s="9"/>
      <c r="P922" s="9"/>
      <c r="Q922" s="9"/>
      <c r="R922" s="9"/>
      <c r="S922" s="9"/>
      <c r="T922" s="2332"/>
      <c r="U922" s="9"/>
      <c r="V922" s="9"/>
    </row>
    <row r="923" spans="1:22">
      <c r="A923" s="9"/>
      <c r="B923" s="9"/>
      <c r="C923" s="9"/>
      <c r="D923" s="9"/>
      <c r="E923" s="9"/>
      <c r="F923" s="9"/>
      <c r="G923" s="9"/>
      <c r="H923" s="9"/>
      <c r="I923" s="9"/>
      <c r="J923" s="9"/>
      <c r="K923" s="9"/>
      <c r="L923" s="9"/>
      <c r="M923" s="9"/>
      <c r="N923" s="9"/>
      <c r="O923" s="9"/>
      <c r="P923" s="9"/>
      <c r="Q923" s="9"/>
      <c r="R923" s="9"/>
      <c r="S923" s="9"/>
      <c r="T923" s="2332"/>
      <c r="U923" s="9"/>
      <c r="V923" s="9"/>
    </row>
    <row r="924" spans="1:22">
      <c r="A924" s="9"/>
      <c r="B924" s="9"/>
      <c r="C924" s="9"/>
      <c r="D924" s="9"/>
      <c r="E924" s="9"/>
      <c r="F924" s="9"/>
      <c r="G924" s="9"/>
      <c r="H924" s="9"/>
      <c r="I924" s="9"/>
      <c r="J924" s="9"/>
      <c r="K924" s="9"/>
      <c r="L924" s="9"/>
      <c r="M924" s="9"/>
      <c r="N924" s="9"/>
      <c r="O924" s="9"/>
      <c r="P924" s="9"/>
      <c r="Q924" s="9"/>
      <c r="R924" s="9"/>
      <c r="S924" s="9"/>
      <c r="T924" s="2332"/>
      <c r="U924" s="9"/>
      <c r="V924" s="9"/>
    </row>
    <row r="925" spans="1:22">
      <c r="A925" s="9"/>
      <c r="B925" s="9"/>
      <c r="C925" s="9"/>
      <c r="D925" s="9"/>
      <c r="E925" s="9"/>
      <c r="F925" s="9"/>
      <c r="G925" s="9"/>
      <c r="H925" s="9"/>
      <c r="I925" s="9"/>
      <c r="J925" s="9"/>
      <c r="K925" s="9"/>
      <c r="L925" s="9"/>
      <c r="M925" s="9"/>
      <c r="N925" s="9"/>
      <c r="O925" s="9"/>
      <c r="P925" s="9"/>
      <c r="Q925" s="9"/>
      <c r="R925" s="9"/>
      <c r="S925" s="9"/>
      <c r="T925" s="2332"/>
      <c r="U925" s="9"/>
      <c r="V925" s="9"/>
    </row>
    <row r="926" spans="1:22">
      <c r="A926" s="9"/>
      <c r="B926" s="9"/>
      <c r="C926" s="9"/>
      <c r="D926" s="9"/>
      <c r="E926" s="9"/>
      <c r="F926" s="9"/>
      <c r="G926" s="9"/>
      <c r="H926" s="9"/>
      <c r="I926" s="9"/>
      <c r="J926" s="9"/>
      <c r="K926" s="9"/>
      <c r="L926" s="9"/>
      <c r="M926" s="9"/>
      <c r="N926" s="9"/>
      <c r="O926" s="9"/>
      <c r="P926" s="9"/>
      <c r="Q926" s="9"/>
      <c r="R926" s="9"/>
      <c r="S926" s="9"/>
      <c r="T926" s="2332"/>
      <c r="U926" s="9"/>
      <c r="V926" s="9"/>
    </row>
    <row r="927" spans="1:22">
      <c r="A927" s="9"/>
      <c r="B927" s="9"/>
      <c r="C927" s="9"/>
      <c r="D927" s="9"/>
      <c r="E927" s="9"/>
      <c r="F927" s="9"/>
      <c r="G927" s="9"/>
      <c r="H927" s="9"/>
      <c r="I927" s="9"/>
      <c r="J927" s="9"/>
      <c r="K927" s="9"/>
      <c r="L927" s="9"/>
      <c r="M927" s="9"/>
      <c r="N927" s="9"/>
      <c r="O927" s="9"/>
      <c r="P927" s="9"/>
      <c r="Q927" s="9"/>
      <c r="R927" s="9"/>
      <c r="S927" s="9"/>
      <c r="T927" s="2332"/>
      <c r="U927" s="9"/>
      <c r="V927" s="9"/>
    </row>
    <row r="928" spans="1:22">
      <c r="A928" s="9"/>
      <c r="B928" s="9"/>
      <c r="C928" s="9"/>
      <c r="D928" s="9"/>
      <c r="E928" s="9"/>
      <c r="F928" s="9"/>
      <c r="G928" s="9"/>
      <c r="H928" s="9"/>
      <c r="I928" s="9"/>
      <c r="J928" s="9"/>
      <c r="K928" s="9"/>
      <c r="L928" s="9"/>
      <c r="M928" s="9"/>
      <c r="N928" s="9"/>
      <c r="O928" s="9"/>
      <c r="P928" s="9"/>
      <c r="Q928" s="9"/>
      <c r="R928" s="9"/>
      <c r="S928" s="9"/>
      <c r="T928" s="2332"/>
      <c r="U928" s="9"/>
      <c r="V928" s="9"/>
    </row>
    <row r="929" spans="1:22">
      <c r="A929" s="9"/>
      <c r="B929" s="9"/>
      <c r="C929" s="9"/>
      <c r="D929" s="9"/>
      <c r="E929" s="9"/>
      <c r="F929" s="9"/>
      <c r="G929" s="9"/>
      <c r="H929" s="9"/>
      <c r="I929" s="9"/>
      <c r="J929" s="9"/>
      <c r="K929" s="9"/>
      <c r="L929" s="9"/>
      <c r="M929" s="9"/>
      <c r="N929" s="9"/>
      <c r="O929" s="9"/>
      <c r="P929" s="9"/>
      <c r="Q929" s="9"/>
      <c r="R929" s="9"/>
      <c r="S929" s="9"/>
      <c r="T929" s="2332"/>
      <c r="U929" s="9"/>
      <c r="V929" s="9"/>
    </row>
    <row r="930" spans="1:22">
      <c r="A930" s="9"/>
      <c r="B930" s="9"/>
      <c r="C930" s="9"/>
      <c r="D930" s="9"/>
      <c r="E930" s="9"/>
      <c r="F930" s="9"/>
      <c r="G930" s="9"/>
      <c r="H930" s="9"/>
      <c r="I930" s="9"/>
      <c r="J930" s="9"/>
      <c r="K930" s="9"/>
      <c r="L930" s="9"/>
      <c r="M930" s="9"/>
      <c r="N930" s="9"/>
      <c r="O930" s="9"/>
      <c r="P930" s="9"/>
      <c r="Q930" s="9"/>
      <c r="R930" s="9"/>
      <c r="S930" s="9"/>
      <c r="T930" s="2332"/>
      <c r="U930" s="9"/>
      <c r="V930" s="9"/>
    </row>
    <row r="931" spans="1:22">
      <c r="A931" s="9"/>
      <c r="B931" s="9"/>
      <c r="C931" s="9"/>
      <c r="D931" s="9"/>
      <c r="E931" s="9"/>
      <c r="F931" s="9"/>
      <c r="G931" s="9"/>
      <c r="H931" s="9"/>
      <c r="I931" s="9"/>
      <c r="J931" s="9"/>
      <c r="K931" s="9"/>
      <c r="L931" s="9"/>
      <c r="M931" s="9"/>
      <c r="N931" s="9"/>
      <c r="O931" s="9"/>
      <c r="P931" s="9"/>
      <c r="Q931" s="9"/>
      <c r="R931" s="9"/>
      <c r="S931" s="9"/>
      <c r="T931" s="2332"/>
      <c r="U931" s="9"/>
      <c r="V931" s="9"/>
    </row>
    <row r="932" spans="1:22">
      <c r="A932" s="9"/>
      <c r="B932" s="9"/>
      <c r="C932" s="9"/>
      <c r="D932" s="9"/>
      <c r="E932" s="9"/>
      <c r="F932" s="9"/>
      <c r="G932" s="9"/>
      <c r="H932" s="9"/>
      <c r="I932" s="9"/>
      <c r="J932" s="9"/>
      <c r="K932" s="9"/>
      <c r="L932" s="9"/>
      <c r="M932" s="9"/>
      <c r="N932" s="9"/>
      <c r="O932" s="9"/>
      <c r="P932" s="9"/>
      <c r="Q932" s="9"/>
      <c r="R932" s="9"/>
      <c r="S932" s="9"/>
      <c r="T932" s="2332"/>
      <c r="U932" s="9"/>
      <c r="V932" s="9"/>
    </row>
    <row r="933" spans="1:22">
      <c r="A933" s="9"/>
      <c r="B933" s="9"/>
      <c r="C933" s="9"/>
      <c r="D933" s="9"/>
      <c r="E933" s="9"/>
      <c r="F933" s="9"/>
      <c r="G933" s="9"/>
      <c r="H933" s="9"/>
      <c r="I933" s="9"/>
      <c r="J933" s="9"/>
      <c r="K933" s="9"/>
      <c r="L933" s="9"/>
      <c r="M933" s="9"/>
      <c r="N933" s="9"/>
      <c r="O933" s="9"/>
      <c r="P933" s="9"/>
      <c r="Q933" s="9"/>
      <c r="R933" s="9"/>
      <c r="S933" s="9"/>
      <c r="T933" s="2332"/>
      <c r="U933" s="9"/>
      <c r="V933" s="9"/>
    </row>
    <row r="934" spans="1:22">
      <c r="A934" s="9"/>
      <c r="B934" s="9"/>
      <c r="C934" s="9"/>
      <c r="D934" s="9"/>
      <c r="E934" s="9"/>
      <c r="F934" s="9"/>
      <c r="G934" s="9"/>
      <c r="H934" s="9"/>
      <c r="I934" s="9"/>
      <c r="J934" s="9"/>
      <c r="K934" s="9"/>
      <c r="L934" s="9"/>
      <c r="M934" s="9"/>
      <c r="N934" s="9"/>
      <c r="O934" s="9"/>
      <c r="P934" s="9"/>
      <c r="Q934" s="9"/>
      <c r="R934" s="9"/>
      <c r="S934" s="9"/>
      <c r="T934" s="2332"/>
      <c r="U934" s="9"/>
      <c r="V934" s="9"/>
    </row>
    <row r="935" spans="1:22">
      <c r="A935" s="9"/>
      <c r="B935" s="9"/>
      <c r="C935" s="9"/>
      <c r="D935" s="9"/>
      <c r="E935" s="9"/>
      <c r="F935" s="9"/>
      <c r="G935" s="9"/>
      <c r="H935" s="9"/>
      <c r="I935" s="9"/>
      <c r="J935" s="9"/>
      <c r="K935" s="9"/>
      <c r="L935" s="9"/>
      <c r="M935" s="9"/>
      <c r="N935" s="9"/>
      <c r="O935" s="9"/>
      <c r="P935" s="9"/>
      <c r="Q935" s="9"/>
      <c r="R935" s="9"/>
      <c r="S935" s="9"/>
      <c r="T935" s="2332"/>
      <c r="U935" s="9"/>
      <c r="V935" s="9"/>
    </row>
    <row r="936" spans="1:22">
      <c r="A936" s="9"/>
      <c r="B936" s="9"/>
      <c r="C936" s="9"/>
      <c r="D936" s="9"/>
      <c r="E936" s="9"/>
      <c r="F936" s="9"/>
      <c r="G936" s="9"/>
      <c r="H936" s="9"/>
      <c r="I936" s="9"/>
      <c r="J936" s="9"/>
      <c r="K936" s="9"/>
      <c r="L936" s="9"/>
      <c r="M936" s="9"/>
      <c r="N936" s="9"/>
      <c r="O936" s="9"/>
      <c r="P936" s="9"/>
      <c r="Q936" s="9"/>
      <c r="R936" s="9"/>
      <c r="S936" s="9"/>
      <c r="T936" s="2332"/>
      <c r="U936" s="9"/>
      <c r="V936" s="9"/>
    </row>
    <row r="937" spans="1:22">
      <c r="A937" s="9"/>
      <c r="B937" s="9"/>
      <c r="C937" s="9"/>
      <c r="D937" s="9"/>
      <c r="E937" s="9"/>
      <c r="F937" s="9"/>
      <c r="G937" s="9"/>
      <c r="H937" s="9"/>
      <c r="I937" s="9"/>
      <c r="J937" s="9"/>
      <c r="K937" s="9"/>
      <c r="L937" s="9"/>
      <c r="M937" s="9"/>
      <c r="N937" s="9"/>
      <c r="O937" s="9"/>
      <c r="P937" s="9"/>
      <c r="Q937" s="9"/>
      <c r="R937" s="9"/>
      <c r="S937" s="9"/>
      <c r="T937" s="2332"/>
      <c r="U937" s="9"/>
      <c r="V937" s="9"/>
    </row>
    <row r="938" spans="1:22">
      <c r="A938" s="9"/>
      <c r="B938" s="9"/>
      <c r="C938" s="9"/>
      <c r="D938" s="9"/>
      <c r="E938" s="9"/>
      <c r="F938" s="9"/>
      <c r="G938" s="9"/>
      <c r="H938" s="9"/>
      <c r="I938" s="9"/>
      <c r="J938" s="9"/>
      <c r="K938" s="9"/>
      <c r="L938" s="9"/>
      <c r="M938" s="9"/>
      <c r="N938" s="9"/>
      <c r="O938" s="9"/>
      <c r="P938" s="9"/>
      <c r="Q938" s="9"/>
      <c r="R938" s="9"/>
      <c r="S938" s="9"/>
      <c r="T938" s="2332"/>
      <c r="U938" s="9"/>
      <c r="V938" s="9"/>
    </row>
    <row r="939" spans="1:22">
      <c r="A939" s="9"/>
      <c r="B939" s="9"/>
      <c r="C939" s="9"/>
      <c r="D939" s="9"/>
      <c r="E939" s="9"/>
      <c r="F939" s="9"/>
      <c r="G939" s="9"/>
      <c r="H939" s="9"/>
      <c r="I939" s="9"/>
      <c r="J939" s="9"/>
      <c r="K939" s="9"/>
      <c r="L939" s="9"/>
      <c r="M939" s="9"/>
      <c r="N939" s="9"/>
      <c r="O939" s="9"/>
      <c r="P939" s="9"/>
      <c r="Q939" s="9"/>
      <c r="R939" s="9"/>
      <c r="S939" s="9"/>
      <c r="T939" s="2332"/>
      <c r="U939" s="9"/>
      <c r="V939" s="9"/>
    </row>
    <row r="940" spans="1:22">
      <c r="A940" s="9"/>
      <c r="B940" s="9"/>
      <c r="C940" s="9"/>
      <c r="D940" s="9"/>
      <c r="E940" s="9"/>
      <c r="F940" s="9"/>
      <c r="G940" s="9"/>
      <c r="H940" s="9"/>
      <c r="I940" s="9"/>
      <c r="J940" s="9"/>
      <c r="K940" s="9"/>
      <c r="L940" s="9"/>
      <c r="M940" s="9"/>
      <c r="N940" s="9"/>
      <c r="O940" s="9"/>
      <c r="P940" s="9"/>
      <c r="Q940" s="9"/>
      <c r="R940" s="9"/>
      <c r="S940" s="9"/>
      <c r="T940" s="2332"/>
      <c r="U940" s="9"/>
      <c r="V940" s="9"/>
    </row>
    <row r="941" spans="1:22">
      <c r="A941" s="9"/>
      <c r="B941" s="9"/>
      <c r="C941" s="9"/>
      <c r="D941" s="9"/>
      <c r="E941" s="9"/>
      <c r="F941" s="9"/>
      <c r="G941" s="9"/>
      <c r="H941" s="9"/>
      <c r="I941" s="9"/>
      <c r="J941" s="9"/>
      <c r="K941" s="9"/>
      <c r="L941" s="9"/>
      <c r="M941" s="9"/>
      <c r="V941" s="9"/>
    </row>
    <row r="942" spans="1:22">
      <c r="A942" s="9"/>
      <c r="B942" s="9"/>
      <c r="C942" s="9"/>
      <c r="D942" s="9"/>
      <c r="E942" s="9"/>
      <c r="F942" s="9"/>
      <c r="G942" s="9"/>
      <c r="H942" s="9"/>
      <c r="I942" s="9"/>
      <c r="J942" s="9"/>
      <c r="K942" s="9"/>
      <c r="L942" s="9"/>
      <c r="M942" s="9"/>
      <c r="V942" s="9"/>
    </row>
    <row r="943" spans="1:22">
      <c r="A943" s="9"/>
      <c r="B943" s="9"/>
      <c r="C943" s="9"/>
      <c r="D943" s="9"/>
      <c r="E943" s="9"/>
      <c r="F943" s="9"/>
      <c r="G943" s="9"/>
      <c r="H943" s="9"/>
      <c r="I943" s="9"/>
      <c r="J943" s="9"/>
      <c r="K943" s="9"/>
      <c r="L943" s="9"/>
      <c r="M943" s="9"/>
      <c r="V943" s="9"/>
    </row>
    <row r="944" spans="1:22">
      <c r="A944" s="9"/>
      <c r="B944" s="9"/>
      <c r="C944" s="9"/>
      <c r="D944" s="9"/>
      <c r="E944" s="9"/>
      <c r="F944" s="9"/>
      <c r="G944" s="9"/>
      <c r="H944" s="9"/>
      <c r="I944" s="9"/>
      <c r="J944" s="9"/>
      <c r="K944" s="9"/>
      <c r="L944" s="9"/>
      <c r="M944" s="9"/>
      <c r="V944" s="9"/>
    </row>
    <row r="945" spans="1:22">
      <c r="A945" s="9"/>
      <c r="B945" s="9"/>
      <c r="C945" s="9"/>
      <c r="D945" s="9"/>
      <c r="E945" s="9"/>
      <c r="F945" s="9"/>
      <c r="G945" s="9"/>
      <c r="H945" s="9"/>
      <c r="I945" s="9"/>
      <c r="J945" s="9"/>
      <c r="K945" s="9"/>
      <c r="L945" s="9"/>
      <c r="M945" s="9"/>
      <c r="V945" s="9"/>
    </row>
    <row r="946" spans="1:22">
      <c r="A946" s="9"/>
      <c r="B946" s="9"/>
      <c r="C946" s="9"/>
      <c r="D946" s="9"/>
      <c r="E946" s="9"/>
      <c r="F946" s="9"/>
      <c r="G946" s="9"/>
      <c r="H946" s="9"/>
      <c r="I946" s="9"/>
      <c r="J946" s="9"/>
      <c r="K946" s="9"/>
      <c r="L946" s="9"/>
      <c r="M946" s="9"/>
      <c r="V946" s="9"/>
    </row>
    <row r="947" spans="1:22">
      <c r="A947" s="9"/>
      <c r="B947" s="9"/>
      <c r="C947" s="9"/>
      <c r="D947" s="9"/>
      <c r="E947" s="9"/>
      <c r="F947" s="9"/>
      <c r="G947" s="9"/>
      <c r="H947" s="9"/>
      <c r="I947" s="9"/>
      <c r="J947" s="9"/>
      <c r="K947" s="9"/>
      <c r="L947" s="9"/>
      <c r="M947" s="9"/>
      <c r="V947" s="9"/>
    </row>
    <row r="948" spans="1:22">
      <c r="A948" s="9"/>
      <c r="B948" s="9"/>
      <c r="C948" s="9"/>
      <c r="D948" s="9"/>
      <c r="E948" s="9"/>
      <c r="F948" s="9"/>
      <c r="G948" s="9"/>
      <c r="H948" s="9"/>
      <c r="I948" s="9"/>
      <c r="J948" s="9"/>
      <c r="K948" s="9"/>
      <c r="L948" s="9"/>
      <c r="M948" s="9"/>
      <c r="V948" s="9"/>
    </row>
    <row r="949" spans="1:22">
      <c r="A949" s="9"/>
      <c r="B949" s="9"/>
      <c r="C949" s="9"/>
      <c r="D949" s="9"/>
      <c r="E949" s="9"/>
      <c r="F949" s="9"/>
      <c r="G949" s="9"/>
      <c r="H949" s="9"/>
      <c r="I949" s="9"/>
      <c r="J949" s="9"/>
      <c r="K949" s="9"/>
      <c r="L949" s="9"/>
      <c r="M949" s="9"/>
      <c r="V949" s="9"/>
    </row>
    <row r="950" spans="1:22">
      <c r="A950" s="9"/>
      <c r="B950" s="9"/>
      <c r="C950" s="9"/>
      <c r="D950" s="9"/>
      <c r="E950" s="9"/>
      <c r="F950" s="9"/>
      <c r="G950" s="9"/>
      <c r="H950" s="9"/>
      <c r="I950" s="9"/>
      <c r="J950" s="9"/>
      <c r="K950" s="9"/>
      <c r="L950" s="9"/>
      <c r="M950" s="9"/>
      <c r="V950" s="9"/>
    </row>
    <row r="951" spans="1:22">
      <c r="A951" s="9"/>
      <c r="B951" s="9"/>
      <c r="C951" s="9"/>
      <c r="D951" s="9"/>
      <c r="E951" s="9"/>
      <c r="F951" s="9"/>
      <c r="G951" s="9"/>
      <c r="H951" s="9"/>
      <c r="I951" s="9"/>
      <c r="J951" s="9"/>
      <c r="K951" s="9"/>
      <c r="L951" s="9"/>
      <c r="M951" s="9"/>
      <c r="V951" s="9"/>
    </row>
    <row r="952" spans="1:22">
      <c r="A952" s="9"/>
      <c r="B952" s="9"/>
      <c r="C952" s="9"/>
      <c r="D952" s="9"/>
      <c r="E952" s="9"/>
      <c r="F952" s="9"/>
      <c r="G952" s="9"/>
      <c r="H952" s="9"/>
      <c r="I952" s="9"/>
      <c r="J952" s="9"/>
      <c r="K952" s="9"/>
      <c r="L952" s="9"/>
      <c r="M952" s="9"/>
      <c r="V952" s="9"/>
    </row>
    <row r="953" spans="1:22">
      <c r="A953" s="9"/>
      <c r="B953" s="9"/>
      <c r="C953" s="9"/>
      <c r="D953" s="9"/>
      <c r="E953" s="9"/>
      <c r="F953" s="9"/>
      <c r="G953" s="9"/>
      <c r="H953" s="9"/>
      <c r="I953" s="9"/>
      <c r="J953" s="9"/>
      <c r="K953" s="9"/>
      <c r="L953" s="9"/>
      <c r="M953" s="9"/>
      <c r="V953" s="9"/>
    </row>
    <row r="954" spans="1:22">
      <c r="A954" s="9"/>
      <c r="B954" s="9"/>
      <c r="C954" s="9"/>
      <c r="D954" s="9"/>
      <c r="E954" s="9"/>
      <c r="F954" s="9"/>
      <c r="G954" s="9"/>
      <c r="H954" s="9"/>
      <c r="I954" s="9"/>
      <c r="J954" s="9"/>
      <c r="K954" s="9"/>
      <c r="L954" s="9"/>
      <c r="M954" s="9"/>
      <c r="V954" s="9"/>
    </row>
    <row r="955" spans="1:22">
      <c r="A955" s="9"/>
      <c r="B955" s="9"/>
      <c r="C955" s="9"/>
      <c r="D955" s="9"/>
      <c r="E955" s="9"/>
      <c r="F955" s="9"/>
      <c r="G955" s="9"/>
      <c r="H955" s="9"/>
      <c r="I955" s="9"/>
      <c r="J955" s="9"/>
      <c r="K955" s="9"/>
      <c r="L955" s="9"/>
      <c r="M955" s="9"/>
      <c r="V955" s="9"/>
    </row>
    <row r="956" spans="1:22">
      <c r="A956" s="9"/>
      <c r="B956" s="9"/>
      <c r="C956" s="9"/>
      <c r="D956" s="9"/>
      <c r="E956" s="9"/>
      <c r="F956" s="9"/>
      <c r="G956" s="9"/>
      <c r="H956" s="9"/>
      <c r="I956" s="9"/>
      <c r="J956" s="9"/>
      <c r="K956" s="9"/>
      <c r="L956" s="9"/>
      <c r="M956" s="9"/>
      <c r="V956" s="9"/>
    </row>
    <row r="957" spans="1:22">
      <c r="A957" s="9"/>
      <c r="B957" s="9"/>
      <c r="C957" s="9"/>
      <c r="D957" s="9"/>
      <c r="E957" s="9"/>
      <c r="F957" s="9"/>
      <c r="G957" s="9"/>
      <c r="H957" s="9"/>
      <c r="I957" s="9"/>
      <c r="J957" s="9"/>
      <c r="K957" s="9"/>
      <c r="L957" s="9"/>
      <c r="M957" s="9"/>
      <c r="V957" s="9"/>
    </row>
    <row r="958" spans="1:22">
      <c r="A958" s="9"/>
      <c r="B958" s="9"/>
      <c r="C958" s="9"/>
      <c r="D958" s="9"/>
      <c r="E958" s="9"/>
      <c r="F958" s="9"/>
      <c r="G958" s="9"/>
      <c r="H958" s="9"/>
      <c r="I958" s="9"/>
      <c r="J958" s="9"/>
      <c r="K958" s="9"/>
      <c r="L958" s="9"/>
      <c r="M958" s="9"/>
      <c r="V958" s="9"/>
    </row>
    <row r="959" spans="1:22">
      <c r="A959" s="9"/>
      <c r="B959" s="9"/>
      <c r="C959" s="9"/>
      <c r="D959" s="9"/>
      <c r="E959" s="9"/>
      <c r="F959" s="9"/>
      <c r="G959" s="9"/>
      <c r="H959" s="9"/>
      <c r="I959" s="9"/>
      <c r="J959" s="9"/>
      <c r="K959" s="9"/>
      <c r="L959" s="9"/>
      <c r="M959" s="9"/>
      <c r="V959" s="9"/>
    </row>
    <row r="960" spans="1:22">
      <c r="A960" s="9"/>
      <c r="B960" s="9"/>
      <c r="C960" s="9"/>
      <c r="D960" s="9"/>
      <c r="E960" s="9"/>
      <c r="F960" s="9"/>
      <c r="G960" s="9"/>
      <c r="H960" s="9"/>
      <c r="I960" s="9"/>
      <c r="J960" s="9"/>
      <c r="K960" s="9"/>
      <c r="L960" s="9"/>
      <c r="M960" s="9"/>
      <c r="V960" s="9"/>
    </row>
    <row r="961" spans="1:22">
      <c r="A961" s="9"/>
      <c r="B961" s="9"/>
      <c r="C961" s="9"/>
      <c r="D961" s="9"/>
      <c r="E961" s="9"/>
      <c r="F961" s="9"/>
      <c r="G961" s="9"/>
      <c r="H961" s="9"/>
      <c r="I961" s="9"/>
      <c r="J961" s="9"/>
      <c r="K961" s="9"/>
      <c r="L961" s="9"/>
      <c r="M961" s="9"/>
      <c r="V961" s="9"/>
    </row>
    <row r="962" spans="1:22">
      <c r="A962" s="9"/>
      <c r="B962" s="9"/>
      <c r="C962" s="9"/>
      <c r="D962" s="9"/>
      <c r="E962" s="9"/>
      <c r="F962" s="9"/>
      <c r="G962" s="9"/>
      <c r="H962" s="9"/>
      <c r="I962" s="9"/>
      <c r="J962" s="9"/>
      <c r="K962" s="9"/>
      <c r="L962" s="9"/>
      <c r="M962" s="9"/>
      <c r="V962" s="9"/>
    </row>
    <row r="963" spans="1:22">
      <c r="A963" s="9"/>
      <c r="B963" s="9"/>
      <c r="C963" s="9"/>
      <c r="D963" s="9"/>
      <c r="E963" s="9"/>
      <c r="F963" s="9"/>
      <c r="G963" s="9"/>
      <c r="H963" s="9"/>
      <c r="I963" s="9"/>
      <c r="J963" s="9"/>
      <c r="K963" s="9"/>
      <c r="L963" s="9"/>
      <c r="M963" s="9"/>
      <c r="V963" s="9"/>
    </row>
    <row r="964" spans="1:22">
      <c r="A964" s="9"/>
      <c r="B964" s="9"/>
      <c r="C964" s="9"/>
      <c r="D964" s="9"/>
      <c r="E964" s="9"/>
      <c r="F964" s="9"/>
      <c r="G964" s="9"/>
      <c r="H964" s="9"/>
      <c r="I964" s="9"/>
      <c r="J964" s="9"/>
      <c r="K964" s="9"/>
      <c r="L964" s="9"/>
      <c r="M964" s="9"/>
      <c r="V964" s="9"/>
    </row>
    <row r="965" spans="1:22">
      <c r="A965" s="9"/>
      <c r="B965" s="9"/>
      <c r="C965" s="9"/>
      <c r="D965" s="9"/>
      <c r="E965" s="9"/>
      <c r="F965" s="9"/>
      <c r="G965" s="9"/>
      <c r="H965" s="9"/>
      <c r="I965" s="9"/>
      <c r="J965" s="9"/>
      <c r="K965" s="9"/>
      <c r="L965" s="9"/>
      <c r="M965" s="9"/>
      <c r="V965" s="9"/>
    </row>
    <row r="966" spans="1:22">
      <c r="A966" s="9"/>
      <c r="B966" s="9"/>
      <c r="C966" s="9"/>
      <c r="D966" s="9"/>
      <c r="E966" s="9"/>
      <c r="F966" s="9"/>
      <c r="G966" s="9"/>
      <c r="H966" s="9"/>
      <c r="I966" s="9"/>
      <c r="J966" s="9"/>
      <c r="K966" s="9"/>
      <c r="L966" s="9"/>
      <c r="M966" s="9"/>
      <c r="V966" s="9"/>
    </row>
    <row r="967" spans="1:22">
      <c r="A967" s="9"/>
      <c r="B967" s="9"/>
      <c r="C967" s="9"/>
      <c r="D967" s="9"/>
      <c r="E967" s="9"/>
      <c r="F967" s="9"/>
      <c r="G967" s="9"/>
      <c r="H967" s="9"/>
      <c r="I967" s="9"/>
      <c r="J967" s="9"/>
      <c r="K967" s="9"/>
      <c r="L967" s="9"/>
      <c r="M967" s="9"/>
      <c r="V967" s="9"/>
    </row>
    <row r="968" spans="1:22">
      <c r="A968" s="9"/>
      <c r="B968" s="9"/>
      <c r="C968" s="9"/>
      <c r="D968" s="9"/>
      <c r="E968" s="9"/>
      <c r="F968" s="9"/>
      <c r="G968" s="9"/>
      <c r="H968" s="9"/>
      <c r="I968" s="9"/>
      <c r="J968" s="9"/>
      <c r="K968" s="9"/>
      <c r="L968" s="9"/>
      <c r="M968" s="9"/>
      <c r="V968" s="9"/>
    </row>
    <row r="969" spans="1:22">
      <c r="A969" s="9"/>
      <c r="B969" s="9"/>
      <c r="C969" s="9"/>
      <c r="D969" s="9"/>
      <c r="E969" s="9"/>
      <c r="F969" s="9"/>
      <c r="G969" s="9"/>
      <c r="H969" s="9"/>
      <c r="I969" s="9"/>
      <c r="J969" s="9"/>
      <c r="K969" s="9"/>
      <c r="L969" s="9"/>
      <c r="M969" s="9"/>
      <c r="V969" s="9"/>
    </row>
    <row r="970" spans="1:22">
      <c r="A970" s="9"/>
      <c r="B970" s="9"/>
      <c r="C970" s="9"/>
      <c r="D970" s="9"/>
      <c r="E970" s="9"/>
      <c r="F970" s="9"/>
      <c r="G970" s="9"/>
      <c r="H970" s="9"/>
      <c r="I970" s="9"/>
      <c r="J970" s="9"/>
      <c r="K970" s="9"/>
      <c r="L970" s="9"/>
      <c r="M970" s="9"/>
      <c r="V970" s="9"/>
    </row>
    <row r="971" spans="1:22">
      <c r="A971" s="9"/>
      <c r="B971" s="9"/>
      <c r="C971" s="9"/>
      <c r="D971" s="9"/>
      <c r="E971" s="9"/>
      <c r="F971" s="9"/>
      <c r="G971" s="9"/>
      <c r="H971" s="9"/>
      <c r="I971" s="9"/>
      <c r="J971" s="9"/>
      <c r="K971" s="9"/>
      <c r="L971" s="9"/>
      <c r="M971" s="9"/>
      <c r="V971" s="9"/>
    </row>
    <row r="972" spans="1:22">
      <c r="A972" s="9"/>
      <c r="B972" s="9"/>
      <c r="C972" s="9"/>
      <c r="D972" s="9"/>
      <c r="E972" s="9"/>
      <c r="F972" s="9"/>
      <c r="G972" s="9"/>
      <c r="H972" s="9"/>
      <c r="I972" s="9"/>
      <c r="J972" s="9"/>
      <c r="K972" s="9"/>
      <c r="L972" s="9"/>
      <c r="M972" s="9"/>
      <c r="V972" s="9"/>
    </row>
    <row r="973" spans="1:22">
      <c r="A973" s="9"/>
      <c r="B973" s="9"/>
      <c r="C973" s="9"/>
      <c r="D973" s="9"/>
      <c r="E973" s="9"/>
      <c r="F973" s="9"/>
      <c r="G973" s="9"/>
      <c r="H973" s="9"/>
      <c r="I973" s="9"/>
      <c r="J973" s="9"/>
      <c r="K973" s="9"/>
      <c r="L973" s="9"/>
      <c r="M973" s="9"/>
      <c r="V973" s="9"/>
    </row>
    <row r="974" spans="1:22">
      <c r="A974" s="9"/>
      <c r="B974" s="9"/>
      <c r="C974" s="9"/>
      <c r="D974" s="9"/>
      <c r="E974" s="9"/>
      <c r="F974" s="9"/>
      <c r="G974" s="9"/>
      <c r="H974" s="9"/>
      <c r="I974" s="9"/>
      <c r="J974" s="9"/>
      <c r="K974" s="9"/>
      <c r="L974" s="9"/>
      <c r="M974" s="9"/>
      <c r="V974" s="9"/>
    </row>
    <row r="975" spans="1:22">
      <c r="A975" s="9"/>
      <c r="B975" s="9"/>
      <c r="C975" s="9"/>
      <c r="D975" s="9"/>
      <c r="E975" s="9"/>
      <c r="F975" s="9"/>
      <c r="G975" s="9"/>
      <c r="H975" s="9"/>
      <c r="I975" s="9"/>
      <c r="J975" s="9"/>
      <c r="K975" s="9"/>
      <c r="L975" s="9"/>
      <c r="M975" s="9"/>
      <c r="V975" s="9"/>
    </row>
    <row r="976" spans="1:22">
      <c r="A976" s="9"/>
      <c r="B976" s="9"/>
      <c r="C976" s="9"/>
      <c r="D976" s="9"/>
      <c r="E976" s="9"/>
      <c r="F976" s="9"/>
      <c r="G976" s="9"/>
      <c r="H976" s="9"/>
      <c r="I976" s="9"/>
      <c r="J976" s="9"/>
      <c r="K976" s="9"/>
      <c r="L976" s="9"/>
      <c r="M976" s="9"/>
      <c r="V976" s="9"/>
    </row>
    <row r="977" spans="1:22">
      <c r="A977" s="9"/>
      <c r="B977" s="9"/>
      <c r="C977" s="9"/>
      <c r="D977" s="9"/>
      <c r="E977" s="9"/>
      <c r="F977" s="9"/>
      <c r="G977" s="9"/>
      <c r="H977" s="9"/>
      <c r="I977" s="9"/>
      <c r="J977" s="9"/>
      <c r="K977" s="9"/>
      <c r="L977" s="9"/>
      <c r="M977" s="9"/>
      <c r="V977" s="9"/>
    </row>
    <row r="978" spans="1:22">
      <c r="A978" s="9"/>
      <c r="B978" s="9"/>
      <c r="C978" s="9"/>
      <c r="D978" s="9"/>
      <c r="E978" s="9"/>
      <c r="F978" s="9"/>
      <c r="G978" s="9"/>
      <c r="H978" s="9"/>
      <c r="I978" s="9"/>
      <c r="J978" s="9"/>
      <c r="K978" s="9"/>
      <c r="L978" s="9"/>
      <c r="M978" s="9"/>
      <c r="V978" s="9"/>
    </row>
    <row r="979" spans="1:22">
      <c r="A979" s="9"/>
      <c r="B979" s="9"/>
      <c r="C979" s="9"/>
      <c r="D979" s="9"/>
      <c r="E979" s="9"/>
      <c r="F979" s="9"/>
      <c r="G979" s="9"/>
      <c r="H979" s="9"/>
      <c r="I979" s="9"/>
      <c r="J979" s="9"/>
      <c r="K979" s="9"/>
      <c r="L979" s="9"/>
      <c r="M979" s="9"/>
      <c r="V979" s="9"/>
    </row>
    <row r="980" spans="1:22">
      <c r="A980" s="9"/>
      <c r="B980" s="9"/>
      <c r="C980" s="9"/>
      <c r="D980" s="9"/>
      <c r="E980" s="9"/>
      <c r="F980" s="9"/>
      <c r="G980" s="9"/>
      <c r="H980" s="9"/>
      <c r="I980" s="9"/>
      <c r="J980" s="9"/>
      <c r="K980" s="9"/>
      <c r="L980" s="9"/>
      <c r="M980" s="9"/>
      <c r="V980" s="9"/>
    </row>
    <row r="981" spans="1:22">
      <c r="A981" s="9"/>
      <c r="B981" s="9"/>
      <c r="C981" s="9"/>
      <c r="D981" s="9"/>
      <c r="E981" s="9"/>
      <c r="F981" s="9"/>
      <c r="G981" s="9"/>
      <c r="H981" s="9"/>
      <c r="I981" s="9"/>
      <c r="J981" s="9"/>
      <c r="K981" s="9"/>
      <c r="L981" s="9"/>
      <c r="M981" s="9"/>
      <c r="V981" s="9"/>
    </row>
    <row r="982" spans="1:22">
      <c r="A982" s="9"/>
      <c r="B982" s="9"/>
      <c r="C982" s="9"/>
      <c r="D982" s="9"/>
      <c r="E982" s="9"/>
      <c r="F982" s="9"/>
      <c r="G982" s="9"/>
      <c r="H982" s="9"/>
      <c r="I982" s="9"/>
      <c r="J982" s="9"/>
      <c r="K982" s="9"/>
      <c r="L982" s="9"/>
      <c r="M982" s="9"/>
      <c r="V982" s="9"/>
    </row>
    <row r="983" spans="1:22">
      <c r="A983" s="9"/>
      <c r="B983" s="9"/>
      <c r="C983" s="9"/>
      <c r="D983" s="9"/>
      <c r="E983" s="9"/>
      <c r="F983" s="9"/>
      <c r="G983" s="9"/>
      <c r="H983" s="9"/>
      <c r="I983" s="9"/>
      <c r="J983" s="9"/>
      <c r="K983" s="9"/>
      <c r="L983" s="9"/>
      <c r="M983" s="9"/>
      <c r="V983" s="9"/>
    </row>
    <row r="984" spans="1:22">
      <c r="A984" s="9"/>
      <c r="B984" s="9"/>
      <c r="C984" s="9"/>
      <c r="D984" s="9"/>
      <c r="E984" s="9"/>
      <c r="F984" s="9"/>
      <c r="G984" s="9"/>
      <c r="H984" s="9"/>
      <c r="I984" s="9"/>
      <c r="J984" s="9"/>
      <c r="K984" s="9"/>
      <c r="L984" s="9"/>
      <c r="M984" s="9"/>
      <c r="V984" s="9"/>
    </row>
    <row r="985" spans="1:22">
      <c r="A985" s="9"/>
      <c r="B985" s="9"/>
      <c r="C985" s="9"/>
      <c r="D985" s="9"/>
      <c r="E985" s="9"/>
      <c r="F985" s="9"/>
      <c r="G985" s="9"/>
      <c r="H985" s="9"/>
      <c r="I985" s="9"/>
      <c r="J985" s="9"/>
      <c r="K985" s="9"/>
      <c r="L985" s="9"/>
      <c r="M985" s="9"/>
      <c r="V985" s="9"/>
    </row>
    <row r="986" spans="1:22">
      <c r="A986" s="9"/>
      <c r="B986" s="9"/>
      <c r="C986" s="9"/>
      <c r="D986" s="9"/>
      <c r="E986" s="9"/>
      <c r="F986" s="9"/>
      <c r="G986" s="9"/>
      <c r="H986" s="9"/>
      <c r="I986" s="9"/>
      <c r="J986" s="9"/>
      <c r="K986" s="9"/>
      <c r="L986" s="9"/>
      <c r="M986" s="9"/>
      <c r="V986" s="9"/>
    </row>
    <row r="987" spans="1:22">
      <c r="A987" s="9"/>
      <c r="B987" s="9"/>
      <c r="C987" s="9"/>
      <c r="D987" s="9"/>
      <c r="E987" s="9"/>
      <c r="F987" s="9"/>
      <c r="G987" s="9"/>
      <c r="H987" s="9"/>
      <c r="I987" s="9"/>
      <c r="J987" s="9"/>
      <c r="K987" s="9"/>
      <c r="L987" s="9"/>
      <c r="M987" s="9"/>
      <c r="V987" s="9"/>
    </row>
    <row r="988" spans="1:22">
      <c r="A988" s="9"/>
      <c r="B988" s="9"/>
      <c r="C988" s="9"/>
      <c r="D988" s="9"/>
      <c r="E988" s="9"/>
      <c r="F988" s="9"/>
      <c r="G988" s="9"/>
      <c r="H988" s="9"/>
      <c r="I988" s="9"/>
      <c r="J988" s="9"/>
      <c r="K988" s="9"/>
      <c r="L988" s="9"/>
      <c r="M988" s="9"/>
      <c r="V988" s="9"/>
    </row>
    <row r="989" spans="1:22">
      <c r="A989" s="9"/>
      <c r="B989" s="9"/>
      <c r="C989" s="9"/>
      <c r="D989" s="9"/>
      <c r="E989" s="9"/>
      <c r="F989" s="9"/>
      <c r="G989" s="9"/>
      <c r="H989" s="9"/>
      <c r="I989" s="9"/>
      <c r="J989" s="9"/>
      <c r="K989" s="9"/>
      <c r="L989" s="9"/>
      <c r="M989" s="9"/>
      <c r="V989" s="9"/>
    </row>
    <row r="990" spans="1:22">
      <c r="A990" s="9"/>
      <c r="B990" s="9"/>
      <c r="C990" s="9"/>
      <c r="D990" s="9"/>
      <c r="E990" s="9"/>
      <c r="F990" s="9"/>
      <c r="G990" s="9"/>
      <c r="H990" s="9"/>
      <c r="I990" s="9"/>
      <c r="J990" s="9"/>
      <c r="K990" s="9"/>
      <c r="L990" s="9"/>
      <c r="M990" s="9"/>
      <c r="V990" s="9"/>
    </row>
    <row r="991" spans="1:22">
      <c r="A991" s="9"/>
      <c r="B991" s="9"/>
      <c r="C991" s="9"/>
      <c r="D991" s="9"/>
      <c r="E991" s="9"/>
      <c r="F991" s="9"/>
      <c r="G991" s="9"/>
      <c r="H991" s="9"/>
      <c r="I991" s="9"/>
      <c r="J991" s="9"/>
      <c r="K991" s="9"/>
      <c r="L991" s="9"/>
      <c r="M991" s="9"/>
      <c r="V991" s="9"/>
    </row>
    <row r="992" spans="1:22">
      <c r="A992" s="9"/>
      <c r="B992" s="9"/>
      <c r="C992" s="9"/>
      <c r="D992" s="9"/>
      <c r="E992" s="9"/>
      <c r="F992" s="9"/>
      <c r="G992" s="9"/>
      <c r="H992" s="9"/>
      <c r="I992" s="9"/>
      <c r="J992" s="9"/>
      <c r="K992" s="9"/>
      <c r="L992" s="9"/>
      <c r="M992" s="9"/>
      <c r="V992" s="9"/>
    </row>
    <row r="993" spans="1:22">
      <c r="A993" s="9"/>
      <c r="B993" s="9"/>
      <c r="C993" s="9"/>
      <c r="D993" s="9"/>
      <c r="E993" s="9"/>
      <c r="F993" s="9"/>
      <c r="G993" s="9"/>
      <c r="H993" s="9"/>
      <c r="I993" s="9"/>
      <c r="J993" s="9"/>
      <c r="K993" s="9"/>
      <c r="L993" s="9"/>
      <c r="M993" s="9"/>
      <c r="V993" s="9"/>
    </row>
    <row r="994" spans="1:22">
      <c r="A994" s="9"/>
      <c r="B994" s="9"/>
      <c r="C994" s="9"/>
      <c r="D994" s="9"/>
      <c r="E994" s="9"/>
      <c r="F994" s="9"/>
      <c r="G994" s="9"/>
      <c r="H994" s="9"/>
      <c r="I994" s="9"/>
      <c r="J994" s="9"/>
      <c r="K994" s="9"/>
      <c r="L994" s="9"/>
      <c r="M994" s="9"/>
      <c r="V994" s="9"/>
    </row>
    <row r="995" spans="1:22">
      <c r="A995" s="9"/>
      <c r="B995" s="9"/>
      <c r="C995" s="9"/>
      <c r="D995" s="9"/>
      <c r="E995" s="9"/>
      <c r="F995" s="9"/>
      <c r="G995" s="9"/>
      <c r="H995" s="9"/>
      <c r="I995" s="9"/>
      <c r="J995" s="9"/>
      <c r="K995" s="9"/>
      <c r="L995" s="9"/>
      <c r="M995" s="9"/>
      <c r="V995" s="9"/>
    </row>
    <row r="996" spans="1:22">
      <c r="A996" s="9"/>
      <c r="B996" s="9"/>
      <c r="C996" s="9"/>
      <c r="D996" s="9"/>
      <c r="E996" s="9"/>
      <c r="F996" s="9"/>
      <c r="G996" s="9"/>
      <c r="H996" s="9"/>
      <c r="I996" s="9"/>
      <c r="J996" s="9"/>
      <c r="K996" s="9"/>
      <c r="L996" s="9"/>
      <c r="M996" s="9"/>
      <c r="V996" s="9"/>
    </row>
    <row r="997" spans="1:22">
      <c r="A997" s="9"/>
      <c r="B997" s="9"/>
      <c r="C997" s="9"/>
      <c r="D997" s="9"/>
      <c r="E997" s="9"/>
      <c r="F997" s="9"/>
      <c r="G997" s="9"/>
      <c r="H997" s="9"/>
      <c r="I997" s="9"/>
      <c r="J997" s="9"/>
      <c r="K997" s="9"/>
      <c r="L997" s="9"/>
      <c r="M997" s="9"/>
      <c r="V997" s="9"/>
    </row>
    <row r="998" spans="1:22">
      <c r="A998" s="9"/>
      <c r="B998" s="9"/>
      <c r="C998" s="9"/>
      <c r="D998" s="9"/>
      <c r="E998" s="9"/>
      <c r="F998" s="9"/>
      <c r="G998" s="9"/>
      <c r="H998" s="9"/>
      <c r="I998" s="9"/>
      <c r="J998" s="9"/>
      <c r="K998" s="9"/>
      <c r="L998" s="9"/>
      <c r="M998" s="9"/>
      <c r="V998" s="9"/>
    </row>
    <row r="999" spans="1:22">
      <c r="A999" s="9"/>
      <c r="B999" s="9"/>
      <c r="C999" s="9"/>
      <c r="D999" s="9"/>
      <c r="E999" s="9"/>
      <c r="F999" s="9"/>
      <c r="G999" s="9"/>
      <c r="H999" s="9"/>
      <c r="I999" s="9"/>
      <c r="J999" s="9"/>
      <c r="K999" s="9"/>
      <c r="L999" s="9"/>
      <c r="M999" s="9"/>
      <c r="V999" s="9"/>
    </row>
    <row r="1000" spans="1:22">
      <c r="A1000" s="9"/>
      <c r="B1000" s="9"/>
      <c r="C1000" s="9"/>
      <c r="D1000" s="9"/>
      <c r="E1000" s="9"/>
      <c r="F1000" s="9"/>
      <c r="G1000" s="9"/>
      <c r="H1000" s="9"/>
      <c r="I1000" s="9"/>
      <c r="J1000" s="9"/>
      <c r="K1000" s="9"/>
      <c r="L1000" s="9"/>
      <c r="M1000" s="9"/>
      <c r="V1000" s="9"/>
    </row>
    <row r="1001" spans="1:22">
      <c r="A1001" s="9"/>
      <c r="B1001" s="9"/>
      <c r="C1001" s="9"/>
      <c r="D1001" s="9"/>
      <c r="E1001" s="9"/>
      <c r="F1001" s="9"/>
      <c r="G1001" s="9"/>
      <c r="H1001" s="9"/>
      <c r="I1001" s="9"/>
      <c r="J1001" s="9"/>
      <c r="K1001" s="9"/>
      <c r="L1001" s="9"/>
      <c r="M1001" s="9"/>
      <c r="V1001" s="9"/>
    </row>
    <row r="1002" spans="1:22">
      <c r="A1002" s="9"/>
      <c r="B1002" s="9"/>
      <c r="C1002" s="9"/>
      <c r="D1002" s="9"/>
      <c r="E1002" s="9"/>
      <c r="F1002" s="9"/>
      <c r="G1002" s="9"/>
      <c r="H1002" s="9"/>
      <c r="I1002" s="9"/>
      <c r="J1002" s="9"/>
      <c r="K1002" s="9"/>
      <c r="L1002" s="9"/>
      <c r="M1002" s="9"/>
      <c r="V1002" s="9"/>
    </row>
    <row r="1003" spans="1:22">
      <c r="A1003" s="9"/>
      <c r="B1003" s="9"/>
      <c r="C1003" s="9"/>
      <c r="D1003" s="9"/>
      <c r="E1003" s="9"/>
      <c r="F1003" s="9"/>
      <c r="G1003" s="9"/>
      <c r="H1003" s="9"/>
      <c r="I1003" s="9"/>
      <c r="J1003" s="9"/>
      <c r="K1003" s="9"/>
      <c r="L1003" s="9"/>
      <c r="M1003" s="9"/>
      <c r="V1003" s="9"/>
    </row>
    <row r="1004" spans="1:22">
      <c r="A1004" s="9"/>
      <c r="B1004" s="9"/>
      <c r="C1004" s="9"/>
      <c r="D1004" s="9"/>
      <c r="E1004" s="9"/>
      <c r="F1004" s="9"/>
      <c r="G1004" s="9"/>
      <c r="H1004" s="9"/>
      <c r="I1004" s="9"/>
      <c r="J1004" s="9"/>
      <c r="K1004" s="9"/>
      <c r="L1004" s="9"/>
      <c r="M1004" s="9"/>
      <c r="V1004" s="9"/>
    </row>
    <row r="1005" spans="1:22">
      <c r="A1005" s="9"/>
      <c r="B1005" s="9"/>
      <c r="C1005" s="9"/>
      <c r="D1005" s="9"/>
      <c r="E1005" s="9"/>
      <c r="F1005" s="9"/>
      <c r="G1005" s="9"/>
      <c r="H1005" s="9"/>
      <c r="I1005" s="9"/>
      <c r="J1005" s="9"/>
      <c r="K1005" s="9"/>
      <c r="L1005" s="9"/>
      <c r="M1005" s="9"/>
      <c r="V1005" s="9"/>
    </row>
    <row r="1006" spans="1:22">
      <c r="A1006" s="9"/>
      <c r="B1006" s="9"/>
      <c r="C1006" s="9"/>
      <c r="D1006" s="9"/>
      <c r="E1006" s="9"/>
      <c r="F1006" s="9"/>
      <c r="G1006" s="9"/>
      <c r="H1006" s="9"/>
      <c r="I1006" s="9"/>
      <c r="J1006" s="9"/>
      <c r="K1006" s="9"/>
      <c r="L1006" s="9"/>
      <c r="M1006" s="9"/>
      <c r="V1006" s="9"/>
    </row>
    <row r="1007" spans="1:22">
      <c r="A1007" s="9"/>
      <c r="B1007" s="9"/>
      <c r="C1007" s="9"/>
      <c r="D1007" s="9"/>
      <c r="E1007" s="9"/>
      <c r="F1007" s="9"/>
      <c r="G1007" s="9"/>
      <c r="H1007" s="9"/>
      <c r="I1007" s="9"/>
      <c r="J1007" s="9"/>
      <c r="K1007" s="9"/>
      <c r="L1007" s="9"/>
      <c r="M1007" s="9"/>
      <c r="V1007" s="9"/>
    </row>
    <row r="1008" spans="1:22">
      <c r="A1008" s="9"/>
      <c r="B1008" s="9"/>
      <c r="C1008" s="9"/>
      <c r="D1008" s="9"/>
      <c r="E1008" s="9"/>
      <c r="F1008" s="9"/>
      <c r="G1008" s="9"/>
      <c r="H1008" s="9"/>
      <c r="I1008" s="9"/>
      <c r="J1008" s="9"/>
      <c r="K1008" s="9"/>
      <c r="L1008" s="9"/>
      <c r="M1008" s="9"/>
      <c r="V1008" s="9"/>
    </row>
    <row r="1009" spans="1:22">
      <c r="A1009" s="9"/>
      <c r="B1009" s="9"/>
      <c r="C1009" s="9"/>
      <c r="D1009" s="9"/>
      <c r="E1009" s="9"/>
      <c r="F1009" s="9"/>
      <c r="G1009" s="9"/>
      <c r="H1009" s="9"/>
      <c r="I1009" s="9"/>
      <c r="J1009" s="9"/>
      <c r="K1009" s="9"/>
      <c r="L1009" s="9"/>
      <c r="M1009" s="9"/>
      <c r="V1009" s="9"/>
    </row>
    <row r="1010" spans="1:22">
      <c r="A1010" s="9"/>
      <c r="B1010" s="9"/>
      <c r="C1010" s="9"/>
      <c r="D1010" s="9"/>
      <c r="E1010" s="9"/>
      <c r="F1010" s="9"/>
      <c r="G1010" s="9"/>
      <c r="H1010" s="9"/>
      <c r="I1010" s="9"/>
      <c r="J1010" s="9"/>
      <c r="K1010" s="9"/>
      <c r="L1010" s="9"/>
      <c r="M1010" s="9"/>
      <c r="V1010" s="9"/>
    </row>
    <row r="1011" spans="1:22">
      <c r="A1011" s="9"/>
      <c r="B1011" s="9"/>
      <c r="C1011" s="9"/>
      <c r="D1011" s="9"/>
      <c r="E1011" s="9"/>
      <c r="F1011" s="9"/>
      <c r="G1011" s="9"/>
      <c r="H1011" s="9"/>
      <c r="I1011" s="9"/>
      <c r="J1011" s="9"/>
      <c r="K1011" s="9"/>
      <c r="L1011" s="9"/>
      <c r="M1011" s="9"/>
      <c r="V1011" s="9"/>
    </row>
    <row r="1012" spans="1:22">
      <c r="A1012" s="9"/>
      <c r="B1012" s="9"/>
      <c r="C1012" s="9"/>
      <c r="D1012" s="9"/>
      <c r="E1012" s="9"/>
      <c r="F1012" s="9"/>
      <c r="G1012" s="9"/>
      <c r="H1012" s="9"/>
      <c r="I1012" s="9"/>
      <c r="J1012" s="9"/>
      <c r="K1012" s="9"/>
      <c r="L1012" s="9"/>
      <c r="M1012" s="9"/>
      <c r="V1012" s="9"/>
    </row>
    <row r="1013" spans="1:22">
      <c r="A1013" s="9"/>
      <c r="B1013" s="9"/>
      <c r="C1013" s="9"/>
      <c r="D1013" s="9"/>
      <c r="E1013" s="9"/>
      <c r="F1013" s="9"/>
      <c r="G1013" s="9"/>
      <c r="H1013" s="9"/>
      <c r="I1013" s="9"/>
      <c r="J1013" s="9"/>
      <c r="K1013" s="9"/>
      <c r="L1013" s="9"/>
      <c r="M1013" s="9"/>
      <c r="V1013" s="9"/>
    </row>
    <row r="1014" spans="1:22">
      <c r="A1014" s="9"/>
      <c r="B1014" s="9"/>
      <c r="C1014" s="9"/>
      <c r="D1014" s="9"/>
      <c r="E1014" s="9"/>
      <c r="F1014" s="9"/>
      <c r="G1014" s="9"/>
      <c r="H1014" s="9"/>
      <c r="I1014" s="9"/>
      <c r="J1014" s="9"/>
      <c r="K1014" s="9"/>
      <c r="L1014" s="9"/>
      <c r="M1014" s="9"/>
      <c r="V1014" s="9"/>
    </row>
    <row r="1015" spans="1:22">
      <c r="A1015" s="9"/>
      <c r="B1015" s="9"/>
      <c r="C1015" s="9"/>
      <c r="D1015" s="9"/>
      <c r="E1015" s="9"/>
      <c r="F1015" s="9"/>
      <c r="G1015" s="9"/>
      <c r="H1015" s="9"/>
      <c r="I1015" s="9"/>
      <c r="J1015" s="9"/>
      <c r="K1015" s="9"/>
      <c r="L1015" s="9"/>
      <c r="M1015" s="9"/>
      <c r="V1015" s="9"/>
    </row>
    <row r="1016" spans="1:22">
      <c r="A1016" s="9"/>
      <c r="B1016" s="9"/>
      <c r="C1016" s="9"/>
      <c r="D1016" s="9"/>
      <c r="E1016" s="9"/>
      <c r="F1016" s="9"/>
      <c r="G1016" s="9"/>
      <c r="H1016" s="9"/>
      <c r="I1016" s="9"/>
      <c r="J1016" s="9"/>
      <c r="K1016" s="9"/>
      <c r="L1016" s="9"/>
      <c r="M1016" s="9"/>
      <c r="V1016" s="9"/>
    </row>
    <row r="1017" spans="1:22">
      <c r="A1017" s="9"/>
      <c r="B1017" s="9"/>
      <c r="C1017" s="9"/>
      <c r="D1017" s="9"/>
      <c r="E1017" s="9"/>
      <c r="F1017" s="9"/>
      <c r="G1017" s="9"/>
      <c r="H1017" s="9"/>
      <c r="I1017" s="9"/>
      <c r="J1017" s="9"/>
      <c r="K1017" s="9"/>
      <c r="L1017" s="9"/>
      <c r="M1017" s="9"/>
      <c r="V1017" s="9"/>
    </row>
    <row r="1018" spans="1:22">
      <c r="A1018" s="9"/>
      <c r="B1018" s="9"/>
      <c r="C1018" s="9"/>
      <c r="D1018" s="9"/>
      <c r="E1018" s="9"/>
      <c r="F1018" s="9"/>
      <c r="G1018" s="9"/>
      <c r="H1018" s="9"/>
      <c r="I1018" s="9"/>
      <c r="J1018" s="9"/>
      <c r="K1018" s="9"/>
      <c r="L1018" s="9"/>
      <c r="M1018" s="9"/>
      <c r="V1018" s="9"/>
    </row>
    <row r="1019" spans="1:22">
      <c r="A1019" s="9"/>
      <c r="B1019" s="9"/>
      <c r="C1019" s="9"/>
      <c r="D1019" s="9"/>
      <c r="E1019" s="9"/>
      <c r="F1019" s="9"/>
      <c r="G1019" s="9"/>
      <c r="H1019" s="9"/>
      <c r="I1019" s="9"/>
      <c r="J1019" s="9"/>
      <c r="K1019" s="9"/>
      <c r="L1019" s="9"/>
      <c r="M1019" s="9"/>
      <c r="V1019" s="9"/>
    </row>
    <row r="1020" spans="1:22">
      <c r="A1020" s="9"/>
      <c r="B1020" s="9"/>
      <c r="C1020" s="9"/>
      <c r="D1020" s="9"/>
      <c r="E1020" s="9"/>
      <c r="F1020" s="9"/>
      <c r="G1020" s="9"/>
      <c r="H1020" s="9"/>
      <c r="I1020" s="9"/>
      <c r="J1020" s="9"/>
      <c r="K1020" s="9"/>
      <c r="L1020" s="9"/>
      <c r="M1020" s="9"/>
      <c r="V1020" s="9"/>
    </row>
    <row r="1021" spans="1:22">
      <c r="A1021" s="9"/>
      <c r="B1021" s="9"/>
      <c r="C1021" s="9"/>
      <c r="D1021" s="9"/>
      <c r="E1021" s="9"/>
      <c r="F1021" s="9"/>
      <c r="G1021" s="9"/>
      <c r="H1021" s="9"/>
      <c r="I1021" s="9"/>
      <c r="J1021" s="9"/>
      <c r="K1021" s="9"/>
      <c r="L1021" s="9"/>
      <c r="M1021" s="9"/>
      <c r="V1021" s="9"/>
    </row>
    <row r="1022" spans="1:22">
      <c r="A1022" s="9"/>
      <c r="B1022" s="9"/>
      <c r="C1022" s="9"/>
      <c r="D1022" s="9"/>
      <c r="E1022" s="9"/>
      <c r="F1022" s="9"/>
      <c r="G1022" s="9"/>
      <c r="H1022" s="9"/>
      <c r="I1022" s="9"/>
      <c r="J1022" s="9"/>
      <c r="K1022" s="9"/>
      <c r="L1022" s="9"/>
      <c r="M1022" s="9"/>
      <c r="V1022" s="9"/>
    </row>
    <row r="1023" spans="1:22">
      <c r="A1023" s="9"/>
      <c r="B1023" s="9"/>
      <c r="C1023" s="9"/>
      <c r="D1023" s="9"/>
      <c r="E1023" s="9"/>
      <c r="F1023" s="9"/>
      <c r="G1023" s="9"/>
      <c r="H1023" s="9"/>
      <c r="I1023" s="9"/>
      <c r="J1023" s="9"/>
      <c r="K1023" s="9"/>
      <c r="L1023" s="9"/>
      <c r="M1023" s="9"/>
      <c r="V1023" s="9"/>
    </row>
    <row r="1024" spans="1:22">
      <c r="A1024" s="9"/>
      <c r="B1024" s="9"/>
      <c r="C1024" s="9"/>
      <c r="D1024" s="9"/>
      <c r="E1024" s="9"/>
      <c r="F1024" s="9"/>
      <c r="G1024" s="9"/>
      <c r="H1024" s="9"/>
      <c r="I1024" s="9"/>
      <c r="J1024" s="9"/>
      <c r="K1024" s="9"/>
      <c r="L1024" s="9"/>
      <c r="M1024" s="9"/>
      <c r="V1024" s="9"/>
    </row>
    <row r="1025" spans="1:22">
      <c r="A1025" s="9"/>
      <c r="B1025" s="9"/>
      <c r="C1025" s="9"/>
      <c r="D1025" s="9"/>
      <c r="E1025" s="9"/>
      <c r="F1025" s="9"/>
      <c r="G1025" s="9"/>
      <c r="H1025" s="9"/>
      <c r="I1025" s="9"/>
      <c r="J1025" s="9"/>
      <c r="K1025" s="9"/>
      <c r="L1025" s="9"/>
      <c r="M1025" s="9"/>
      <c r="V1025" s="9"/>
    </row>
    <row r="1026" spans="1:22">
      <c r="A1026" s="9"/>
      <c r="B1026" s="9"/>
      <c r="C1026" s="9"/>
      <c r="D1026" s="9"/>
      <c r="E1026" s="9"/>
      <c r="F1026" s="9"/>
      <c r="G1026" s="9"/>
      <c r="H1026" s="9"/>
      <c r="I1026" s="9"/>
      <c r="J1026" s="9"/>
      <c r="K1026" s="9"/>
      <c r="L1026" s="9"/>
      <c r="M1026" s="9"/>
      <c r="V1026" s="9"/>
    </row>
    <row r="1027" spans="1:22">
      <c r="A1027" s="9"/>
      <c r="B1027" s="9"/>
      <c r="C1027" s="9"/>
      <c r="D1027" s="9"/>
      <c r="E1027" s="9"/>
      <c r="F1027" s="9"/>
      <c r="G1027" s="9"/>
      <c r="H1027" s="9"/>
      <c r="I1027" s="9"/>
      <c r="J1027" s="9"/>
      <c r="K1027" s="9"/>
      <c r="L1027" s="9"/>
      <c r="M1027" s="9"/>
      <c r="V1027" s="9"/>
    </row>
    <row r="1028" spans="1:22">
      <c r="A1028" s="9"/>
      <c r="B1028" s="9"/>
      <c r="C1028" s="9"/>
      <c r="D1028" s="9"/>
      <c r="E1028" s="9"/>
      <c r="F1028" s="9"/>
      <c r="G1028" s="9"/>
      <c r="H1028" s="9"/>
      <c r="I1028" s="9"/>
      <c r="J1028" s="9"/>
      <c r="K1028" s="9"/>
      <c r="L1028" s="9"/>
      <c r="M1028" s="9"/>
      <c r="V1028" s="9"/>
    </row>
    <row r="1029" spans="1:22">
      <c r="A1029" s="9"/>
      <c r="B1029" s="9"/>
      <c r="C1029" s="9"/>
      <c r="D1029" s="9"/>
      <c r="E1029" s="9"/>
      <c r="F1029" s="9"/>
      <c r="G1029" s="9"/>
      <c r="H1029" s="9"/>
      <c r="I1029" s="9"/>
      <c r="J1029" s="9"/>
      <c r="K1029" s="9"/>
      <c r="L1029" s="9"/>
      <c r="M1029" s="9"/>
      <c r="V1029" s="9"/>
    </row>
    <row r="1030" spans="1:22">
      <c r="A1030" s="9"/>
      <c r="B1030" s="9"/>
      <c r="C1030" s="9"/>
      <c r="D1030" s="9"/>
      <c r="E1030" s="9"/>
      <c r="F1030" s="9"/>
      <c r="G1030" s="9"/>
      <c r="H1030" s="9"/>
      <c r="I1030" s="9"/>
      <c r="J1030" s="9"/>
      <c r="K1030" s="9"/>
      <c r="L1030" s="9"/>
      <c r="M1030" s="9"/>
      <c r="V1030" s="9"/>
    </row>
    <row r="1031" spans="1:22">
      <c r="A1031" s="9"/>
      <c r="B1031" s="9"/>
      <c r="C1031" s="9"/>
      <c r="D1031" s="9"/>
      <c r="E1031" s="9"/>
      <c r="F1031" s="9"/>
      <c r="G1031" s="9"/>
      <c r="H1031" s="9"/>
      <c r="I1031" s="9"/>
      <c r="J1031" s="9"/>
      <c r="K1031" s="9"/>
      <c r="L1031" s="9"/>
      <c r="M1031" s="9"/>
      <c r="V1031" s="9"/>
    </row>
    <row r="1032" spans="1:22">
      <c r="A1032" s="9"/>
      <c r="B1032" s="9"/>
      <c r="C1032" s="9"/>
      <c r="D1032" s="9"/>
      <c r="E1032" s="9"/>
      <c r="F1032" s="9"/>
      <c r="G1032" s="9"/>
      <c r="H1032" s="9"/>
      <c r="I1032" s="9"/>
      <c r="J1032" s="9"/>
      <c r="K1032" s="9"/>
      <c r="L1032" s="9"/>
      <c r="M1032" s="9"/>
      <c r="V1032" s="9"/>
    </row>
    <row r="1033" spans="1:22">
      <c r="A1033" s="9"/>
      <c r="B1033" s="9"/>
      <c r="C1033" s="9"/>
      <c r="D1033" s="9"/>
      <c r="E1033" s="9"/>
      <c r="F1033" s="9"/>
      <c r="G1033" s="9"/>
      <c r="H1033" s="9"/>
      <c r="I1033" s="9"/>
      <c r="J1033" s="9"/>
      <c r="K1033" s="9"/>
      <c r="L1033" s="9"/>
      <c r="M1033" s="9"/>
      <c r="V1033" s="9"/>
    </row>
    <row r="1034" spans="1:22">
      <c r="A1034" s="9"/>
      <c r="B1034" s="9"/>
      <c r="C1034" s="9"/>
      <c r="D1034" s="9"/>
      <c r="E1034" s="9"/>
      <c r="F1034" s="9"/>
      <c r="G1034" s="9"/>
      <c r="H1034" s="9"/>
      <c r="I1034" s="9"/>
      <c r="J1034" s="9"/>
      <c r="K1034" s="9"/>
      <c r="L1034" s="9"/>
      <c r="M1034" s="9"/>
      <c r="V1034" s="9"/>
    </row>
    <row r="1035" spans="1:22">
      <c r="A1035" s="9"/>
      <c r="B1035" s="9"/>
      <c r="C1035" s="9"/>
      <c r="D1035" s="9"/>
      <c r="E1035" s="9"/>
      <c r="F1035" s="9"/>
      <c r="G1035" s="9"/>
      <c r="H1035" s="9"/>
      <c r="I1035" s="9"/>
      <c r="J1035" s="9"/>
      <c r="K1035" s="9"/>
      <c r="L1035" s="9"/>
      <c r="M1035" s="9"/>
      <c r="V1035" s="9"/>
    </row>
    <row r="1036" spans="1:22">
      <c r="A1036" s="9"/>
      <c r="B1036" s="9"/>
      <c r="C1036" s="9"/>
      <c r="D1036" s="9"/>
      <c r="E1036" s="9"/>
      <c r="F1036" s="9"/>
      <c r="G1036" s="9"/>
      <c r="H1036" s="9"/>
      <c r="I1036" s="9"/>
      <c r="J1036" s="9"/>
      <c r="K1036" s="9"/>
      <c r="L1036" s="9"/>
      <c r="M1036" s="9"/>
      <c r="V1036" s="9"/>
    </row>
    <row r="1037" spans="1:22">
      <c r="A1037" s="9"/>
      <c r="B1037" s="9"/>
      <c r="C1037" s="9"/>
      <c r="D1037" s="9"/>
      <c r="E1037" s="9"/>
      <c r="F1037" s="9"/>
      <c r="G1037" s="9"/>
      <c r="H1037" s="9"/>
      <c r="I1037" s="9"/>
      <c r="J1037" s="9"/>
      <c r="K1037" s="9"/>
      <c r="L1037" s="9"/>
      <c r="M1037" s="9"/>
      <c r="V1037" s="9"/>
    </row>
    <row r="1038" spans="1:22">
      <c r="A1038" s="9"/>
      <c r="B1038" s="9"/>
      <c r="C1038" s="9"/>
      <c r="D1038" s="9"/>
      <c r="E1038" s="9"/>
      <c r="F1038" s="9"/>
      <c r="G1038" s="9"/>
      <c r="H1038" s="9"/>
      <c r="I1038" s="9"/>
      <c r="J1038" s="9"/>
      <c r="K1038" s="9"/>
      <c r="L1038" s="9"/>
      <c r="M1038" s="9"/>
      <c r="V1038" s="9"/>
    </row>
    <row r="1039" spans="1:22">
      <c r="A1039" s="9"/>
      <c r="B1039" s="9"/>
      <c r="C1039" s="9"/>
      <c r="D1039" s="9"/>
      <c r="E1039" s="9"/>
      <c r="F1039" s="9"/>
      <c r="G1039" s="9"/>
      <c r="H1039" s="9"/>
      <c r="I1039" s="9"/>
      <c r="J1039" s="9"/>
      <c r="K1039" s="9"/>
      <c r="L1039" s="9"/>
      <c r="M1039" s="9"/>
      <c r="V1039" s="9"/>
    </row>
    <row r="1040" spans="1:22">
      <c r="A1040" s="9"/>
      <c r="B1040" s="9"/>
      <c r="C1040" s="9"/>
      <c r="D1040" s="9"/>
      <c r="E1040" s="9"/>
      <c r="F1040" s="9"/>
      <c r="G1040" s="9"/>
      <c r="H1040" s="9"/>
      <c r="I1040" s="9"/>
      <c r="J1040" s="9"/>
      <c r="K1040" s="9"/>
      <c r="L1040" s="9"/>
      <c r="M1040" s="9"/>
      <c r="V1040" s="9"/>
    </row>
    <row r="1041" spans="1:22">
      <c r="A1041" s="9"/>
      <c r="B1041" s="9"/>
      <c r="C1041" s="9"/>
      <c r="D1041" s="9"/>
      <c r="E1041" s="9"/>
      <c r="F1041" s="9"/>
      <c r="G1041" s="9"/>
      <c r="H1041" s="9"/>
      <c r="I1041" s="9"/>
      <c r="J1041" s="9"/>
      <c r="K1041" s="9"/>
      <c r="L1041" s="9"/>
      <c r="M1041" s="9"/>
      <c r="V1041" s="9"/>
    </row>
    <row r="1042" spans="1:22">
      <c r="A1042" s="9"/>
      <c r="B1042" s="9"/>
      <c r="C1042" s="9"/>
      <c r="D1042" s="9"/>
      <c r="E1042" s="9"/>
      <c r="F1042" s="9"/>
      <c r="G1042" s="9"/>
      <c r="H1042" s="9"/>
      <c r="I1042" s="9"/>
      <c r="J1042" s="9"/>
      <c r="K1042" s="9"/>
      <c r="L1042" s="9"/>
      <c r="M1042" s="9"/>
      <c r="V1042" s="9"/>
    </row>
    <row r="1043" spans="1:22">
      <c r="A1043" s="9"/>
      <c r="B1043" s="9"/>
      <c r="C1043" s="9"/>
      <c r="D1043" s="9"/>
      <c r="E1043" s="9"/>
      <c r="F1043" s="9"/>
      <c r="G1043" s="9"/>
      <c r="H1043" s="9"/>
      <c r="I1043" s="9"/>
      <c r="J1043" s="9"/>
      <c r="K1043" s="9"/>
      <c r="L1043" s="9"/>
      <c r="M1043" s="9"/>
      <c r="V1043" s="9"/>
    </row>
    <row r="1044" spans="1:22">
      <c r="A1044" s="9"/>
      <c r="B1044" s="9"/>
      <c r="C1044" s="9"/>
      <c r="D1044" s="9"/>
      <c r="E1044" s="9"/>
      <c r="F1044" s="9"/>
      <c r="G1044" s="9"/>
      <c r="H1044" s="9"/>
      <c r="I1044" s="9"/>
      <c r="J1044" s="9"/>
      <c r="K1044" s="9"/>
      <c r="L1044" s="9"/>
      <c r="M1044" s="9"/>
      <c r="V1044" s="9"/>
    </row>
    <row r="1045" spans="1:22">
      <c r="A1045" s="9"/>
      <c r="B1045" s="9"/>
      <c r="C1045" s="9"/>
      <c r="D1045" s="9"/>
      <c r="E1045" s="9"/>
      <c r="F1045" s="9"/>
      <c r="G1045" s="9"/>
      <c r="H1045" s="9"/>
      <c r="I1045" s="9"/>
      <c r="J1045" s="9"/>
      <c r="K1045" s="9"/>
      <c r="L1045" s="9"/>
      <c r="M1045" s="9"/>
    </row>
    <row r="1046" spans="1:22">
      <c r="A1046" s="9"/>
      <c r="B1046" s="9"/>
      <c r="C1046" s="9"/>
      <c r="D1046" s="9"/>
      <c r="E1046" s="9"/>
      <c r="F1046" s="9"/>
      <c r="G1046" s="9"/>
      <c r="H1046" s="9"/>
      <c r="I1046" s="9"/>
      <c r="J1046" s="9"/>
      <c r="K1046" s="9"/>
      <c r="L1046" s="9"/>
      <c r="M1046" s="9"/>
    </row>
    <row r="1047" spans="1:22">
      <c r="A1047" s="9"/>
      <c r="B1047" s="9"/>
      <c r="C1047" s="9"/>
      <c r="D1047" s="9"/>
      <c r="E1047" s="9"/>
      <c r="F1047" s="9"/>
      <c r="G1047" s="9"/>
      <c r="H1047" s="9"/>
      <c r="I1047" s="9"/>
      <c r="J1047" s="9"/>
      <c r="K1047" s="9"/>
      <c r="L1047" s="9"/>
      <c r="M1047" s="9"/>
    </row>
    <row r="1048" spans="1:22">
      <c r="A1048" s="9"/>
      <c r="B1048" s="9"/>
      <c r="C1048" s="9"/>
      <c r="D1048" s="9"/>
      <c r="E1048" s="9"/>
      <c r="F1048" s="9"/>
      <c r="G1048" s="9"/>
      <c r="H1048" s="9"/>
      <c r="I1048" s="9"/>
      <c r="J1048" s="9"/>
      <c r="K1048" s="9"/>
      <c r="L1048" s="9"/>
      <c r="M1048" s="9"/>
    </row>
    <row r="1049" spans="1:22">
      <c r="A1049" s="9"/>
      <c r="B1049" s="9"/>
      <c r="C1049" s="9"/>
      <c r="D1049" s="9"/>
      <c r="E1049" s="9"/>
      <c r="F1049" s="9"/>
      <c r="G1049" s="9"/>
      <c r="H1049" s="9"/>
      <c r="I1049" s="9"/>
      <c r="J1049" s="9"/>
      <c r="K1049" s="9"/>
      <c r="L1049" s="9"/>
      <c r="M1049" s="9"/>
    </row>
    <row r="1050" spans="1:22">
      <c r="A1050" s="9"/>
      <c r="B1050" s="9"/>
      <c r="C1050" s="9"/>
      <c r="D1050" s="9"/>
      <c r="E1050" s="9"/>
      <c r="F1050" s="9"/>
      <c r="G1050" s="9"/>
      <c r="H1050" s="9"/>
      <c r="I1050" s="9"/>
      <c r="J1050" s="9"/>
      <c r="K1050" s="9"/>
      <c r="L1050" s="9"/>
      <c r="M1050" s="9"/>
    </row>
    <row r="1051" spans="1:22">
      <c r="A1051" s="9"/>
      <c r="B1051" s="9"/>
      <c r="C1051" s="9"/>
      <c r="D1051" s="9"/>
      <c r="E1051" s="9"/>
      <c r="F1051" s="9"/>
      <c r="G1051" s="9"/>
      <c r="H1051" s="9"/>
      <c r="I1051" s="9"/>
      <c r="J1051" s="9"/>
      <c r="K1051" s="9"/>
      <c r="L1051" s="9"/>
      <c r="M1051" s="9"/>
    </row>
    <row r="1052" spans="1:22">
      <c r="A1052" s="9"/>
      <c r="B1052" s="9"/>
      <c r="C1052" s="9"/>
      <c r="D1052" s="9"/>
      <c r="E1052" s="9"/>
      <c r="F1052" s="9"/>
      <c r="G1052" s="9"/>
      <c r="H1052" s="9"/>
      <c r="I1052" s="9"/>
      <c r="J1052" s="9"/>
      <c r="K1052" s="9"/>
      <c r="L1052" s="9"/>
      <c r="M1052" s="9"/>
    </row>
    <row r="1053" spans="1:22">
      <c r="A1053" s="9"/>
      <c r="B1053" s="9"/>
      <c r="C1053" s="9"/>
      <c r="D1053" s="9"/>
      <c r="E1053" s="9"/>
      <c r="F1053" s="9"/>
      <c r="G1053" s="9"/>
      <c r="H1053" s="9"/>
      <c r="I1053" s="9"/>
      <c r="J1053" s="9"/>
      <c r="K1053" s="9"/>
      <c r="L1053" s="9"/>
      <c r="M1053" s="9"/>
    </row>
    <row r="1054" spans="1:22">
      <c r="A1054" s="9"/>
      <c r="B1054" s="9"/>
      <c r="C1054" s="9"/>
      <c r="D1054" s="9"/>
      <c r="E1054" s="9"/>
      <c r="F1054" s="9"/>
      <c r="G1054" s="9"/>
      <c r="H1054" s="9"/>
      <c r="I1054" s="9"/>
      <c r="J1054" s="9"/>
      <c r="K1054" s="9"/>
      <c r="L1054" s="9"/>
      <c r="M1054" s="9"/>
    </row>
    <row r="1055" spans="1:22">
      <c r="A1055" s="9"/>
      <c r="B1055" s="9"/>
      <c r="C1055" s="9"/>
      <c r="D1055" s="9"/>
      <c r="E1055" s="9"/>
      <c r="F1055" s="9"/>
      <c r="G1055" s="9"/>
      <c r="H1055" s="9"/>
      <c r="I1055" s="9"/>
      <c r="J1055" s="9"/>
      <c r="K1055" s="9"/>
      <c r="L1055" s="9"/>
      <c r="M1055" s="9"/>
    </row>
    <row r="1056" spans="1:22">
      <c r="A1056" s="9"/>
      <c r="B1056" s="9"/>
      <c r="C1056" s="9"/>
      <c r="D1056" s="9"/>
      <c r="E1056" s="9"/>
      <c r="F1056" s="9"/>
      <c r="G1056" s="9"/>
      <c r="H1056" s="9"/>
      <c r="I1056" s="9"/>
      <c r="J1056" s="9"/>
      <c r="K1056" s="9"/>
      <c r="L1056" s="9"/>
      <c r="M1056" s="9"/>
    </row>
    <row r="1057" spans="1:13">
      <c r="A1057" s="9"/>
      <c r="B1057" s="9"/>
      <c r="C1057" s="9"/>
      <c r="D1057" s="9"/>
      <c r="E1057" s="9"/>
      <c r="F1057" s="9"/>
      <c r="G1057" s="9"/>
      <c r="H1057" s="9"/>
      <c r="I1057" s="9"/>
      <c r="J1057" s="9"/>
      <c r="K1057" s="9"/>
      <c r="L1057" s="9"/>
      <c r="M1057" s="9"/>
    </row>
    <row r="1058" spans="1:13">
      <c r="A1058" s="9"/>
      <c r="B1058" s="9"/>
      <c r="C1058" s="9"/>
      <c r="D1058" s="9"/>
      <c r="E1058" s="9"/>
      <c r="F1058" s="9"/>
      <c r="G1058" s="9"/>
      <c r="H1058" s="9"/>
      <c r="I1058" s="9"/>
      <c r="J1058" s="9"/>
      <c r="K1058" s="9"/>
      <c r="L1058" s="9"/>
      <c r="M1058" s="9"/>
    </row>
    <row r="1059" spans="1:13">
      <c r="A1059" s="9"/>
      <c r="B1059" s="9"/>
      <c r="C1059" s="9"/>
      <c r="D1059" s="9"/>
      <c r="E1059" s="9"/>
      <c r="F1059" s="9"/>
      <c r="G1059" s="9"/>
      <c r="H1059" s="9"/>
      <c r="I1059" s="9"/>
      <c r="J1059" s="9"/>
      <c r="K1059" s="9"/>
      <c r="L1059" s="9"/>
      <c r="M1059" s="9"/>
    </row>
    <row r="1060" spans="1:13">
      <c r="A1060" s="9"/>
      <c r="B1060" s="9"/>
      <c r="C1060" s="9"/>
      <c r="D1060" s="9"/>
      <c r="E1060" s="9"/>
      <c r="F1060" s="9"/>
      <c r="G1060" s="9"/>
      <c r="H1060" s="9"/>
      <c r="I1060" s="9"/>
      <c r="J1060" s="9"/>
      <c r="K1060" s="9"/>
      <c r="L1060" s="9"/>
      <c r="M1060" s="9"/>
    </row>
    <row r="1061" spans="1:13">
      <c r="A1061" s="9"/>
      <c r="B1061" s="9"/>
      <c r="C1061" s="9"/>
      <c r="D1061" s="9"/>
      <c r="E1061" s="9"/>
      <c r="F1061" s="9"/>
      <c r="G1061" s="9"/>
      <c r="H1061" s="9"/>
      <c r="I1061" s="9"/>
      <c r="J1061" s="9"/>
      <c r="K1061" s="9"/>
      <c r="L1061" s="9"/>
      <c r="M1061" s="9"/>
    </row>
    <row r="1062" spans="1:13">
      <c r="A1062" s="9"/>
      <c r="B1062" s="9"/>
      <c r="C1062" s="9"/>
      <c r="D1062" s="9"/>
      <c r="E1062" s="9"/>
      <c r="F1062" s="9"/>
      <c r="G1062" s="9"/>
      <c r="H1062" s="9"/>
      <c r="I1062" s="9"/>
      <c r="J1062" s="9"/>
      <c r="K1062" s="9"/>
      <c r="L1062" s="9"/>
      <c r="M1062" s="9"/>
    </row>
    <row r="1063" spans="1:13">
      <c r="A1063" s="9"/>
      <c r="B1063" s="9"/>
      <c r="C1063" s="9"/>
      <c r="D1063" s="9"/>
      <c r="E1063" s="9"/>
      <c r="F1063" s="9"/>
      <c r="G1063" s="9"/>
      <c r="H1063" s="9"/>
      <c r="I1063" s="9"/>
      <c r="J1063" s="9"/>
      <c r="K1063" s="9"/>
      <c r="L1063" s="9"/>
      <c r="M1063" s="9"/>
    </row>
    <row r="1064" spans="1:13">
      <c r="A1064" s="9"/>
      <c r="B1064" s="9"/>
      <c r="C1064" s="9"/>
      <c r="D1064" s="9"/>
      <c r="E1064" s="9"/>
      <c r="F1064" s="9"/>
      <c r="G1064" s="9"/>
      <c r="H1064" s="9"/>
      <c r="I1064" s="9"/>
      <c r="J1064" s="9"/>
      <c r="K1064" s="9"/>
      <c r="L1064" s="9"/>
      <c r="M1064" s="9"/>
    </row>
    <row r="1065" spans="1:13">
      <c r="A1065" s="9"/>
      <c r="B1065" s="9"/>
      <c r="C1065" s="9"/>
      <c r="D1065" s="9"/>
      <c r="E1065" s="9"/>
      <c r="F1065" s="9"/>
      <c r="G1065" s="9"/>
      <c r="H1065" s="9"/>
      <c r="I1065" s="9"/>
      <c r="J1065" s="9"/>
      <c r="K1065" s="9"/>
      <c r="L1065" s="9"/>
      <c r="M1065" s="9"/>
    </row>
    <row r="1066" spans="1:13">
      <c r="A1066" s="9"/>
      <c r="B1066" s="9"/>
      <c r="C1066" s="9"/>
      <c r="D1066" s="9"/>
      <c r="E1066" s="9"/>
      <c r="F1066" s="9"/>
      <c r="G1066" s="9"/>
      <c r="H1066" s="9"/>
      <c r="I1066" s="9"/>
      <c r="J1066" s="9"/>
      <c r="K1066" s="9"/>
      <c r="L1066" s="9"/>
      <c r="M1066" s="9"/>
    </row>
    <row r="1067" spans="1:13">
      <c r="A1067" s="9"/>
      <c r="B1067" s="9"/>
      <c r="C1067" s="9"/>
      <c r="D1067" s="9"/>
      <c r="E1067" s="9"/>
      <c r="F1067" s="9"/>
      <c r="G1067" s="9"/>
      <c r="H1067" s="9"/>
      <c r="I1067" s="9"/>
      <c r="J1067" s="9"/>
      <c r="K1067" s="9"/>
      <c r="L1067" s="9"/>
      <c r="M1067" s="9"/>
    </row>
    <row r="1068" spans="1:13">
      <c r="A1068" s="9"/>
      <c r="B1068" s="9"/>
      <c r="C1068" s="9"/>
      <c r="D1068" s="9"/>
      <c r="E1068" s="9"/>
      <c r="F1068" s="9"/>
      <c r="G1068" s="9"/>
      <c r="H1068" s="9"/>
      <c r="I1068" s="9"/>
      <c r="J1068" s="9"/>
      <c r="K1068" s="9"/>
      <c r="L1068" s="9"/>
      <c r="M1068" s="9"/>
    </row>
    <row r="1069" spans="1:13">
      <c r="A1069" s="9"/>
      <c r="B1069" s="9"/>
      <c r="C1069" s="9"/>
      <c r="D1069" s="9"/>
      <c r="E1069" s="9"/>
      <c r="F1069" s="9"/>
      <c r="G1069" s="9"/>
      <c r="H1069" s="9"/>
      <c r="I1069" s="9"/>
      <c r="J1069" s="9"/>
      <c r="K1069" s="9"/>
      <c r="L1069" s="9"/>
      <c r="M1069" s="9"/>
    </row>
    <row r="1070" spans="1:13">
      <c r="A1070" s="9"/>
      <c r="B1070" s="9"/>
      <c r="C1070" s="9"/>
      <c r="D1070" s="9"/>
      <c r="E1070" s="9"/>
      <c r="F1070" s="9"/>
      <c r="G1070" s="9"/>
      <c r="H1070" s="9"/>
      <c r="I1070" s="9"/>
      <c r="J1070" s="9"/>
      <c r="K1070" s="9"/>
      <c r="L1070" s="9"/>
      <c r="M1070" s="9"/>
    </row>
    <row r="1071" spans="1:13">
      <c r="A1071" s="9"/>
      <c r="B1071" s="9"/>
      <c r="C1071" s="9"/>
      <c r="D1071" s="9"/>
      <c r="E1071" s="9"/>
      <c r="F1071" s="9"/>
      <c r="G1071" s="9"/>
      <c r="H1071" s="9"/>
      <c r="I1071" s="9"/>
      <c r="J1071" s="9"/>
      <c r="K1071" s="9"/>
      <c r="L1071" s="9"/>
      <c r="M1071" s="9"/>
    </row>
    <row r="1072" spans="1:13">
      <c r="A1072" s="9"/>
      <c r="B1072" s="9"/>
      <c r="C1072" s="9"/>
      <c r="D1072" s="9"/>
      <c r="E1072" s="9"/>
      <c r="F1072" s="9"/>
      <c r="G1072" s="9"/>
      <c r="H1072" s="9"/>
      <c r="I1072" s="9"/>
      <c r="J1072" s="9"/>
      <c r="K1072" s="9"/>
      <c r="L1072" s="9"/>
      <c r="M1072" s="9"/>
    </row>
    <row r="1073" spans="1:13">
      <c r="A1073" s="9"/>
      <c r="B1073" s="9"/>
      <c r="C1073" s="9"/>
      <c r="D1073" s="9"/>
      <c r="E1073" s="9"/>
      <c r="F1073" s="9"/>
      <c r="G1073" s="9"/>
      <c r="H1073" s="9"/>
      <c r="I1073" s="9"/>
      <c r="J1073" s="9"/>
      <c r="K1073" s="9"/>
      <c r="L1073" s="9"/>
      <c r="M1073" s="9"/>
    </row>
    <row r="1074" spans="1:13">
      <c r="A1074" s="9"/>
      <c r="B1074" s="9"/>
      <c r="C1074" s="9"/>
      <c r="D1074" s="9"/>
      <c r="E1074" s="9"/>
      <c r="F1074" s="9"/>
      <c r="G1074" s="9"/>
      <c r="H1074" s="9"/>
      <c r="I1074" s="9"/>
      <c r="J1074" s="9"/>
      <c r="K1074" s="9"/>
      <c r="L1074" s="9"/>
      <c r="M1074" s="9"/>
    </row>
    <row r="1075" spans="1:13">
      <c r="A1075" s="9"/>
      <c r="B1075" s="9"/>
      <c r="C1075" s="9"/>
      <c r="D1075" s="9"/>
      <c r="E1075" s="9"/>
      <c r="F1075" s="9"/>
      <c r="G1075" s="9"/>
      <c r="H1075" s="9"/>
      <c r="I1075" s="9"/>
      <c r="J1075" s="9"/>
      <c r="K1075" s="9"/>
      <c r="L1075" s="9"/>
      <c r="M1075" s="9"/>
    </row>
    <row r="1076" spans="1:13">
      <c r="A1076" s="9"/>
      <c r="B1076" s="9"/>
      <c r="C1076" s="9"/>
      <c r="D1076" s="9"/>
      <c r="E1076" s="9"/>
      <c r="F1076" s="9"/>
      <c r="G1076" s="9"/>
      <c r="H1076" s="9"/>
      <c r="I1076" s="9"/>
      <c r="J1076" s="9"/>
      <c r="K1076" s="9"/>
      <c r="L1076" s="9"/>
      <c r="M1076" s="9"/>
    </row>
    <row r="1077" spans="1:13">
      <c r="A1077" s="9"/>
      <c r="B1077" s="9"/>
      <c r="C1077" s="9"/>
      <c r="D1077" s="9"/>
      <c r="E1077" s="9"/>
      <c r="F1077" s="9"/>
      <c r="G1077" s="9"/>
      <c r="H1077" s="9"/>
      <c r="I1077" s="9"/>
      <c r="J1077" s="9"/>
      <c r="K1077" s="9"/>
      <c r="L1077" s="9"/>
      <c r="M1077" s="9"/>
    </row>
    <row r="1078" spans="1:13">
      <c r="A1078" s="9"/>
      <c r="B1078" s="9"/>
      <c r="C1078" s="9"/>
      <c r="D1078" s="9"/>
      <c r="E1078" s="9"/>
      <c r="F1078" s="9"/>
      <c r="G1078" s="9"/>
      <c r="H1078" s="9"/>
      <c r="I1078" s="9"/>
      <c r="J1078" s="9"/>
      <c r="K1078" s="9"/>
      <c r="L1078" s="9"/>
      <c r="M1078" s="9"/>
    </row>
    <row r="1079" spans="1:13">
      <c r="A1079" s="9"/>
      <c r="B1079" s="9"/>
      <c r="C1079" s="9"/>
      <c r="D1079" s="9"/>
      <c r="E1079" s="9"/>
      <c r="F1079" s="9"/>
      <c r="G1079" s="9"/>
      <c r="H1079" s="9"/>
      <c r="I1079" s="9"/>
      <c r="J1079" s="9"/>
      <c r="K1079" s="9"/>
      <c r="L1079" s="9"/>
      <c r="M1079" s="9"/>
    </row>
    <row r="1080" spans="1:13">
      <c r="A1080" s="9"/>
      <c r="B1080" s="9"/>
      <c r="C1080" s="9"/>
      <c r="D1080" s="9"/>
      <c r="E1080" s="9"/>
      <c r="F1080" s="9"/>
      <c r="G1080" s="9"/>
      <c r="H1080" s="9"/>
      <c r="I1080" s="9"/>
      <c r="J1080" s="9"/>
      <c r="K1080" s="9"/>
      <c r="L1080" s="9"/>
      <c r="M1080" s="9"/>
    </row>
    <row r="1081" spans="1:13">
      <c r="A1081" s="9"/>
      <c r="B1081" s="9"/>
      <c r="C1081" s="9"/>
      <c r="D1081" s="9"/>
      <c r="E1081" s="9"/>
      <c r="F1081" s="9"/>
      <c r="G1081" s="9"/>
      <c r="H1081" s="9"/>
      <c r="I1081" s="9"/>
      <c r="J1081" s="9"/>
      <c r="K1081" s="9"/>
      <c r="L1081" s="9"/>
      <c r="M1081" s="9"/>
    </row>
    <row r="1082" spans="1:13">
      <c r="A1082" s="9"/>
      <c r="B1082" s="9"/>
      <c r="C1082" s="9"/>
      <c r="D1082" s="9"/>
      <c r="E1082" s="9"/>
      <c r="F1082" s="9"/>
      <c r="G1082" s="9"/>
      <c r="H1082" s="9"/>
      <c r="I1082" s="9"/>
      <c r="J1082" s="9"/>
      <c r="K1082" s="9"/>
      <c r="L1082" s="9"/>
      <c r="M1082" s="9"/>
    </row>
    <row r="1083" spans="1:13">
      <c r="A1083" s="9"/>
      <c r="B1083" s="9"/>
      <c r="C1083" s="9"/>
      <c r="D1083" s="9"/>
      <c r="E1083" s="9"/>
      <c r="F1083" s="9"/>
      <c r="G1083" s="9"/>
      <c r="H1083" s="9"/>
      <c r="I1083" s="9"/>
      <c r="J1083" s="9"/>
      <c r="K1083" s="9"/>
      <c r="L1083" s="9"/>
      <c r="M1083" s="9"/>
    </row>
    <row r="1084" spans="1:13">
      <c r="A1084" s="9"/>
      <c r="B1084" s="9"/>
      <c r="C1084" s="9"/>
      <c r="D1084" s="9"/>
      <c r="E1084" s="9"/>
      <c r="F1084" s="9"/>
      <c r="G1084" s="9"/>
      <c r="H1084" s="9"/>
      <c r="I1084" s="9"/>
      <c r="J1084" s="9"/>
      <c r="K1084" s="9"/>
      <c r="L1084" s="9"/>
      <c r="M1084" s="9"/>
    </row>
    <row r="1085" spans="1:13">
      <c r="A1085" s="9"/>
      <c r="B1085" s="9"/>
      <c r="C1085" s="9"/>
      <c r="D1085" s="9"/>
      <c r="E1085" s="9"/>
      <c r="F1085" s="9"/>
      <c r="G1085" s="9"/>
      <c r="H1085" s="9"/>
      <c r="I1085" s="9"/>
      <c r="J1085" s="9"/>
      <c r="K1085" s="9"/>
      <c r="L1085" s="9"/>
      <c r="M1085" s="9"/>
    </row>
  </sheetData>
  <mergeCells count="96">
    <mergeCell ref="AP212:AP213"/>
    <mergeCell ref="AQ212:AS212"/>
    <mergeCell ref="AT212:AV212"/>
    <mergeCell ref="Z225:AB225"/>
    <mergeCell ref="AC225:AE225"/>
    <mergeCell ref="AF225:AH225"/>
    <mergeCell ref="AV7:BE7"/>
    <mergeCell ref="AV44:BE44"/>
    <mergeCell ref="AV81:BE81"/>
    <mergeCell ref="BL7:BU7"/>
    <mergeCell ref="BL44:BU44"/>
    <mergeCell ref="BL81:BU81"/>
    <mergeCell ref="AL81:AO81"/>
    <mergeCell ref="X44:AG44"/>
    <mergeCell ref="H7:Q7"/>
    <mergeCell ref="H44:Q44"/>
    <mergeCell ref="H81:Q81"/>
    <mergeCell ref="X81:AG81"/>
    <mergeCell ref="X7:AG7"/>
    <mergeCell ref="AL7:AO7"/>
    <mergeCell ref="AL44:AO44"/>
    <mergeCell ref="V225:V226"/>
    <mergeCell ref="W225:Y225"/>
    <mergeCell ref="AJ225:AK225"/>
    <mergeCell ref="BJ117:BJ118"/>
    <mergeCell ref="W153:W154"/>
    <mergeCell ref="X153:X154"/>
    <mergeCell ref="Y153:AA153"/>
    <mergeCell ref="AI153:AI154"/>
    <mergeCell ref="V117:V118"/>
    <mergeCell ref="AD186:AE186"/>
    <mergeCell ref="W186:W187"/>
    <mergeCell ref="X186:X187"/>
    <mergeCell ref="Y186:Y187"/>
    <mergeCell ref="AF186:AF187"/>
    <mergeCell ref="Z186:Z187"/>
    <mergeCell ref="X117:Z117"/>
    <mergeCell ref="BP225:BQ225"/>
    <mergeCell ref="BP153:BV153"/>
    <mergeCell ref="BU186:BZ186"/>
    <mergeCell ref="BV7:BW7"/>
    <mergeCell ref="BV44:BW44"/>
    <mergeCell ref="BV81:BW81"/>
    <mergeCell ref="BZ7:CC7"/>
    <mergeCell ref="BZ44:CC44"/>
    <mergeCell ref="BZ81:CC81"/>
    <mergeCell ref="BO117:BQ117"/>
    <mergeCell ref="DC117:DE117"/>
    <mergeCell ref="DF117:DH117"/>
    <mergeCell ref="BX153:BX154"/>
    <mergeCell ref="BW153:BW154"/>
    <mergeCell ref="BR186:BS186"/>
    <mergeCell ref="BR117:BT117"/>
    <mergeCell ref="AB186:AB187"/>
    <mergeCell ref="AJ153:AJ154"/>
    <mergeCell ref="AB153:AH153"/>
    <mergeCell ref="CX117:CX118"/>
    <mergeCell ref="CZ117:DB117"/>
    <mergeCell ref="AG186:AL186"/>
    <mergeCell ref="BK153:BK154"/>
    <mergeCell ref="BL153:BL154"/>
    <mergeCell ref="BM153:BO153"/>
    <mergeCell ref="AA117:AC117"/>
    <mergeCell ref="AD117:AF117"/>
    <mergeCell ref="BL117:BN117"/>
    <mergeCell ref="FS117:FT117"/>
    <mergeCell ref="FU117:FV117"/>
    <mergeCell ref="EJ117:EJ118"/>
    <mergeCell ref="FQ117:FR117"/>
    <mergeCell ref="FO117:FO118"/>
    <mergeCell ref="EN117:EO117"/>
    <mergeCell ref="EP117:EQ117"/>
    <mergeCell ref="EL117:EM117"/>
    <mergeCell ref="DV81:EE81"/>
    <mergeCell ref="CZ44:DI44"/>
    <mergeCell ref="CZ81:DI81"/>
    <mergeCell ref="CZ7:DI7"/>
    <mergeCell ref="DN7:DQ7"/>
    <mergeCell ref="DN44:DQ44"/>
    <mergeCell ref="DN81:DQ81"/>
    <mergeCell ref="BJ225:BJ226"/>
    <mergeCell ref="BK225:BM225"/>
    <mergeCell ref="FQ7:FZ7"/>
    <mergeCell ref="FQ44:FZ44"/>
    <mergeCell ref="FQ81:FZ81"/>
    <mergeCell ref="EL7:EU7"/>
    <mergeCell ref="EL44:EU44"/>
    <mergeCell ref="EL81:EU81"/>
    <mergeCell ref="FA7:FJ7"/>
    <mergeCell ref="FA44:FJ44"/>
    <mergeCell ref="FA81:FJ81"/>
    <mergeCell ref="CJ7:CS7"/>
    <mergeCell ref="CJ44:CS44"/>
    <mergeCell ref="CJ81:CS81"/>
    <mergeCell ref="DV7:EE7"/>
    <mergeCell ref="DV44:EE44"/>
  </mergeCells>
  <conditionalFormatting sqref="BB37:BB42 BD40:BG42 BD37:BD39 BF37:BG39">
    <cfRule type="cellIs" dxfId="3" priority="1" operator="notEqual">
      <formula>0</formula>
    </cfRule>
  </conditionalFormatting>
  <pageMargins left="0.7" right="0.7" top="0.75" bottom="0.75" header="0.3" footer="0.3"/>
  <pageSetup scale="10" orientation="landscape" r:id="rId1"/>
  <drawing r:id="rId2"/>
  <legacyDrawing r:id="rId3"/>
  <controls>
    <mc:AlternateContent xmlns:mc="http://schemas.openxmlformats.org/markup-compatibility/2006">
      <mc:Choice Requires="x14">
        <control shapeId="1342465" r:id="rId4" name="ScenarioOneButton">
          <controlPr autoLine="0" r:id="rId5">
            <anchor moveWithCells="1">
              <from>
                <xdr:col>1</xdr:col>
                <xdr:colOff>0</xdr:colOff>
                <xdr:row>2</xdr:row>
                <xdr:rowOff>28575</xdr:rowOff>
              </from>
              <to>
                <xdr:col>4</xdr:col>
                <xdr:colOff>533400</xdr:colOff>
                <xdr:row>4</xdr:row>
                <xdr:rowOff>276225</xdr:rowOff>
              </to>
            </anchor>
          </controlPr>
        </control>
      </mc:Choice>
      <mc:Fallback>
        <control shapeId="1342465" r:id="rId4" name="ScenarioOneButton"/>
      </mc:Fallback>
    </mc:AlternateContent>
    <mc:AlternateContent xmlns:mc="http://schemas.openxmlformats.org/markup-compatibility/2006">
      <mc:Choice Requires="x14">
        <control shapeId="1343158" r:id="rId6" name="CommandButton_ScenarioTwo">
          <controlPr autoLine="0" r:id="rId7">
            <anchor moveWithCells="1">
              <from>
                <xdr:col>42</xdr:col>
                <xdr:colOff>0</xdr:colOff>
                <xdr:row>2</xdr:row>
                <xdr:rowOff>0</xdr:rowOff>
              </from>
              <to>
                <xdr:col>44</xdr:col>
                <xdr:colOff>85725</xdr:colOff>
                <xdr:row>3</xdr:row>
                <xdr:rowOff>295275</xdr:rowOff>
              </to>
            </anchor>
          </controlPr>
        </control>
      </mc:Choice>
      <mc:Fallback>
        <control shapeId="1343158" r:id="rId6" name="CommandButton_ScenarioTwo"/>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92D050"/>
  </sheetPr>
  <dimension ref="A1:AZ71"/>
  <sheetViews>
    <sheetView zoomScale="85" zoomScaleNormal="85" workbookViewId="0">
      <selection activeCell="L39" sqref="L39"/>
    </sheetView>
  </sheetViews>
  <sheetFormatPr defaultRowHeight="12.75"/>
  <cols>
    <col min="1" max="1" width="11" customWidth="1"/>
    <col min="3" max="3" width="13.42578125" customWidth="1"/>
    <col min="8" max="8" width="12.42578125" customWidth="1"/>
    <col min="9" max="9" width="7.7109375" customWidth="1"/>
  </cols>
  <sheetData>
    <row r="1" spans="1:52" s="2377" customFormat="1" ht="30">
      <c r="A1" s="2426" t="s">
        <v>1596</v>
      </c>
    </row>
    <row r="2" spans="1:52" s="2377" customFormat="1" ht="18">
      <c r="A2" s="2377" t="s">
        <v>1627</v>
      </c>
      <c r="C2" s="2377" t="s">
        <v>1626</v>
      </c>
    </row>
    <row r="3" spans="1:52" s="2378" customFormat="1" ht="13.5" thickBot="1"/>
    <row r="4" spans="1:52" s="2329" customFormat="1" ht="90.6" customHeight="1">
      <c r="A4" s="4533" t="s">
        <v>1625</v>
      </c>
      <c r="B4" s="4534"/>
      <c r="C4" s="4534"/>
      <c r="D4" s="4534"/>
      <c r="E4" s="4534"/>
      <c r="F4" s="4534"/>
      <c r="G4" s="4534"/>
      <c r="H4" s="4534"/>
      <c r="I4" s="4534"/>
      <c r="J4" s="4534"/>
      <c r="K4" s="4534"/>
      <c r="L4" s="4534"/>
      <c r="M4" s="4534"/>
      <c r="N4" s="4534"/>
      <c r="O4" s="4534"/>
      <c r="P4" s="4534"/>
      <c r="Q4" s="4534"/>
      <c r="R4" s="4534"/>
      <c r="S4" s="4534"/>
      <c r="T4" s="4534"/>
      <c r="U4" s="4534"/>
      <c r="V4" s="4534"/>
      <c r="W4" s="4534"/>
      <c r="X4" s="4534"/>
      <c r="Y4" s="4534"/>
      <c r="Z4" s="2421"/>
      <c r="AA4" s="2421"/>
      <c r="AB4" s="2421"/>
      <c r="AC4" s="2421"/>
      <c r="AD4" s="2421"/>
      <c r="AE4" s="2310"/>
    </row>
    <row r="5" spans="1:52" ht="20.45" customHeight="1">
      <c r="A5" s="2297"/>
      <c r="B5" s="2293"/>
      <c r="C5" s="2422" t="s">
        <v>1624</v>
      </c>
      <c r="D5" s="2424" t="str">
        <f>'INPUT-OUTPUT'!C9</f>
        <v>Wind - Class 3 100 MW</v>
      </c>
      <c r="E5" s="2293"/>
      <c r="F5" s="2293"/>
      <c r="G5" s="2293"/>
      <c r="H5" s="2293"/>
      <c r="I5" s="2422" t="s">
        <v>1621</v>
      </c>
      <c r="J5" s="2422"/>
      <c r="K5" s="2424" t="str">
        <f>CostScenario</f>
        <v>Mid Case</v>
      </c>
      <c r="L5" s="2422"/>
      <c r="M5" s="2423" t="s">
        <v>1622</v>
      </c>
      <c r="N5" s="2422"/>
      <c r="O5" s="2422"/>
      <c r="P5" s="2425" t="str">
        <f>Perspective</f>
        <v>At Interconnection Point</v>
      </c>
      <c r="Q5" s="2422"/>
      <c r="R5" s="2422"/>
      <c r="S5" s="2423" t="s">
        <v>1623</v>
      </c>
      <c r="T5" s="2422"/>
      <c r="U5" s="2422"/>
      <c r="V5" s="2424" t="str">
        <f>OwnerScenario</f>
        <v>Merchant Alternatives</v>
      </c>
      <c r="W5" s="2293"/>
      <c r="X5" s="2293"/>
      <c r="Y5" s="2293"/>
      <c r="Z5" s="2307"/>
      <c r="AA5" s="2307"/>
      <c r="AB5" s="2307"/>
      <c r="AC5" s="2307"/>
      <c r="AD5" s="2307"/>
      <c r="AE5" s="2307"/>
      <c r="AF5" s="2307"/>
      <c r="AG5" s="2307"/>
      <c r="AH5" s="2307"/>
      <c r="AI5" s="2307"/>
      <c r="AJ5" s="2307"/>
      <c r="AK5" s="2307"/>
      <c r="AL5" s="2307"/>
      <c r="AM5" s="2307"/>
      <c r="AN5" s="2307"/>
      <c r="AO5" s="2307"/>
      <c r="AP5" s="2307"/>
      <c r="AQ5" s="2307"/>
      <c r="AR5" s="2307"/>
      <c r="AS5" s="2307"/>
      <c r="AT5" s="2307"/>
      <c r="AU5" s="2307"/>
      <c r="AV5" s="2307"/>
      <c r="AW5" s="2307"/>
      <c r="AX5" s="2307"/>
      <c r="AY5" s="2307"/>
      <c r="AZ5" s="2311"/>
    </row>
    <row r="6" spans="1:52" ht="27" customHeight="1">
      <c r="A6" s="2292"/>
      <c r="B6" s="2293"/>
      <c r="C6" s="2293"/>
      <c r="D6" s="2293"/>
      <c r="E6" s="2293"/>
      <c r="F6" s="2293"/>
      <c r="G6" s="2293"/>
      <c r="H6" s="2293"/>
      <c r="I6" s="2293"/>
      <c r="J6" s="2293"/>
      <c r="K6" s="2293"/>
      <c r="L6" s="2293"/>
      <c r="M6" s="2293"/>
      <c r="N6" s="2293"/>
      <c r="O6" s="2293"/>
      <c r="P6" s="2293"/>
      <c r="Q6" s="2293"/>
      <c r="R6" s="2293"/>
      <c r="S6" s="2293"/>
      <c r="T6" s="2293"/>
      <c r="U6" s="2293"/>
      <c r="V6" s="2293"/>
      <c r="W6" s="2293"/>
      <c r="X6" s="2293"/>
      <c r="Y6" s="2293"/>
      <c r="Z6" s="2307"/>
      <c r="AA6" s="2307"/>
      <c r="AB6" s="2307"/>
      <c r="AC6" s="2307"/>
      <c r="AD6" s="2307"/>
      <c r="AE6" s="2307"/>
      <c r="AF6" s="2307"/>
      <c r="AG6" s="2307"/>
      <c r="AH6" s="2307"/>
      <c r="AI6" s="2307"/>
      <c r="AJ6" s="2307"/>
      <c r="AK6" s="2307"/>
      <c r="AL6" s="2307"/>
      <c r="AM6" s="2307"/>
      <c r="AN6" s="2307"/>
      <c r="AO6" s="2307"/>
      <c r="AP6" s="2307"/>
      <c r="AQ6" s="2307"/>
      <c r="AR6" s="2307"/>
      <c r="AS6" s="2307"/>
      <c r="AT6" s="2307"/>
      <c r="AU6" s="2307"/>
      <c r="AV6" s="2307"/>
      <c r="AW6" s="2307"/>
      <c r="AX6" s="2307"/>
      <c r="AY6" s="2307"/>
      <c r="AZ6" s="2311"/>
    </row>
    <row r="7" spans="1:52">
      <c r="A7" s="2294"/>
      <c r="B7" s="2295"/>
      <c r="C7" s="2295"/>
      <c r="D7" s="2295"/>
      <c r="E7" s="2295"/>
      <c r="F7" s="2293"/>
      <c r="G7" s="2293"/>
      <c r="H7" s="2293"/>
      <c r="I7" s="2293"/>
      <c r="J7" s="2293"/>
      <c r="K7" s="2293"/>
      <c r="L7" s="2293"/>
      <c r="M7" s="2293"/>
      <c r="N7" s="2293"/>
      <c r="O7" s="2293"/>
      <c r="P7" s="2293"/>
      <c r="Q7" s="2293"/>
      <c r="R7" s="2293"/>
      <c r="S7" s="2293"/>
      <c r="T7" s="2293"/>
      <c r="U7" s="2293"/>
      <c r="V7" s="2293"/>
      <c r="W7" s="2293"/>
      <c r="X7" s="2293"/>
      <c r="Y7" s="2293"/>
      <c r="Z7" s="2307"/>
      <c r="AA7" s="2307"/>
      <c r="AB7" s="2307"/>
      <c r="AC7" s="2307"/>
      <c r="AD7" s="2307"/>
      <c r="AE7" s="2307"/>
      <c r="AF7" s="2307"/>
      <c r="AG7" s="2307"/>
      <c r="AH7" s="2307"/>
      <c r="AI7" s="2307"/>
      <c r="AJ7" s="2307"/>
      <c r="AK7" s="2307"/>
      <c r="AL7" s="2307"/>
      <c r="AM7" s="2307"/>
      <c r="AN7" s="2307"/>
      <c r="AO7" s="2307"/>
      <c r="AP7" s="2307"/>
      <c r="AQ7" s="2307"/>
      <c r="AR7" s="2307"/>
      <c r="AS7" s="2307"/>
      <c r="AT7" s="2307"/>
      <c r="AU7" s="2307"/>
      <c r="AV7" s="2307"/>
      <c r="AW7" s="2307"/>
      <c r="AX7" s="2307"/>
      <c r="AY7" s="2307"/>
      <c r="AZ7" s="2311"/>
    </row>
    <row r="8" spans="1:52">
      <c r="A8" s="2296"/>
      <c r="B8" s="2293"/>
      <c r="C8" s="2293"/>
      <c r="D8" s="2293"/>
      <c r="E8" s="2293"/>
      <c r="F8" s="2293"/>
      <c r="G8" s="2293"/>
      <c r="H8" s="2293"/>
      <c r="I8" s="2293"/>
      <c r="J8" s="2293"/>
      <c r="K8" s="2293"/>
      <c r="L8" s="2293"/>
      <c r="M8" s="2293"/>
      <c r="N8" s="2293"/>
      <c r="O8" s="2293"/>
      <c r="P8" s="2293"/>
      <c r="Q8" s="2293"/>
      <c r="R8" s="2293"/>
      <c r="S8" s="2293"/>
      <c r="T8" s="2293"/>
      <c r="U8" s="2293"/>
      <c r="V8" s="2293"/>
      <c r="W8" s="2293"/>
      <c r="X8" s="2293"/>
      <c r="Y8" s="2293"/>
      <c r="Z8" s="2307"/>
      <c r="AA8" s="2307"/>
      <c r="AB8" s="2307"/>
      <c r="AC8" s="2307"/>
      <c r="AD8" s="2307"/>
      <c r="AE8" s="2307"/>
      <c r="AF8" s="2307"/>
      <c r="AG8" s="2307"/>
      <c r="AH8" s="2307"/>
      <c r="AI8" s="2307"/>
      <c r="AJ8" s="2307"/>
      <c r="AK8" s="2307"/>
      <c r="AL8" s="2307"/>
      <c r="AM8" s="2307"/>
      <c r="AN8" s="2307"/>
      <c r="AO8" s="2307"/>
      <c r="AP8" s="2307"/>
      <c r="AQ8" s="2307"/>
      <c r="AR8" s="2307"/>
      <c r="AS8" s="2307"/>
      <c r="AT8" s="2307"/>
      <c r="AU8" s="2307"/>
      <c r="AV8" s="2307"/>
      <c r="AW8" s="2307"/>
      <c r="AX8" s="2307"/>
      <c r="AY8" s="2307"/>
      <c r="AZ8" s="2311"/>
    </row>
    <row r="9" spans="1:52">
      <c r="A9" s="2297"/>
      <c r="B9" s="2293"/>
      <c r="C9" s="2293"/>
      <c r="D9" s="2293"/>
      <c r="E9" s="2293"/>
      <c r="F9" s="2293"/>
      <c r="G9" s="2293"/>
      <c r="H9" s="2293"/>
      <c r="I9" s="2293"/>
      <c r="J9" s="2293"/>
      <c r="K9" s="2293"/>
      <c r="L9" s="2293"/>
      <c r="M9" s="2293"/>
      <c r="N9" s="2293"/>
      <c r="O9" s="2293"/>
      <c r="P9" s="2293"/>
      <c r="Q9" s="2293"/>
      <c r="R9" s="2293"/>
      <c r="S9" s="2293"/>
      <c r="T9" s="2293"/>
      <c r="U9" s="2293"/>
      <c r="V9" s="2293"/>
      <c r="W9" s="2293"/>
      <c r="X9" s="2293"/>
      <c r="Y9" s="2293"/>
      <c r="Z9" s="2307"/>
      <c r="AA9" s="2307"/>
      <c r="AB9" s="2307"/>
      <c r="AC9" s="2307"/>
      <c r="AD9" s="2307"/>
      <c r="AE9" s="2307"/>
      <c r="AF9" s="2307"/>
      <c r="AG9" s="2307"/>
      <c r="AH9" s="2307"/>
      <c r="AI9" s="2307"/>
      <c r="AJ9" s="2307"/>
      <c r="AK9" s="2307"/>
      <c r="AL9" s="2307"/>
      <c r="AM9" s="2307"/>
      <c r="AN9" s="2307"/>
      <c r="AO9" s="2307"/>
      <c r="AP9" s="2307"/>
      <c r="AQ9" s="2307"/>
      <c r="AR9" s="2307"/>
      <c r="AS9" s="2307"/>
      <c r="AT9" s="2307"/>
      <c r="AU9" s="2307"/>
      <c r="AV9" s="2307"/>
      <c r="AW9" s="2307"/>
      <c r="AX9" s="2307"/>
      <c r="AY9" s="2307"/>
      <c r="AZ9" s="2311"/>
    </row>
    <row r="10" spans="1:52">
      <c r="A10" s="2297"/>
      <c r="B10" s="2293"/>
      <c r="C10" s="2293"/>
      <c r="D10" s="2293"/>
      <c r="E10" s="2293"/>
      <c r="F10" s="2293"/>
      <c r="G10" s="2293"/>
      <c r="H10" s="2293"/>
      <c r="I10" s="2293"/>
      <c r="J10" s="2293"/>
      <c r="K10" s="2293"/>
      <c r="L10" s="2293"/>
      <c r="M10" s="2293"/>
      <c r="N10" s="2293"/>
      <c r="O10" s="2293"/>
      <c r="P10" s="2293"/>
      <c r="Q10" s="2293"/>
      <c r="R10" s="2293"/>
      <c r="S10" s="2293"/>
      <c r="T10" s="2293"/>
      <c r="U10" s="2293"/>
      <c r="V10" s="2293"/>
      <c r="W10" s="2293"/>
      <c r="X10" s="2293"/>
      <c r="Y10" s="2293"/>
      <c r="Z10" s="2307"/>
      <c r="AA10" s="2307"/>
      <c r="AB10" s="2307"/>
      <c r="AC10" s="2307"/>
      <c r="AD10" s="2307"/>
      <c r="AE10" s="2307"/>
      <c r="AF10" s="2307"/>
      <c r="AG10" s="2307"/>
      <c r="AH10" s="2307"/>
      <c r="AI10" s="2307"/>
      <c r="AJ10" s="2307"/>
      <c r="AK10" s="2307"/>
      <c r="AL10" s="2307"/>
      <c r="AM10" s="2307"/>
      <c r="AN10" s="2307"/>
      <c r="AO10" s="2307"/>
      <c r="AP10" s="2307"/>
      <c r="AQ10" s="2307"/>
      <c r="AR10" s="2307"/>
      <c r="AS10" s="2307"/>
      <c r="AT10" s="2307"/>
      <c r="AU10" s="2307"/>
      <c r="AV10" s="2307"/>
      <c r="AW10" s="2307"/>
      <c r="AX10" s="2307"/>
      <c r="AY10" s="2307"/>
      <c r="AZ10" s="2311"/>
    </row>
    <row r="11" spans="1:52">
      <c r="A11" s="2298"/>
      <c r="B11" s="2293"/>
      <c r="C11" s="2293"/>
      <c r="D11" s="2293"/>
      <c r="E11" s="2293"/>
      <c r="F11" s="2293"/>
      <c r="G11" s="2293"/>
      <c r="H11" s="2293"/>
      <c r="I11" s="2293"/>
      <c r="J11" s="2293"/>
      <c r="K11" s="2293"/>
      <c r="L11" s="2293"/>
      <c r="M11" s="2293"/>
      <c r="N11" s="2293"/>
      <c r="O11" s="2293"/>
      <c r="P11" s="2293"/>
      <c r="Q11" s="2293"/>
      <c r="R11" s="2293"/>
      <c r="S11" s="2293"/>
      <c r="T11" s="2293"/>
      <c r="U11" s="2293"/>
      <c r="V11" s="2293"/>
      <c r="W11" s="2293"/>
      <c r="X11" s="2293"/>
      <c r="Y11" s="2293"/>
      <c r="Z11" s="2307"/>
      <c r="AA11" s="2307"/>
      <c r="AB11" s="2307"/>
      <c r="AC11" s="2307"/>
      <c r="AD11" s="2307"/>
      <c r="AE11" s="2307"/>
      <c r="AF11" s="2307"/>
      <c r="AG11" s="2307"/>
      <c r="AH11" s="2307"/>
      <c r="AI11" s="2307"/>
      <c r="AJ11" s="2307"/>
      <c r="AK11" s="2307"/>
      <c r="AL11" s="2307"/>
      <c r="AM11" s="2307"/>
      <c r="AN11" s="2307"/>
      <c r="AO11" s="2307"/>
      <c r="AP11" s="2307"/>
      <c r="AQ11" s="2307"/>
      <c r="AR11" s="2307"/>
      <c r="AS11" s="2307"/>
      <c r="AT11" s="2307"/>
      <c r="AU11" s="2307"/>
      <c r="AV11" s="2307"/>
      <c r="AW11" s="2307"/>
      <c r="AX11" s="2307"/>
      <c r="AY11" s="2307"/>
      <c r="AZ11" s="2311"/>
    </row>
    <row r="12" spans="1:52">
      <c r="A12" s="2299"/>
      <c r="B12" s="2293"/>
      <c r="C12" s="2293"/>
      <c r="D12" s="2293"/>
      <c r="E12" s="2293"/>
      <c r="F12" s="2293"/>
      <c r="G12" s="2293"/>
      <c r="H12" s="2293"/>
      <c r="I12" s="2293"/>
      <c r="J12" s="2293"/>
      <c r="K12" s="2293"/>
      <c r="L12" s="2293"/>
      <c r="M12" s="2293"/>
      <c r="N12" s="2293"/>
      <c r="O12" s="2293"/>
      <c r="P12" s="2293"/>
      <c r="Q12" s="2293"/>
      <c r="R12" s="2293"/>
      <c r="S12" s="2293"/>
      <c r="T12" s="2293"/>
      <c r="U12" s="2293"/>
      <c r="V12" s="2293"/>
      <c r="W12" s="2293"/>
      <c r="X12" s="2293"/>
      <c r="Y12" s="2293"/>
      <c r="Z12" s="2307"/>
      <c r="AA12" s="2307"/>
      <c r="AB12" s="2307"/>
      <c r="AC12" s="2307"/>
      <c r="AD12" s="2307"/>
      <c r="AE12" s="2307"/>
      <c r="AF12" s="2307"/>
      <c r="AG12" s="2307"/>
      <c r="AH12" s="2307"/>
      <c r="AI12" s="2307"/>
      <c r="AJ12" s="2307"/>
      <c r="AK12" s="2307"/>
      <c r="AL12" s="2307"/>
      <c r="AM12" s="2307"/>
      <c r="AN12" s="2307"/>
      <c r="AO12" s="2307"/>
      <c r="AP12" s="2307"/>
      <c r="AQ12" s="2307"/>
      <c r="AR12" s="2307"/>
      <c r="AS12" s="2307"/>
      <c r="AT12" s="2307"/>
      <c r="AU12" s="2307"/>
      <c r="AV12" s="2307"/>
      <c r="AW12" s="2307"/>
      <c r="AX12" s="2307"/>
      <c r="AY12" s="2307"/>
      <c r="AZ12" s="2311"/>
    </row>
    <row r="13" spans="1:52">
      <c r="A13" s="2299"/>
      <c r="B13" s="2293"/>
      <c r="C13" s="2293"/>
      <c r="D13" s="2293"/>
      <c r="E13" s="2293"/>
      <c r="F13" s="2293"/>
      <c r="G13" s="2293"/>
      <c r="H13" s="2293"/>
      <c r="I13" s="2293"/>
      <c r="J13" s="2293"/>
      <c r="K13" s="2293"/>
      <c r="L13" s="2293"/>
      <c r="M13" s="2293"/>
      <c r="N13" s="2293"/>
      <c r="O13" s="2293"/>
      <c r="P13" s="2293"/>
      <c r="Q13" s="2293"/>
      <c r="R13" s="2293"/>
      <c r="S13" s="2293"/>
      <c r="T13" s="2293"/>
      <c r="U13" s="2293"/>
      <c r="V13" s="2293"/>
      <c r="W13" s="2293"/>
      <c r="X13" s="2293"/>
      <c r="Y13" s="2293"/>
      <c r="Z13" s="2307"/>
      <c r="AA13" s="2307"/>
      <c r="AB13" s="2307"/>
      <c r="AC13" s="2307"/>
      <c r="AD13" s="2307"/>
      <c r="AE13" s="2307"/>
      <c r="AF13" s="2307"/>
      <c r="AG13" s="2307"/>
      <c r="AH13" s="2307"/>
      <c r="AI13" s="2307"/>
      <c r="AJ13" s="2307"/>
      <c r="AK13" s="2307"/>
      <c r="AL13" s="2307"/>
      <c r="AM13" s="2307"/>
      <c r="AN13" s="2307"/>
      <c r="AO13" s="2307"/>
      <c r="AP13" s="2307"/>
      <c r="AQ13" s="2307"/>
      <c r="AR13" s="2307"/>
      <c r="AS13" s="2307"/>
      <c r="AT13" s="2307"/>
      <c r="AU13" s="2307"/>
      <c r="AV13" s="2307"/>
      <c r="AW13" s="2307"/>
      <c r="AX13" s="2307"/>
      <c r="AY13" s="2307"/>
      <c r="AZ13" s="2311"/>
    </row>
    <row r="14" spans="1:52">
      <c r="A14" s="2300"/>
      <c r="B14" s="2293"/>
      <c r="C14" s="2293"/>
      <c r="D14" s="2293"/>
      <c r="E14" s="2293"/>
      <c r="F14" s="2293"/>
      <c r="G14" s="2293"/>
      <c r="H14" s="2293"/>
      <c r="I14" s="2293"/>
      <c r="J14" s="2293"/>
      <c r="K14" s="2293"/>
      <c r="L14" s="2293"/>
      <c r="M14" s="2293"/>
      <c r="N14" s="2293"/>
      <c r="O14" s="2293"/>
      <c r="P14" s="2293"/>
      <c r="Q14" s="2293"/>
      <c r="R14" s="2293"/>
      <c r="S14" s="2293"/>
      <c r="T14" s="2293"/>
      <c r="U14" s="2293"/>
      <c r="V14" s="2293"/>
      <c r="W14" s="2293"/>
      <c r="X14" s="2293"/>
      <c r="Y14" s="2293"/>
      <c r="Z14" s="2307"/>
      <c r="AA14" s="2307"/>
      <c r="AB14" s="2307"/>
      <c r="AC14" s="2307"/>
      <c r="AD14" s="2307"/>
      <c r="AE14" s="2307"/>
      <c r="AF14" s="2307"/>
      <c r="AG14" s="2307"/>
      <c r="AH14" s="2307"/>
      <c r="AI14" s="2307"/>
      <c r="AJ14" s="2307"/>
      <c r="AK14" s="2307"/>
      <c r="AL14" s="2307"/>
      <c r="AM14" s="2307"/>
      <c r="AN14" s="2307"/>
      <c r="AO14" s="2307"/>
      <c r="AP14" s="2307"/>
      <c r="AQ14" s="2307"/>
      <c r="AR14" s="2307"/>
      <c r="AS14" s="2307"/>
      <c r="AT14" s="2307"/>
      <c r="AU14" s="2307"/>
      <c r="AV14" s="2307"/>
      <c r="AW14" s="2307"/>
      <c r="AX14" s="2307"/>
      <c r="AY14" s="2307"/>
      <c r="AZ14" s="2311"/>
    </row>
    <row r="15" spans="1:52">
      <c r="A15" s="2300"/>
      <c r="B15" s="2293"/>
      <c r="C15" s="2293"/>
      <c r="D15" s="2293"/>
      <c r="E15" s="2293"/>
      <c r="F15" s="2293"/>
      <c r="G15" s="2293"/>
      <c r="H15" s="2293"/>
      <c r="I15" s="2293"/>
      <c r="J15" s="2293"/>
      <c r="K15" s="2293"/>
      <c r="L15" s="2293"/>
      <c r="M15" s="2293"/>
      <c r="N15" s="2293"/>
      <c r="O15" s="2293"/>
      <c r="P15" s="2293"/>
      <c r="Q15" s="2293"/>
      <c r="R15" s="2293"/>
      <c r="S15" s="2293"/>
      <c r="T15" s="2293"/>
      <c r="U15" s="2293"/>
      <c r="V15" s="2293"/>
      <c r="W15" s="2293"/>
      <c r="X15" s="2293"/>
      <c r="Y15" s="2293"/>
      <c r="Z15" s="2307"/>
      <c r="AA15" s="2307"/>
      <c r="AB15" s="2307"/>
      <c r="AC15" s="2307"/>
      <c r="AD15" s="2307"/>
      <c r="AE15" s="2307"/>
      <c r="AF15" s="2307"/>
      <c r="AG15" s="2307"/>
      <c r="AH15" s="2307"/>
      <c r="AI15" s="2307"/>
      <c r="AJ15" s="2307"/>
      <c r="AK15" s="2307"/>
      <c r="AL15" s="2307"/>
      <c r="AM15" s="2307"/>
      <c r="AN15" s="2307"/>
      <c r="AO15" s="2307"/>
      <c r="AP15" s="2307"/>
      <c r="AQ15" s="2307"/>
      <c r="AR15" s="2307"/>
      <c r="AS15" s="2307"/>
      <c r="AT15" s="2307"/>
      <c r="AU15" s="2307"/>
      <c r="AV15" s="2307"/>
      <c r="AW15" s="2307"/>
      <c r="AX15" s="2307"/>
      <c r="AY15" s="2307"/>
      <c r="AZ15" s="2311"/>
    </row>
    <row r="16" spans="1:52">
      <c r="A16" s="2299"/>
      <c r="B16" s="2293"/>
      <c r="C16" s="2293"/>
      <c r="D16" s="2293"/>
      <c r="E16" s="2293"/>
      <c r="F16" s="2293"/>
      <c r="G16" s="2293"/>
      <c r="H16" s="2293"/>
      <c r="I16" s="2293"/>
      <c r="J16" s="2293"/>
      <c r="K16" s="2293"/>
      <c r="L16" s="2293"/>
      <c r="M16" s="2293"/>
      <c r="N16" s="2293"/>
      <c r="O16" s="2293"/>
      <c r="P16" s="2293"/>
      <c r="Q16" s="2293"/>
      <c r="R16" s="2293"/>
      <c r="S16" s="2293"/>
      <c r="T16" s="2293"/>
      <c r="U16" s="2293"/>
      <c r="V16" s="2293"/>
      <c r="W16" s="2293"/>
      <c r="X16" s="2293"/>
      <c r="Y16" s="2293"/>
      <c r="Z16" s="2307"/>
      <c r="AA16" s="2307"/>
      <c r="AB16" s="2307"/>
      <c r="AC16" s="2307"/>
      <c r="AD16" s="2307"/>
      <c r="AE16" s="2307"/>
      <c r="AF16" s="2307"/>
      <c r="AG16" s="2307"/>
      <c r="AH16" s="2307"/>
      <c r="AI16" s="2307"/>
      <c r="AJ16" s="2307"/>
      <c r="AK16" s="2307"/>
      <c r="AL16" s="2307"/>
      <c r="AM16" s="2307"/>
      <c r="AN16" s="2307"/>
      <c r="AO16" s="2307"/>
      <c r="AP16" s="2307"/>
      <c r="AQ16" s="2307"/>
      <c r="AR16" s="2307"/>
      <c r="AS16" s="2307"/>
      <c r="AT16" s="2307"/>
      <c r="AU16" s="2307"/>
      <c r="AV16" s="2307"/>
      <c r="AW16" s="2307"/>
      <c r="AX16" s="2307"/>
      <c r="AY16" s="2307"/>
      <c r="AZ16" s="2311"/>
    </row>
    <row r="17" spans="1:52">
      <c r="A17" s="2299"/>
      <c r="B17" s="2293"/>
      <c r="C17" s="2293"/>
      <c r="D17" s="2293"/>
      <c r="E17" s="2293"/>
      <c r="F17" s="2293"/>
      <c r="G17" s="2293"/>
      <c r="H17" s="2293"/>
      <c r="I17" s="2293"/>
      <c r="J17" s="2293"/>
      <c r="K17" s="2293"/>
      <c r="L17" s="2293"/>
      <c r="M17" s="2293"/>
      <c r="N17" s="2293"/>
      <c r="O17" s="2293"/>
      <c r="P17" s="2293"/>
      <c r="Q17" s="2293"/>
      <c r="R17" s="2293"/>
      <c r="S17" s="2293"/>
      <c r="T17" s="2293"/>
      <c r="U17" s="2293"/>
      <c r="V17" s="2293"/>
      <c r="W17" s="2293"/>
      <c r="X17" s="2293"/>
      <c r="Y17" s="2293"/>
      <c r="Z17" s="2307"/>
      <c r="AA17" s="2307"/>
      <c r="AB17" s="2307"/>
      <c r="AC17" s="2307"/>
      <c r="AD17" s="2307"/>
      <c r="AE17" s="2307"/>
      <c r="AF17" s="2307"/>
      <c r="AG17" s="2307"/>
      <c r="AH17" s="2307"/>
      <c r="AI17" s="2307"/>
      <c r="AJ17" s="2307"/>
      <c r="AK17" s="2307"/>
      <c r="AL17" s="2307"/>
      <c r="AM17" s="2307"/>
      <c r="AN17" s="2307"/>
      <c r="AO17" s="2307"/>
      <c r="AP17" s="2307"/>
      <c r="AQ17" s="2307"/>
      <c r="AR17" s="2307"/>
      <c r="AS17" s="2307"/>
      <c r="AT17" s="2307"/>
      <c r="AU17" s="2307"/>
      <c r="AV17" s="2307"/>
      <c r="AW17" s="2307"/>
      <c r="AX17" s="2307"/>
      <c r="AY17" s="2307"/>
      <c r="AZ17" s="2311"/>
    </row>
    <row r="18" spans="1:52">
      <c r="A18" s="2299"/>
      <c r="B18" s="2301"/>
      <c r="C18" s="2301"/>
      <c r="D18" s="2301"/>
      <c r="E18" s="2301"/>
      <c r="F18" s="2301"/>
      <c r="G18" s="2301"/>
      <c r="H18" s="2301"/>
      <c r="I18" s="2301"/>
      <c r="J18" s="2301"/>
      <c r="K18" s="2301"/>
      <c r="L18" s="2301"/>
      <c r="M18" s="2301"/>
      <c r="N18" s="2301"/>
      <c r="O18" s="2301"/>
      <c r="P18" s="2301"/>
      <c r="Q18" s="2301"/>
      <c r="R18" s="2301"/>
      <c r="S18" s="2301"/>
      <c r="T18" s="2301"/>
      <c r="U18" s="2301"/>
      <c r="V18" s="2301"/>
      <c r="W18" s="2301"/>
      <c r="X18" s="2301"/>
      <c r="Y18" s="2301"/>
      <c r="Z18" s="2307"/>
      <c r="AA18" s="2307"/>
      <c r="AB18" s="2307"/>
      <c r="AC18" s="2307"/>
      <c r="AD18" s="2307"/>
      <c r="AE18" s="2307"/>
      <c r="AF18" s="2307"/>
      <c r="AG18" s="2307"/>
      <c r="AH18" s="2307"/>
      <c r="AI18" s="2307"/>
      <c r="AJ18" s="2307"/>
      <c r="AK18" s="2307"/>
      <c r="AL18" s="2307"/>
      <c r="AM18" s="2307"/>
      <c r="AN18" s="2307"/>
      <c r="AO18" s="2307"/>
      <c r="AP18" s="2307"/>
      <c r="AQ18" s="2307"/>
      <c r="AR18" s="2307"/>
      <c r="AS18" s="2307"/>
      <c r="AT18" s="2307"/>
      <c r="AU18" s="2307"/>
      <c r="AV18" s="2307"/>
      <c r="AW18" s="2307"/>
      <c r="AX18" s="2307"/>
      <c r="AY18" s="2307"/>
      <c r="AZ18" s="2311"/>
    </row>
    <row r="19" spans="1:52">
      <c r="A19" s="2302"/>
      <c r="B19" s="2303"/>
      <c r="C19" s="2303"/>
      <c r="D19" s="2303"/>
      <c r="E19" s="2303"/>
      <c r="F19" s="2303"/>
      <c r="G19" s="2303"/>
      <c r="H19" s="2303"/>
      <c r="I19" s="2303"/>
      <c r="J19" s="2303"/>
      <c r="K19" s="2303"/>
      <c r="L19" s="2303"/>
      <c r="M19" s="2303"/>
      <c r="N19" s="2303"/>
      <c r="O19" s="2303"/>
      <c r="P19" s="2303"/>
      <c r="Q19" s="2303"/>
      <c r="R19" s="2303"/>
      <c r="S19" s="2303"/>
      <c r="T19" s="2303"/>
      <c r="U19" s="2303"/>
      <c r="V19" s="2303"/>
      <c r="W19" s="2303"/>
      <c r="X19" s="2303"/>
      <c r="Y19" s="2303"/>
      <c r="Z19" s="2307"/>
      <c r="AA19" s="2307"/>
      <c r="AB19" s="2307"/>
      <c r="AC19" s="2307"/>
      <c r="AD19" s="2307"/>
      <c r="AE19" s="2307"/>
      <c r="AF19" s="2307"/>
      <c r="AG19" s="2307"/>
      <c r="AH19" s="2307"/>
      <c r="AI19" s="2307"/>
      <c r="AJ19" s="2307"/>
      <c r="AK19" s="2307"/>
      <c r="AL19" s="2307"/>
      <c r="AM19" s="2307"/>
      <c r="AN19" s="2307"/>
      <c r="AO19" s="2307"/>
      <c r="AP19" s="2307"/>
      <c r="AQ19" s="2307"/>
      <c r="AR19" s="2307"/>
      <c r="AS19" s="2307"/>
      <c r="AT19" s="2307"/>
      <c r="AU19" s="2307"/>
      <c r="AV19" s="2307"/>
      <c r="AW19" s="2307"/>
      <c r="AX19" s="2307"/>
      <c r="AY19" s="2307"/>
      <c r="AZ19" s="2311"/>
    </row>
    <row r="20" spans="1:52">
      <c r="A20" s="2304"/>
      <c r="B20" s="2303"/>
      <c r="C20" s="2303"/>
      <c r="D20" s="2303"/>
      <c r="E20" s="2303"/>
      <c r="F20" s="2303"/>
      <c r="G20" s="2303"/>
      <c r="H20" s="2303"/>
      <c r="I20" s="2303"/>
      <c r="J20" s="2303"/>
      <c r="K20" s="2303"/>
      <c r="L20" s="2303"/>
      <c r="M20" s="2303"/>
      <c r="N20" s="2303"/>
      <c r="O20" s="2303"/>
      <c r="P20" s="2303"/>
      <c r="Q20" s="2303"/>
      <c r="R20" s="2303"/>
      <c r="S20" s="2303"/>
      <c r="T20" s="2303"/>
      <c r="U20" s="2303"/>
      <c r="V20" s="2303"/>
      <c r="W20" s="2303"/>
      <c r="X20" s="2303"/>
      <c r="Y20" s="2303"/>
      <c r="Z20" s="2307"/>
      <c r="AA20" s="2307"/>
      <c r="AB20" s="2307"/>
      <c r="AC20" s="2307"/>
      <c r="AD20" s="2307"/>
      <c r="AE20" s="2307"/>
      <c r="AF20" s="2307"/>
      <c r="AG20" s="2307"/>
      <c r="AH20" s="2307"/>
      <c r="AI20" s="2307"/>
      <c r="AJ20" s="2307"/>
      <c r="AK20" s="2307"/>
      <c r="AL20" s="2307"/>
      <c r="AM20" s="2307"/>
      <c r="AN20" s="2307"/>
      <c r="AO20" s="2307"/>
      <c r="AP20" s="2307"/>
      <c r="AQ20" s="2307"/>
      <c r="AR20" s="2307"/>
      <c r="AS20" s="2307"/>
      <c r="AT20" s="2307"/>
      <c r="AU20" s="2307"/>
      <c r="AV20" s="2307"/>
      <c r="AW20" s="2307"/>
      <c r="AX20" s="2307"/>
      <c r="AY20" s="2307"/>
      <c r="AZ20" s="2311"/>
    </row>
    <row r="21" spans="1:52">
      <c r="A21" s="2304"/>
      <c r="B21" s="2303"/>
      <c r="C21" s="2303"/>
      <c r="D21" s="2303"/>
      <c r="E21" s="2303"/>
      <c r="F21" s="2303"/>
      <c r="G21" s="2303"/>
      <c r="H21" s="2303"/>
      <c r="I21" s="2303"/>
      <c r="J21" s="2303"/>
      <c r="K21" s="2303"/>
      <c r="L21" s="2303"/>
      <c r="M21" s="2303"/>
      <c r="N21" s="2303"/>
      <c r="O21" s="2303"/>
      <c r="P21" s="2303"/>
      <c r="Q21" s="2303"/>
      <c r="R21" s="2303"/>
      <c r="S21" s="2303"/>
      <c r="T21" s="2303"/>
      <c r="U21" s="2303"/>
      <c r="V21" s="2303"/>
      <c r="W21" s="2303"/>
      <c r="X21" s="2303"/>
      <c r="Y21" s="2303"/>
      <c r="Z21" s="2307"/>
      <c r="AA21" s="2307"/>
      <c r="AB21" s="2307"/>
      <c r="AC21" s="2307"/>
      <c r="AD21" s="2307"/>
      <c r="AE21" s="2307"/>
      <c r="AF21" s="2307"/>
      <c r="AG21" s="2307"/>
      <c r="AH21" s="2307"/>
      <c r="AI21" s="2307"/>
      <c r="AJ21" s="2307"/>
      <c r="AK21" s="2307"/>
      <c r="AL21" s="2307"/>
      <c r="AM21" s="2307"/>
      <c r="AN21" s="2307"/>
      <c r="AO21" s="2307"/>
      <c r="AP21" s="2307"/>
      <c r="AQ21" s="2307"/>
      <c r="AR21" s="2307"/>
      <c r="AS21" s="2307"/>
      <c r="AT21" s="2307"/>
      <c r="AU21" s="2307"/>
      <c r="AV21" s="2307"/>
      <c r="AW21" s="2307"/>
      <c r="AX21" s="2307"/>
      <c r="AY21" s="2307"/>
      <c r="AZ21" s="2311"/>
    </row>
    <row r="22" spans="1:52">
      <c r="A22" s="2304"/>
      <c r="B22" s="2303"/>
      <c r="C22" s="2303"/>
      <c r="D22" s="2303"/>
      <c r="E22" s="2303"/>
      <c r="F22" s="2303"/>
      <c r="G22" s="2303"/>
      <c r="H22" s="2303"/>
      <c r="I22" s="2303"/>
      <c r="J22" s="2303"/>
      <c r="K22" s="2303"/>
      <c r="L22" s="2303"/>
      <c r="M22" s="2303"/>
      <c r="N22" s="2303"/>
      <c r="O22" s="2303"/>
      <c r="P22" s="2303"/>
      <c r="Q22" s="2303"/>
      <c r="R22" s="2303"/>
      <c r="S22" s="2303"/>
      <c r="T22" s="2303"/>
      <c r="U22" s="2303"/>
      <c r="V22" s="2303"/>
      <c r="W22" s="2303"/>
      <c r="X22" s="2303"/>
      <c r="Y22" s="2303"/>
      <c r="Z22" s="2307"/>
      <c r="AA22" s="2307"/>
      <c r="AB22" s="2307"/>
      <c r="AC22" s="2307"/>
      <c r="AD22" s="2307"/>
      <c r="AE22" s="2307"/>
      <c r="AF22" s="2307"/>
      <c r="AG22" s="2307"/>
      <c r="AH22" s="2307"/>
      <c r="AI22" s="2307"/>
      <c r="AJ22" s="2307"/>
      <c r="AK22" s="2307"/>
      <c r="AL22" s="2307"/>
      <c r="AM22" s="2307"/>
      <c r="AN22" s="2307"/>
      <c r="AO22" s="2307"/>
      <c r="AP22" s="2307"/>
      <c r="AQ22" s="2307"/>
      <c r="AR22" s="2307"/>
      <c r="AS22" s="2307"/>
      <c r="AT22" s="2307"/>
      <c r="AU22" s="2307"/>
      <c r="AV22" s="2307"/>
      <c r="AW22" s="2307"/>
      <c r="AX22" s="2307"/>
      <c r="AY22" s="2307"/>
      <c r="AZ22" s="2311"/>
    </row>
    <row r="23" spans="1:52">
      <c r="A23" s="2304"/>
      <c r="B23" s="2303"/>
      <c r="C23" s="2303"/>
      <c r="D23" s="2303"/>
      <c r="E23" s="2303"/>
      <c r="F23" s="2303"/>
      <c r="G23" s="2303"/>
      <c r="H23" s="2303"/>
      <c r="I23" s="2303"/>
      <c r="J23" s="2303"/>
      <c r="K23" s="2303"/>
      <c r="L23" s="2303"/>
      <c r="M23" s="2303"/>
      <c r="N23" s="2303"/>
      <c r="O23" s="2303"/>
      <c r="P23" s="2303"/>
      <c r="Q23" s="2303"/>
      <c r="R23" s="2303"/>
      <c r="S23" s="2303"/>
      <c r="T23" s="2303"/>
      <c r="U23" s="2303"/>
      <c r="V23" s="2303"/>
      <c r="W23" s="2303"/>
      <c r="X23" s="2303"/>
      <c r="Y23" s="2303"/>
      <c r="Z23" s="2307"/>
      <c r="AA23" s="2307"/>
      <c r="AB23" s="2307"/>
      <c r="AC23" s="2307"/>
      <c r="AD23" s="2307"/>
      <c r="AE23" s="2307"/>
      <c r="AF23" s="2307"/>
      <c r="AG23" s="2307"/>
      <c r="AH23" s="2307"/>
      <c r="AI23" s="2307"/>
      <c r="AJ23" s="2307"/>
      <c r="AK23" s="2307"/>
      <c r="AL23" s="2307"/>
      <c r="AM23" s="2307"/>
      <c r="AN23" s="2307"/>
      <c r="AO23" s="2307"/>
      <c r="AP23" s="2307"/>
      <c r="AQ23" s="2307"/>
      <c r="AR23" s="2307"/>
      <c r="AS23" s="2307"/>
      <c r="AT23" s="2307"/>
      <c r="AU23" s="2307"/>
      <c r="AV23" s="2307"/>
      <c r="AW23" s="2307"/>
      <c r="AX23" s="2307"/>
      <c r="AY23" s="2307"/>
      <c r="AZ23" s="2311"/>
    </row>
    <row r="24" spans="1:52">
      <c r="A24" s="2304"/>
      <c r="B24" s="2303"/>
      <c r="C24" s="2303"/>
      <c r="D24" s="2303"/>
      <c r="E24" s="2303"/>
      <c r="F24" s="2303"/>
      <c r="G24" s="2303"/>
      <c r="H24" s="2303"/>
      <c r="I24" s="2303"/>
      <c r="J24" s="2303"/>
      <c r="K24" s="2303"/>
      <c r="L24" s="2303"/>
      <c r="M24" s="2303"/>
      <c r="N24" s="2303"/>
      <c r="O24" s="2303"/>
      <c r="P24" s="2303"/>
      <c r="Q24" s="2303"/>
      <c r="R24" s="2303"/>
      <c r="S24" s="2303"/>
      <c r="T24" s="2303"/>
      <c r="U24" s="2303"/>
      <c r="V24" s="2303"/>
      <c r="W24" s="2303"/>
      <c r="X24" s="2303"/>
      <c r="Y24" s="2303"/>
      <c r="Z24" s="2307"/>
      <c r="AA24" s="2307"/>
      <c r="AB24" s="2307"/>
      <c r="AC24" s="2307"/>
      <c r="AD24" s="2307"/>
      <c r="AE24" s="2307"/>
      <c r="AF24" s="2307"/>
      <c r="AG24" s="2307"/>
      <c r="AH24" s="2307"/>
      <c r="AI24" s="2307"/>
      <c r="AJ24" s="2307"/>
      <c r="AK24" s="2307"/>
      <c r="AL24" s="2307"/>
      <c r="AM24" s="2307"/>
      <c r="AN24" s="2307"/>
      <c r="AO24" s="2307"/>
      <c r="AP24" s="2307"/>
      <c r="AQ24" s="2307"/>
      <c r="AR24" s="2307"/>
      <c r="AS24" s="2307"/>
      <c r="AT24" s="2307"/>
      <c r="AU24" s="2307"/>
      <c r="AV24" s="2307"/>
      <c r="AW24" s="2307"/>
      <c r="AX24" s="2307"/>
      <c r="AY24" s="2307"/>
      <c r="AZ24" s="2311"/>
    </row>
    <row r="25" spans="1:52">
      <c r="A25" s="2304"/>
      <c r="B25" s="2303"/>
      <c r="C25" s="2303"/>
      <c r="D25" s="2303"/>
      <c r="E25" s="2303"/>
      <c r="F25" s="2303"/>
      <c r="G25" s="2303"/>
      <c r="H25" s="2303"/>
      <c r="I25" s="2303"/>
      <c r="J25" s="2303"/>
      <c r="K25" s="2303"/>
      <c r="L25" s="2303"/>
      <c r="M25" s="2303"/>
      <c r="N25" s="2303"/>
      <c r="O25" s="2303"/>
      <c r="P25" s="2303"/>
      <c r="Q25" s="2303"/>
      <c r="R25" s="2303"/>
      <c r="S25" s="2303"/>
      <c r="T25" s="2303"/>
      <c r="U25" s="2303"/>
      <c r="V25" s="2303"/>
      <c r="W25" s="2303"/>
      <c r="X25" s="2303"/>
      <c r="Y25" s="2303"/>
      <c r="Z25" s="2307"/>
      <c r="AA25" s="2307"/>
      <c r="AB25" s="2307"/>
      <c r="AC25" s="2307"/>
      <c r="AD25" s="2307"/>
      <c r="AE25" s="2307"/>
      <c r="AF25" s="2307"/>
      <c r="AG25" s="2307"/>
      <c r="AH25" s="2307"/>
      <c r="AI25" s="2307"/>
      <c r="AJ25" s="2307"/>
      <c r="AK25" s="2307"/>
      <c r="AL25" s="2307"/>
      <c r="AM25" s="2307"/>
      <c r="AN25" s="2307"/>
      <c r="AO25" s="2307"/>
      <c r="AP25" s="2307"/>
      <c r="AQ25" s="2307"/>
      <c r="AR25" s="2307"/>
      <c r="AS25" s="2307"/>
      <c r="AT25" s="2307"/>
      <c r="AU25" s="2307"/>
      <c r="AV25" s="2307"/>
      <c r="AW25" s="2307"/>
      <c r="AX25" s="2307"/>
      <c r="AY25" s="2307"/>
      <c r="AZ25" s="2311"/>
    </row>
    <row r="26" spans="1:52">
      <c r="A26" s="2304"/>
      <c r="B26" s="2303"/>
      <c r="C26" s="2303"/>
      <c r="D26" s="2303"/>
      <c r="E26" s="2303"/>
      <c r="F26" s="2303"/>
      <c r="G26" s="2303"/>
      <c r="H26" s="2303"/>
      <c r="I26" s="2303"/>
      <c r="J26" s="2303"/>
      <c r="K26" s="2303"/>
      <c r="L26" s="2303"/>
      <c r="M26" s="2303"/>
      <c r="N26" s="2303"/>
      <c r="O26" s="2303"/>
      <c r="P26" s="2303"/>
      <c r="Q26" s="2303"/>
      <c r="R26" s="2303"/>
      <c r="S26" s="2303"/>
      <c r="T26" s="2303"/>
      <c r="U26" s="2303"/>
      <c r="V26" s="2303"/>
      <c r="W26" s="2303"/>
      <c r="X26" s="2303"/>
      <c r="Y26" s="2303"/>
      <c r="Z26" s="2307"/>
      <c r="AA26" s="2307"/>
      <c r="AB26" s="2307"/>
      <c r="AC26" s="2307"/>
      <c r="AD26" s="2307"/>
      <c r="AE26" s="2307"/>
      <c r="AF26" s="2307"/>
      <c r="AG26" s="2307"/>
      <c r="AH26" s="2307"/>
      <c r="AI26" s="2307"/>
      <c r="AJ26" s="2307"/>
      <c r="AK26" s="2307"/>
      <c r="AL26" s="2307"/>
      <c r="AM26" s="2307"/>
      <c r="AN26" s="2307"/>
      <c r="AO26" s="2307"/>
      <c r="AP26" s="2307"/>
      <c r="AQ26" s="2307"/>
      <c r="AR26" s="2307"/>
      <c r="AS26" s="2307"/>
      <c r="AT26" s="2307"/>
      <c r="AU26" s="2307"/>
      <c r="AV26" s="2307"/>
      <c r="AW26" s="2307"/>
      <c r="AX26" s="2307"/>
      <c r="AY26" s="2307"/>
      <c r="AZ26" s="2311"/>
    </row>
    <row r="27" spans="1:52">
      <c r="A27" s="2304"/>
      <c r="B27" s="2303"/>
      <c r="C27" s="2303"/>
      <c r="D27" s="2303"/>
      <c r="E27" s="2303"/>
      <c r="F27" s="2303"/>
      <c r="G27" s="2303"/>
      <c r="H27" s="2303"/>
      <c r="I27" s="2303"/>
      <c r="J27" s="2303"/>
      <c r="K27" s="2303"/>
      <c r="L27" s="2303"/>
      <c r="M27" s="2303"/>
      <c r="N27" s="2303"/>
      <c r="O27" s="2303"/>
      <c r="P27" s="2303"/>
      <c r="Q27" s="2303"/>
      <c r="R27" s="2303"/>
      <c r="S27" s="2303"/>
      <c r="T27" s="2303"/>
      <c r="U27" s="2303"/>
      <c r="V27" s="2303"/>
      <c r="W27" s="2303"/>
      <c r="X27" s="2303"/>
      <c r="Y27" s="2303"/>
      <c r="Z27" s="2307"/>
      <c r="AA27" s="2307"/>
      <c r="AB27" s="2307"/>
      <c r="AC27" s="2307"/>
      <c r="AD27" s="2307"/>
      <c r="AE27" s="2307"/>
      <c r="AF27" s="2307"/>
      <c r="AG27" s="2307"/>
      <c r="AH27" s="2307"/>
      <c r="AI27" s="2307"/>
      <c r="AJ27" s="2307"/>
      <c r="AK27" s="2307"/>
      <c r="AL27" s="2307"/>
      <c r="AM27" s="2307"/>
      <c r="AN27" s="2307"/>
      <c r="AO27" s="2307"/>
      <c r="AP27" s="2307"/>
      <c r="AQ27" s="2307"/>
      <c r="AR27" s="2307"/>
      <c r="AS27" s="2307"/>
      <c r="AT27" s="2307"/>
      <c r="AU27" s="2307"/>
      <c r="AV27" s="2307"/>
      <c r="AW27" s="2307"/>
      <c r="AX27" s="2307"/>
      <c r="AY27" s="2307"/>
      <c r="AZ27" s="2311"/>
    </row>
    <row r="28" spans="1:52">
      <c r="A28" s="2304"/>
      <c r="B28" s="2303"/>
      <c r="C28" s="2303"/>
      <c r="D28" s="2303"/>
      <c r="E28" s="2303"/>
      <c r="F28" s="2303"/>
      <c r="G28" s="2303"/>
      <c r="H28" s="2303"/>
      <c r="I28" s="2303"/>
      <c r="J28" s="2303"/>
      <c r="K28" s="2303"/>
      <c r="L28" s="2303"/>
      <c r="M28" s="2303"/>
      <c r="N28" s="2303"/>
      <c r="O28" s="2303"/>
      <c r="P28" s="2303"/>
      <c r="Q28" s="2303"/>
      <c r="R28" s="2303"/>
      <c r="S28" s="2303"/>
      <c r="T28" s="2303"/>
      <c r="U28" s="2303"/>
      <c r="V28" s="2303"/>
      <c r="W28" s="2303"/>
      <c r="X28" s="2303"/>
      <c r="Y28" s="2303"/>
      <c r="Z28" s="2307"/>
      <c r="AA28" s="2307"/>
      <c r="AB28" s="2307"/>
      <c r="AC28" s="2307"/>
      <c r="AD28" s="2307"/>
      <c r="AE28" s="2307"/>
      <c r="AF28" s="2307"/>
      <c r="AG28" s="2307"/>
      <c r="AH28" s="2307"/>
      <c r="AI28" s="2307"/>
      <c r="AJ28" s="2307"/>
      <c r="AK28" s="2307"/>
      <c r="AL28" s="2307"/>
      <c r="AM28" s="2307"/>
      <c r="AN28" s="2307"/>
      <c r="AO28" s="2307"/>
      <c r="AP28" s="2307"/>
      <c r="AQ28" s="2307"/>
      <c r="AR28" s="2307"/>
      <c r="AS28" s="2307"/>
      <c r="AT28" s="2307"/>
      <c r="AU28" s="2307"/>
      <c r="AV28" s="2307"/>
      <c r="AW28" s="2307"/>
      <c r="AX28" s="2307"/>
      <c r="AY28" s="2307"/>
      <c r="AZ28" s="2311"/>
    </row>
    <row r="29" spans="1:52">
      <c r="A29" s="2304"/>
      <c r="B29" s="2303"/>
      <c r="C29" s="2303"/>
      <c r="D29" s="2303"/>
      <c r="E29" s="2303"/>
      <c r="F29" s="2303"/>
      <c r="G29" s="2303"/>
      <c r="H29" s="2303"/>
      <c r="I29" s="2303"/>
      <c r="J29" s="2303"/>
      <c r="K29" s="2303"/>
      <c r="L29" s="2303"/>
      <c r="M29" s="2303"/>
      <c r="N29" s="2303"/>
      <c r="O29" s="2303"/>
      <c r="P29" s="2303"/>
      <c r="Q29" s="2303"/>
      <c r="R29" s="2303"/>
      <c r="S29" s="2303"/>
      <c r="T29" s="2303"/>
      <c r="U29" s="2303"/>
      <c r="V29" s="2303"/>
      <c r="W29" s="2303"/>
      <c r="X29" s="2303"/>
      <c r="Y29" s="2303"/>
      <c r="Z29" s="2307"/>
      <c r="AA29" s="2307"/>
      <c r="AB29" s="2307"/>
      <c r="AC29" s="2307"/>
      <c r="AD29" s="2307"/>
      <c r="AE29" s="2307"/>
      <c r="AF29" s="2307"/>
      <c r="AG29" s="2307"/>
      <c r="AH29" s="2307"/>
      <c r="AI29" s="2307"/>
      <c r="AJ29" s="2307"/>
      <c r="AK29" s="2307"/>
      <c r="AL29" s="2307"/>
      <c r="AM29" s="2307"/>
      <c r="AN29" s="2307"/>
      <c r="AO29" s="2307"/>
      <c r="AP29" s="2307"/>
      <c r="AQ29" s="2307"/>
      <c r="AR29" s="2307"/>
      <c r="AS29" s="2307"/>
      <c r="AT29" s="2307"/>
      <c r="AU29" s="2307"/>
      <c r="AV29" s="2307"/>
      <c r="AW29" s="2307"/>
      <c r="AX29" s="2307"/>
      <c r="AY29" s="2307"/>
      <c r="AZ29" s="2311"/>
    </row>
    <row r="30" spans="1:52">
      <c r="A30" s="2304"/>
      <c r="B30" s="2303"/>
      <c r="C30" s="2303"/>
      <c r="D30" s="2303"/>
      <c r="E30" s="2303"/>
      <c r="F30" s="2303"/>
      <c r="G30" s="2303"/>
      <c r="H30" s="2303"/>
      <c r="I30" s="2303"/>
      <c r="J30" s="2303"/>
      <c r="K30" s="2303"/>
      <c r="L30" s="2303"/>
      <c r="M30" s="2303"/>
      <c r="N30" s="2303"/>
      <c r="O30" s="2303"/>
      <c r="P30" s="2303"/>
      <c r="Q30" s="2303"/>
      <c r="R30" s="2303"/>
      <c r="S30" s="2303"/>
      <c r="T30" s="2303"/>
      <c r="U30" s="2303"/>
      <c r="V30" s="2303"/>
      <c r="W30" s="2303"/>
      <c r="X30" s="2303"/>
      <c r="Y30" s="2303"/>
      <c r="Z30" s="2307"/>
      <c r="AA30" s="2307"/>
      <c r="AB30" s="2307"/>
      <c r="AC30" s="2307"/>
      <c r="AD30" s="2307"/>
      <c r="AE30" s="2307"/>
      <c r="AF30" s="2307"/>
      <c r="AG30" s="2307"/>
      <c r="AH30" s="2307"/>
      <c r="AI30" s="2307"/>
      <c r="AJ30" s="2307"/>
      <c r="AK30" s="2307"/>
      <c r="AL30" s="2307"/>
      <c r="AM30" s="2307"/>
      <c r="AN30" s="2307"/>
      <c r="AO30" s="2307"/>
      <c r="AP30" s="2307"/>
      <c r="AQ30" s="2307"/>
      <c r="AR30" s="2307"/>
      <c r="AS30" s="2307"/>
      <c r="AT30" s="2307"/>
      <c r="AU30" s="2307"/>
      <c r="AV30" s="2307"/>
      <c r="AW30" s="2307"/>
      <c r="AX30" s="2307"/>
      <c r="AY30" s="2307"/>
      <c r="AZ30" s="2311"/>
    </row>
    <row r="31" spans="1:52">
      <c r="A31" s="2304"/>
      <c r="B31" s="2303"/>
      <c r="C31" s="2303"/>
      <c r="D31" s="2303"/>
      <c r="E31" s="2303"/>
      <c r="F31" s="2303"/>
      <c r="G31" s="2303"/>
      <c r="H31" s="2303"/>
      <c r="I31" s="2303"/>
      <c r="J31" s="2303"/>
      <c r="K31" s="2303"/>
      <c r="L31" s="2303"/>
      <c r="M31" s="2303"/>
      <c r="N31" s="2303"/>
      <c r="O31" s="2303"/>
      <c r="P31" s="2303"/>
      <c r="Q31" s="2303"/>
      <c r="R31" s="2303"/>
      <c r="S31" s="2303"/>
      <c r="T31" s="2303"/>
      <c r="U31" s="2303"/>
      <c r="V31" s="2303"/>
      <c r="W31" s="2303"/>
      <c r="X31" s="2303"/>
      <c r="Y31" s="2303"/>
      <c r="Z31" s="2307"/>
      <c r="AA31" s="2307"/>
      <c r="AB31" s="2307"/>
      <c r="AC31" s="2307"/>
      <c r="AD31" s="2307"/>
      <c r="AE31" s="2307"/>
      <c r="AF31" s="2307"/>
      <c r="AG31" s="2307"/>
      <c r="AH31" s="2307"/>
      <c r="AI31" s="2307"/>
      <c r="AJ31" s="2307"/>
      <c r="AK31" s="2307"/>
      <c r="AL31" s="2307"/>
      <c r="AM31" s="2307"/>
      <c r="AN31" s="2307"/>
      <c r="AO31" s="2307"/>
      <c r="AP31" s="2307"/>
      <c r="AQ31" s="2307"/>
      <c r="AR31" s="2307"/>
      <c r="AS31" s="2307"/>
      <c r="AT31" s="2307"/>
      <c r="AU31" s="2307"/>
      <c r="AV31" s="2307"/>
      <c r="AW31" s="2307"/>
      <c r="AX31" s="2307"/>
      <c r="AY31" s="2307"/>
      <c r="AZ31" s="2311"/>
    </row>
    <row r="32" spans="1:52">
      <c r="A32" s="2304"/>
      <c r="B32" s="2303"/>
      <c r="C32" s="2303"/>
      <c r="D32" s="2303"/>
      <c r="E32" s="2303"/>
      <c r="F32" s="2303"/>
      <c r="G32" s="2303"/>
      <c r="H32" s="2303"/>
      <c r="I32" s="2303"/>
      <c r="J32" s="2303"/>
      <c r="K32" s="2303"/>
      <c r="L32" s="2303"/>
      <c r="M32" s="2303"/>
      <c r="N32" s="2303"/>
      <c r="O32" s="2303"/>
      <c r="P32" s="2303"/>
      <c r="Q32" s="2303"/>
      <c r="R32" s="2303"/>
      <c r="S32" s="2303"/>
      <c r="T32" s="2303"/>
      <c r="U32" s="2303"/>
      <c r="V32" s="2303"/>
      <c r="W32" s="2303"/>
      <c r="X32" s="2303"/>
      <c r="Y32" s="2303"/>
      <c r="Z32" s="2307"/>
      <c r="AA32" s="2307"/>
      <c r="AB32" s="2307"/>
      <c r="AC32" s="2307"/>
      <c r="AD32" s="2307"/>
      <c r="AE32" s="2307"/>
      <c r="AF32" s="2307"/>
      <c r="AG32" s="2307"/>
      <c r="AH32" s="2307"/>
      <c r="AI32" s="2307"/>
      <c r="AJ32" s="2307"/>
      <c r="AK32" s="2307"/>
      <c r="AL32" s="2307"/>
      <c r="AM32" s="2307"/>
      <c r="AN32" s="2307"/>
      <c r="AO32" s="2307"/>
      <c r="AP32" s="2307"/>
      <c r="AQ32" s="2307"/>
      <c r="AR32" s="2307"/>
      <c r="AS32" s="2307"/>
      <c r="AT32" s="2307"/>
      <c r="AU32" s="2307"/>
      <c r="AV32" s="2307"/>
      <c r="AW32" s="2307"/>
      <c r="AX32" s="2307"/>
      <c r="AY32" s="2307"/>
      <c r="AZ32" s="2311"/>
    </row>
    <row r="33" spans="1:52">
      <c r="A33" s="2304"/>
      <c r="B33" s="2303"/>
      <c r="C33" s="2303"/>
      <c r="D33" s="2303"/>
      <c r="E33" s="2303"/>
      <c r="F33" s="2303"/>
      <c r="G33" s="2303"/>
      <c r="H33" s="2303"/>
      <c r="I33" s="2303"/>
      <c r="J33" s="2303"/>
      <c r="K33" s="2303"/>
      <c r="L33" s="2303"/>
      <c r="M33" s="2303"/>
      <c r="N33" s="2303"/>
      <c r="O33" s="2303"/>
      <c r="P33" s="2303"/>
      <c r="Q33" s="2303"/>
      <c r="R33" s="2303"/>
      <c r="S33" s="2303"/>
      <c r="T33" s="2303"/>
      <c r="U33" s="2303"/>
      <c r="V33" s="2303"/>
      <c r="W33" s="2303"/>
      <c r="X33" s="2303"/>
      <c r="Y33" s="2303"/>
      <c r="Z33" s="2307"/>
      <c r="AA33" s="2307"/>
      <c r="AB33" s="2307"/>
      <c r="AC33" s="2307"/>
      <c r="AD33" s="2307"/>
      <c r="AE33" s="2307"/>
      <c r="AF33" s="2307"/>
      <c r="AG33" s="2307"/>
      <c r="AH33" s="2307"/>
      <c r="AI33" s="2307"/>
      <c r="AJ33" s="2307"/>
      <c r="AK33" s="2307"/>
      <c r="AL33" s="2307"/>
      <c r="AM33" s="2307"/>
      <c r="AN33" s="2307"/>
      <c r="AO33" s="2307"/>
      <c r="AP33" s="2307"/>
      <c r="AQ33" s="2307"/>
      <c r="AR33" s="2307"/>
      <c r="AS33" s="2307"/>
      <c r="AT33" s="2307"/>
      <c r="AU33" s="2307"/>
      <c r="AV33" s="2307"/>
      <c r="AW33" s="2307"/>
      <c r="AX33" s="2307"/>
      <c r="AY33" s="2307"/>
      <c r="AZ33" s="2311"/>
    </row>
    <row r="34" spans="1:52">
      <c r="A34" s="2304"/>
      <c r="B34" s="2303"/>
      <c r="C34" s="2303"/>
      <c r="D34" s="2303"/>
      <c r="E34" s="2303"/>
      <c r="F34" s="2303"/>
      <c r="G34" s="2303"/>
      <c r="H34" s="2303"/>
      <c r="I34" s="2303"/>
      <c r="J34" s="2303"/>
      <c r="K34" s="2303"/>
      <c r="L34" s="2303"/>
      <c r="M34" s="2303"/>
      <c r="N34" s="2303"/>
      <c r="O34" s="2303"/>
      <c r="P34" s="2303"/>
      <c r="Q34" s="2303"/>
      <c r="R34" s="2303"/>
      <c r="S34" s="2303"/>
      <c r="T34" s="2303"/>
      <c r="U34" s="2303"/>
      <c r="V34" s="2303"/>
      <c r="W34" s="2303"/>
      <c r="X34" s="2303"/>
      <c r="Y34" s="2303"/>
      <c r="Z34" s="2307"/>
      <c r="AA34" s="2307"/>
      <c r="AB34" s="2307"/>
      <c r="AC34" s="2307"/>
      <c r="AD34" s="2307"/>
      <c r="AE34" s="2307"/>
      <c r="AF34" s="2307"/>
      <c r="AG34" s="2307"/>
      <c r="AH34" s="2307"/>
      <c r="AI34" s="2307"/>
      <c r="AJ34" s="2307"/>
      <c r="AK34" s="2307"/>
      <c r="AL34" s="2307"/>
      <c r="AM34" s="2307"/>
      <c r="AN34" s="2307"/>
      <c r="AO34" s="2307"/>
      <c r="AP34" s="2307"/>
      <c r="AQ34" s="2307"/>
      <c r="AR34" s="2307"/>
      <c r="AS34" s="2307"/>
      <c r="AT34" s="2307"/>
      <c r="AU34" s="2307"/>
      <c r="AV34" s="2307"/>
      <c r="AW34" s="2307"/>
      <c r="AX34" s="2307"/>
      <c r="AY34" s="2307"/>
      <c r="AZ34" s="2311"/>
    </row>
    <row r="35" spans="1:52">
      <c r="A35" s="2304"/>
      <c r="B35" s="2303"/>
      <c r="C35" s="2303"/>
      <c r="D35" s="2303"/>
      <c r="E35" s="2303"/>
      <c r="F35" s="2303"/>
      <c r="G35" s="2303"/>
      <c r="H35" s="2303"/>
      <c r="I35" s="2303"/>
      <c r="J35" s="2303"/>
      <c r="K35" s="2303"/>
      <c r="L35" s="2303"/>
      <c r="M35" s="2303"/>
      <c r="N35" s="2303"/>
      <c r="O35" s="2303"/>
      <c r="P35" s="2303"/>
      <c r="Q35" s="2303"/>
      <c r="R35" s="2303"/>
      <c r="S35" s="2303"/>
      <c r="T35" s="2303"/>
      <c r="U35" s="2303"/>
      <c r="V35" s="2303"/>
      <c r="W35" s="2303"/>
      <c r="X35" s="2303"/>
      <c r="Y35" s="2303"/>
      <c r="Z35" s="2307"/>
      <c r="AA35" s="2307"/>
      <c r="AB35" s="2307"/>
      <c r="AC35" s="2307"/>
      <c r="AD35" s="2307"/>
      <c r="AE35" s="2307"/>
      <c r="AF35" s="2307"/>
      <c r="AG35" s="2307"/>
      <c r="AH35" s="2307"/>
      <c r="AI35" s="2307"/>
      <c r="AJ35" s="2307"/>
      <c r="AK35" s="2307"/>
      <c r="AL35" s="2307"/>
      <c r="AM35" s="2307"/>
      <c r="AN35" s="2307"/>
      <c r="AO35" s="2307"/>
      <c r="AP35" s="2307"/>
      <c r="AQ35" s="2307"/>
      <c r="AR35" s="2307"/>
      <c r="AS35" s="2307"/>
      <c r="AT35" s="2307"/>
      <c r="AU35" s="2307"/>
      <c r="AV35" s="2307"/>
      <c r="AW35" s="2307"/>
      <c r="AX35" s="2307"/>
      <c r="AY35" s="2307"/>
      <c r="AZ35" s="2311"/>
    </row>
    <row r="36" spans="1:52">
      <c r="A36" s="2304"/>
      <c r="B36" s="2303"/>
      <c r="C36" s="2303"/>
      <c r="D36" s="2303"/>
      <c r="E36" s="2303"/>
      <c r="F36" s="2303"/>
      <c r="G36" s="2303"/>
      <c r="H36" s="2303"/>
      <c r="I36" s="2303"/>
      <c r="J36" s="2303"/>
      <c r="K36" s="2303"/>
      <c r="L36" s="2303"/>
      <c r="M36" s="2303"/>
      <c r="N36" s="2303"/>
      <c r="O36" s="2303"/>
      <c r="P36" s="2303"/>
      <c r="Q36" s="2303"/>
      <c r="R36" s="2303"/>
      <c r="S36" s="2303"/>
      <c r="T36" s="2303"/>
      <c r="U36" s="2303"/>
      <c r="V36" s="2303"/>
      <c r="W36" s="2303"/>
      <c r="X36" s="2303"/>
      <c r="Y36" s="2303"/>
      <c r="Z36" s="2307"/>
      <c r="AA36" s="2307"/>
      <c r="AB36" s="2307"/>
      <c r="AC36" s="2307"/>
      <c r="AD36" s="2307"/>
      <c r="AE36" s="2307"/>
      <c r="AF36" s="2307"/>
      <c r="AG36" s="2307"/>
      <c r="AH36" s="2307"/>
      <c r="AI36" s="2307"/>
      <c r="AJ36" s="2307"/>
      <c r="AK36" s="2307"/>
      <c r="AL36" s="2307"/>
      <c r="AM36" s="2307"/>
      <c r="AN36" s="2307"/>
      <c r="AO36" s="2307"/>
      <c r="AP36" s="2307"/>
      <c r="AQ36" s="2307"/>
      <c r="AR36" s="2307"/>
      <c r="AS36" s="2307"/>
      <c r="AT36" s="2307"/>
      <c r="AU36" s="2307"/>
      <c r="AV36" s="2307"/>
      <c r="AW36" s="2307"/>
      <c r="AX36" s="2307"/>
      <c r="AY36" s="2307"/>
      <c r="AZ36" s="2311"/>
    </row>
    <row r="37" spans="1:52">
      <c r="A37" s="2304"/>
      <c r="B37" s="2303"/>
      <c r="C37" s="2303"/>
      <c r="D37" s="2303"/>
      <c r="E37" s="2303"/>
      <c r="F37" s="2303"/>
      <c r="G37" s="2303"/>
      <c r="H37" s="2303"/>
      <c r="I37" s="2303"/>
      <c r="J37" s="2303"/>
      <c r="K37" s="2303"/>
      <c r="L37" s="2303"/>
      <c r="M37" s="2303"/>
      <c r="N37" s="2303"/>
      <c r="O37" s="2303"/>
      <c r="P37" s="2303"/>
      <c r="Q37" s="2303"/>
      <c r="R37" s="2303"/>
      <c r="S37" s="2303"/>
      <c r="T37" s="2303"/>
      <c r="U37" s="2303"/>
      <c r="V37" s="2303"/>
      <c r="W37" s="2303"/>
      <c r="X37" s="2303"/>
      <c r="Y37" s="2303"/>
      <c r="Z37" s="2307"/>
      <c r="AA37" s="2307"/>
      <c r="AB37" s="2307"/>
      <c r="AC37" s="2307"/>
      <c r="AD37" s="2307"/>
      <c r="AE37" s="2307"/>
      <c r="AF37" s="2307"/>
      <c r="AG37" s="2307"/>
      <c r="AH37" s="2307"/>
      <c r="AI37" s="2307"/>
      <c r="AJ37" s="2307"/>
      <c r="AK37" s="2307"/>
      <c r="AL37" s="2307"/>
      <c r="AM37" s="2307"/>
      <c r="AN37" s="2307"/>
      <c r="AO37" s="2307"/>
      <c r="AP37" s="2307"/>
      <c r="AQ37" s="2307"/>
      <c r="AR37" s="2307"/>
      <c r="AS37" s="2307"/>
      <c r="AT37" s="2307"/>
      <c r="AU37" s="2307"/>
      <c r="AV37" s="2307"/>
      <c r="AW37" s="2307"/>
      <c r="AX37" s="2307"/>
      <c r="AY37" s="2307"/>
      <c r="AZ37" s="2311"/>
    </row>
    <row r="38" spans="1:52">
      <c r="A38" s="2304"/>
      <c r="B38" s="2303"/>
      <c r="C38" s="2303"/>
      <c r="D38" s="2305"/>
      <c r="E38" s="2305"/>
      <c r="F38" s="2305"/>
      <c r="G38" s="2305"/>
      <c r="H38" s="2305"/>
      <c r="I38" s="2305"/>
      <c r="J38" s="2305"/>
      <c r="K38" s="2305"/>
      <c r="L38" s="2305"/>
      <c r="M38" s="2305"/>
      <c r="N38" s="2305"/>
      <c r="O38" s="2305"/>
      <c r="P38" s="2305"/>
      <c r="Q38" s="2305"/>
      <c r="R38" s="2305"/>
      <c r="S38" s="2305"/>
      <c r="T38" s="2305"/>
      <c r="U38" s="2305"/>
      <c r="V38" s="2305"/>
      <c r="W38" s="2303"/>
      <c r="X38" s="2303"/>
      <c r="Y38" s="2303"/>
      <c r="Z38" s="2307"/>
      <c r="AA38" s="2307"/>
      <c r="AB38" s="2307"/>
      <c r="AC38" s="2307"/>
      <c r="AD38" s="2307"/>
      <c r="AE38" s="2307"/>
      <c r="AF38" s="2307"/>
      <c r="AG38" s="2307"/>
      <c r="AH38" s="2307"/>
      <c r="AI38" s="2307"/>
      <c r="AJ38" s="2307"/>
      <c r="AK38" s="2307"/>
      <c r="AL38" s="2307"/>
      <c r="AM38" s="2307"/>
      <c r="AN38" s="2307"/>
      <c r="AO38" s="2307"/>
      <c r="AP38" s="2307"/>
      <c r="AQ38" s="2307"/>
      <c r="AR38" s="2307"/>
      <c r="AS38" s="2307"/>
      <c r="AT38" s="2307"/>
      <c r="AU38" s="2307"/>
      <c r="AV38" s="2307"/>
      <c r="AW38" s="2307"/>
      <c r="AX38" s="2307"/>
      <c r="AY38" s="2307"/>
      <c r="AZ38" s="2311"/>
    </row>
    <row r="39" spans="1:52">
      <c r="A39" s="2304"/>
      <c r="B39" s="2303"/>
      <c r="C39" s="2303"/>
      <c r="D39" s="2306"/>
      <c r="E39" s="2306"/>
      <c r="F39" s="2306"/>
      <c r="G39" s="2306"/>
      <c r="H39" s="2306"/>
      <c r="I39" s="2306"/>
      <c r="J39" s="2306"/>
      <c r="K39" s="2306"/>
      <c r="L39" s="2306"/>
      <c r="M39" s="2306"/>
      <c r="N39" s="2306"/>
      <c r="O39" s="2306"/>
      <c r="P39" s="2306"/>
      <c r="Q39" s="2306"/>
      <c r="R39" s="2306"/>
      <c r="S39" s="2306"/>
      <c r="T39" s="2306"/>
      <c r="U39" s="2306"/>
      <c r="V39" s="2306"/>
      <c r="W39" s="2303"/>
      <c r="X39" s="2303"/>
      <c r="Y39" s="2303"/>
      <c r="Z39" s="2307"/>
      <c r="AA39" s="2307"/>
      <c r="AB39" s="2307"/>
      <c r="AC39" s="2307"/>
      <c r="AD39" s="2307"/>
      <c r="AE39" s="2307"/>
      <c r="AF39" s="2307"/>
      <c r="AG39" s="2307"/>
      <c r="AH39" s="2307"/>
      <c r="AI39" s="2307"/>
      <c r="AJ39" s="2307"/>
      <c r="AK39" s="2307"/>
      <c r="AL39" s="2307"/>
      <c r="AM39" s="2307"/>
      <c r="AN39" s="2307"/>
      <c r="AO39" s="2307"/>
      <c r="AP39" s="2307"/>
      <c r="AQ39" s="2307"/>
      <c r="AR39" s="2307"/>
      <c r="AS39" s="2307"/>
      <c r="AT39" s="2307"/>
      <c r="AU39" s="2307"/>
      <c r="AV39" s="2307"/>
      <c r="AW39" s="2307"/>
      <c r="AX39" s="2307"/>
      <c r="AY39" s="2307"/>
      <c r="AZ39" s="2311"/>
    </row>
    <row r="40" spans="1:52">
      <c r="A40" s="2304"/>
      <c r="B40" s="2303"/>
      <c r="C40" s="2303" t="s">
        <v>493</v>
      </c>
      <c r="D40" s="2306"/>
      <c r="E40" s="2306"/>
      <c r="F40" s="2306"/>
      <c r="G40" s="2306"/>
      <c r="H40" s="2306"/>
      <c r="I40" s="2306"/>
      <c r="J40" s="2306"/>
      <c r="K40" s="2306"/>
      <c r="L40" s="2306"/>
      <c r="M40" s="2306"/>
      <c r="N40" s="2306"/>
      <c r="O40" s="2306"/>
      <c r="P40" s="2306"/>
      <c r="Q40" s="2306"/>
      <c r="R40" s="2306"/>
      <c r="S40" s="2306"/>
      <c r="T40" s="2306"/>
      <c r="U40" s="2306"/>
      <c r="V40" s="2306"/>
      <c r="W40" s="2303"/>
      <c r="X40" s="2303"/>
      <c r="Y40" s="2303"/>
      <c r="Z40" s="2307"/>
      <c r="AA40" s="2307"/>
      <c r="AB40" s="2307"/>
      <c r="AC40" s="2307"/>
      <c r="AD40" s="2307"/>
      <c r="AE40" s="2307"/>
      <c r="AF40" s="2307"/>
      <c r="AG40" s="2307"/>
      <c r="AH40" s="2307"/>
      <c r="AI40" s="2307"/>
      <c r="AJ40" s="2307"/>
      <c r="AK40" s="2307"/>
      <c r="AL40" s="2307"/>
      <c r="AM40" s="2307"/>
      <c r="AN40" s="2307"/>
      <c r="AO40" s="2307"/>
      <c r="AP40" s="2307"/>
      <c r="AQ40" s="2307"/>
      <c r="AR40" s="2307"/>
      <c r="AS40" s="2307"/>
      <c r="AT40" s="2307"/>
      <c r="AU40" s="2307"/>
      <c r="AV40" s="2307"/>
      <c r="AW40" s="2307"/>
      <c r="AX40" s="2307"/>
      <c r="AY40" s="2307"/>
      <c r="AZ40" s="2311"/>
    </row>
    <row r="41" spans="1:52">
      <c r="A41" s="2304"/>
      <c r="B41" s="2303"/>
      <c r="C41" s="2303" t="s">
        <v>1030</v>
      </c>
      <c r="D41" s="2305">
        <v>0.1</v>
      </c>
      <c r="E41" s="2305">
        <v>0.15</v>
      </c>
      <c r="F41" s="2305">
        <v>0.2</v>
      </c>
      <c r="G41" s="2305">
        <v>0.25</v>
      </c>
      <c r="H41" s="2305">
        <v>0.3</v>
      </c>
      <c r="I41" s="2305">
        <v>0.35</v>
      </c>
      <c r="J41" s="2305">
        <v>0.4</v>
      </c>
      <c r="K41" s="2305">
        <v>0.45</v>
      </c>
      <c r="L41" s="2305">
        <v>0.5</v>
      </c>
      <c r="M41" s="2305">
        <v>0.55000000000000004</v>
      </c>
      <c r="N41" s="2305">
        <v>0.6</v>
      </c>
      <c r="O41" s="2305">
        <v>0.65</v>
      </c>
      <c r="P41" s="2305">
        <v>0.7</v>
      </c>
      <c r="Q41" s="2305">
        <v>0.75</v>
      </c>
      <c r="R41" s="2305">
        <v>0.8</v>
      </c>
      <c r="S41" s="2305">
        <v>0.85</v>
      </c>
      <c r="T41" s="2305">
        <v>0.9</v>
      </c>
      <c r="U41" s="2305">
        <v>0.95</v>
      </c>
      <c r="V41" s="2305">
        <v>1</v>
      </c>
      <c r="W41" s="2305"/>
      <c r="X41" s="2303"/>
      <c r="Y41" s="2303"/>
      <c r="Z41" s="2307"/>
      <c r="AA41" s="2307"/>
      <c r="AB41" s="2316"/>
      <c r="AC41" s="2316"/>
      <c r="AD41" s="2316"/>
      <c r="AE41" s="2316"/>
      <c r="AF41" s="2316"/>
      <c r="AG41" s="2316"/>
      <c r="AH41" s="2316"/>
      <c r="AI41" s="2316"/>
      <c r="AJ41" s="2316"/>
      <c r="AK41" s="2316"/>
      <c r="AL41" s="2316"/>
      <c r="AM41" s="2316"/>
      <c r="AN41" s="2316"/>
      <c r="AO41" s="2316"/>
      <c r="AP41" s="2316"/>
      <c r="AQ41" s="2316"/>
      <c r="AR41" s="2316"/>
      <c r="AS41" s="2316"/>
      <c r="AT41" s="2316"/>
      <c r="AU41" s="2307"/>
      <c r="AV41" s="2307"/>
      <c r="AW41" s="2307"/>
      <c r="AX41" s="2307"/>
      <c r="AY41" s="2307"/>
      <c r="AZ41" s="2311"/>
    </row>
    <row r="42" spans="1:52">
      <c r="A42" s="2304"/>
      <c r="B42" s="2303"/>
      <c r="C42" s="2303" t="s">
        <v>1788</v>
      </c>
      <c r="D42" s="2306">
        <v>322.7303</v>
      </c>
      <c r="E42" s="2306">
        <v>239.36279999999999</v>
      </c>
      <c r="F42" s="2306">
        <v>197.67910000000001</v>
      </c>
      <c r="G42" s="2306">
        <v>172.6688</v>
      </c>
      <c r="H42" s="2306">
        <v>155.99529999999999</v>
      </c>
      <c r="I42" s="2306">
        <v>144.0857</v>
      </c>
      <c r="J42" s="2306">
        <v>135.1534</v>
      </c>
      <c r="K42" s="2306">
        <v>128.20609999999999</v>
      </c>
      <c r="L42" s="2306">
        <v>122.64830000000001</v>
      </c>
      <c r="M42" s="2306">
        <v>118.101</v>
      </c>
      <c r="N42" s="2306">
        <v>114.3116</v>
      </c>
      <c r="O42" s="2306">
        <v>111.10509999999999</v>
      </c>
      <c r="P42" s="2306">
        <v>108.3567</v>
      </c>
      <c r="Q42" s="2306">
        <v>105.9748</v>
      </c>
      <c r="R42" s="2306">
        <v>103.89060000000001</v>
      </c>
      <c r="S42" s="2306">
        <v>102.05159999999999</v>
      </c>
      <c r="T42" s="2306">
        <v>100.417</v>
      </c>
      <c r="U42" s="2306">
        <v>99.849900000000005</v>
      </c>
      <c r="V42" s="2306">
        <v>99.849900000000005</v>
      </c>
      <c r="W42" s="2306"/>
      <c r="X42" s="2303"/>
      <c r="Y42" s="2303"/>
      <c r="Z42" s="2307"/>
      <c r="AA42" s="2307"/>
      <c r="AB42" s="2317"/>
      <c r="AC42" s="2317"/>
      <c r="AD42" s="2317"/>
      <c r="AE42" s="2317"/>
      <c r="AF42" s="2317"/>
      <c r="AG42" s="2317"/>
      <c r="AH42" s="2317"/>
      <c r="AI42" s="2317"/>
      <c r="AJ42" s="2317"/>
      <c r="AK42" s="2317"/>
      <c r="AL42" s="2317"/>
      <c r="AM42" s="2317"/>
      <c r="AN42" s="2317"/>
      <c r="AO42" s="2317"/>
      <c r="AP42" s="2317"/>
      <c r="AQ42" s="2317"/>
      <c r="AR42" s="2317"/>
      <c r="AS42" s="2317"/>
      <c r="AT42" s="2317"/>
      <c r="AU42" s="2307"/>
      <c r="AV42" s="2307"/>
      <c r="AW42" s="2307"/>
      <c r="AX42" s="2307"/>
      <c r="AY42" s="2307"/>
      <c r="AZ42" s="2311"/>
    </row>
    <row r="43" spans="1:52">
      <c r="A43" s="2304"/>
      <c r="B43" s="2303"/>
      <c r="C43" s="2303"/>
      <c r="D43" s="2306"/>
      <c r="E43" s="2306"/>
      <c r="F43" s="2306"/>
      <c r="G43" s="2306"/>
      <c r="H43" s="2306"/>
      <c r="I43" s="2306"/>
      <c r="J43" s="2306"/>
      <c r="K43" s="2306"/>
      <c r="L43" s="2306"/>
      <c r="M43" s="2306"/>
      <c r="N43" s="2306"/>
      <c r="O43" s="2306"/>
      <c r="P43" s="2306"/>
      <c r="Q43" s="2306"/>
      <c r="R43" s="2306"/>
      <c r="S43" s="2306"/>
      <c r="T43" s="2306"/>
      <c r="U43" s="2306"/>
      <c r="V43" s="2306"/>
      <c r="W43" s="2306"/>
      <c r="X43" s="2303"/>
      <c r="Y43" s="2303"/>
      <c r="Z43" s="2307"/>
      <c r="AA43" s="2307"/>
      <c r="AB43" s="2317"/>
      <c r="AC43" s="2317"/>
      <c r="AD43" s="2317"/>
      <c r="AE43" s="2317"/>
      <c r="AF43" s="2317"/>
      <c r="AG43" s="2317"/>
      <c r="AH43" s="2317"/>
      <c r="AI43" s="2317"/>
      <c r="AJ43" s="2317"/>
      <c r="AK43" s="2317"/>
      <c r="AL43" s="2317"/>
      <c r="AM43" s="2317"/>
      <c r="AN43" s="2317"/>
      <c r="AO43" s="2317"/>
      <c r="AP43" s="2317"/>
      <c r="AQ43" s="2317"/>
      <c r="AR43" s="2317"/>
      <c r="AS43" s="2317"/>
      <c r="AT43" s="2317"/>
      <c r="AU43" s="2307"/>
      <c r="AV43" s="2307"/>
      <c r="AW43" s="2307"/>
      <c r="AX43" s="2307"/>
      <c r="AY43" s="2307"/>
      <c r="AZ43" s="2311"/>
    </row>
    <row r="44" spans="1:52">
      <c r="A44" s="2304"/>
      <c r="B44" s="2303"/>
      <c r="C44" s="2303"/>
      <c r="D44" s="2306"/>
      <c r="E44" s="2306"/>
      <c r="F44" s="2306"/>
      <c r="G44" s="2306"/>
      <c r="H44" s="2306"/>
      <c r="I44" s="2306"/>
      <c r="J44" s="2306"/>
      <c r="K44" s="2306"/>
      <c r="L44" s="2306"/>
      <c r="M44" s="2306"/>
      <c r="N44" s="2306"/>
      <c r="O44" s="2306"/>
      <c r="P44" s="2306"/>
      <c r="Q44" s="2306"/>
      <c r="R44" s="2306"/>
      <c r="S44" s="2306"/>
      <c r="T44" s="2306"/>
      <c r="U44" s="2306"/>
      <c r="V44" s="2306"/>
      <c r="W44" s="2303"/>
      <c r="X44" s="2303"/>
      <c r="Y44" s="2303"/>
      <c r="Z44" s="2307"/>
      <c r="AA44" s="2307"/>
      <c r="AB44" s="2317"/>
      <c r="AC44" s="2317"/>
      <c r="AD44" s="2317"/>
      <c r="AE44" s="2317"/>
      <c r="AF44" s="2317"/>
      <c r="AG44" s="2317"/>
      <c r="AH44" s="2317"/>
      <c r="AI44" s="2317"/>
      <c r="AJ44" s="2317"/>
      <c r="AK44" s="2317"/>
      <c r="AL44" s="2317"/>
      <c r="AM44" s="2317"/>
      <c r="AN44" s="2317"/>
      <c r="AO44" s="2317"/>
      <c r="AP44" s="2317"/>
      <c r="AQ44" s="2317"/>
      <c r="AR44" s="2317"/>
      <c r="AS44" s="2317"/>
      <c r="AT44" s="2317"/>
      <c r="AU44" s="2307"/>
      <c r="AV44" s="2307"/>
      <c r="AW44" s="2307"/>
      <c r="AX44" s="2307"/>
      <c r="AY44" s="2307"/>
      <c r="AZ44" s="2311"/>
    </row>
    <row r="45" spans="1:52">
      <c r="A45" s="2304"/>
      <c r="B45" s="2303"/>
      <c r="C45" s="2303"/>
      <c r="D45" s="2303"/>
      <c r="E45" s="2303"/>
      <c r="F45" s="2303"/>
      <c r="G45" s="2303"/>
      <c r="H45" s="2303"/>
      <c r="I45" s="2303"/>
      <c r="J45" s="2303"/>
      <c r="K45" s="2303"/>
      <c r="L45" s="2303"/>
      <c r="M45" s="2303"/>
      <c r="N45" s="2303"/>
      <c r="O45" s="2303"/>
      <c r="P45" s="2303"/>
      <c r="Q45" s="2303"/>
      <c r="R45" s="2303"/>
      <c r="S45" s="2303"/>
      <c r="T45" s="2303"/>
      <c r="U45" s="2303"/>
      <c r="V45" s="2303"/>
      <c r="W45" s="2303"/>
      <c r="X45" s="2303"/>
      <c r="Y45" s="2303"/>
      <c r="Z45" s="2307"/>
      <c r="AA45" s="2307"/>
      <c r="AB45" s="2307"/>
      <c r="AC45" s="2307"/>
      <c r="AD45" s="2307"/>
      <c r="AE45" s="2307"/>
      <c r="AF45" s="2307"/>
      <c r="AG45" s="2307"/>
      <c r="AH45" s="2307"/>
      <c r="AI45" s="2307"/>
      <c r="AJ45" s="2307"/>
      <c r="AK45" s="2307"/>
      <c r="AL45" s="2307"/>
      <c r="AM45" s="2307"/>
      <c r="AN45" s="2307"/>
      <c r="AO45" s="2307"/>
      <c r="AP45" s="2307"/>
      <c r="AQ45" s="2307"/>
      <c r="AR45" s="2307"/>
      <c r="AS45" s="2307"/>
      <c r="AT45" s="2307"/>
      <c r="AU45" s="2307"/>
      <c r="AV45" s="2307"/>
      <c r="AW45" s="2307"/>
      <c r="AX45" s="2307"/>
      <c r="AY45" s="2307"/>
      <c r="AZ45" s="2311"/>
    </row>
    <row r="46" spans="1:52">
      <c r="A46" s="2304"/>
      <c r="B46" s="2303"/>
      <c r="C46" s="2303"/>
      <c r="D46" s="2303"/>
      <c r="E46" s="2303"/>
      <c r="F46" s="2303"/>
      <c r="G46" s="2303"/>
      <c r="H46" s="2303"/>
      <c r="I46" s="2303"/>
      <c r="J46" s="2303"/>
      <c r="K46" s="2303"/>
      <c r="L46" s="2303"/>
      <c r="M46" s="2303"/>
      <c r="N46" s="2303"/>
      <c r="O46" s="2303"/>
      <c r="P46" s="2303"/>
      <c r="Q46" s="2303"/>
      <c r="R46" s="2303"/>
      <c r="S46" s="2303"/>
      <c r="T46" s="2303"/>
      <c r="U46" s="2303"/>
      <c r="V46" s="2303"/>
      <c r="W46" s="2303"/>
      <c r="X46" s="2303"/>
      <c r="Y46" s="2303"/>
      <c r="Z46" s="2307"/>
      <c r="AA46" s="2307"/>
      <c r="AB46" s="2307"/>
      <c r="AC46" s="2307"/>
      <c r="AD46" s="2307"/>
      <c r="AE46" s="2307"/>
      <c r="AF46" s="2307"/>
      <c r="AG46" s="2307"/>
      <c r="AH46" s="2307"/>
      <c r="AI46" s="2307"/>
      <c r="AJ46" s="2307"/>
      <c r="AK46" s="2307"/>
      <c r="AL46" s="2307"/>
      <c r="AM46" s="2307"/>
      <c r="AN46" s="2307"/>
      <c r="AO46" s="2307"/>
      <c r="AP46" s="2307"/>
      <c r="AQ46" s="2307"/>
      <c r="AR46" s="2307"/>
      <c r="AS46" s="2307"/>
      <c r="AT46" s="2307"/>
      <c r="AU46" s="2307"/>
      <c r="AV46" s="2307"/>
      <c r="AW46" s="2307"/>
      <c r="AX46" s="2307"/>
      <c r="AY46" s="2307"/>
      <c r="AZ46" s="2311"/>
    </row>
    <row r="47" spans="1:52">
      <c r="A47" s="2304"/>
      <c r="B47" s="2303"/>
      <c r="C47" s="2303"/>
      <c r="D47" s="2303"/>
      <c r="E47" s="2303"/>
      <c r="F47" s="2303"/>
      <c r="G47" s="2303"/>
      <c r="H47" s="2303"/>
      <c r="I47" s="2303"/>
      <c r="J47" s="2303"/>
      <c r="K47" s="2303"/>
      <c r="L47" s="2303"/>
      <c r="M47" s="2303"/>
      <c r="N47" s="2303"/>
      <c r="O47" s="2303"/>
      <c r="P47" s="2303"/>
      <c r="Q47" s="2303"/>
      <c r="R47" s="2303"/>
      <c r="S47" s="2303"/>
      <c r="T47" s="2303"/>
      <c r="U47" s="2303"/>
      <c r="V47" s="2303"/>
      <c r="W47" s="2303"/>
      <c r="X47" s="2303"/>
      <c r="Y47" s="2303"/>
      <c r="Z47" s="2307"/>
      <c r="AA47" s="2307"/>
      <c r="AB47" s="2307"/>
      <c r="AC47" s="2307"/>
      <c r="AD47" s="2307"/>
      <c r="AE47" s="2307"/>
      <c r="AF47" s="2307"/>
      <c r="AG47" s="2307"/>
      <c r="AH47" s="2307"/>
      <c r="AI47" s="2307"/>
      <c r="AJ47" s="2307"/>
      <c r="AK47" s="2307"/>
      <c r="AL47" s="2307"/>
      <c r="AM47" s="2307"/>
      <c r="AN47" s="2307"/>
      <c r="AO47" s="2307"/>
      <c r="AP47" s="2307"/>
      <c r="AQ47" s="2307"/>
      <c r="AR47" s="2307"/>
      <c r="AS47" s="2307"/>
      <c r="AT47" s="2307"/>
      <c r="AU47" s="2307"/>
      <c r="AV47" s="2307"/>
      <c r="AW47" s="2307"/>
      <c r="AX47" s="2307"/>
      <c r="AY47" s="2307"/>
      <c r="AZ47" s="2311"/>
    </row>
    <row r="48" spans="1:52">
      <c r="A48" s="2304"/>
      <c r="B48" s="2303"/>
      <c r="C48" s="2303"/>
      <c r="D48" s="2303"/>
      <c r="E48" s="2303"/>
      <c r="F48" s="2303"/>
      <c r="G48" s="2303"/>
      <c r="H48" s="2303"/>
      <c r="I48" s="2303"/>
      <c r="J48" s="2303"/>
      <c r="K48" s="2303"/>
      <c r="L48" s="2303"/>
      <c r="M48" s="2303"/>
      <c r="N48" s="2303"/>
      <c r="O48" s="2303"/>
      <c r="P48" s="2303"/>
      <c r="Q48" s="2303"/>
      <c r="R48" s="2303"/>
      <c r="S48" s="2303"/>
      <c r="T48" s="2303"/>
      <c r="U48" s="2303"/>
      <c r="V48" s="2303"/>
      <c r="W48" s="2303"/>
      <c r="X48" s="2303"/>
      <c r="Y48" s="2303"/>
      <c r="Z48" s="2307"/>
      <c r="AA48" s="2307"/>
      <c r="AB48" s="2307"/>
      <c r="AC48" s="2307"/>
      <c r="AD48" s="2307"/>
      <c r="AE48" s="2307"/>
      <c r="AF48" s="2307"/>
      <c r="AG48" s="2307"/>
      <c r="AH48" s="2307"/>
      <c r="AI48" s="2307"/>
      <c r="AJ48" s="2307"/>
      <c r="AK48" s="2307"/>
      <c r="AL48" s="2307"/>
      <c r="AM48" s="2307"/>
      <c r="AN48" s="2307"/>
      <c r="AO48" s="2307"/>
      <c r="AP48" s="2307"/>
      <c r="AQ48" s="2307"/>
      <c r="AR48" s="2307"/>
      <c r="AS48" s="2307"/>
      <c r="AT48" s="2307"/>
      <c r="AU48" s="2307"/>
      <c r="AV48" s="2307"/>
      <c r="AW48" s="2307"/>
      <c r="AX48" s="2307"/>
      <c r="AY48" s="2307"/>
      <c r="AZ48" s="2311"/>
    </row>
    <row r="49" spans="1:52">
      <c r="A49" s="2304"/>
      <c r="B49" s="2303"/>
      <c r="C49" s="2303"/>
      <c r="D49" s="2303"/>
      <c r="E49" s="2303"/>
      <c r="F49" s="2303"/>
      <c r="G49" s="2303"/>
      <c r="H49" s="2303"/>
      <c r="I49" s="2303"/>
      <c r="J49" s="2303"/>
      <c r="K49" s="2303"/>
      <c r="L49" s="2303"/>
      <c r="M49" s="2303"/>
      <c r="N49" s="2303"/>
      <c r="O49" s="2303"/>
      <c r="P49" s="2303"/>
      <c r="Q49" s="2303"/>
      <c r="R49" s="2303"/>
      <c r="S49" s="2303"/>
      <c r="T49" s="2303"/>
      <c r="U49" s="2303"/>
      <c r="V49" s="2303"/>
      <c r="W49" s="2303"/>
      <c r="X49" s="2303"/>
      <c r="Y49" s="2303"/>
      <c r="Z49" s="2307"/>
      <c r="AA49" s="2307"/>
      <c r="AB49" s="2307"/>
      <c r="AC49" s="2307"/>
      <c r="AD49" s="2307"/>
      <c r="AE49" s="2307"/>
      <c r="AF49" s="2307"/>
      <c r="AG49" s="2307"/>
      <c r="AH49" s="2307"/>
      <c r="AI49" s="2307"/>
      <c r="AJ49" s="2307"/>
      <c r="AK49" s="2307"/>
      <c r="AL49" s="2307"/>
      <c r="AM49" s="2307"/>
      <c r="AN49" s="2307"/>
      <c r="AO49" s="2307"/>
      <c r="AP49" s="2307"/>
      <c r="AQ49" s="2307"/>
      <c r="AR49" s="2307"/>
      <c r="AS49" s="2307"/>
      <c r="AT49" s="2307"/>
      <c r="AU49" s="2307"/>
      <c r="AV49" s="2307"/>
      <c r="AW49" s="2307"/>
      <c r="AX49" s="2307"/>
      <c r="AY49" s="2307"/>
      <c r="AZ49" s="2311"/>
    </row>
    <row r="50" spans="1:52">
      <c r="A50" s="2304"/>
      <c r="B50" s="2303"/>
      <c r="C50" s="2303"/>
      <c r="D50" s="2303"/>
      <c r="E50" s="2303"/>
      <c r="F50" s="2303"/>
      <c r="G50" s="2303"/>
      <c r="H50" s="2303"/>
      <c r="I50" s="2303"/>
      <c r="J50" s="2303"/>
      <c r="K50" s="2303"/>
      <c r="L50" s="2303"/>
      <c r="M50" s="2303"/>
      <c r="N50" s="2303"/>
      <c r="O50" s="2303"/>
      <c r="P50" s="2303"/>
      <c r="Q50" s="2303"/>
      <c r="R50" s="2303"/>
      <c r="S50" s="2303"/>
      <c r="T50" s="2303"/>
      <c r="U50" s="2303"/>
      <c r="V50" s="2303"/>
      <c r="W50" s="2303"/>
      <c r="X50" s="2303"/>
      <c r="Y50" s="2303"/>
      <c r="Z50" s="2307"/>
      <c r="AA50" s="2307"/>
      <c r="AB50" s="2307"/>
      <c r="AC50" s="2307"/>
      <c r="AD50" s="2307"/>
      <c r="AE50" s="2307"/>
      <c r="AF50" s="2307"/>
      <c r="AG50" s="2307"/>
      <c r="AH50" s="2307"/>
      <c r="AI50" s="2307"/>
      <c r="AJ50" s="2307"/>
      <c r="AK50" s="2307"/>
      <c r="AL50" s="2307"/>
      <c r="AM50" s="2307"/>
      <c r="AN50" s="2307"/>
      <c r="AO50" s="2307"/>
      <c r="AP50" s="2307"/>
      <c r="AQ50" s="2307"/>
      <c r="AR50" s="2307"/>
      <c r="AS50" s="2307"/>
      <c r="AT50" s="2307"/>
      <c r="AU50" s="2307"/>
      <c r="AV50" s="2307"/>
      <c r="AW50" s="2307"/>
      <c r="AX50" s="2307"/>
      <c r="AY50" s="2307"/>
      <c r="AZ50" s="2311"/>
    </row>
    <row r="51" spans="1:52">
      <c r="A51" s="2304"/>
      <c r="B51" s="2303"/>
      <c r="C51" s="2303"/>
      <c r="D51" s="2303"/>
      <c r="E51" s="2303"/>
      <c r="F51" s="2303"/>
      <c r="G51" s="2303"/>
      <c r="H51" s="2303"/>
      <c r="I51" s="2303"/>
      <c r="J51" s="2303"/>
      <c r="K51" s="2303"/>
      <c r="L51" s="2303"/>
      <c r="M51" s="2303"/>
      <c r="N51" s="2303"/>
      <c r="O51" s="2303"/>
      <c r="P51" s="2303"/>
      <c r="Q51" s="2303"/>
      <c r="R51" s="2303"/>
      <c r="S51" s="2303"/>
      <c r="T51" s="2303"/>
      <c r="U51" s="2303"/>
      <c r="V51" s="2303"/>
      <c r="W51" s="2303"/>
      <c r="X51" s="2303"/>
      <c r="Y51" s="2303"/>
      <c r="Z51" s="2307"/>
      <c r="AA51" s="2307"/>
      <c r="AB51" s="2307"/>
      <c r="AC51" s="2307"/>
      <c r="AD51" s="2307"/>
      <c r="AE51" s="2307"/>
      <c r="AF51" s="2307"/>
      <c r="AG51" s="2307"/>
      <c r="AH51" s="2307"/>
      <c r="AI51" s="2307"/>
      <c r="AJ51" s="2307"/>
      <c r="AK51" s="2307"/>
      <c r="AL51" s="2307"/>
      <c r="AM51" s="2307"/>
      <c r="AN51" s="2307"/>
      <c r="AO51" s="2307"/>
      <c r="AP51" s="2307"/>
      <c r="AQ51" s="2307"/>
      <c r="AR51" s="2307"/>
      <c r="AS51" s="2307"/>
      <c r="AT51" s="2307"/>
      <c r="AU51" s="2307"/>
      <c r="AV51" s="2307"/>
      <c r="AW51" s="2307"/>
      <c r="AX51" s="2307"/>
      <c r="AY51" s="2307"/>
      <c r="AZ51" s="2311"/>
    </row>
    <row r="52" spans="1:52">
      <c r="A52" s="2304"/>
      <c r="B52" s="2303"/>
      <c r="C52" s="2303"/>
      <c r="D52" s="2303"/>
      <c r="E52" s="2303"/>
      <c r="F52" s="2303"/>
      <c r="G52" s="2303"/>
      <c r="H52" s="2303"/>
      <c r="I52" s="2303"/>
      <c r="J52" s="2303"/>
      <c r="K52" s="2303"/>
      <c r="L52" s="2303"/>
      <c r="M52" s="2303"/>
      <c r="N52" s="2303"/>
      <c r="O52" s="2303"/>
      <c r="P52" s="2303"/>
      <c r="Q52" s="2303"/>
      <c r="R52" s="2303"/>
      <c r="S52" s="2303"/>
      <c r="T52" s="2303"/>
      <c r="U52" s="2303"/>
      <c r="V52" s="2303"/>
      <c r="W52" s="2303"/>
      <c r="X52" s="2303"/>
      <c r="Y52" s="2303"/>
      <c r="Z52" s="2307"/>
      <c r="AA52" s="2307"/>
      <c r="AB52" s="2307"/>
      <c r="AC52" s="2307"/>
      <c r="AD52" s="2307"/>
      <c r="AE52" s="2307"/>
      <c r="AF52" s="2307"/>
      <c r="AG52" s="2307"/>
      <c r="AH52" s="2307"/>
      <c r="AI52" s="2307"/>
      <c r="AJ52" s="2307"/>
      <c r="AK52" s="2307"/>
      <c r="AL52" s="2307"/>
      <c r="AM52" s="2307"/>
      <c r="AN52" s="2307"/>
      <c r="AO52" s="2307"/>
      <c r="AP52" s="2307"/>
      <c r="AQ52" s="2307"/>
      <c r="AR52" s="2307"/>
      <c r="AS52" s="2307"/>
      <c r="AT52" s="2307"/>
      <c r="AU52" s="2307"/>
      <c r="AV52" s="2307"/>
      <c r="AW52" s="2307"/>
      <c r="AX52" s="2307"/>
      <c r="AY52" s="2307"/>
      <c r="AZ52" s="2311"/>
    </row>
    <row r="53" spans="1:52">
      <c r="A53" s="2304"/>
      <c r="B53" s="2303"/>
      <c r="C53" s="2303"/>
      <c r="D53" s="2303"/>
      <c r="E53" s="2303"/>
      <c r="F53" s="2303"/>
      <c r="G53" s="2303"/>
      <c r="H53" s="2303"/>
      <c r="I53" s="2303"/>
      <c r="J53" s="2303"/>
      <c r="K53" s="2303"/>
      <c r="L53" s="2303"/>
      <c r="M53" s="2303"/>
      <c r="N53" s="2303"/>
      <c r="O53" s="2303"/>
      <c r="P53" s="2303"/>
      <c r="Q53" s="2303"/>
      <c r="R53" s="2303"/>
      <c r="S53" s="2303"/>
      <c r="T53" s="2303"/>
      <c r="U53" s="2303"/>
      <c r="V53" s="2303"/>
      <c r="W53" s="2303"/>
      <c r="X53" s="2303"/>
      <c r="Y53" s="2303"/>
      <c r="Z53" s="2307"/>
      <c r="AA53" s="2307"/>
      <c r="AB53" s="2307"/>
      <c r="AC53" s="2307"/>
      <c r="AD53" s="2307"/>
      <c r="AE53" s="2307"/>
      <c r="AF53" s="2307"/>
      <c r="AG53" s="2307"/>
      <c r="AH53" s="2307"/>
      <c r="AI53" s="2307"/>
      <c r="AJ53" s="2307"/>
      <c r="AK53" s="2307"/>
      <c r="AL53" s="2307"/>
      <c r="AM53" s="2307"/>
      <c r="AN53" s="2307"/>
      <c r="AO53" s="2307"/>
      <c r="AP53" s="2307"/>
      <c r="AQ53" s="2307"/>
      <c r="AR53" s="2307"/>
      <c r="AS53" s="2307"/>
      <c r="AT53" s="2307"/>
      <c r="AU53" s="2307"/>
      <c r="AV53" s="2307"/>
      <c r="AW53" s="2307"/>
      <c r="AX53" s="2307"/>
      <c r="AY53" s="2307"/>
      <c r="AZ53" s="2311"/>
    </row>
    <row r="54" spans="1:52">
      <c r="A54" s="2312"/>
      <c r="B54" s="2307"/>
      <c r="C54" s="2307"/>
      <c r="D54" s="2307"/>
      <c r="E54" s="2307"/>
      <c r="F54" s="2307"/>
      <c r="G54" s="2307"/>
      <c r="H54" s="2307"/>
      <c r="I54" s="2307"/>
      <c r="J54" s="2307"/>
      <c r="K54" s="2307"/>
      <c r="L54" s="2307"/>
      <c r="M54" s="2307"/>
      <c r="N54" s="2307"/>
      <c r="O54" s="2307"/>
      <c r="P54" s="2307"/>
      <c r="Q54" s="2307"/>
      <c r="R54" s="2307"/>
      <c r="S54" s="2307"/>
      <c r="T54" s="2307"/>
      <c r="U54" s="2307"/>
      <c r="V54" s="2307"/>
      <c r="W54" s="2307"/>
      <c r="X54" s="2307"/>
      <c r="Y54" s="2307"/>
      <c r="Z54" s="2307"/>
      <c r="AA54" s="2307"/>
      <c r="AB54" s="2307"/>
      <c r="AC54" s="2307"/>
      <c r="AD54" s="2307"/>
      <c r="AE54" s="2307"/>
      <c r="AF54" s="2307"/>
      <c r="AG54" s="2307"/>
      <c r="AH54" s="2307"/>
      <c r="AI54" s="2307"/>
      <c r="AJ54" s="2307"/>
      <c r="AK54" s="2307"/>
      <c r="AL54" s="2307"/>
      <c r="AM54" s="2307"/>
      <c r="AN54" s="2307"/>
      <c r="AO54" s="2307"/>
      <c r="AP54" s="2307"/>
      <c r="AQ54" s="2307"/>
      <c r="AR54" s="2307"/>
      <c r="AS54" s="2307"/>
      <c r="AT54" s="2307"/>
      <c r="AU54" s="2307"/>
      <c r="AV54" s="2307"/>
      <c r="AW54" s="2307"/>
      <c r="AX54" s="2307"/>
      <c r="AY54" s="2307"/>
      <c r="AZ54" s="2311"/>
    </row>
    <row r="55" spans="1:52">
      <c r="A55" s="2312"/>
      <c r="B55" s="2307"/>
      <c r="C55" s="2307"/>
      <c r="D55" s="2307"/>
      <c r="E55" s="2307"/>
      <c r="F55" s="2307"/>
      <c r="G55" s="2307"/>
      <c r="H55" s="2307"/>
      <c r="I55" s="2307"/>
      <c r="J55" s="2307"/>
      <c r="K55" s="2307"/>
      <c r="L55" s="2307"/>
      <c r="M55" s="2307"/>
      <c r="N55" s="2307"/>
      <c r="O55" s="2307"/>
      <c r="P55" s="2307"/>
      <c r="Q55" s="2307"/>
      <c r="R55" s="2307"/>
      <c r="S55" s="2307"/>
      <c r="T55" s="2307"/>
      <c r="U55" s="2307"/>
      <c r="V55" s="2307"/>
      <c r="W55" s="2307"/>
      <c r="X55" s="2307"/>
      <c r="Y55" s="2307"/>
      <c r="Z55" s="2307"/>
      <c r="AA55" s="2307"/>
      <c r="AB55" s="2307"/>
      <c r="AC55" s="2307"/>
      <c r="AD55" s="2307"/>
      <c r="AE55" s="2307"/>
      <c r="AF55" s="2307"/>
      <c r="AG55" s="2307"/>
      <c r="AH55" s="2307"/>
      <c r="AI55" s="2307"/>
      <c r="AJ55" s="2307"/>
      <c r="AK55" s="2307"/>
      <c r="AL55" s="2307"/>
      <c r="AM55" s="2307"/>
      <c r="AN55" s="2307"/>
      <c r="AO55" s="2307"/>
      <c r="AP55" s="2307"/>
      <c r="AQ55" s="2307"/>
      <c r="AR55" s="2307"/>
      <c r="AS55" s="2307"/>
      <c r="AT55" s="2307"/>
      <c r="AU55" s="2307"/>
      <c r="AV55" s="2307"/>
      <c r="AW55" s="2307"/>
      <c r="AX55" s="2307"/>
      <c r="AY55" s="2307"/>
      <c r="AZ55" s="2311"/>
    </row>
    <row r="56" spans="1:52">
      <c r="A56" s="2312"/>
      <c r="B56" s="2307"/>
      <c r="C56" s="2307"/>
      <c r="D56" s="2307"/>
      <c r="E56" s="2307"/>
      <c r="F56" s="2307"/>
      <c r="G56" s="2307"/>
      <c r="H56" s="2307"/>
      <c r="I56" s="2307"/>
      <c r="J56" s="2307"/>
      <c r="K56" s="2307"/>
      <c r="L56" s="2307"/>
      <c r="M56" s="2307"/>
      <c r="N56" s="2307"/>
      <c r="O56" s="2307"/>
      <c r="P56" s="2307"/>
      <c r="Q56" s="2307"/>
      <c r="R56" s="2307"/>
      <c r="S56" s="2307"/>
      <c r="T56" s="2307"/>
      <c r="U56" s="2307"/>
      <c r="V56" s="2307"/>
      <c r="W56" s="2307"/>
      <c r="X56" s="2307"/>
      <c r="Y56" s="2307"/>
      <c r="Z56" s="2307"/>
      <c r="AA56" s="2307"/>
      <c r="AB56" s="2307"/>
      <c r="AC56" s="2307"/>
      <c r="AD56" s="2307"/>
      <c r="AE56" s="2307"/>
      <c r="AF56" s="2307"/>
      <c r="AG56" s="2307"/>
      <c r="AH56" s="2307"/>
      <c r="AI56" s="2307"/>
      <c r="AJ56" s="2307"/>
      <c r="AK56" s="2307"/>
      <c r="AL56" s="2307"/>
      <c r="AM56" s="2307"/>
      <c r="AN56" s="2307"/>
      <c r="AO56" s="2307"/>
      <c r="AP56" s="2307"/>
      <c r="AQ56" s="2307"/>
      <c r="AR56" s="2307"/>
      <c r="AS56" s="2307"/>
      <c r="AT56" s="2307"/>
      <c r="AU56" s="2307"/>
      <c r="AV56" s="2307"/>
      <c r="AW56" s="2307"/>
      <c r="AX56" s="2307"/>
      <c r="AY56" s="2307"/>
      <c r="AZ56" s="2311"/>
    </row>
    <row r="57" spans="1:52">
      <c r="A57" s="2312"/>
      <c r="B57" s="2307"/>
      <c r="C57" s="2307"/>
      <c r="D57" s="2307"/>
      <c r="E57" s="2307"/>
      <c r="F57" s="2307"/>
      <c r="G57" s="2307"/>
      <c r="H57" s="2307"/>
      <c r="I57" s="2307"/>
      <c r="J57" s="2307"/>
      <c r="K57" s="2307"/>
      <c r="L57" s="2307"/>
      <c r="M57" s="2307"/>
      <c r="N57" s="2307"/>
      <c r="O57" s="2307"/>
      <c r="P57" s="2307"/>
      <c r="Q57" s="2307"/>
      <c r="R57" s="2307"/>
      <c r="S57" s="2307"/>
      <c r="T57" s="2307"/>
      <c r="U57" s="2307"/>
      <c r="V57" s="2307"/>
      <c r="W57" s="2307"/>
      <c r="X57" s="2307"/>
      <c r="Y57" s="2307"/>
      <c r="Z57" s="2307"/>
      <c r="AA57" s="2307"/>
      <c r="AB57" s="2307"/>
      <c r="AC57" s="2307"/>
      <c r="AD57" s="2307"/>
      <c r="AE57" s="2307"/>
      <c r="AF57" s="2307"/>
      <c r="AG57" s="2307"/>
      <c r="AH57" s="2307"/>
      <c r="AI57" s="2307"/>
      <c r="AJ57" s="2307"/>
      <c r="AK57" s="2307"/>
      <c r="AL57" s="2307"/>
      <c r="AM57" s="2307"/>
      <c r="AN57" s="2307"/>
      <c r="AO57" s="2307"/>
      <c r="AP57" s="2307"/>
      <c r="AQ57" s="2307"/>
      <c r="AR57" s="2307"/>
      <c r="AS57" s="2307"/>
      <c r="AT57" s="2307"/>
      <c r="AU57" s="2307"/>
      <c r="AV57" s="2307"/>
      <c r="AW57" s="2307"/>
      <c r="AX57" s="2307"/>
      <c r="AY57" s="2307"/>
      <c r="AZ57" s="2311"/>
    </row>
    <row r="58" spans="1:52">
      <c r="A58" s="2312"/>
      <c r="B58" s="2307"/>
      <c r="C58" s="2307"/>
      <c r="D58" s="2307"/>
      <c r="E58" s="2307"/>
      <c r="F58" s="2307"/>
      <c r="G58" s="2307"/>
      <c r="H58" s="2307"/>
      <c r="I58" s="2307"/>
      <c r="J58" s="2307"/>
      <c r="K58" s="2307"/>
      <c r="L58" s="2307"/>
      <c r="M58" s="2307"/>
      <c r="N58" s="2307"/>
      <c r="O58" s="2307"/>
      <c r="P58" s="2307"/>
      <c r="Q58" s="2307"/>
      <c r="R58" s="2307"/>
      <c r="S58" s="2307"/>
      <c r="T58" s="2307"/>
      <c r="U58" s="2307"/>
      <c r="V58" s="2307"/>
      <c r="W58" s="2307"/>
      <c r="X58" s="2307"/>
      <c r="Y58" s="2307"/>
      <c r="Z58" s="2307"/>
      <c r="AA58" s="2307"/>
      <c r="AB58" s="2307"/>
      <c r="AC58" s="2307"/>
      <c r="AD58" s="2307"/>
      <c r="AE58" s="2307"/>
      <c r="AF58" s="2307"/>
      <c r="AG58" s="2307"/>
      <c r="AH58" s="2307"/>
      <c r="AI58" s="2307"/>
      <c r="AJ58" s="2307"/>
      <c r="AK58" s="2307"/>
      <c r="AL58" s="2307"/>
      <c r="AM58" s="2307"/>
      <c r="AN58" s="2307"/>
      <c r="AO58" s="2307"/>
      <c r="AP58" s="2307"/>
      <c r="AQ58" s="2307"/>
      <c r="AR58" s="2307"/>
      <c r="AS58" s="2307"/>
      <c r="AT58" s="2307"/>
      <c r="AU58" s="2307"/>
      <c r="AV58" s="2307"/>
      <c r="AW58" s="2307"/>
      <c r="AX58" s="2307"/>
      <c r="AY58" s="2307"/>
      <c r="AZ58" s="2311"/>
    </row>
    <row r="59" spans="1:52">
      <c r="A59" s="2312"/>
      <c r="B59" s="2307"/>
      <c r="C59" s="2307"/>
      <c r="D59" s="2307"/>
      <c r="E59" s="2307"/>
      <c r="F59" s="2307"/>
      <c r="G59" s="2307"/>
      <c r="H59" s="2307"/>
      <c r="I59" s="2307"/>
      <c r="J59" s="2307"/>
      <c r="K59" s="2307"/>
      <c r="L59" s="2307"/>
      <c r="M59" s="2307"/>
      <c r="N59" s="2307"/>
      <c r="O59" s="2307"/>
      <c r="P59" s="2307"/>
      <c r="Q59" s="2307"/>
      <c r="R59" s="2307"/>
      <c r="S59" s="2307"/>
      <c r="T59" s="2307"/>
      <c r="U59" s="2307"/>
      <c r="V59" s="2307"/>
      <c r="W59" s="2307"/>
      <c r="X59" s="2307"/>
      <c r="Y59" s="2307"/>
      <c r="Z59" s="2307"/>
      <c r="AA59" s="2307"/>
      <c r="AB59" s="2307"/>
      <c r="AC59" s="2307"/>
      <c r="AD59" s="2307"/>
      <c r="AE59" s="2307"/>
      <c r="AF59" s="2307"/>
      <c r="AG59" s="2307"/>
      <c r="AH59" s="2307"/>
      <c r="AI59" s="2307"/>
      <c r="AJ59" s="2307"/>
      <c r="AK59" s="2307"/>
      <c r="AL59" s="2307"/>
      <c r="AM59" s="2307"/>
      <c r="AN59" s="2307"/>
      <c r="AO59" s="2307"/>
      <c r="AP59" s="2307"/>
      <c r="AQ59" s="2307"/>
      <c r="AR59" s="2307"/>
      <c r="AS59" s="2307"/>
      <c r="AT59" s="2307"/>
      <c r="AU59" s="2307"/>
      <c r="AV59" s="2307"/>
      <c r="AW59" s="2307"/>
      <c r="AX59" s="2307"/>
      <c r="AY59" s="2307"/>
      <c r="AZ59" s="2311"/>
    </row>
    <row r="60" spans="1:52">
      <c r="A60" s="2312"/>
      <c r="B60" s="2307"/>
      <c r="C60" s="2307"/>
      <c r="D60" s="2307"/>
      <c r="E60" s="2307"/>
      <c r="F60" s="2307"/>
      <c r="G60" s="2307"/>
      <c r="H60" s="2307"/>
      <c r="I60" s="2307"/>
      <c r="J60" s="2307"/>
      <c r="K60" s="2307"/>
      <c r="L60" s="2307"/>
      <c r="M60" s="2307"/>
      <c r="N60" s="2307"/>
      <c r="O60" s="2307"/>
      <c r="P60" s="2307"/>
      <c r="Q60" s="2307"/>
      <c r="R60" s="2307"/>
      <c r="S60" s="2307"/>
      <c r="T60" s="2307"/>
      <c r="U60" s="2307"/>
      <c r="V60" s="2307"/>
      <c r="W60" s="2307"/>
      <c r="X60" s="2307"/>
      <c r="Y60" s="2307"/>
      <c r="Z60" s="2307"/>
      <c r="AA60" s="2307"/>
      <c r="AB60" s="2307"/>
      <c r="AC60" s="2307"/>
      <c r="AD60" s="2307"/>
      <c r="AE60" s="2307"/>
      <c r="AF60" s="2307"/>
      <c r="AG60" s="2307"/>
      <c r="AH60" s="2307"/>
      <c r="AI60" s="2307"/>
      <c r="AJ60" s="2307"/>
      <c r="AK60" s="2307"/>
      <c r="AL60" s="2307"/>
      <c r="AM60" s="2307"/>
      <c r="AN60" s="2307"/>
      <c r="AO60" s="2307"/>
      <c r="AP60" s="2307"/>
      <c r="AQ60" s="2307"/>
      <c r="AR60" s="2307"/>
      <c r="AS60" s="2307"/>
      <c r="AT60" s="2307"/>
      <c r="AU60" s="2307"/>
      <c r="AV60" s="2307"/>
      <c r="AW60" s="2307"/>
      <c r="AX60" s="2307"/>
      <c r="AY60" s="2307"/>
      <c r="AZ60" s="2311"/>
    </row>
    <row r="61" spans="1:52">
      <c r="A61" s="2312"/>
      <c r="B61" s="2307"/>
      <c r="C61" s="2307"/>
      <c r="D61" s="2307"/>
      <c r="E61" s="2307"/>
      <c r="F61" s="2307"/>
      <c r="G61" s="2307"/>
      <c r="H61" s="2307"/>
      <c r="I61" s="2307"/>
      <c r="J61" s="2307"/>
      <c r="K61" s="2307"/>
      <c r="L61" s="2307"/>
      <c r="M61" s="2307"/>
      <c r="N61" s="2307"/>
      <c r="O61" s="2307"/>
      <c r="P61" s="2307"/>
      <c r="Q61" s="2307"/>
      <c r="R61" s="2307"/>
      <c r="S61" s="2307"/>
      <c r="T61" s="2307"/>
      <c r="U61" s="2307"/>
      <c r="V61" s="2307"/>
      <c r="W61" s="2307"/>
      <c r="X61" s="2307"/>
      <c r="Y61" s="2307"/>
      <c r="Z61" s="2307"/>
      <c r="AA61" s="2307"/>
      <c r="AB61" s="2307"/>
      <c r="AC61" s="2307"/>
      <c r="AD61" s="2307"/>
      <c r="AE61" s="2307"/>
      <c r="AF61" s="2307"/>
      <c r="AG61" s="2307"/>
      <c r="AH61" s="2307"/>
      <c r="AI61" s="2307"/>
      <c r="AJ61" s="2307"/>
      <c r="AK61" s="2307"/>
      <c r="AL61" s="2307"/>
      <c r="AM61" s="2307"/>
      <c r="AN61" s="2307"/>
      <c r="AO61" s="2307"/>
      <c r="AP61" s="2307"/>
      <c r="AQ61" s="2307"/>
      <c r="AR61" s="2307"/>
      <c r="AS61" s="2307"/>
      <c r="AT61" s="2307"/>
      <c r="AU61" s="2307"/>
      <c r="AV61" s="2307"/>
      <c r="AW61" s="2307"/>
      <c r="AX61" s="2307"/>
      <c r="AY61" s="2307"/>
      <c r="AZ61" s="2311"/>
    </row>
    <row r="62" spans="1:52">
      <c r="A62" s="2312"/>
      <c r="B62" s="2307"/>
      <c r="C62" s="2307"/>
      <c r="D62" s="2307"/>
      <c r="E62" s="2307"/>
      <c r="F62" s="2307"/>
      <c r="G62" s="2307"/>
      <c r="H62" s="2307"/>
      <c r="I62" s="2307"/>
      <c r="J62" s="2307"/>
      <c r="K62" s="2307"/>
      <c r="L62" s="2307"/>
      <c r="M62" s="2307"/>
      <c r="N62" s="2307"/>
      <c r="O62" s="2307"/>
      <c r="P62" s="2307"/>
      <c r="Q62" s="2307"/>
      <c r="R62" s="2307"/>
      <c r="S62" s="2307"/>
      <c r="T62" s="2307"/>
      <c r="U62" s="2307"/>
      <c r="V62" s="2307"/>
      <c r="W62" s="2307"/>
      <c r="X62" s="2307"/>
      <c r="Y62" s="2307"/>
      <c r="Z62" s="2307"/>
      <c r="AA62" s="2307"/>
      <c r="AB62" s="2307"/>
      <c r="AC62" s="2307"/>
      <c r="AD62" s="2307"/>
      <c r="AE62" s="2307"/>
      <c r="AF62" s="2307"/>
      <c r="AG62" s="2307"/>
      <c r="AH62" s="2307"/>
      <c r="AI62" s="2307"/>
      <c r="AJ62" s="2307"/>
      <c r="AK62" s="2307"/>
      <c r="AL62" s="2307"/>
      <c r="AM62" s="2307"/>
      <c r="AN62" s="2307"/>
      <c r="AO62" s="2307"/>
      <c r="AP62" s="2307"/>
      <c r="AQ62" s="2307"/>
      <c r="AR62" s="2307"/>
      <c r="AS62" s="2307"/>
      <c r="AT62" s="2307"/>
      <c r="AU62" s="2307"/>
      <c r="AV62" s="2307"/>
      <c r="AW62" s="2307"/>
      <c r="AX62" s="2307"/>
      <c r="AY62" s="2307"/>
      <c r="AZ62" s="2311"/>
    </row>
    <row r="63" spans="1:52">
      <c r="A63" s="2312"/>
      <c r="B63" s="2307"/>
      <c r="C63" s="2307"/>
      <c r="D63" s="2307"/>
      <c r="E63" s="2307"/>
      <c r="F63" s="2307"/>
      <c r="G63" s="2307"/>
      <c r="H63" s="2307"/>
      <c r="I63" s="2307"/>
      <c r="J63" s="2307"/>
      <c r="K63" s="2307"/>
      <c r="L63" s="2307"/>
      <c r="M63" s="2307"/>
      <c r="N63" s="2307"/>
      <c r="O63" s="2307"/>
      <c r="P63" s="2307"/>
      <c r="Q63" s="2307"/>
      <c r="R63" s="2307"/>
      <c r="S63" s="2307"/>
      <c r="T63" s="2307"/>
      <c r="U63" s="2307"/>
      <c r="V63" s="2307"/>
      <c r="W63" s="2307"/>
      <c r="X63" s="2307"/>
      <c r="Y63" s="2307"/>
      <c r="Z63" s="2307"/>
      <c r="AA63" s="2307"/>
      <c r="AB63" s="2307"/>
      <c r="AC63" s="2307"/>
      <c r="AD63" s="2307"/>
      <c r="AE63" s="2307"/>
      <c r="AF63" s="2307"/>
      <c r="AG63" s="2307"/>
      <c r="AH63" s="2307"/>
      <c r="AI63" s="2307"/>
      <c r="AJ63" s="2307"/>
      <c r="AK63" s="2307"/>
      <c r="AL63" s="2307"/>
      <c r="AM63" s="2307"/>
      <c r="AN63" s="2307"/>
      <c r="AO63" s="2307"/>
      <c r="AP63" s="2307"/>
      <c r="AQ63" s="2307"/>
      <c r="AR63" s="2307"/>
      <c r="AS63" s="2307"/>
      <c r="AT63" s="2307"/>
      <c r="AU63" s="2307"/>
      <c r="AV63" s="2307"/>
      <c r="AW63" s="2307"/>
      <c r="AX63" s="2307"/>
      <c r="AY63" s="2307"/>
      <c r="AZ63" s="2311"/>
    </row>
    <row r="64" spans="1:52">
      <c r="A64" s="2312"/>
      <c r="B64" s="2307"/>
      <c r="C64" s="2307"/>
      <c r="D64" s="2307"/>
      <c r="E64" s="2307"/>
      <c r="F64" s="2307"/>
      <c r="G64" s="2307"/>
      <c r="H64" s="2307"/>
      <c r="I64" s="2307"/>
      <c r="J64" s="2307"/>
      <c r="K64" s="2307"/>
      <c r="L64" s="2307"/>
      <c r="M64" s="2307"/>
      <c r="N64" s="2307"/>
      <c r="O64" s="2307"/>
      <c r="P64" s="2307"/>
      <c r="Q64" s="2307"/>
      <c r="R64" s="2307"/>
      <c r="S64" s="2307"/>
      <c r="T64" s="2307"/>
      <c r="U64" s="2307"/>
      <c r="V64" s="2307"/>
      <c r="W64" s="2307"/>
      <c r="X64" s="2307"/>
      <c r="Y64" s="2307"/>
      <c r="Z64" s="2307"/>
      <c r="AA64" s="2307"/>
      <c r="AB64" s="2307"/>
      <c r="AC64" s="2307"/>
      <c r="AD64" s="2307"/>
      <c r="AE64" s="2307"/>
      <c r="AF64" s="2307"/>
      <c r="AG64" s="2307"/>
      <c r="AH64" s="2307"/>
      <c r="AI64" s="2307"/>
      <c r="AJ64" s="2307"/>
      <c r="AK64" s="2307"/>
      <c r="AL64" s="2307"/>
      <c r="AM64" s="2307"/>
      <c r="AN64" s="2307"/>
      <c r="AO64" s="2307"/>
      <c r="AP64" s="2307"/>
      <c r="AQ64" s="2307"/>
      <c r="AR64" s="2307"/>
      <c r="AS64" s="2307"/>
      <c r="AT64" s="2307"/>
      <c r="AU64" s="2307"/>
      <c r="AV64" s="2307"/>
      <c r="AW64" s="2307"/>
      <c r="AX64" s="2307"/>
      <c r="AY64" s="2307"/>
      <c r="AZ64" s="2311"/>
    </row>
    <row r="65" spans="1:52">
      <c r="A65" s="2312"/>
      <c r="B65" s="2307"/>
      <c r="C65" s="2307"/>
      <c r="D65" s="2307"/>
      <c r="E65" s="2307"/>
      <c r="F65" s="2307"/>
      <c r="G65" s="2307"/>
      <c r="H65" s="2307"/>
      <c r="I65" s="2307"/>
      <c r="J65" s="2307"/>
      <c r="K65" s="2307"/>
      <c r="L65" s="2307"/>
      <c r="M65" s="2307"/>
      <c r="N65" s="2307"/>
      <c r="O65" s="2307"/>
      <c r="P65" s="2307"/>
      <c r="Q65" s="2307"/>
      <c r="R65" s="2307"/>
      <c r="S65" s="2307"/>
      <c r="T65" s="2307"/>
      <c r="U65" s="2307"/>
      <c r="V65" s="2307"/>
      <c r="W65" s="2307"/>
      <c r="X65" s="2307"/>
      <c r="Y65" s="2307"/>
      <c r="Z65" s="2307"/>
      <c r="AA65" s="2307"/>
      <c r="AB65" s="2307"/>
      <c r="AC65" s="2307"/>
      <c r="AD65" s="2307"/>
      <c r="AE65" s="2307"/>
      <c r="AF65" s="2307"/>
      <c r="AG65" s="2307"/>
      <c r="AH65" s="2307"/>
      <c r="AI65" s="2307"/>
      <c r="AJ65" s="2307"/>
      <c r="AK65" s="2307"/>
      <c r="AL65" s="2307"/>
      <c r="AM65" s="2307"/>
      <c r="AN65" s="2307"/>
      <c r="AO65" s="2307"/>
      <c r="AP65" s="2307"/>
      <c r="AQ65" s="2307"/>
      <c r="AR65" s="2307"/>
      <c r="AS65" s="2307"/>
      <c r="AT65" s="2307"/>
      <c r="AU65" s="2307"/>
      <c r="AV65" s="2307"/>
      <c r="AW65" s="2307"/>
      <c r="AX65" s="2307"/>
      <c r="AY65" s="2307"/>
      <c r="AZ65" s="2311"/>
    </row>
    <row r="66" spans="1:52">
      <c r="A66" s="2312"/>
      <c r="B66" s="2307"/>
      <c r="C66" s="2307"/>
      <c r="D66" s="2307"/>
      <c r="E66" s="2307"/>
      <c r="F66" s="2307"/>
      <c r="G66" s="2307"/>
      <c r="H66" s="2307"/>
      <c r="I66" s="2307"/>
      <c r="J66" s="2307"/>
      <c r="K66" s="2307"/>
      <c r="L66" s="2307"/>
      <c r="M66" s="2307"/>
      <c r="N66" s="2307"/>
      <c r="O66" s="2307"/>
      <c r="P66" s="2307"/>
      <c r="Q66" s="2307"/>
      <c r="R66" s="2307"/>
      <c r="S66" s="2307"/>
      <c r="T66" s="2307"/>
      <c r="U66" s="2307"/>
      <c r="V66" s="2307"/>
      <c r="W66" s="2307"/>
      <c r="X66" s="2307"/>
      <c r="Y66" s="2307"/>
      <c r="Z66" s="2307"/>
      <c r="AA66" s="2307"/>
      <c r="AB66" s="2307"/>
      <c r="AC66" s="2307"/>
      <c r="AD66" s="2307"/>
      <c r="AE66" s="2307"/>
      <c r="AF66" s="2307"/>
      <c r="AG66" s="2307"/>
      <c r="AH66" s="2307"/>
      <c r="AI66" s="2307"/>
      <c r="AJ66" s="2307"/>
      <c r="AK66" s="2307"/>
      <c r="AL66" s="2307"/>
      <c r="AM66" s="2307"/>
      <c r="AN66" s="2307"/>
      <c r="AO66" s="2307"/>
      <c r="AP66" s="2307"/>
      <c r="AQ66" s="2307"/>
      <c r="AR66" s="2307"/>
      <c r="AS66" s="2307"/>
      <c r="AT66" s="2307"/>
      <c r="AU66" s="2307"/>
      <c r="AV66" s="2307"/>
      <c r="AW66" s="2307"/>
      <c r="AX66" s="2307"/>
      <c r="AY66" s="2307"/>
      <c r="AZ66" s="2311"/>
    </row>
    <row r="67" spans="1:52">
      <c r="A67" s="2312"/>
      <c r="B67" s="2307"/>
      <c r="C67" s="2307"/>
      <c r="D67" s="2307"/>
      <c r="E67" s="2307"/>
      <c r="F67" s="2307"/>
      <c r="G67" s="2307"/>
      <c r="H67" s="2307"/>
      <c r="I67" s="2307"/>
      <c r="J67" s="2307"/>
      <c r="K67" s="2307"/>
      <c r="L67" s="2307"/>
      <c r="M67" s="2307"/>
      <c r="N67" s="2307"/>
      <c r="O67" s="2307"/>
      <c r="P67" s="2307"/>
      <c r="Q67" s="2307"/>
      <c r="R67" s="2307"/>
      <c r="S67" s="2307"/>
      <c r="T67" s="2307"/>
      <c r="U67" s="2307"/>
      <c r="V67" s="2307"/>
      <c r="W67" s="2307"/>
      <c r="X67" s="2307"/>
      <c r="Y67" s="2307"/>
      <c r="Z67" s="2307"/>
      <c r="AA67" s="2307"/>
      <c r="AB67" s="2307"/>
      <c r="AC67" s="2307"/>
      <c r="AD67" s="2307"/>
      <c r="AE67" s="2307"/>
      <c r="AF67" s="2307"/>
      <c r="AG67" s="2307"/>
      <c r="AH67" s="2307"/>
      <c r="AI67" s="2307"/>
      <c r="AJ67" s="2307"/>
      <c r="AK67" s="2307"/>
      <c r="AL67" s="2307"/>
      <c r="AM67" s="2307"/>
      <c r="AN67" s="2307"/>
      <c r="AO67" s="2307"/>
      <c r="AP67" s="2307"/>
      <c r="AQ67" s="2307"/>
      <c r="AR67" s="2307"/>
      <c r="AS67" s="2307"/>
      <c r="AT67" s="2307"/>
      <c r="AU67" s="2307"/>
      <c r="AV67" s="2307"/>
      <c r="AW67" s="2307"/>
      <c r="AX67" s="2307"/>
      <c r="AY67" s="2307"/>
      <c r="AZ67" s="2311"/>
    </row>
    <row r="68" spans="1:52">
      <c r="A68" s="2312"/>
      <c r="B68" s="2307"/>
      <c r="C68" s="2307"/>
      <c r="D68" s="2307"/>
      <c r="E68" s="2307"/>
      <c r="F68" s="2307"/>
      <c r="G68" s="2307"/>
      <c r="H68" s="2307"/>
      <c r="I68" s="2307"/>
      <c r="J68" s="2307"/>
      <c r="K68" s="2307"/>
      <c r="L68" s="2307"/>
      <c r="M68" s="2307"/>
      <c r="N68" s="2307"/>
      <c r="O68" s="2307"/>
      <c r="P68" s="2307"/>
      <c r="Q68" s="2307"/>
      <c r="R68" s="2307"/>
      <c r="S68" s="2307"/>
      <c r="T68" s="2307"/>
      <c r="U68" s="2307"/>
      <c r="V68" s="2307"/>
      <c r="W68" s="2307"/>
      <c r="X68" s="2307"/>
      <c r="Y68" s="2307"/>
      <c r="Z68" s="2307"/>
      <c r="AA68" s="2307"/>
      <c r="AB68" s="2307"/>
      <c r="AC68" s="2307"/>
      <c r="AD68" s="2307"/>
      <c r="AE68" s="2307"/>
      <c r="AF68" s="2307"/>
      <c r="AG68" s="2307"/>
      <c r="AH68" s="2307"/>
      <c r="AI68" s="2307"/>
      <c r="AJ68" s="2307"/>
      <c r="AK68" s="2307"/>
      <c r="AL68" s="2307"/>
      <c r="AM68" s="2307"/>
      <c r="AN68" s="2307"/>
      <c r="AO68" s="2307"/>
      <c r="AP68" s="2307"/>
      <c r="AQ68" s="2307"/>
      <c r="AR68" s="2307"/>
      <c r="AS68" s="2307"/>
      <c r="AT68" s="2307"/>
      <c r="AU68" s="2307"/>
      <c r="AV68" s="2307"/>
      <c r="AW68" s="2307"/>
      <c r="AX68" s="2307"/>
      <c r="AY68" s="2307"/>
      <c r="AZ68" s="2311"/>
    </row>
    <row r="69" spans="1:52">
      <c r="A69" s="2312"/>
      <c r="B69" s="2307"/>
      <c r="C69" s="2307"/>
      <c r="D69" s="2307"/>
      <c r="E69" s="2307"/>
      <c r="F69" s="2307"/>
      <c r="G69" s="2307"/>
      <c r="H69" s="2307"/>
      <c r="I69" s="2307"/>
      <c r="J69" s="2307"/>
      <c r="K69" s="2307"/>
      <c r="L69" s="2307"/>
      <c r="M69" s="2307"/>
      <c r="N69" s="2307"/>
      <c r="O69" s="2307"/>
      <c r="P69" s="2307"/>
      <c r="Q69" s="2307"/>
      <c r="R69" s="2307"/>
      <c r="S69" s="2307"/>
      <c r="T69" s="2307"/>
      <c r="U69" s="2307"/>
      <c r="V69" s="2307"/>
      <c r="W69" s="2307"/>
      <c r="X69" s="2307"/>
      <c r="Y69" s="2307"/>
      <c r="Z69" s="2307"/>
      <c r="AA69" s="2307"/>
      <c r="AB69" s="2307"/>
      <c r="AC69" s="2307"/>
      <c r="AD69" s="2307"/>
      <c r="AE69" s="2307"/>
      <c r="AF69" s="2307"/>
      <c r="AG69" s="2307"/>
      <c r="AH69" s="2307"/>
      <c r="AI69" s="2307"/>
      <c r="AJ69" s="2307"/>
      <c r="AK69" s="2307"/>
      <c r="AL69" s="2307"/>
      <c r="AM69" s="2307"/>
      <c r="AN69" s="2307"/>
      <c r="AO69" s="2307"/>
      <c r="AP69" s="2307"/>
      <c r="AQ69" s="2307"/>
      <c r="AR69" s="2307"/>
      <c r="AS69" s="2307"/>
      <c r="AT69" s="2307"/>
      <c r="AU69" s="2307"/>
      <c r="AV69" s="2307"/>
      <c r="AW69" s="2307"/>
      <c r="AX69" s="2307"/>
      <c r="AY69" s="2307"/>
      <c r="AZ69" s="2311"/>
    </row>
    <row r="70" spans="1:52">
      <c r="A70" s="2312"/>
      <c r="B70" s="2307"/>
      <c r="C70" s="2307"/>
      <c r="D70" s="2307"/>
      <c r="E70" s="2307"/>
      <c r="F70" s="2307"/>
      <c r="G70" s="2307"/>
      <c r="H70" s="2307"/>
      <c r="I70" s="2307"/>
      <c r="J70" s="2307"/>
      <c r="K70" s="2307"/>
      <c r="L70" s="2307"/>
      <c r="M70" s="2307"/>
      <c r="N70" s="2307"/>
      <c r="O70" s="2307"/>
      <c r="P70" s="2307"/>
      <c r="Q70" s="2307"/>
      <c r="R70" s="2307"/>
      <c r="S70" s="2307"/>
      <c r="T70" s="2307"/>
      <c r="U70" s="2307"/>
      <c r="V70" s="2307"/>
      <c r="W70" s="2307"/>
      <c r="X70" s="2307"/>
      <c r="Y70" s="2307"/>
      <c r="Z70" s="2307"/>
      <c r="AA70" s="2307"/>
      <c r="AB70" s="2307"/>
      <c r="AC70" s="2307"/>
      <c r="AD70" s="2307"/>
      <c r="AE70" s="2307"/>
      <c r="AF70" s="2307"/>
      <c r="AG70" s="2307"/>
      <c r="AH70" s="2307"/>
      <c r="AI70" s="2307"/>
      <c r="AJ70" s="2307"/>
      <c r="AK70" s="2307"/>
      <c r="AL70" s="2307"/>
      <c r="AM70" s="2307"/>
      <c r="AN70" s="2307"/>
      <c r="AO70" s="2307"/>
      <c r="AP70" s="2307"/>
      <c r="AQ70" s="2307"/>
      <c r="AR70" s="2307"/>
      <c r="AS70" s="2307"/>
      <c r="AT70" s="2307"/>
      <c r="AU70" s="2307"/>
      <c r="AV70" s="2307"/>
      <c r="AW70" s="2307"/>
      <c r="AX70" s="2307"/>
      <c r="AY70" s="2307"/>
      <c r="AZ70" s="2311"/>
    </row>
    <row r="71" spans="1:52" ht="13.5" thickBot="1">
      <c r="A71" s="2313"/>
      <c r="B71" s="2314"/>
      <c r="C71" s="2314"/>
      <c r="D71" s="2314"/>
      <c r="E71" s="2314"/>
      <c r="F71" s="2314"/>
      <c r="G71" s="2314"/>
      <c r="H71" s="2314"/>
      <c r="I71" s="2314"/>
      <c r="J71" s="2314"/>
      <c r="K71" s="2314"/>
      <c r="L71" s="2314"/>
      <c r="M71" s="2314"/>
      <c r="N71" s="2314"/>
      <c r="O71" s="2314"/>
      <c r="P71" s="2314"/>
      <c r="Q71" s="2314"/>
      <c r="R71" s="2314"/>
      <c r="S71" s="2314"/>
      <c r="T71" s="2314"/>
      <c r="U71" s="2314"/>
      <c r="V71" s="2314"/>
      <c r="W71" s="2314"/>
      <c r="X71" s="2314"/>
      <c r="Y71" s="2314"/>
      <c r="Z71" s="2314"/>
      <c r="AA71" s="2314"/>
      <c r="AB71" s="2314"/>
      <c r="AC71" s="2314"/>
      <c r="AD71" s="2314"/>
      <c r="AE71" s="2314"/>
      <c r="AF71" s="2314"/>
      <c r="AG71" s="2314"/>
      <c r="AH71" s="2314"/>
      <c r="AI71" s="2314"/>
      <c r="AJ71" s="2314"/>
      <c r="AK71" s="2314"/>
      <c r="AL71" s="2314"/>
      <c r="AM71" s="2314"/>
      <c r="AN71" s="2314"/>
      <c r="AO71" s="2314"/>
      <c r="AP71" s="2314"/>
      <c r="AQ71" s="2314"/>
      <c r="AR71" s="2314"/>
      <c r="AS71" s="2314"/>
      <c r="AT71" s="2314"/>
      <c r="AU71" s="2314"/>
      <c r="AV71" s="2314"/>
      <c r="AW71" s="2314"/>
      <c r="AX71" s="2314"/>
      <c r="AY71" s="2314"/>
      <c r="AZ71" s="2315"/>
    </row>
  </sheetData>
  <mergeCells count="1">
    <mergeCell ref="A4:Y4"/>
  </mergeCells>
  <pageMargins left="0.7" right="0.7" top="0.75" bottom="0.75" header="0.3" footer="0.3"/>
  <drawing r:id="rId1"/>
  <legacyDrawing r:id="rId2"/>
  <controls>
    <mc:AlternateContent xmlns:mc="http://schemas.openxmlformats.org/markup-compatibility/2006">
      <mc:Choice Requires="x14">
        <control shapeId="1340417" r:id="rId3" name="CommandButton_ScreeningCurve">
          <controlPr defaultSize="0" autoLine="0" r:id="rId4">
            <anchor moveWithCells="1">
              <from>
                <xdr:col>0</xdr:col>
                <xdr:colOff>28575</xdr:colOff>
                <xdr:row>5</xdr:row>
                <xdr:rowOff>104775</xdr:rowOff>
              </from>
              <to>
                <xdr:col>1</xdr:col>
                <xdr:colOff>438150</xdr:colOff>
                <xdr:row>9</xdr:row>
                <xdr:rowOff>95250</xdr:rowOff>
              </to>
            </anchor>
          </controlPr>
        </control>
      </mc:Choice>
      <mc:Fallback>
        <control shapeId="1340417" r:id="rId3" name="CommandButton_ScreeningCurve"/>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2D050"/>
  </sheetPr>
  <dimension ref="A1:AE69"/>
  <sheetViews>
    <sheetView topLeftCell="A4" zoomScale="80" zoomScaleNormal="80" workbookViewId="0">
      <selection activeCell="D45" sqref="D45"/>
    </sheetView>
  </sheetViews>
  <sheetFormatPr defaultRowHeight="12.75"/>
  <sheetData>
    <row r="1" spans="1:31" s="2377" customFormat="1" ht="18">
      <c r="A1" s="2377" t="s">
        <v>1593</v>
      </c>
    </row>
    <row r="2" spans="1:31" s="2377" customFormat="1" ht="18.75" thickBot="1">
      <c r="A2" s="2377" t="s">
        <v>1594</v>
      </c>
      <c r="B2" s="2377" t="s">
        <v>1595</v>
      </c>
    </row>
    <row r="3" spans="1:31" s="2378" customFormat="1" ht="13.5" thickBot="1"/>
    <row r="4" spans="1:31" ht="60.6" customHeight="1">
      <c r="A4" s="4533" t="s">
        <v>1620</v>
      </c>
      <c r="B4" s="4534"/>
      <c r="C4" s="4534"/>
      <c r="D4" s="4534"/>
      <c r="E4" s="4534"/>
      <c r="F4" s="4534"/>
      <c r="G4" s="4534"/>
      <c r="H4" s="4534"/>
      <c r="I4" s="4534"/>
      <c r="J4" s="4534"/>
      <c r="K4" s="4534"/>
      <c r="L4" s="4534"/>
      <c r="M4" s="4534"/>
      <c r="N4" s="4534"/>
      <c r="O4" s="4534"/>
      <c r="P4" s="4534"/>
      <c r="Q4" s="4534"/>
      <c r="R4" s="4534"/>
      <c r="S4" s="4534"/>
      <c r="T4" s="4534"/>
      <c r="U4" s="4534"/>
      <c r="V4" s="4534"/>
      <c r="W4" s="4534"/>
      <c r="X4" s="4534"/>
      <c r="Y4" s="4534"/>
      <c r="Z4" s="4534"/>
      <c r="AA4" s="4534"/>
      <c r="AB4" s="4534"/>
      <c r="AC4" s="4534"/>
      <c r="AD4" s="4534"/>
      <c r="AE4" s="2310"/>
    </row>
    <row r="5" spans="1:31">
      <c r="A5" s="2299"/>
      <c r="B5" s="2293"/>
      <c r="C5" s="2293"/>
      <c r="D5" s="2293"/>
      <c r="E5" s="2293"/>
      <c r="F5" s="2293"/>
      <c r="G5" s="2293"/>
      <c r="H5" s="2293"/>
      <c r="I5" s="2293"/>
      <c r="J5" s="2293"/>
      <c r="K5" s="2293"/>
      <c r="L5" s="2293"/>
      <c r="M5" s="2293"/>
      <c r="N5" s="2293"/>
      <c r="O5" s="2293"/>
      <c r="P5" s="2293"/>
      <c r="Q5" s="2293"/>
      <c r="R5" s="2293"/>
      <c r="S5" s="2293"/>
      <c r="T5" s="2293"/>
      <c r="U5" s="2293"/>
      <c r="V5" s="2293"/>
      <c r="W5" s="2293"/>
      <c r="X5" s="2293"/>
      <c r="Y5" s="2293"/>
      <c r="Z5" s="2293"/>
      <c r="AA5" s="2293"/>
      <c r="AB5" s="2293"/>
      <c r="AC5" s="2293"/>
      <c r="AD5" s="2293"/>
      <c r="AE5" s="2311"/>
    </row>
    <row r="6" spans="1:31">
      <c r="A6" s="2299"/>
      <c r="B6" s="2293"/>
      <c r="C6" s="2293"/>
      <c r="D6" s="2293"/>
      <c r="E6" s="2293"/>
      <c r="F6" s="2293"/>
      <c r="G6" s="2293"/>
      <c r="H6" s="2293"/>
      <c r="I6" s="2293"/>
      <c r="J6" s="2293"/>
      <c r="K6" s="2293"/>
      <c r="L6" s="2293"/>
      <c r="M6" s="2293"/>
      <c r="N6" s="2293"/>
      <c r="O6" s="2293"/>
      <c r="P6" s="2293"/>
      <c r="Q6" s="2293"/>
      <c r="R6" s="2293"/>
      <c r="S6" s="2293"/>
      <c r="T6" s="2293"/>
      <c r="U6" s="2293"/>
      <c r="V6" s="2293"/>
      <c r="W6" s="2293"/>
      <c r="X6" s="2293"/>
      <c r="Y6" s="2293"/>
      <c r="Z6" s="2293"/>
      <c r="AA6" s="2293"/>
      <c r="AB6" s="2293"/>
      <c r="AC6" s="2293"/>
      <c r="AD6" s="2293"/>
      <c r="AE6" s="2311"/>
    </row>
    <row r="7" spans="1:31">
      <c r="A7" s="2299"/>
      <c r="B7" s="2293"/>
      <c r="C7" s="2293"/>
      <c r="D7" s="2293"/>
      <c r="E7" s="2293"/>
      <c r="F7" s="2293"/>
      <c r="G7" s="2293"/>
      <c r="H7" s="2293"/>
      <c r="I7" s="2293"/>
      <c r="J7" s="2293"/>
      <c r="K7" s="2293"/>
      <c r="L7" s="2293"/>
      <c r="M7" s="2293"/>
      <c r="N7" s="2293"/>
      <c r="O7" s="2293"/>
      <c r="P7" s="2293"/>
      <c r="Q7" s="2293"/>
      <c r="R7" s="2293"/>
      <c r="S7" s="2293"/>
      <c r="T7" s="2293"/>
      <c r="U7" s="2293"/>
      <c r="V7" s="2293"/>
      <c r="W7" s="2293"/>
      <c r="X7" s="2293"/>
      <c r="Y7" s="2293"/>
      <c r="Z7" s="2293"/>
      <c r="AA7" s="2293"/>
      <c r="AB7" s="2293"/>
      <c r="AC7" s="2293"/>
      <c r="AD7" s="2293"/>
      <c r="AE7" s="2311"/>
    </row>
    <row r="8" spans="1:31">
      <c r="A8" s="2299"/>
      <c r="B8" s="2293"/>
      <c r="C8" s="2293"/>
      <c r="D8" s="2293"/>
      <c r="E8" s="2293"/>
      <c r="F8" s="2293"/>
      <c r="G8" s="2293"/>
      <c r="H8" s="2293"/>
      <c r="I8" s="2293"/>
      <c r="J8" s="2293"/>
      <c r="K8" s="2293"/>
      <c r="L8" s="2293"/>
      <c r="M8" s="2293"/>
      <c r="N8" s="2293"/>
      <c r="O8" s="2293"/>
      <c r="P8" s="2293"/>
      <c r="Q8" s="2293"/>
      <c r="R8" s="2293"/>
      <c r="S8" s="2293"/>
      <c r="T8" s="2293"/>
      <c r="U8" s="2293"/>
      <c r="V8" s="2293"/>
      <c r="W8" s="2293"/>
      <c r="X8" s="2293"/>
      <c r="Y8" s="2293"/>
      <c r="Z8" s="2293"/>
      <c r="AA8" s="2293"/>
      <c r="AB8" s="2293"/>
      <c r="AC8" s="2293"/>
      <c r="AD8" s="2293"/>
      <c r="AE8" s="2311"/>
    </row>
    <row r="9" spans="1:31">
      <c r="A9" s="2299"/>
      <c r="B9" s="2293"/>
      <c r="C9" s="2293"/>
      <c r="D9" s="2293"/>
      <c r="E9" s="2293"/>
      <c r="F9" s="2293"/>
      <c r="G9" s="2293"/>
      <c r="H9" s="2293"/>
      <c r="I9" s="2293"/>
      <c r="J9" s="2293"/>
      <c r="K9" s="2293"/>
      <c r="L9" s="2293"/>
      <c r="M9" s="2293"/>
      <c r="N9" s="2293"/>
      <c r="O9" s="2293"/>
      <c r="P9" s="2293"/>
      <c r="Q9" s="2293"/>
      <c r="R9" s="2293"/>
      <c r="S9" s="2293"/>
      <c r="T9" s="2293"/>
      <c r="U9" s="2293"/>
      <c r="V9" s="2293"/>
      <c r="W9" s="2293"/>
      <c r="X9" s="2293"/>
      <c r="Y9" s="2293"/>
      <c r="Z9" s="2293"/>
      <c r="AA9" s="2293"/>
      <c r="AB9" s="2293"/>
      <c r="AC9" s="2293"/>
      <c r="AD9" s="2293"/>
      <c r="AE9" s="2311"/>
    </row>
    <row r="10" spans="1:31">
      <c r="A10" s="2299"/>
      <c r="B10" s="2293"/>
      <c r="C10" s="2293"/>
      <c r="D10" s="2293"/>
      <c r="E10" s="2293"/>
      <c r="F10" s="2293"/>
      <c r="G10" s="2293"/>
      <c r="H10" s="2293"/>
      <c r="I10" s="2293"/>
      <c r="J10" s="2293"/>
      <c r="K10" s="2293"/>
      <c r="L10" s="2293"/>
      <c r="M10" s="2293"/>
      <c r="N10" s="2293"/>
      <c r="O10" s="2293"/>
      <c r="P10" s="2293"/>
      <c r="Q10" s="2293"/>
      <c r="R10" s="2293"/>
      <c r="S10" s="2293"/>
      <c r="T10" s="2293"/>
      <c r="U10" s="2293"/>
      <c r="V10" s="2293"/>
      <c r="W10" s="2293"/>
      <c r="X10" s="2293"/>
      <c r="Y10" s="2293"/>
      <c r="Z10" s="2293"/>
      <c r="AA10" s="2293"/>
      <c r="AB10" s="2293"/>
      <c r="AC10" s="2293"/>
      <c r="AD10" s="2293"/>
      <c r="AE10" s="2311"/>
    </row>
    <row r="11" spans="1:31">
      <c r="A11" s="2299"/>
      <c r="B11" s="2293"/>
      <c r="C11" s="2293"/>
      <c r="D11" s="2293"/>
      <c r="E11" s="2293"/>
      <c r="F11" s="2293"/>
      <c r="G11" s="2293"/>
      <c r="H11" s="2293"/>
      <c r="I11" s="2293"/>
      <c r="J11" s="2293"/>
      <c r="K11" s="2293"/>
      <c r="L11" s="2293"/>
      <c r="M11" s="2293"/>
      <c r="N11" s="2293"/>
      <c r="O11" s="2293"/>
      <c r="P11" s="2293"/>
      <c r="Q11" s="2293"/>
      <c r="R11" s="2293"/>
      <c r="S11" s="2293"/>
      <c r="T11" s="2293"/>
      <c r="U11" s="2293"/>
      <c r="V11" s="2293"/>
      <c r="W11" s="2293"/>
      <c r="X11" s="2293"/>
      <c r="Y11" s="2293"/>
      <c r="Z11" s="2293"/>
      <c r="AA11" s="2293"/>
      <c r="AB11" s="2293"/>
      <c r="AC11" s="2293"/>
      <c r="AD11" s="2293"/>
      <c r="AE11" s="2311"/>
    </row>
    <row r="12" spans="1:31">
      <c r="A12" s="2299"/>
      <c r="B12" s="2293"/>
      <c r="C12" s="2293"/>
      <c r="D12" s="2293"/>
      <c r="E12" s="2293"/>
      <c r="F12" s="2293"/>
      <c r="G12" s="2293"/>
      <c r="H12" s="2293"/>
      <c r="I12" s="2293"/>
      <c r="J12" s="2293"/>
      <c r="K12" s="2293"/>
      <c r="L12" s="2293"/>
      <c r="M12" s="2293"/>
      <c r="N12" s="2293"/>
      <c r="O12" s="2293"/>
      <c r="P12" s="2293"/>
      <c r="Q12" s="2293"/>
      <c r="R12" s="2293"/>
      <c r="S12" s="2293"/>
      <c r="T12" s="2293"/>
      <c r="U12" s="2293"/>
      <c r="V12" s="2293"/>
      <c r="W12" s="2293"/>
      <c r="X12" s="2293"/>
      <c r="Y12" s="2293"/>
      <c r="Z12" s="2293"/>
      <c r="AA12" s="2293"/>
      <c r="AB12" s="2293"/>
      <c r="AC12" s="2293"/>
      <c r="AD12" s="2293"/>
      <c r="AE12" s="2311"/>
    </row>
    <row r="13" spans="1:31">
      <c r="A13" s="2299"/>
      <c r="B13" s="2293"/>
      <c r="C13" s="2293"/>
      <c r="D13" s="2293"/>
      <c r="E13" s="2293"/>
      <c r="F13" s="2293"/>
      <c r="G13" s="2293"/>
      <c r="H13" s="2293"/>
      <c r="I13" s="2293"/>
      <c r="J13" s="2293"/>
      <c r="K13" s="2293"/>
      <c r="L13" s="2293"/>
      <c r="M13" s="2293"/>
      <c r="N13" s="2293"/>
      <c r="O13" s="2293"/>
      <c r="P13" s="2293"/>
      <c r="Q13" s="2293"/>
      <c r="R13" s="2293"/>
      <c r="S13" s="2293"/>
      <c r="T13" s="2293"/>
      <c r="U13" s="2293"/>
      <c r="V13" s="2293"/>
      <c r="W13" s="2293"/>
      <c r="X13" s="2293"/>
      <c r="Y13" s="2293"/>
      <c r="Z13" s="2293"/>
      <c r="AA13" s="2293"/>
      <c r="AB13" s="2293"/>
      <c r="AC13" s="2293"/>
      <c r="AD13" s="2293"/>
      <c r="AE13" s="2311"/>
    </row>
    <row r="14" spans="1:31">
      <c r="A14" s="2299"/>
      <c r="B14" s="2293"/>
      <c r="C14" s="2293"/>
      <c r="D14" s="2293"/>
      <c r="E14" s="2293"/>
      <c r="F14" s="2293"/>
      <c r="G14" s="2293"/>
      <c r="H14" s="2293"/>
      <c r="I14" s="2293"/>
      <c r="J14" s="2293"/>
      <c r="K14" s="2293"/>
      <c r="L14" s="2293"/>
      <c r="M14" s="2293"/>
      <c r="N14" s="2293"/>
      <c r="O14" s="2293"/>
      <c r="P14" s="2293"/>
      <c r="Q14" s="2293"/>
      <c r="R14" s="2293"/>
      <c r="S14" s="2293"/>
      <c r="T14" s="2293"/>
      <c r="U14" s="2293"/>
      <c r="V14" s="2293"/>
      <c r="W14" s="2293"/>
      <c r="X14" s="2293"/>
      <c r="Y14" s="2293"/>
      <c r="Z14" s="2293"/>
      <c r="AA14" s="2293"/>
      <c r="AB14" s="2293"/>
      <c r="AC14" s="2293"/>
      <c r="AD14" s="2293"/>
      <c r="AE14" s="2311"/>
    </row>
    <row r="15" spans="1:31">
      <c r="A15" s="2299"/>
      <c r="B15" s="2293"/>
      <c r="C15" s="2293"/>
      <c r="D15" s="2293"/>
      <c r="E15" s="2293"/>
      <c r="F15" s="2293"/>
      <c r="G15" s="2293"/>
      <c r="H15" s="2293"/>
      <c r="I15" s="2293"/>
      <c r="J15" s="2293"/>
      <c r="K15" s="2293"/>
      <c r="L15" s="2293"/>
      <c r="M15" s="2293"/>
      <c r="N15" s="2293"/>
      <c r="O15" s="2293"/>
      <c r="P15" s="2293"/>
      <c r="Q15" s="2293"/>
      <c r="R15" s="2293"/>
      <c r="S15" s="2293"/>
      <c r="T15" s="2293"/>
      <c r="U15" s="2293"/>
      <c r="V15" s="2293"/>
      <c r="W15" s="2293"/>
      <c r="X15" s="2293"/>
      <c r="Y15" s="2293"/>
      <c r="Z15" s="2293"/>
      <c r="AA15" s="2293"/>
      <c r="AB15" s="2293"/>
      <c r="AC15" s="2293"/>
      <c r="AD15" s="2293"/>
      <c r="AE15" s="2311"/>
    </row>
    <row r="16" spans="1:31">
      <c r="A16" s="2299"/>
      <c r="B16" s="2293"/>
      <c r="C16" s="2293"/>
      <c r="D16" s="2293"/>
      <c r="E16" s="2293"/>
      <c r="F16" s="2293"/>
      <c r="G16" s="2293"/>
      <c r="H16" s="2293"/>
      <c r="I16" s="2293"/>
      <c r="J16" s="2293"/>
      <c r="K16" s="2293"/>
      <c r="L16" s="2293"/>
      <c r="M16" s="2293"/>
      <c r="N16" s="2293"/>
      <c r="O16" s="2293"/>
      <c r="P16" s="2293"/>
      <c r="Q16" s="2293"/>
      <c r="R16" s="2293"/>
      <c r="S16" s="2293"/>
      <c r="T16" s="2293"/>
      <c r="U16" s="2293"/>
      <c r="V16" s="2293"/>
      <c r="W16" s="2293"/>
      <c r="X16" s="2293"/>
      <c r="Y16" s="2293"/>
      <c r="Z16" s="2293"/>
      <c r="AA16" s="2293"/>
      <c r="AB16" s="2293"/>
      <c r="AC16" s="2293"/>
      <c r="AD16" s="2293"/>
      <c r="AE16" s="2311"/>
    </row>
    <row r="17" spans="1:31">
      <c r="A17" s="2299"/>
      <c r="B17" s="2293"/>
      <c r="C17" s="2293"/>
      <c r="D17" s="2293"/>
      <c r="E17" s="2293"/>
      <c r="F17" s="2293"/>
      <c r="G17" s="2293"/>
      <c r="H17" s="2293"/>
      <c r="I17" s="2293"/>
      <c r="J17" s="2293"/>
      <c r="K17" s="2293"/>
      <c r="L17" s="2293"/>
      <c r="M17" s="2293"/>
      <c r="N17" s="2293"/>
      <c r="O17" s="2293"/>
      <c r="P17" s="2293"/>
      <c r="Q17" s="2293"/>
      <c r="R17" s="2293"/>
      <c r="S17" s="2293"/>
      <c r="T17" s="2293"/>
      <c r="U17" s="2293"/>
      <c r="V17" s="2293"/>
      <c r="W17" s="2293"/>
      <c r="X17" s="2293"/>
      <c r="Y17" s="2293"/>
      <c r="Z17" s="2293"/>
      <c r="AA17" s="2293"/>
      <c r="AB17" s="2293"/>
      <c r="AC17" s="2293"/>
      <c r="AD17" s="2293"/>
      <c r="AE17" s="2311"/>
    </row>
    <row r="18" spans="1:31">
      <c r="A18" s="2299"/>
      <c r="B18" s="2293"/>
      <c r="C18" s="2293"/>
      <c r="D18" s="2293"/>
      <c r="E18" s="2293"/>
      <c r="F18" s="2293"/>
      <c r="G18" s="2293"/>
      <c r="H18" s="2293"/>
      <c r="I18" s="2293"/>
      <c r="J18" s="2293"/>
      <c r="K18" s="2293"/>
      <c r="L18" s="2293"/>
      <c r="M18" s="2293"/>
      <c r="N18" s="2293"/>
      <c r="O18" s="2293"/>
      <c r="P18" s="2293"/>
      <c r="Q18" s="2293"/>
      <c r="R18" s="2293"/>
      <c r="S18" s="2293"/>
      <c r="T18" s="2293"/>
      <c r="U18" s="2293"/>
      <c r="V18" s="2293"/>
      <c r="W18" s="2293"/>
      <c r="X18" s="2293"/>
      <c r="Y18" s="2293"/>
      <c r="Z18" s="2293"/>
      <c r="AA18" s="2293"/>
      <c r="AB18" s="2293"/>
      <c r="AC18" s="2293"/>
      <c r="AD18" s="2293"/>
      <c r="AE18" s="2311"/>
    </row>
    <row r="19" spans="1:31">
      <c r="A19" s="2299"/>
      <c r="B19" s="2293"/>
      <c r="C19" s="2293"/>
      <c r="D19" s="2293"/>
      <c r="E19" s="2293"/>
      <c r="F19" s="2293"/>
      <c r="G19" s="2293"/>
      <c r="H19" s="2293"/>
      <c r="I19" s="2293"/>
      <c r="J19" s="2293"/>
      <c r="K19" s="2293"/>
      <c r="L19" s="2293"/>
      <c r="M19" s="2293"/>
      <c r="N19" s="2293"/>
      <c r="O19" s="2293"/>
      <c r="P19" s="2293"/>
      <c r="Q19" s="2293"/>
      <c r="R19" s="2293"/>
      <c r="S19" s="2293"/>
      <c r="T19" s="2293"/>
      <c r="U19" s="2293"/>
      <c r="V19" s="2293"/>
      <c r="W19" s="2293"/>
      <c r="X19" s="2293"/>
      <c r="Y19" s="2293"/>
      <c r="Z19" s="2293"/>
      <c r="AA19" s="2293"/>
      <c r="AB19" s="2293"/>
      <c r="AC19" s="2293"/>
      <c r="AD19" s="2293"/>
      <c r="AE19" s="2311"/>
    </row>
    <row r="20" spans="1:31">
      <c r="A20" s="2299"/>
      <c r="B20" s="2293"/>
      <c r="C20" s="2293"/>
      <c r="D20" s="2293"/>
      <c r="E20" s="2293"/>
      <c r="F20" s="2293"/>
      <c r="G20" s="2293"/>
      <c r="H20" s="2293"/>
      <c r="I20" s="2293"/>
      <c r="J20" s="2293"/>
      <c r="K20" s="2293"/>
      <c r="L20" s="2293"/>
      <c r="M20" s="2293"/>
      <c r="N20" s="2293"/>
      <c r="O20" s="2293"/>
      <c r="P20" s="2293"/>
      <c r="Q20" s="2293"/>
      <c r="R20" s="2293"/>
      <c r="S20" s="2293"/>
      <c r="T20" s="2293"/>
      <c r="U20" s="2293"/>
      <c r="V20" s="2293"/>
      <c r="W20" s="2293"/>
      <c r="X20" s="2293"/>
      <c r="Y20" s="2293"/>
      <c r="Z20" s="2293"/>
      <c r="AA20" s="2293"/>
      <c r="AB20" s="2293"/>
      <c r="AC20" s="2293"/>
      <c r="AD20" s="2293"/>
      <c r="AE20" s="2311"/>
    </row>
    <row r="21" spans="1:31">
      <c r="A21" s="2299"/>
      <c r="B21" s="2293"/>
      <c r="C21" s="2293"/>
      <c r="D21" s="2293"/>
      <c r="E21" s="2293"/>
      <c r="F21" s="2293"/>
      <c r="G21" s="2293"/>
      <c r="H21" s="2293"/>
      <c r="I21" s="2293"/>
      <c r="J21" s="2293"/>
      <c r="K21" s="2293"/>
      <c r="L21" s="2293"/>
      <c r="M21" s="2293"/>
      <c r="N21" s="2293"/>
      <c r="O21" s="2293"/>
      <c r="P21" s="2293"/>
      <c r="Q21" s="2293"/>
      <c r="R21" s="2293"/>
      <c r="S21" s="2293"/>
      <c r="T21" s="2293"/>
      <c r="U21" s="2293"/>
      <c r="V21" s="2293"/>
      <c r="W21" s="2293"/>
      <c r="X21" s="2293"/>
      <c r="Y21" s="2293"/>
      <c r="Z21" s="2293"/>
      <c r="AA21" s="2293"/>
      <c r="AB21" s="2293"/>
      <c r="AC21" s="2293"/>
      <c r="AD21" s="2293"/>
      <c r="AE21" s="2311"/>
    </row>
    <row r="22" spans="1:31">
      <c r="A22" s="2299"/>
      <c r="B22" s="2293"/>
      <c r="C22" s="2293"/>
      <c r="D22" s="2293"/>
      <c r="E22" s="2293"/>
      <c r="F22" s="2293"/>
      <c r="G22" s="2293"/>
      <c r="H22" s="2293"/>
      <c r="I22" s="2293"/>
      <c r="J22" s="2293"/>
      <c r="K22" s="2293"/>
      <c r="L22" s="2293"/>
      <c r="M22" s="2293"/>
      <c r="N22" s="2293"/>
      <c r="O22" s="2293"/>
      <c r="P22" s="2293"/>
      <c r="Q22" s="2293"/>
      <c r="R22" s="2293"/>
      <c r="S22" s="2293"/>
      <c r="T22" s="2293"/>
      <c r="U22" s="2293"/>
      <c r="V22" s="2293"/>
      <c r="W22" s="2293"/>
      <c r="X22" s="2293"/>
      <c r="Y22" s="2293"/>
      <c r="Z22" s="2293"/>
      <c r="AA22" s="2293"/>
      <c r="AB22" s="2293"/>
      <c r="AC22" s="2293"/>
      <c r="AD22" s="2293"/>
      <c r="AE22" s="2311"/>
    </row>
    <row r="23" spans="1:31">
      <c r="A23" s="2299"/>
      <c r="B23" s="2293"/>
      <c r="C23" s="2293"/>
      <c r="D23" s="2293"/>
      <c r="E23" s="2293"/>
      <c r="F23" s="2293"/>
      <c r="G23" s="2293"/>
      <c r="H23" s="2293"/>
      <c r="I23" s="2293"/>
      <c r="J23" s="2293"/>
      <c r="K23" s="2293"/>
      <c r="L23" s="2293"/>
      <c r="M23" s="2293"/>
      <c r="N23" s="2293"/>
      <c r="O23" s="2293"/>
      <c r="P23" s="2293"/>
      <c r="Q23" s="2293"/>
      <c r="R23" s="2293"/>
      <c r="S23" s="2293"/>
      <c r="T23" s="2293"/>
      <c r="U23" s="2293"/>
      <c r="V23" s="2293"/>
      <c r="W23" s="2293"/>
      <c r="X23" s="2293"/>
      <c r="Y23" s="2293"/>
      <c r="Z23" s="2293"/>
      <c r="AA23" s="2293"/>
      <c r="AB23" s="2293"/>
      <c r="AC23" s="2293"/>
      <c r="AD23" s="2293"/>
      <c r="AE23" s="2311"/>
    </row>
    <row r="24" spans="1:31">
      <c r="A24" s="2299"/>
      <c r="B24" s="2293"/>
      <c r="C24" s="2293"/>
      <c r="D24" s="2293"/>
      <c r="E24" s="2293"/>
      <c r="F24" s="2293"/>
      <c r="G24" s="2293"/>
      <c r="H24" s="2293"/>
      <c r="I24" s="2293"/>
      <c r="J24" s="2293"/>
      <c r="K24" s="2293"/>
      <c r="L24" s="2293"/>
      <c r="M24" s="2293"/>
      <c r="N24" s="2293"/>
      <c r="O24" s="2293"/>
      <c r="P24" s="2293"/>
      <c r="Q24" s="2293"/>
      <c r="R24" s="2293"/>
      <c r="S24" s="2293"/>
      <c r="T24" s="2293"/>
      <c r="U24" s="2293"/>
      <c r="V24" s="2293"/>
      <c r="W24" s="2293"/>
      <c r="X24" s="2293"/>
      <c r="Y24" s="2293"/>
      <c r="Z24" s="2293"/>
      <c r="AA24" s="2293"/>
      <c r="AB24" s="2293"/>
      <c r="AC24" s="2293"/>
      <c r="AD24" s="2293"/>
      <c r="AE24" s="2311"/>
    </row>
    <row r="25" spans="1:31">
      <c r="A25" s="2299"/>
      <c r="B25" s="2293"/>
      <c r="C25" s="2293"/>
      <c r="D25" s="2293"/>
      <c r="E25" s="2293"/>
      <c r="F25" s="2293"/>
      <c r="G25" s="2293"/>
      <c r="H25" s="2293"/>
      <c r="I25" s="2293"/>
      <c r="J25" s="2293"/>
      <c r="K25" s="2293"/>
      <c r="L25" s="2293"/>
      <c r="M25" s="2293"/>
      <c r="N25" s="2293"/>
      <c r="O25" s="2293"/>
      <c r="P25" s="2293"/>
      <c r="Q25" s="2293"/>
      <c r="R25" s="2293"/>
      <c r="S25" s="2293"/>
      <c r="T25" s="2293"/>
      <c r="U25" s="2293"/>
      <c r="V25" s="2293"/>
      <c r="W25" s="2293"/>
      <c r="X25" s="2293"/>
      <c r="Y25" s="2293"/>
      <c r="Z25" s="2293"/>
      <c r="AA25" s="2293"/>
      <c r="AB25" s="2293"/>
      <c r="AC25" s="2293"/>
      <c r="AD25" s="2293"/>
      <c r="AE25" s="2311"/>
    </row>
    <row r="26" spans="1:31">
      <c r="A26" s="2299"/>
      <c r="B26" s="2293"/>
      <c r="C26" s="2293"/>
      <c r="D26" s="2293"/>
      <c r="E26" s="2293"/>
      <c r="F26" s="2293"/>
      <c r="G26" s="2293"/>
      <c r="H26" s="2293"/>
      <c r="I26" s="2293"/>
      <c r="J26" s="2293"/>
      <c r="K26" s="2293"/>
      <c r="L26" s="2293"/>
      <c r="M26" s="2293"/>
      <c r="N26" s="2293"/>
      <c r="O26" s="2293"/>
      <c r="P26" s="2293"/>
      <c r="Q26" s="2293"/>
      <c r="R26" s="2293"/>
      <c r="S26" s="2293"/>
      <c r="T26" s="2293"/>
      <c r="U26" s="2293"/>
      <c r="V26" s="2293"/>
      <c r="W26" s="2293"/>
      <c r="X26" s="2293"/>
      <c r="Y26" s="2293"/>
      <c r="Z26" s="2293"/>
      <c r="AA26" s="2293"/>
      <c r="AB26" s="2293"/>
      <c r="AC26" s="2293"/>
      <c r="AD26" s="2293"/>
      <c r="AE26" s="2311"/>
    </row>
    <row r="27" spans="1:31">
      <c r="A27" s="2299"/>
      <c r="B27" s="2293"/>
      <c r="C27" s="2293"/>
      <c r="D27" s="2293"/>
      <c r="E27" s="2293"/>
      <c r="F27" s="2293"/>
      <c r="G27" s="2293"/>
      <c r="H27" s="2293"/>
      <c r="I27" s="2293"/>
      <c r="J27" s="2293"/>
      <c r="K27" s="2293"/>
      <c r="L27" s="2293"/>
      <c r="M27" s="2293"/>
      <c r="N27" s="2293"/>
      <c r="O27" s="2293"/>
      <c r="P27" s="2293"/>
      <c r="Q27" s="2293"/>
      <c r="R27" s="2293"/>
      <c r="S27" s="2293"/>
      <c r="T27" s="2293"/>
      <c r="U27" s="2293"/>
      <c r="V27" s="2293"/>
      <c r="W27" s="2293"/>
      <c r="X27" s="2293"/>
      <c r="Y27" s="2293"/>
      <c r="Z27" s="2293"/>
      <c r="AA27" s="2293"/>
      <c r="AB27" s="2293"/>
      <c r="AC27" s="2293"/>
      <c r="AD27" s="2293"/>
      <c r="AE27" s="2311"/>
    </row>
    <row r="28" spans="1:31">
      <c r="A28" s="2299"/>
      <c r="B28" s="2293"/>
      <c r="C28" s="2293"/>
      <c r="D28" s="2293"/>
      <c r="E28" s="2293"/>
      <c r="F28" s="2293"/>
      <c r="G28" s="2293"/>
      <c r="H28" s="2293"/>
      <c r="I28" s="2293"/>
      <c r="J28" s="2293"/>
      <c r="K28" s="2293"/>
      <c r="L28" s="2293"/>
      <c r="M28" s="2293"/>
      <c r="N28" s="2293"/>
      <c r="O28" s="2293"/>
      <c r="P28" s="2293"/>
      <c r="Q28" s="2293"/>
      <c r="R28" s="2293"/>
      <c r="S28" s="2293"/>
      <c r="T28" s="2293"/>
      <c r="U28" s="2293"/>
      <c r="V28" s="2293"/>
      <c r="W28" s="2293"/>
      <c r="X28" s="2293"/>
      <c r="Y28" s="2293"/>
      <c r="Z28" s="2293"/>
      <c r="AA28" s="2293"/>
      <c r="AB28" s="2293"/>
      <c r="AC28" s="2293"/>
      <c r="AD28" s="2293"/>
      <c r="AE28" s="2311"/>
    </row>
    <row r="29" spans="1:31">
      <c r="A29" s="2299"/>
      <c r="B29" s="2293"/>
      <c r="C29" s="2293"/>
      <c r="D29" s="2293"/>
      <c r="E29" s="2293"/>
      <c r="F29" s="2293"/>
      <c r="G29" s="2293"/>
      <c r="H29" s="2293"/>
      <c r="I29" s="2293"/>
      <c r="J29" s="2293"/>
      <c r="K29" s="2293"/>
      <c r="L29" s="2293"/>
      <c r="M29" s="2293"/>
      <c r="N29" s="2293"/>
      <c r="O29" s="2293"/>
      <c r="P29" s="2293"/>
      <c r="Q29" s="2293"/>
      <c r="R29" s="2293"/>
      <c r="S29" s="2293"/>
      <c r="T29" s="2293"/>
      <c r="U29" s="2293"/>
      <c r="V29" s="2293"/>
      <c r="W29" s="2293"/>
      <c r="X29" s="2293"/>
      <c r="Y29" s="2293"/>
      <c r="Z29" s="2293"/>
      <c r="AA29" s="2293"/>
      <c r="AB29" s="2293"/>
      <c r="AC29" s="2293"/>
      <c r="AD29" s="2293"/>
      <c r="AE29" s="2311"/>
    </row>
    <row r="30" spans="1:31">
      <c r="A30" s="2299"/>
      <c r="B30" s="2293"/>
      <c r="C30" s="2293"/>
      <c r="D30" s="2293"/>
      <c r="E30" s="2293"/>
      <c r="F30" s="2293"/>
      <c r="G30" s="2293"/>
      <c r="H30" s="2293"/>
      <c r="I30" s="2293"/>
      <c r="J30" s="2293"/>
      <c r="K30" s="2293"/>
      <c r="L30" s="2293"/>
      <c r="M30" s="2293"/>
      <c r="N30" s="2293"/>
      <c r="O30" s="2293"/>
      <c r="P30" s="2293"/>
      <c r="Q30" s="2293"/>
      <c r="R30" s="2293"/>
      <c r="S30" s="2293"/>
      <c r="T30" s="2293"/>
      <c r="U30" s="2293"/>
      <c r="V30" s="2293"/>
      <c r="W30" s="2293"/>
      <c r="X30" s="2293"/>
      <c r="Y30" s="2293"/>
      <c r="Z30" s="2293"/>
      <c r="AA30" s="2293"/>
      <c r="AB30" s="2293"/>
      <c r="AC30" s="2293"/>
      <c r="AD30" s="2293"/>
      <c r="AE30" s="2311"/>
    </row>
    <row r="31" spans="1:31">
      <c r="A31" s="2299"/>
      <c r="B31" s="2293"/>
      <c r="C31" s="2293"/>
      <c r="D31" s="2293"/>
      <c r="E31" s="2293"/>
      <c r="F31" s="2293"/>
      <c r="G31" s="2293"/>
      <c r="H31" s="2293"/>
      <c r="I31" s="2293"/>
      <c r="J31" s="2293"/>
      <c r="K31" s="2293"/>
      <c r="L31" s="2293"/>
      <c r="M31" s="2293"/>
      <c r="N31" s="2293"/>
      <c r="O31" s="2293"/>
      <c r="P31" s="2293"/>
      <c r="Q31" s="2293"/>
      <c r="R31" s="2293"/>
      <c r="S31" s="2293"/>
      <c r="T31" s="2293"/>
      <c r="U31" s="2293"/>
      <c r="V31" s="2293"/>
      <c r="W31" s="2293"/>
      <c r="X31" s="2293"/>
      <c r="Y31" s="2293"/>
      <c r="Z31" s="2293"/>
      <c r="AA31" s="2293"/>
      <c r="AB31" s="2293"/>
      <c r="AC31" s="2293"/>
      <c r="AD31" s="2293"/>
      <c r="AE31" s="2311"/>
    </row>
    <row r="32" spans="1:31">
      <c r="A32" s="2299"/>
      <c r="B32" s="2293"/>
      <c r="C32" s="2293"/>
      <c r="D32" s="2293"/>
      <c r="E32" s="2293"/>
      <c r="F32" s="2293"/>
      <c r="G32" s="2293"/>
      <c r="H32" s="2293"/>
      <c r="I32" s="2293"/>
      <c r="J32" s="2293"/>
      <c r="K32" s="2293"/>
      <c r="L32" s="2293"/>
      <c r="M32" s="2293"/>
      <c r="N32" s="2293"/>
      <c r="O32" s="2293"/>
      <c r="P32" s="2293"/>
      <c r="Q32" s="2293"/>
      <c r="R32" s="2293"/>
      <c r="S32" s="2293"/>
      <c r="T32" s="2293"/>
      <c r="U32" s="2293"/>
      <c r="V32" s="2293"/>
      <c r="W32" s="2293"/>
      <c r="X32" s="2293"/>
      <c r="Y32" s="2293"/>
      <c r="Z32" s="2293"/>
      <c r="AA32" s="2293"/>
      <c r="AB32" s="2293"/>
      <c r="AC32" s="2293"/>
      <c r="AD32" s="2293"/>
      <c r="AE32" s="2311"/>
    </row>
    <row r="33" spans="1:31">
      <c r="A33" s="2299"/>
      <c r="B33" s="2293"/>
      <c r="C33" s="2293"/>
      <c r="D33" s="2293"/>
      <c r="E33" s="2293"/>
      <c r="F33" s="2293"/>
      <c r="G33" s="2293"/>
      <c r="H33" s="2293"/>
      <c r="I33" s="2293"/>
      <c r="J33" s="2293"/>
      <c r="K33" s="2293"/>
      <c r="L33" s="2293"/>
      <c r="M33" s="2293"/>
      <c r="N33" s="2293"/>
      <c r="O33" s="2293"/>
      <c r="P33" s="2293"/>
      <c r="Q33" s="2293"/>
      <c r="R33" s="2293"/>
      <c r="S33" s="2293"/>
      <c r="T33" s="2293"/>
      <c r="U33" s="2293"/>
      <c r="V33" s="2293"/>
      <c r="W33" s="2293"/>
      <c r="X33" s="2293"/>
      <c r="Y33" s="2293"/>
      <c r="Z33" s="2293"/>
      <c r="AA33" s="2293"/>
      <c r="AB33" s="2293"/>
      <c r="AC33" s="2293"/>
      <c r="AD33" s="2293"/>
      <c r="AE33" s="2311"/>
    </row>
    <row r="34" spans="1:31">
      <c r="A34" s="2299"/>
      <c r="B34" s="2293"/>
      <c r="C34" s="2293"/>
      <c r="D34" s="2293"/>
      <c r="E34" s="2293"/>
      <c r="F34" s="2293"/>
      <c r="G34" s="2293"/>
      <c r="H34" s="2293"/>
      <c r="I34" s="2293"/>
      <c r="J34" s="2293"/>
      <c r="K34" s="2293"/>
      <c r="L34" s="2293"/>
      <c r="M34" s="2293"/>
      <c r="N34" s="2293"/>
      <c r="O34" s="2293"/>
      <c r="P34" s="2293"/>
      <c r="Q34" s="2293"/>
      <c r="R34" s="2293"/>
      <c r="S34" s="2293"/>
      <c r="T34" s="2293"/>
      <c r="U34" s="2293"/>
      <c r="V34" s="2293"/>
      <c r="W34" s="2293"/>
      <c r="X34" s="2293"/>
      <c r="Y34" s="2293"/>
      <c r="Z34" s="2293"/>
      <c r="AA34" s="2293"/>
      <c r="AB34" s="2293"/>
      <c r="AC34" s="2293"/>
      <c r="AD34" s="2293"/>
      <c r="AE34" s="2311"/>
    </row>
    <row r="35" spans="1:31">
      <c r="A35" s="2299"/>
      <c r="B35" s="2293"/>
      <c r="C35" s="2293"/>
      <c r="D35" s="2293"/>
      <c r="E35" s="2293"/>
      <c r="F35" s="2293"/>
      <c r="G35" s="2293"/>
      <c r="H35" s="2293"/>
      <c r="I35" s="2293"/>
      <c r="J35" s="2293"/>
      <c r="K35" s="2293"/>
      <c r="L35" s="2293"/>
      <c r="M35" s="2293"/>
      <c r="N35" s="2293"/>
      <c r="O35" s="2293"/>
      <c r="P35" s="2293"/>
      <c r="Q35" s="2293"/>
      <c r="R35" s="2293"/>
      <c r="S35" s="2293"/>
      <c r="T35" s="2293"/>
      <c r="U35" s="2293"/>
      <c r="V35" s="2293"/>
      <c r="W35" s="2293"/>
      <c r="X35" s="2293"/>
      <c r="Y35" s="2293"/>
      <c r="Z35" s="2293"/>
      <c r="AA35" s="2293"/>
      <c r="AB35" s="2293"/>
      <c r="AC35" s="2293"/>
      <c r="AD35" s="2293"/>
      <c r="AE35" s="2311"/>
    </row>
    <row r="36" spans="1:31">
      <c r="A36" s="2299"/>
      <c r="B36" s="2293"/>
      <c r="C36" s="2293"/>
      <c r="D36" s="2293"/>
      <c r="E36" s="2293"/>
      <c r="F36" s="2293"/>
      <c r="G36" s="2293"/>
      <c r="H36" s="2293"/>
      <c r="I36" s="2293"/>
      <c r="J36" s="2293"/>
      <c r="K36" s="2293"/>
      <c r="L36" s="2293"/>
      <c r="M36" s="2293"/>
      <c r="N36" s="2293"/>
      <c r="O36" s="2293"/>
      <c r="P36" s="2293"/>
      <c r="Q36" s="2293"/>
      <c r="R36" s="2293"/>
      <c r="S36" s="2293"/>
      <c r="T36" s="2293"/>
      <c r="U36" s="2293"/>
      <c r="V36" s="2293"/>
      <c r="W36" s="2293"/>
      <c r="X36" s="2293"/>
      <c r="Y36" s="2293"/>
      <c r="Z36" s="2293"/>
      <c r="AA36" s="2293"/>
      <c r="AB36" s="2293"/>
      <c r="AC36" s="2293"/>
      <c r="AD36" s="2293"/>
      <c r="AE36" s="2311"/>
    </row>
    <row r="37" spans="1:31">
      <c r="A37" s="2299"/>
      <c r="B37" s="2293"/>
      <c r="C37" s="2293"/>
      <c r="D37" s="2293"/>
      <c r="E37" s="2293"/>
      <c r="F37" s="2293"/>
      <c r="G37" s="2293"/>
      <c r="H37" s="2293"/>
      <c r="I37" s="2293"/>
      <c r="J37" s="2293"/>
      <c r="K37" s="2293"/>
      <c r="L37" s="2293"/>
      <c r="M37" s="2293"/>
      <c r="N37" s="2293"/>
      <c r="O37" s="2293"/>
      <c r="P37" s="2293"/>
      <c r="Q37" s="2293"/>
      <c r="R37" s="2293"/>
      <c r="S37" s="2293"/>
      <c r="T37" s="2293"/>
      <c r="U37" s="2293"/>
      <c r="V37" s="2293"/>
      <c r="W37" s="2293"/>
      <c r="X37" s="2293"/>
      <c r="Y37" s="2293"/>
      <c r="Z37" s="2293"/>
      <c r="AA37" s="2293"/>
      <c r="AB37" s="2293"/>
      <c r="AC37" s="2293"/>
      <c r="AD37" s="2293"/>
      <c r="AE37" s="2311"/>
    </row>
    <row r="38" spans="1:31">
      <c r="A38" s="2299"/>
      <c r="B38" s="2293"/>
      <c r="C38" s="2293"/>
      <c r="D38" s="2293"/>
      <c r="E38" s="2293"/>
      <c r="F38" s="2293"/>
      <c r="G38" s="2293"/>
      <c r="H38" s="2293"/>
      <c r="I38" s="2293"/>
      <c r="J38" s="2293"/>
      <c r="K38" s="2293"/>
      <c r="L38" s="2293"/>
      <c r="M38" s="2293"/>
      <c r="N38" s="2293"/>
      <c r="O38" s="2293"/>
      <c r="P38" s="2293"/>
      <c r="Q38" s="2293"/>
      <c r="R38" s="2293"/>
      <c r="S38" s="2293"/>
      <c r="T38" s="2293"/>
      <c r="U38" s="2293"/>
      <c r="V38" s="2293"/>
      <c r="W38" s="2293"/>
      <c r="X38" s="2293"/>
      <c r="Y38" s="2293"/>
      <c r="Z38" s="2293"/>
      <c r="AA38" s="2293"/>
      <c r="AB38" s="2293"/>
      <c r="AC38" s="2293"/>
      <c r="AD38" s="2293"/>
      <c r="AE38" s="2311"/>
    </row>
    <row r="39" spans="1:31">
      <c r="A39" s="2299"/>
      <c r="B39" s="2293"/>
      <c r="C39" s="2293"/>
      <c r="D39" s="2293"/>
      <c r="E39" s="2293"/>
      <c r="F39" s="2293"/>
      <c r="G39" s="2293"/>
      <c r="H39" s="2293"/>
      <c r="I39" s="2293"/>
      <c r="J39" s="2293"/>
      <c r="K39" s="2293"/>
      <c r="L39" s="2293"/>
      <c r="M39" s="2293"/>
      <c r="N39" s="2293"/>
      <c r="O39" s="2293"/>
      <c r="P39" s="2293"/>
      <c r="Q39" s="2293"/>
      <c r="R39" s="2293"/>
      <c r="S39" s="2293"/>
      <c r="T39" s="2293"/>
      <c r="U39" s="2293"/>
      <c r="V39" s="2293"/>
      <c r="W39" s="2293"/>
      <c r="X39" s="2293"/>
      <c r="Y39" s="2293"/>
      <c r="Z39" s="2293"/>
      <c r="AA39" s="2293"/>
      <c r="AB39" s="2293"/>
      <c r="AC39" s="2293"/>
      <c r="AD39" s="2293"/>
      <c r="AE39" s="2311"/>
    </row>
    <row r="40" spans="1:31">
      <c r="A40" s="2299"/>
      <c r="B40" s="2293"/>
      <c r="C40" s="2293"/>
      <c r="D40" s="2293"/>
      <c r="E40" s="2293"/>
      <c r="F40" s="2293"/>
      <c r="G40" s="2293"/>
      <c r="H40" s="2293"/>
      <c r="I40" s="2293"/>
      <c r="J40" s="2293"/>
      <c r="K40" s="2293"/>
      <c r="L40" s="2293"/>
      <c r="M40" s="2293"/>
      <c r="N40" s="2293"/>
      <c r="O40" s="2293"/>
      <c r="P40" s="2293"/>
      <c r="Q40" s="2293"/>
      <c r="R40" s="2293"/>
      <c r="S40" s="2293"/>
      <c r="T40" s="2293"/>
      <c r="U40" s="2293"/>
      <c r="V40" s="2293"/>
      <c r="W40" s="2293"/>
      <c r="X40" s="2293"/>
      <c r="Y40" s="2293"/>
      <c r="Z40" s="2293"/>
      <c r="AA40" s="2293"/>
      <c r="AB40" s="2293"/>
      <c r="AC40" s="2293"/>
      <c r="AD40" s="2293"/>
      <c r="AE40" s="2311"/>
    </row>
    <row r="41" spans="1:31">
      <c r="A41" s="2299"/>
      <c r="B41" s="2293"/>
      <c r="C41" s="2293"/>
      <c r="D41" s="2293"/>
      <c r="E41" s="2293"/>
      <c r="F41" s="2293"/>
      <c r="G41" s="2293"/>
      <c r="H41" s="2293"/>
      <c r="I41" s="2293"/>
      <c r="J41" s="2293"/>
      <c r="K41" s="2293"/>
      <c r="L41" s="2293"/>
      <c r="M41" s="2293"/>
      <c r="N41" s="2293"/>
      <c r="O41" s="2293"/>
      <c r="P41" s="2293"/>
      <c r="Q41" s="2293"/>
      <c r="R41" s="2293"/>
      <c r="S41" s="2293"/>
      <c r="T41" s="2293"/>
      <c r="U41" s="2293"/>
      <c r="V41" s="2293"/>
      <c r="W41" s="2293"/>
      <c r="X41" s="2293"/>
      <c r="Y41" s="2293"/>
      <c r="Z41" s="2293"/>
      <c r="AA41" s="2293"/>
      <c r="AB41" s="2293"/>
      <c r="AC41" s="2293"/>
      <c r="AD41" s="2293"/>
      <c r="AE41" s="2311"/>
    </row>
    <row r="42" spans="1:31">
      <c r="A42" s="2299"/>
      <c r="B42" s="2293"/>
      <c r="C42" s="2293"/>
      <c r="D42" s="2293" t="s">
        <v>1971</v>
      </c>
      <c r="E42" s="2293"/>
      <c r="F42" s="2293"/>
      <c r="G42" s="2293"/>
      <c r="H42" s="2293"/>
      <c r="I42" s="2293"/>
      <c r="J42" s="2293"/>
      <c r="K42" s="2293"/>
      <c r="L42" s="2293"/>
      <c r="M42" s="2293"/>
      <c r="N42" s="2293"/>
      <c r="O42" s="2293"/>
      <c r="P42" s="2293"/>
      <c r="Q42" s="2293"/>
      <c r="R42" s="2293"/>
      <c r="S42" s="2293"/>
      <c r="T42" s="2293"/>
      <c r="U42" s="2293"/>
      <c r="V42" s="2293"/>
      <c r="W42" s="2293"/>
      <c r="X42" s="2293"/>
      <c r="Y42" s="2293"/>
      <c r="Z42" s="2293"/>
      <c r="AA42" s="2293"/>
      <c r="AB42" s="2293"/>
      <c r="AC42" s="2293"/>
      <c r="AD42" s="2293"/>
      <c r="AE42" s="2311"/>
    </row>
    <row r="43" spans="1:31">
      <c r="A43" s="2299"/>
      <c r="B43" s="2293"/>
      <c r="C43" s="2293"/>
      <c r="D43" s="2293" t="s">
        <v>1788</v>
      </c>
      <c r="E43" s="2293"/>
      <c r="F43" s="2293"/>
      <c r="G43" s="2293"/>
      <c r="H43" s="2293"/>
      <c r="I43" s="2293"/>
      <c r="J43" s="2293"/>
      <c r="K43" s="2293"/>
      <c r="L43" s="2293"/>
      <c r="M43" s="2293"/>
      <c r="N43" s="2293"/>
      <c r="O43" s="2293"/>
      <c r="P43" s="2293"/>
      <c r="Q43" s="2293"/>
      <c r="R43" s="2293"/>
      <c r="S43" s="2293"/>
      <c r="T43" s="2293"/>
      <c r="U43" s="2293"/>
      <c r="V43" s="2293"/>
      <c r="W43" s="2293"/>
      <c r="X43" s="2293"/>
      <c r="Y43" s="2293"/>
      <c r="Z43" s="2293"/>
      <c r="AA43" s="2293"/>
      <c r="AB43" s="2293"/>
      <c r="AC43" s="2293"/>
      <c r="AD43" s="2293"/>
      <c r="AE43" s="2311"/>
    </row>
    <row r="44" spans="1:31">
      <c r="A44" s="2299"/>
      <c r="B44" s="2293"/>
      <c r="C44" s="2293"/>
      <c r="D44" s="2748" t="s">
        <v>2048</v>
      </c>
      <c r="E44" s="2293"/>
      <c r="F44" s="2293"/>
      <c r="G44" s="2293"/>
      <c r="H44" s="2293"/>
      <c r="I44" s="2293"/>
      <c r="J44" s="2293"/>
      <c r="K44" s="2293"/>
      <c r="L44" s="2293"/>
      <c r="M44" s="2293"/>
      <c r="N44" s="2293"/>
      <c r="O44" s="2293"/>
      <c r="P44" s="2293"/>
      <c r="Q44" s="2293"/>
      <c r="R44" s="2293"/>
      <c r="S44" s="2293"/>
      <c r="T44" s="2293"/>
      <c r="U44" s="2293"/>
      <c r="V44" s="2293"/>
      <c r="W44" s="2293"/>
      <c r="X44" s="2293"/>
      <c r="Y44" s="2293"/>
      <c r="Z44" s="2293"/>
      <c r="AA44" s="2293"/>
      <c r="AB44" s="2293"/>
      <c r="AC44" s="2293"/>
      <c r="AD44" s="2293"/>
      <c r="AE44" s="2311"/>
    </row>
    <row r="45" spans="1:31">
      <c r="A45" s="2299"/>
      <c r="B45" s="2293"/>
      <c r="C45" s="2293"/>
      <c r="D45" s="2293" t="s">
        <v>495</v>
      </c>
      <c r="E45" s="2379">
        <v>-0.6</v>
      </c>
      <c r="F45" s="2379">
        <v>-0.5</v>
      </c>
      <c r="G45" s="2379">
        <v>-0.4</v>
      </c>
      <c r="H45" s="2379">
        <v>-0.30000000000000004</v>
      </c>
      <c r="I45" s="2379">
        <v>-0.19999999999999996</v>
      </c>
      <c r="J45" s="2379">
        <v>-9.9999999999999978E-2</v>
      </c>
      <c r="K45" s="2379">
        <v>0</v>
      </c>
      <c r="L45" s="2379">
        <v>0.10000000000000009</v>
      </c>
      <c r="M45" s="2379">
        <v>0.19999999999999996</v>
      </c>
      <c r="N45" s="2379">
        <v>0.30000000000000004</v>
      </c>
      <c r="O45" s="2379">
        <v>0.39999999999999991</v>
      </c>
      <c r="P45" s="2379">
        <v>0.5</v>
      </c>
      <c r="Q45" s="2379">
        <v>0.60000000000000009</v>
      </c>
      <c r="R45" s="2379">
        <v>0.7</v>
      </c>
      <c r="S45" s="2379">
        <v>0.8</v>
      </c>
      <c r="T45" s="2379">
        <v>0.89999999999999991</v>
      </c>
      <c r="U45" s="2379">
        <v>1</v>
      </c>
      <c r="V45" s="2293"/>
      <c r="W45" s="2293"/>
      <c r="X45" s="2293"/>
      <c r="Y45" s="2293"/>
      <c r="Z45" s="2293"/>
      <c r="AA45" s="2293"/>
      <c r="AB45" s="2293"/>
      <c r="AC45" s="2293"/>
      <c r="AD45" s="2293"/>
      <c r="AE45" s="2311"/>
    </row>
    <row r="46" spans="1:31">
      <c r="A46" s="2299"/>
      <c r="B46" s="2293"/>
      <c r="C46" s="2293"/>
      <c r="D46" s="2380" t="s">
        <v>982</v>
      </c>
      <c r="E46" s="2381">
        <v>83.8904</v>
      </c>
      <c r="F46" s="2381">
        <v>89.3262</v>
      </c>
      <c r="G46" s="2381">
        <v>94.762100000000004</v>
      </c>
      <c r="H46" s="2381">
        <v>100.1979</v>
      </c>
      <c r="I46" s="2381">
        <v>105.6337</v>
      </c>
      <c r="J46" s="2381">
        <v>111.06959999999999</v>
      </c>
      <c r="K46" s="2381">
        <v>116.50539999999999</v>
      </c>
      <c r="L46" s="2381">
        <v>121.9413</v>
      </c>
      <c r="M46" s="2381">
        <v>127.3771</v>
      </c>
      <c r="N46" s="2381">
        <v>132.81299999999999</v>
      </c>
      <c r="O46" s="2381">
        <v>138.24879999999999</v>
      </c>
      <c r="P46" s="2381">
        <v>143.68469999999999</v>
      </c>
      <c r="Q46" s="2381">
        <v>149.12049999999999</v>
      </c>
      <c r="R46" s="2381">
        <v>154.5564</v>
      </c>
      <c r="S46" s="2381">
        <v>159.9922</v>
      </c>
      <c r="T46" s="2381">
        <v>165.4281</v>
      </c>
      <c r="U46" s="2381">
        <v>170.8639</v>
      </c>
      <c r="V46" s="2293"/>
      <c r="W46" s="2293"/>
      <c r="X46" s="2293"/>
      <c r="Y46" s="2293"/>
      <c r="Z46" s="2293"/>
      <c r="AA46" s="2293"/>
      <c r="AB46" s="2293"/>
      <c r="AC46" s="2293"/>
      <c r="AD46" s="2293"/>
      <c r="AE46" s="2311"/>
    </row>
    <row r="47" spans="1:31">
      <c r="A47" s="2299"/>
      <c r="B47" s="2293"/>
      <c r="C47" s="2293"/>
      <c r="D47" s="2380" t="s">
        <v>496</v>
      </c>
      <c r="E47" s="2381">
        <v>94.665999999999997</v>
      </c>
      <c r="F47" s="2381">
        <v>98.305899999999994</v>
      </c>
      <c r="G47" s="2381">
        <v>101.94580000000001</v>
      </c>
      <c r="H47" s="2381">
        <v>105.5857</v>
      </c>
      <c r="I47" s="2381">
        <v>109.2256</v>
      </c>
      <c r="J47" s="2381">
        <v>112.8655</v>
      </c>
      <c r="K47" s="2381">
        <v>116.50539999999999</v>
      </c>
      <c r="L47" s="2381">
        <v>120.14530000000001</v>
      </c>
      <c r="M47" s="2381">
        <v>123.7852</v>
      </c>
      <c r="N47" s="2381">
        <v>127.4251</v>
      </c>
      <c r="O47" s="2381">
        <v>131.065</v>
      </c>
      <c r="P47" s="2381">
        <v>134.70490000000001</v>
      </c>
      <c r="Q47" s="2381">
        <v>138.34479999999999</v>
      </c>
      <c r="R47" s="2381">
        <v>141.9847</v>
      </c>
      <c r="S47" s="2381">
        <v>145.62459999999999</v>
      </c>
      <c r="T47" s="2381">
        <v>149.2645</v>
      </c>
      <c r="U47" s="2381">
        <v>152.90440000000001</v>
      </c>
      <c r="V47" s="2293"/>
      <c r="W47" s="2293"/>
      <c r="X47" s="2293"/>
      <c r="Y47" s="2293"/>
      <c r="Z47" s="2293"/>
      <c r="AA47" s="2293"/>
      <c r="AB47" s="2293"/>
      <c r="AC47" s="2293"/>
      <c r="AD47" s="2293"/>
      <c r="AE47" s="2311"/>
    </row>
    <row r="48" spans="1:31">
      <c r="A48" s="2299"/>
      <c r="B48" s="2293"/>
      <c r="C48" s="2293"/>
      <c r="D48" s="2386"/>
      <c r="E48" s="2387"/>
      <c r="F48" s="2387"/>
      <c r="G48" s="2387"/>
      <c r="H48" s="2387"/>
      <c r="I48" s="2387"/>
      <c r="J48" s="2387"/>
      <c r="K48" s="2387"/>
      <c r="L48" s="2387"/>
      <c r="M48" s="2387"/>
      <c r="N48" s="2387"/>
      <c r="O48" s="2387"/>
      <c r="P48" s="2387"/>
      <c r="Q48" s="2387"/>
      <c r="R48" s="2387"/>
      <c r="S48" s="2387"/>
      <c r="T48" s="2387"/>
      <c r="U48" s="2387"/>
      <c r="V48" s="2293"/>
      <c r="W48" s="2293"/>
      <c r="X48" s="2293"/>
      <c r="Y48" s="2293"/>
      <c r="Z48" s="2293"/>
      <c r="AA48" s="2293"/>
      <c r="AB48" s="2293"/>
      <c r="AC48" s="2293"/>
      <c r="AD48" s="2293"/>
      <c r="AE48" s="2311"/>
    </row>
    <row r="49" spans="1:31">
      <c r="A49" s="2299"/>
      <c r="B49" s="2293"/>
      <c r="C49" s="2293"/>
      <c r="D49" s="2380"/>
      <c r="E49" s="2381"/>
      <c r="F49" s="2381"/>
      <c r="G49" s="2381"/>
      <c r="H49" s="2381"/>
      <c r="I49" s="2381"/>
      <c r="J49" s="2381"/>
      <c r="K49" s="2381"/>
      <c r="L49" s="2381"/>
      <c r="M49" s="2381"/>
      <c r="N49" s="2381"/>
      <c r="O49" s="2381"/>
      <c r="P49" s="2381"/>
      <c r="Q49" s="2381"/>
      <c r="R49" s="2381"/>
      <c r="S49" s="2381"/>
      <c r="T49" s="2381"/>
      <c r="U49" s="2381"/>
      <c r="V49" s="2293"/>
      <c r="W49" s="2293"/>
      <c r="X49" s="2293"/>
      <c r="Y49" s="2293"/>
      <c r="Z49" s="2293"/>
      <c r="AA49" s="2293"/>
      <c r="AB49" s="2293"/>
      <c r="AC49" s="2293"/>
      <c r="AD49" s="2293"/>
      <c r="AE49" s="2311"/>
    </row>
    <row r="50" spans="1:31">
      <c r="A50" s="2299"/>
      <c r="B50" s="2293"/>
      <c r="C50" s="2293"/>
      <c r="D50" s="2380"/>
      <c r="E50" s="2380"/>
      <c r="F50" s="2380"/>
      <c r="G50" s="2380"/>
      <c r="H50" s="2380"/>
      <c r="I50" s="2380"/>
      <c r="J50" s="2380"/>
      <c r="K50" s="2380"/>
      <c r="L50" s="2380"/>
      <c r="M50" s="2380"/>
      <c r="N50" s="2380"/>
      <c r="O50" s="2380"/>
      <c r="P50" s="2380"/>
      <c r="Q50" s="2380"/>
      <c r="R50" s="2380"/>
      <c r="S50" s="2380"/>
      <c r="T50" s="2380"/>
      <c r="U50" s="2380"/>
      <c r="V50" s="2293"/>
      <c r="W50" s="2293"/>
      <c r="X50" s="2293"/>
      <c r="Y50" s="2293"/>
      <c r="Z50" s="2293"/>
      <c r="AA50" s="2293"/>
      <c r="AB50" s="2293"/>
      <c r="AC50" s="2293"/>
      <c r="AD50" s="2293"/>
      <c r="AE50" s="2311"/>
    </row>
    <row r="51" spans="1:31">
      <c r="A51" s="2299"/>
      <c r="B51" s="2293"/>
      <c r="C51" s="2293"/>
      <c r="D51" s="2380"/>
      <c r="E51" s="2380"/>
      <c r="F51" s="2380"/>
      <c r="G51" s="2380"/>
      <c r="H51" s="2380"/>
      <c r="I51" s="2380"/>
      <c r="J51" s="2380"/>
      <c r="K51" s="2380"/>
      <c r="L51" s="2380"/>
      <c r="M51" s="2380"/>
      <c r="N51" s="2380"/>
      <c r="O51" s="2380"/>
      <c r="P51" s="2380"/>
      <c r="Q51" s="2380"/>
      <c r="R51" s="2380"/>
      <c r="S51" s="2380"/>
      <c r="T51" s="2380"/>
      <c r="U51" s="2380"/>
      <c r="V51" s="2293"/>
      <c r="W51" s="2293"/>
      <c r="X51" s="2293"/>
      <c r="Y51" s="2293"/>
      <c r="Z51" s="2293"/>
      <c r="AA51" s="2293"/>
      <c r="AB51" s="2293"/>
      <c r="AC51" s="2293"/>
      <c r="AD51" s="2293"/>
      <c r="AE51" s="2311"/>
    </row>
    <row r="52" spans="1:31">
      <c r="A52" s="2299"/>
      <c r="B52" s="2293"/>
      <c r="C52" s="2293"/>
      <c r="D52" s="2380"/>
      <c r="E52" s="2380"/>
      <c r="F52" s="2380"/>
      <c r="G52" s="2380"/>
      <c r="H52" s="2380"/>
      <c r="I52" s="2380"/>
      <c r="J52" s="2380"/>
      <c r="K52" s="2380"/>
      <c r="L52" s="2380"/>
      <c r="M52" s="2380"/>
      <c r="N52" s="2380"/>
      <c r="O52" s="2380"/>
      <c r="P52" s="2380"/>
      <c r="Q52" s="2380"/>
      <c r="R52" s="2380"/>
      <c r="S52" s="2380"/>
      <c r="T52" s="2380"/>
      <c r="U52" s="2380"/>
      <c r="V52" s="2293"/>
      <c r="W52" s="2293"/>
      <c r="X52" s="2293"/>
      <c r="Y52" s="2293"/>
      <c r="Z52" s="2293"/>
      <c r="AA52" s="2293"/>
      <c r="AB52" s="2293"/>
      <c r="AC52" s="2293"/>
      <c r="AD52" s="2293"/>
      <c r="AE52" s="2311"/>
    </row>
    <row r="53" spans="1:31">
      <c r="A53" s="2299"/>
      <c r="B53" s="2293"/>
      <c r="C53" s="2293"/>
      <c r="D53" s="2380"/>
      <c r="E53" s="2380"/>
      <c r="F53" s="2380"/>
      <c r="G53" s="2380"/>
      <c r="H53" s="2380"/>
      <c r="I53" s="2380"/>
      <c r="J53" s="2380"/>
      <c r="K53" s="2380"/>
      <c r="L53" s="2380"/>
      <c r="M53" s="2380"/>
      <c r="N53" s="2380"/>
      <c r="O53" s="2380"/>
      <c r="P53" s="2380"/>
      <c r="Q53" s="2380"/>
      <c r="R53" s="2380"/>
      <c r="S53" s="2380"/>
      <c r="T53" s="2380"/>
      <c r="U53" s="2380"/>
      <c r="V53" s="2293"/>
      <c r="W53" s="2293"/>
      <c r="X53" s="2293"/>
      <c r="Y53" s="2293"/>
      <c r="Z53" s="2293"/>
      <c r="AA53" s="2293"/>
      <c r="AB53" s="2293"/>
      <c r="AC53" s="2293"/>
      <c r="AD53" s="2293"/>
      <c r="AE53" s="2311"/>
    </row>
    <row r="54" spans="1:31">
      <c r="A54" s="2299"/>
      <c r="B54" s="2293"/>
      <c r="C54" s="2293"/>
      <c r="D54" s="2380"/>
      <c r="E54" s="2380"/>
      <c r="F54" s="2380"/>
      <c r="G54" s="2380"/>
      <c r="H54" s="2380"/>
      <c r="I54" s="2380"/>
      <c r="J54" s="2380"/>
      <c r="K54" s="2380"/>
      <c r="L54" s="2380"/>
      <c r="M54" s="2380"/>
      <c r="N54" s="2380"/>
      <c r="O54" s="2380"/>
      <c r="P54" s="2380"/>
      <c r="Q54" s="2380"/>
      <c r="R54" s="2380"/>
      <c r="S54" s="2380"/>
      <c r="T54" s="2380"/>
      <c r="U54" s="2380"/>
      <c r="V54" s="2293"/>
      <c r="W54" s="2293"/>
      <c r="X54" s="2293"/>
      <c r="Y54" s="2293"/>
      <c r="Z54" s="2293"/>
      <c r="AA54" s="2293"/>
      <c r="AB54" s="2293"/>
      <c r="AC54" s="2293"/>
      <c r="AD54" s="2293"/>
      <c r="AE54" s="2311"/>
    </row>
    <row r="55" spans="1:31">
      <c r="A55" s="2299"/>
      <c r="B55" s="2293"/>
      <c r="C55" s="2293"/>
      <c r="D55" s="2380"/>
      <c r="E55" s="2380"/>
      <c r="F55" s="2380"/>
      <c r="G55" s="2380"/>
      <c r="H55" s="2380"/>
      <c r="I55" s="2380"/>
      <c r="J55" s="2380"/>
      <c r="K55" s="2380"/>
      <c r="L55" s="2380"/>
      <c r="M55" s="2380"/>
      <c r="N55" s="2380"/>
      <c r="O55" s="2380"/>
      <c r="P55" s="2380"/>
      <c r="Q55" s="2380"/>
      <c r="R55" s="2380"/>
      <c r="S55" s="2380"/>
      <c r="T55" s="2380"/>
      <c r="U55" s="2380"/>
      <c r="V55" s="2293"/>
      <c r="W55" s="2293"/>
      <c r="X55" s="2293"/>
      <c r="Y55" s="2293"/>
      <c r="Z55" s="2293"/>
      <c r="AA55" s="2293"/>
      <c r="AB55" s="2293"/>
      <c r="AC55" s="2293"/>
      <c r="AD55" s="2293"/>
      <c r="AE55" s="2311"/>
    </row>
    <row r="56" spans="1:31">
      <c r="A56" s="2299"/>
      <c r="B56" s="2293"/>
      <c r="C56" s="2293"/>
      <c r="D56" s="2380"/>
      <c r="E56" s="2380"/>
      <c r="F56" s="2380"/>
      <c r="G56" s="2380"/>
      <c r="H56" s="2380"/>
      <c r="I56" s="2380"/>
      <c r="J56" s="2380"/>
      <c r="K56" s="2380"/>
      <c r="L56" s="2380"/>
      <c r="M56" s="2380"/>
      <c r="N56" s="2380"/>
      <c r="O56" s="2380"/>
      <c r="P56" s="2380"/>
      <c r="Q56" s="2380"/>
      <c r="R56" s="2380"/>
      <c r="S56" s="2380"/>
      <c r="T56" s="2380"/>
      <c r="U56" s="2380"/>
      <c r="V56" s="2293"/>
      <c r="W56" s="2293"/>
      <c r="X56" s="2293"/>
      <c r="Y56" s="2293"/>
      <c r="Z56" s="2293"/>
      <c r="AA56" s="2293"/>
      <c r="AB56" s="2293"/>
      <c r="AC56" s="2293"/>
      <c r="AD56" s="2293"/>
      <c r="AE56" s="2311"/>
    </row>
    <row r="57" spans="1:31">
      <c r="A57" s="2299"/>
      <c r="B57" s="2293"/>
      <c r="C57" s="2293"/>
      <c r="D57" s="2293"/>
      <c r="E57" s="2293"/>
      <c r="F57" s="2293"/>
      <c r="G57" s="2293"/>
      <c r="H57" s="2293"/>
      <c r="I57" s="2293"/>
      <c r="J57" s="2293"/>
      <c r="K57" s="2293"/>
      <c r="L57" s="2293"/>
      <c r="M57" s="2293"/>
      <c r="N57" s="2293"/>
      <c r="O57" s="2293"/>
      <c r="P57" s="2293"/>
      <c r="Q57" s="2293"/>
      <c r="R57" s="2293"/>
      <c r="S57" s="2293"/>
      <c r="T57" s="2293"/>
      <c r="U57" s="2293"/>
      <c r="V57" s="2293"/>
      <c r="W57" s="2293"/>
      <c r="X57" s="2293"/>
      <c r="Y57" s="2293"/>
      <c r="Z57" s="2293"/>
      <c r="AA57" s="2293"/>
      <c r="AB57" s="2293"/>
      <c r="AC57" s="2293"/>
      <c r="AD57" s="2293"/>
      <c r="AE57" s="2311"/>
    </row>
    <row r="58" spans="1:31">
      <c r="A58" s="2382"/>
      <c r="B58" s="2383"/>
      <c r="C58" s="2383"/>
      <c r="D58" s="2383"/>
      <c r="E58" s="2383"/>
      <c r="F58" s="2383"/>
      <c r="G58" s="2383"/>
      <c r="H58" s="2383"/>
      <c r="I58" s="2383"/>
      <c r="J58" s="2383"/>
      <c r="K58" s="2383"/>
      <c r="L58" s="2383"/>
      <c r="M58" s="2383"/>
      <c r="N58" s="2383"/>
      <c r="O58" s="2383"/>
      <c r="P58" s="2383"/>
      <c r="Q58" s="2383"/>
      <c r="R58" s="2383"/>
      <c r="S58" s="2383"/>
      <c r="T58" s="2383"/>
      <c r="U58" s="2383"/>
      <c r="V58" s="2383"/>
      <c r="W58" s="2383"/>
      <c r="X58" s="2383"/>
      <c r="Y58" s="2383"/>
      <c r="Z58" s="2383"/>
      <c r="AA58" s="2383"/>
      <c r="AB58" s="2383"/>
      <c r="AC58" s="2383"/>
      <c r="AD58" s="2383"/>
      <c r="AE58" s="2311"/>
    </row>
    <row r="59" spans="1:31">
      <c r="A59" s="2304"/>
      <c r="B59" s="2303"/>
      <c r="C59" s="2303"/>
      <c r="D59" s="2303"/>
      <c r="E59" s="2303"/>
      <c r="F59" s="2303"/>
      <c r="G59" s="2303"/>
      <c r="H59" s="2303"/>
      <c r="I59" s="2303"/>
      <c r="J59" s="2303"/>
      <c r="K59" s="2303"/>
      <c r="L59" s="2303"/>
      <c r="M59" s="2303"/>
      <c r="N59" s="2303"/>
      <c r="O59" s="2303"/>
      <c r="P59" s="2303"/>
      <c r="Q59" s="2303"/>
      <c r="R59" s="2303"/>
      <c r="S59" s="2303"/>
      <c r="T59" s="2303"/>
      <c r="U59" s="2303"/>
      <c r="V59" s="2303"/>
      <c r="W59" s="2303"/>
      <c r="X59" s="2303"/>
      <c r="Y59" s="2303"/>
      <c r="Z59" s="2303"/>
      <c r="AA59" s="2303"/>
      <c r="AB59" s="2303"/>
      <c r="AC59" s="2303"/>
      <c r="AD59" s="2303"/>
      <c r="AE59" s="2311"/>
    </row>
    <row r="60" spans="1:31">
      <c r="A60" s="2304"/>
      <c r="B60" s="2303"/>
      <c r="C60" s="2303"/>
      <c r="D60" s="2303"/>
      <c r="E60" s="2303"/>
      <c r="F60" s="2303"/>
      <c r="G60" s="2303"/>
      <c r="H60" s="2303"/>
      <c r="I60" s="2303"/>
      <c r="J60" s="2303"/>
      <c r="K60" s="2303"/>
      <c r="L60" s="2303"/>
      <c r="M60" s="2303"/>
      <c r="N60" s="2303"/>
      <c r="O60" s="2303"/>
      <c r="P60" s="2303"/>
      <c r="Q60" s="2303"/>
      <c r="R60" s="2303"/>
      <c r="S60" s="2303"/>
      <c r="T60" s="2303"/>
      <c r="U60" s="2303"/>
      <c r="V60" s="2303"/>
      <c r="W60" s="2303"/>
      <c r="X60" s="2303"/>
      <c r="Y60" s="2303"/>
      <c r="Z60" s="2303"/>
      <c r="AA60" s="2303"/>
      <c r="AB60" s="2303"/>
      <c r="AC60" s="2303"/>
      <c r="AD60" s="2303"/>
      <c r="AE60" s="2311"/>
    </row>
    <row r="61" spans="1:31">
      <c r="A61" s="2304"/>
      <c r="B61" s="2303"/>
      <c r="C61" s="2303"/>
      <c r="D61" s="2303"/>
      <c r="E61" s="2303"/>
      <c r="F61" s="2303"/>
      <c r="G61" s="2303"/>
      <c r="H61" s="2303"/>
      <c r="I61" s="2303"/>
      <c r="J61" s="2303"/>
      <c r="K61" s="2303"/>
      <c r="L61" s="2303"/>
      <c r="M61" s="2303"/>
      <c r="N61" s="2303"/>
      <c r="O61" s="2303"/>
      <c r="P61" s="2303"/>
      <c r="Q61" s="2303"/>
      <c r="R61" s="2303"/>
      <c r="S61" s="2303"/>
      <c r="T61" s="2303"/>
      <c r="U61" s="2303"/>
      <c r="V61" s="2303"/>
      <c r="W61" s="2303"/>
      <c r="X61" s="2303"/>
      <c r="Y61" s="2303"/>
      <c r="Z61" s="2303"/>
      <c r="AA61" s="2303"/>
      <c r="AB61" s="2303"/>
      <c r="AC61" s="2303"/>
      <c r="AD61" s="2303"/>
      <c r="AE61" s="2311"/>
    </row>
    <row r="62" spans="1:31">
      <c r="A62" s="2304"/>
      <c r="B62" s="2303"/>
      <c r="C62" s="2303"/>
      <c r="D62" s="2303"/>
      <c r="E62" s="2303"/>
      <c r="F62" s="2303"/>
      <c r="G62" s="2303"/>
      <c r="H62" s="2303"/>
      <c r="I62" s="2303"/>
      <c r="J62" s="2303"/>
      <c r="K62" s="2303"/>
      <c r="L62" s="2303"/>
      <c r="M62" s="2303"/>
      <c r="N62" s="2303"/>
      <c r="O62" s="2303"/>
      <c r="P62" s="2303"/>
      <c r="Q62" s="2303"/>
      <c r="R62" s="2303"/>
      <c r="S62" s="2303"/>
      <c r="T62" s="2303"/>
      <c r="U62" s="2303"/>
      <c r="V62" s="2303"/>
      <c r="W62" s="2303"/>
      <c r="X62" s="2303"/>
      <c r="Y62" s="2303"/>
      <c r="Z62" s="2303"/>
      <c r="AA62" s="2303"/>
      <c r="AB62" s="2303"/>
      <c r="AC62" s="2303"/>
      <c r="AD62" s="2303"/>
      <c r="AE62" s="2311"/>
    </row>
    <row r="63" spans="1:31">
      <c r="A63" s="2304"/>
      <c r="B63" s="2303"/>
      <c r="C63" s="2303"/>
      <c r="D63" s="2303"/>
      <c r="E63" s="2303"/>
      <c r="F63" s="2303"/>
      <c r="G63" s="2303"/>
      <c r="H63" s="2303"/>
      <c r="I63" s="2303"/>
      <c r="J63" s="2303"/>
      <c r="K63" s="2303"/>
      <c r="L63" s="2303"/>
      <c r="M63" s="2303"/>
      <c r="N63" s="2303"/>
      <c r="O63" s="2303"/>
      <c r="P63" s="2303"/>
      <c r="Q63" s="2303"/>
      <c r="R63" s="2303"/>
      <c r="S63" s="2303"/>
      <c r="T63" s="2303"/>
      <c r="U63" s="2303"/>
      <c r="V63" s="2303"/>
      <c r="W63" s="2303"/>
      <c r="X63" s="2303"/>
      <c r="Y63" s="2303"/>
      <c r="Z63" s="2303"/>
      <c r="AA63" s="2303"/>
      <c r="AB63" s="2303"/>
      <c r="AC63" s="2303"/>
      <c r="AD63" s="2303"/>
      <c r="AE63" s="2311"/>
    </row>
    <row r="64" spans="1:31">
      <c r="A64" s="2304"/>
      <c r="B64" s="2303"/>
      <c r="C64" s="2303"/>
      <c r="D64" s="2303"/>
      <c r="E64" s="2303"/>
      <c r="F64" s="2303"/>
      <c r="G64" s="2303"/>
      <c r="H64" s="2303"/>
      <c r="I64" s="2303"/>
      <c r="J64" s="2303"/>
      <c r="K64" s="2303"/>
      <c r="L64" s="2303"/>
      <c r="M64" s="2303"/>
      <c r="N64" s="2303"/>
      <c r="O64" s="2303"/>
      <c r="P64" s="2303"/>
      <c r="Q64" s="2303"/>
      <c r="R64" s="2303"/>
      <c r="S64" s="2303"/>
      <c r="T64" s="2303"/>
      <c r="U64" s="2303"/>
      <c r="V64" s="2303"/>
      <c r="W64" s="2303"/>
      <c r="X64" s="2303"/>
      <c r="Y64" s="2303"/>
      <c r="Z64" s="2303"/>
      <c r="AA64" s="2303"/>
      <c r="AB64" s="2303"/>
      <c r="AC64" s="2303"/>
      <c r="AD64" s="2303"/>
      <c r="AE64" s="2311"/>
    </row>
    <row r="65" spans="1:31">
      <c r="A65" s="2304"/>
      <c r="B65" s="2303"/>
      <c r="C65" s="2303"/>
      <c r="D65" s="2303"/>
      <c r="E65" s="2303"/>
      <c r="F65" s="2303"/>
      <c r="G65" s="2303"/>
      <c r="H65" s="2303"/>
      <c r="I65" s="2303"/>
      <c r="J65" s="2303"/>
      <c r="K65" s="2303"/>
      <c r="L65" s="2303"/>
      <c r="M65" s="2303"/>
      <c r="N65" s="2303"/>
      <c r="O65" s="2303"/>
      <c r="P65" s="2303"/>
      <c r="Q65" s="2303"/>
      <c r="R65" s="2303"/>
      <c r="S65" s="2303"/>
      <c r="T65" s="2303"/>
      <c r="U65" s="2303"/>
      <c r="V65" s="2303"/>
      <c r="W65" s="2303"/>
      <c r="X65" s="2303"/>
      <c r="Y65" s="2303"/>
      <c r="Z65" s="2303"/>
      <c r="AA65" s="2303"/>
      <c r="AB65" s="2303"/>
      <c r="AC65" s="2303"/>
      <c r="AD65" s="2303"/>
      <c r="AE65" s="2311"/>
    </row>
    <row r="66" spans="1:31">
      <c r="A66" s="2304"/>
      <c r="B66" s="2303"/>
      <c r="C66" s="2303"/>
      <c r="D66" s="2303"/>
      <c r="E66" s="2303"/>
      <c r="F66" s="2303"/>
      <c r="G66" s="2303"/>
      <c r="H66" s="2303"/>
      <c r="I66" s="2303"/>
      <c r="J66" s="2303"/>
      <c r="K66" s="2303"/>
      <c r="L66" s="2303"/>
      <c r="M66" s="2303"/>
      <c r="N66" s="2303"/>
      <c r="O66" s="2303"/>
      <c r="P66" s="2303"/>
      <c r="Q66" s="2303"/>
      <c r="R66" s="2303"/>
      <c r="S66" s="2303"/>
      <c r="T66" s="2303"/>
      <c r="U66" s="2303"/>
      <c r="V66" s="2303"/>
      <c r="W66" s="2303"/>
      <c r="X66" s="2303"/>
      <c r="Y66" s="2303"/>
      <c r="Z66" s="2303"/>
      <c r="AA66" s="2303"/>
      <c r="AB66" s="2303"/>
      <c r="AC66" s="2303"/>
      <c r="AD66" s="2303"/>
      <c r="AE66" s="2311"/>
    </row>
    <row r="67" spans="1:31">
      <c r="A67" s="2304"/>
      <c r="B67" s="2303"/>
      <c r="C67" s="2303"/>
      <c r="D67" s="2303"/>
      <c r="E67" s="2303"/>
      <c r="F67" s="2303"/>
      <c r="G67" s="2303"/>
      <c r="H67" s="2303"/>
      <c r="I67" s="2303"/>
      <c r="J67" s="2303"/>
      <c r="K67" s="2303"/>
      <c r="L67" s="2303"/>
      <c r="M67" s="2303"/>
      <c r="N67" s="2303"/>
      <c r="O67" s="2303"/>
      <c r="P67" s="2303"/>
      <c r="Q67" s="2303"/>
      <c r="R67" s="2303"/>
      <c r="S67" s="2303"/>
      <c r="T67" s="2303"/>
      <c r="U67" s="2303"/>
      <c r="V67" s="2303"/>
      <c r="W67" s="2303"/>
      <c r="X67" s="2303"/>
      <c r="Y67" s="2303"/>
      <c r="Z67" s="2303"/>
      <c r="AA67" s="2303"/>
      <c r="AB67" s="2303"/>
      <c r="AC67" s="2303"/>
      <c r="AD67" s="2303"/>
      <c r="AE67" s="2311"/>
    </row>
    <row r="68" spans="1:31">
      <c r="A68" s="2304"/>
      <c r="B68" s="2303"/>
      <c r="C68" s="2303"/>
      <c r="D68" s="2303"/>
      <c r="E68" s="2303"/>
      <c r="F68" s="2303"/>
      <c r="G68" s="2303"/>
      <c r="H68" s="2303"/>
      <c r="I68" s="2303"/>
      <c r="J68" s="2303"/>
      <c r="K68" s="2303"/>
      <c r="L68" s="2303"/>
      <c r="M68" s="2303"/>
      <c r="N68" s="2303"/>
      <c r="O68" s="2303"/>
      <c r="P68" s="2303"/>
      <c r="Q68" s="2303"/>
      <c r="R68" s="2303"/>
      <c r="S68" s="2303"/>
      <c r="T68" s="2303"/>
      <c r="U68" s="2303"/>
      <c r="V68" s="2303"/>
      <c r="W68" s="2303"/>
      <c r="X68" s="2303"/>
      <c r="Y68" s="2303"/>
      <c r="Z68" s="2303"/>
      <c r="AA68" s="2303"/>
      <c r="AB68" s="2303"/>
      <c r="AC68" s="2303"/>
      <c r="AD68" s="2303"/>
      <c r="AE68" s="2311"/>
    </row>
    <row r="69" spans="1:31" ht="13.5" thickBot="1">
      <c r="A69" s="2384"/>
      <c r="B69" s="2385"/>
      <c r="C69" s="2385"/>
      <c r="D69" s="2385"/>
      <c r="E69" s="2385"/>
      <c r="F69" s="2385"/>
      <c r="G69" s="2385"/>
      <c r="H69" s="2385"/>
      <c r="I69" s="2385"/>
      <c r="J69" s="2385"/>
      <c r="K69" s="2385"/>
      <c r="L69" s="2385"/>
      <c r="M69" s="2385"/>
      <c r="N69" s="2385"/>
      <c r="O69" s="2385"/>
      <c r="P69" s="2385"/>
      <c r="Q69" s="2385"/>
      <c r="R69" s="2385"/>
      <c r="S69" s="2385"/>
      <c r="T69" s="2385"/>
      <c r="U69" s="2385"/>
      <c r="V69" s="2385"/>
      <c r="W69" s="2385"/>
      <c r="X69" s="2385"/>
      <c r="Y69" s="2385"/>
      <c r="Z69" s="2385"/>
      <c r="AA69" s="2385"/>
      <c r="AB69" s="2385"/>
      <c r="AC69" s="2385"/>
      <c r="AD69" s="2385"/>
      <c r="AE69" s="2315"/>
    </row>
  </sheetData>
  <mergeCells count="1">
    <mergeCell ref="A4:AD4"/>
  </mergeCells>
  <pageMargins left="0.7" right="0.7" top="0.75" bottom="0.75" header="0.3" footer="0.3"/>
  <drawing r:id="rId1"/>
  <legacyDrawing r:id="rId2"/>
  <controls>
    <mc:AlternateContent xmlns:mc="http://schemas.openxmlformats.org/markup-compatibility/2006">
      <mc:Choice Requires="x14">
        <control shapeId="1341443" r:id="rId3" name="CommandButton1">
          <controlPr defaultSize="0" autoLine="0" r:id="rId4">
            <anchor moveWithCells="1">
              <from>
                <xdr:col>0</xdr:col>
                <xdr:colOff>238125</xdr:colOff>
                <xdr:row>4</xdr:row>
                <xdr:rowOff>104775</xdr:rowOff>
              </from>
              <to>
                <xdr:col>2</xdr:col>
                <xdr:colOff>257175</xdr:colOff>
                <xdr:row>10</xdr:row>
                <xdr:rowOff>123825</xdr:rowOff>
              </to>
            </anchor>
          </controlPr>
        </control>
      </mc:Choice>
      <mc:Fallback>
        <control shapeId="1341443" r:id="rId3"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enableFormatConditionsCalculation="0">
    <tabColor rgb="FF3366FF"/>
  </sheetPr>
  <dimension ref="A1:AO250"/>
  <sheetViews>
    <sheetView showGridLines="0" topLeftCell="A16" zoomScaleNormal="100" workbookViewId="0">
      <selection activeCell="B3" sqref="B3"/>
    </sheetView>
  </sheetViews>
  <sheetFormatPr defaultColWidth="8.5703125" defaultRowHeight="12.75"/>
  <cols>
    <col min="1" max="1" width="2" style="117" customWidth="1"/>
    <col min="2" max="2" width="35.28515625" style="117" customWidth="1"/>
    <col min="3" max="3" width="16.7109375" style="117" customWidth="1"/>
    <col min="4" max="4" width="12.28515625" style="102" customWidth="1"/>
    <col min="5" max="5" width="11.7109375" style="102" customWidth="1"/>
    <col min="6" max="6" width="12" style="102" customWidth="1"/>
    <col min="7" max="11" width="9.85546875" bestFit="1" customWidth="1"/>
    <col min="12" max="12" width="9.140625" bestFit="1" customWidth="1"/>
    <col min="13" max="13" width="12.42578125" style="102" customWidth="1"/>
    <col min="14" max="14" width="20.7109375" style="102" bestFit="1" customWidth="1"/>
    <col min="15" max="30" width="6" style="102" customWidth="1"/>
    <col min="31" max="31" width="6" style="102" bestFit="1" customWidth="1"/>
    <col min="32" max="16384" width="8.5703125" style="102"/>
  </cols>
  <sheetData>
    <row r="1" spans="1:41" ht="16.5" customHeight="1">
      <c r="B1" s="4536"/>
      <c r="C1" s="4536"/>
    </row>
    <row r="2" spans="1:41" ht="15" customHeight="1">
      <c r="B2" s="4536"/>
      <c r="C2" s="4536"/>
      <c r="D2" s="117"/>
      <c r="E2" s="117"/>
      <c r="F2" s="117"/>
    </row>
    <row r="3" spans="1:41" s="100" customFormat="1" ht="15.75">
      <c r="A3" s="102"/>
      <c r="B3" s="2389"/>
      <c r="C3" s="4535"/>
      <c r="E3" s="1110"/>
      <c r="F3" s="1110"/>
      <c r="M3" s="102"/>
      <c r="O3" s="102"/>
      <c r="P3" s="102"/>
    </row>
    <row r="4" spans="1:41" s="100" customFormat="1" ht="23.25" customHeight="1">
      <c r="A4" s="102"/>
      <c r="B4" s="2389"/>
      <c r="C4" s="4535"/>
      <c r="D4" s="1108"/>
      <c r="E4" s="1110"/>
      <c r="F4" s="1110"/>
      <c r="M4" s="102"/>
      <c r="O4" s="102"/>
      <c r="P4" s="102"/>
    </row>
    <row r="5" spans="1:41" s="125" customFormat="1">
      <c r="A5" s="102"/>
      <c r="B5" s="106"/>
      <c r="C5" s="4333"/>
      <c r="D5" s="1109"/>
      <c r="E5" s="1110"/>
      <c r="F5" s="1110"/>
      <c r="M5" s="100"/>
      <c r="O5" s="102"/>
      <c r="P5" s="102"/>
      <c r="S5" s="102"/>
    </row>
    <row r="6" spans="1:41" customFormat="1">
      <c r="A6" s="109"/>
      <c r="B6" s="251"/>
      <c r="C6" s="4333"/>
      <c r="D6" s="1108"/>
      <c r="E6" s="1110"/>
      <c r="F6" s="1110"/>
      <c r="M6" s="100"/>
      <c r="N6" s="102"/>
      <c r="O6" s="102"/>
      <c r="P6" s="102"/>
      <c r="Q6" s="102"/>
      <c r="R6" s="102"/>
      <c r="S6" s="102"/>
      <c r="T6" s="102"/>
      <c r="U6" s="102"/>
      <c r="V6" s="102"/>
      <c r="W6" s="102"/>
      <c r="X6" s="102"/>
      <c r="Y6" s="102"/>
      <c r="Z6" s="102"/>
      <c r="AA6" s="102"/>
      <c r="AB6" s="102"/>
      <c r="AC6" s="102"/>
      <c r="AD6" s="102"/>
      <c r="AE6" s="102"/>
      <c r="AF6" s="102"/>
      <c r="AG6" s="102"/>
      <c r="AH6" s="102"/>
      <c r="AI6" s="102"/>
      <c r="AJ6" s="102"/>
      <c r="AK6" s="102"/>
      <c r="AL6" s="102"/>
      <c r="AM6" s="102"/>
      <c r="AN6" s="102"/>
      <c r="AO6" s="102"/>
    </row>
    <row r="7" spans="1:41" customFormat="1">
      <c r="A7" s="102"/>
      <c r="B7" s="106"/>
      <c r="C7" s="4333"/>
      <c r="D7" s="1109"/>
      <c r="E7" s="1110"/>
      <c r="F7" s="1110"/>
      <c r="M7" s="125"/>
      <c r="N7" s="102"/>
      <c r="O7" s="102"/>
      <c r="P7" s="102"/>
      <c r="Q7" s="102"/>
      <c r="R7" s="102"/>
      <c r="S7" s="100"/>
      <c r="T7" s="102"/>
      <c r="U7" s="102"/>
      <c r="V7" s="102"/>
      <c r="W7" s="102"/>
      <c r="X7" s="102"/>
      <c r="Y7" s="102"/>
      <c r="Z7" s="102"/>
      <c r="AA7" s="102"/>
      <c r="AB7" s="102"/>
      <c r="AC7" s="102"/>
      <c r="AD7" s="102"/>
      <c r="AE7" s="102"/>
      <c r="AF7" s="102"/>
      <c r="AG7" s="102"/>
      <c r="AH7" s="102"/>
      <c r="AI7" s="102"/>
      <c r="AJ7" s="102"/>
      <c r="AK7" s="102"/>
      <c r="AL7" s="102"/>
      <c r="AM7" s="102"/>
      <c r="AN7" s="102"/>
      <c r="AO7" s="102"/>
    </row>
    <row r="8" spans="1:41" customFormat="1">
      <c r="A8" s="102"/>
      <c r="B8" s="251"/>
      <c r="C8" s="4333"/>
      <c r="D8" s="1108"/>
      <c r="E8" s="1110"/>
      <c r="F8" s="1110"/>
      <c r="M8" s="102"/>
      <c r="N8" s="102"/>
      <c r="O8" s="102"/>
      <c r="P8" s="102"/>
      <c r="Q8" s="102"/>
      <c r="R8" s="102"/>
      <c r="S8" s="100"/>
      <c r="T8" s="102"/>
      <c r="U8" s="102"/>
      <c r="V8" s="102"/>
      <c r="W8" s="102"/>
      <c r="X8" s="102"/>
      <c r="Y8" s="102"/>
      <c r="Z8" s="102"/>
      <c r="AA8" s="102"/>
      <c r="AB8" s="102"/>
      <c r="AC8" s="102"/>
      <c r="AD8" s="102"/>
      <c r="AE8" s="102"/>
      <c r="AF8" s="102"/>
      <c r="AG8" s="102"/>
      <c r="AH8" s="102"/>
      <c r="AI8" s="102"/>
      <c r="AJ8" s="102"/>
      <c r="AK8" s="102"/>
      <c r="AL8" s="102"/>
      <c r="AM8" s="102"/>
      <c r="AN8" s="102"/>
      <c r="AO8" s="102"/>
    </row>
    <row r="9" spans="1:41" customFormat="1">
      <c r="A9" s="102"/>
      <c r="B9" s="106"/>
      <c r="C9" s="4334"/>
      <c r="D9" s="1109"/>
      <c r="E9" s="1110"/>
      <c r="F9" s="1110"/>
      <c r="M9" s="102"/>
      <c r="N9" s="102"/>
      <c r="O9" s="102"/>
      <c r="P9" s="102"/>
      <c r="Q9" s="102"/>
      <c r="R9" s="102"/>
      <c r="S9" s="102"/>
      <c r="T9" s="102"/>
      <c r="U9" s="102"/>
      <c r="V9" s="102"/>
      <c r="W9" s="102"/>
      <c r="X9" s="102"/>
      <c r="Y9" s="102"/>
      <c r="Z9" s="102"/>
      <c r="AA9" s="102"/>
      <c r="AB9" s="102"/>
      <c r="AC9" s="102"/>
      <c r="AD9" s="102"/>
      <c r="AE9" s="102"/>
      <c r="AF9" s="102"/>
      <c r="AG9" s="102"/>
      <c r="AH9" s="102"/>
      <c r="AI9" s="102"/>
      <c r="AJ9" s="102"/>
      <c r="AK9" s="102"/>
      <c r="AL9" s="102"/>
      <c r="AM9" s="102"/>
      <c r="AN9" s="102"/>
      <c r="AO9" s="102"/>
    </row>
    <row r="10" spans="1:41" customFormat="1" ht="24.6" customHeight="1">
      <c r="A10" s="102"/>
      <c r="B10" s="4335"/>
      <c r="C10" s="4336"/>
      <c r="D10" s="1108"/>
      <c r="E10" s="1110"/>
      <c r="F10" s="1110"/>
      <c r="M10" s="102"/>
      <c r="N10" s="102"/>
      <c r="O10" s="102"/>
      <c r="P10" s="102"/>
      <c r="Q10" s="102"/>
      <c r="R10" s="102"/>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row>
    <row r="11" spans="1:41" customFormat="1">
      <c r="A11" s="102"/>
      <c r="B11" s="106"/>
      <c r="C11" s="4337"/>
      <c r="D11" s="1109"/>
      <c r="E11" s="1110"/>
      <c r="F11" s="1110"/>
      <c r="M11" s="102"/>
      <c r="N11" s="102"/>
      <c r="O11" s="102"/>
      <c r="P11" s="102"/>
      <c r="Q11" s="102"/>
      <c r="R11" s="102"/>
      <c r="S11" s="102"/>
      <c r="T11" s="102"/>
      <c r="U11" s="102"/>
      <c r="V11" s="102"/>
      <c r="W11" s="102"/>
      <c r="X11" s="102"/>
      <c r="Y11" s="102"/>
      <c r="Z11" s="102"/>
      <c r="AA11" s="102"/>
      <c r="AB11" s="102"/>
      <c r="AC11" s="102"/>
      <c r="AD11" s="102"/>
      <c r="AE11" s="102"/>
      <c r="AF11" s="102"/>
      <c r="AG11" s="102"/>
      <c r="AH11" s="102"/>
      <c r="AI11" s="102"/>
      <c r="AJ11" s="102"/>
      <c r="AK11" s="102"/>
      <c r="AL11" s="102"/>
      <c r="AM11" s="102"/>
      <c r="AN11" s="102"/>
      <c r="AO11" s="102"/>
    </row>
    <row r="12" spans="1:41" customFormat="1">
      <c r="A12" s="102"/>
      <c r="B12" s="251"/>
      <c r="C12" s="4338"/>
      <c r="D12" s="1108"/>
      <c r="E12" s="1110"/>
      <c r="F12" s="1110"/>
      <c r="M12" s="102"/>
      <c r="N12" s="102"/>
      <c r="O12" s="102"/>
      <c r="P12" s="102"/>
      <c r="Q12" s="102"/>
      <c r="R12" s="102"/>
      <c r="S12" s="102"/>
      <c r="T12" s="102"/>
      <c r="U12" s="102"/>
      <c r="V12" s="102"/>
      <c r="W12" s="102"/>
      <c r="X12" s="102"/>
      <c r="Y12" s="102"/>
      <c r="Z12" s="102"/>
      <c r="AA12" s="102"/>
      <c r="AB12" s="102"/>
      <c r="AC12" s="102"/>
      <c r="AD12" s="102"/>
      <c r="AE12" s="102"/>
      <c r="AF12" s="102"/>
      <c r="AG12" s="102"/>
      <c r="AH12" s="102"/>
      <c r="AI12" s="102"/>
      <c r="AJ12" s="102"/>
      <c r="AK12" s="102"/>
      <c r="AL12" s="102"/>
      <c r="AM12" s="102"/>
      <c r="AN12" s="102"/>
      <c r="AO12" s="102"/>
    </row>
    <row r="13" spans="1:41">
      <c r="A13" s="102"/>
      <c r="B13" s="251"/>
      <c r="C13" s="4339"/>
    </row>
    <row r="14" spans="1:41" ht="13.15" customHeight="1">
      <c r="A14" s="102"/>
      <c r="B14" s="251"/>
      <c r="C14" s="4339"/>
    </row>
    <row r="15" spans="1:41">
      <c r="A15" s="102"/>
      <c r="B15" s="4340"/>
      <c r="C15" s="4339"/>
      <c r="E15" s="709"/>
    </row>
    <row r="16" spans="1:41">
      <c r="A16" s="102"/>
      <c r="B16" s="4340"/>
      <c r="C16" s="4339"/>
    </row>
    <row r="17" spans="1:28" ht="13.5" thickBot="1">
      <c r="A17" s="102"/>
    </row>
    <row r="18" spans="1:28" s="512" customFormat="1" ht="57" customHeight="1" thickBot="1">
      <c r="B18" s="1247" t="s">
        <v>202</v>
      </c>
      <c r="C18" s="513"/>
      <c r="D18" s="516" t="s">
        <v>546</v>
      </c>
      <c r="E18" s="516" t="s">
        <v>1068</v>
      </c>
    </row>
    <row r="19" spans="1:28">
      <c r="A19" s="102"/>
      <c r="B19" s="537" t="s">
        <v>419</v>
      </c>
      <c r="C19" s="887">
        <v>100</v>
      </c>
      <c r="D19" s="1782">
        <f>GrossMW*AverageOutputPct</f>
        <v>100</v>
      </c>
      <c r="E19" s="1783">
        <f>PMT(DiscountRate,BookLife,PV((1+DiscountRate)/(1-AnnCapDegredationRate)-1,BookLife,OpHrsPerYr*GrossMW/1000*AverageOutputPct))/(1-AnnCapDegredationRate)</f>
        <v>221.10834294810633</v>
      </c>
      <c r="G19" s="6"/>
      <c r="H19" s="6"/>
      <c r="I19" s="6"/>
    </row>
    <row r="20" spans="1:28">
      <c r="A20" s="102"/>
      <c r="B20" s="53" t="s">
        <v>144</v>
      </c>
      <c r="C20" s="892">
        <v>0.02</v>
      </c>
      <c r="D20" s="1782"/>
      <c r="E20" s="1782"/>
      <c r="G20" s="5"/>
      <c r="H20" s="6"/>
      <c r="I20" s="6"/>
    </row>
    <row r="21" spans="1:28">
      <c r="A21" s="102"/>
      <c r="B21" s="538" t="s">
        <v>246</v>
      </c>
      <c r="C21" s="888">
        <f>GrossMW*(1-SiteLoadPct)</f>
        <v>98</v>
      </c>
      <c r="D21" s="1782">
        <f>NetMW*AverageOutputPct</f>
        <v>98</v>
      </c>
      <c r="E21" s="1782">
        <f>PMT(DiscountRate,BookLife,PV((1+DiscountRate)/(1-AnnCapDegredationRate)-1,BookLife,OpHrsPerYr*OpCapMW/1000))/(1-AnnCapDegredationRate)</f>
        <v>216.6861760891442</v>
      </c>
      <c r="G21" s="6"/>
      <c r="H21" s="6"/>
      <c r="I21" s="6"/>
    </row>
    <row r="22" spans="1:28">
      <c r="A22" s="102"/>
      <c r="B22" s="539" t="s">
        <v>444</v>
      </c>
      <c r="C22" s="892">
        <v>5.0000000000000001E-3</v>
      </c>
      <c r="D22" s="1782"/>
      <c r="E22" s="1782"/>
      <c r="G22" s="5"/>
      <c r="H22" s="6"/>
      <c r="I22" s="6"/>
    </row>
    <row r="23" spans="1:28">
      <c r="A23" s="102"/>
      <c r="B23" s="538" t="s">
        <v>247</v>
      </c>
      <c r="C23" s="888">
        <f>NetMW*(1-Transformer_Losses)</f>
        <v>97.51</v>
      </c>
      <c r="D23" s="1782">
        <f>C23*AverageOutputPct</f>
        <v>97.51</v>
      </c>
      <c r="E23" s="1782">
        <f>PMT(DiscountRate,BookLife,PV((1+DiscountRate)/(1-AnnCapDegredationRate)-1,BookLife,OpHrsPerYr*D23/1000))/(1-AnnCapDegredationRate)</f>
        <v>215.60274520869848</v>
      </c>
      <c r="G23" s="6"/>
      <c r="H23" s="6"/>
      <c r="I23" s="6"/>
    </row>
    <row r="24" spans="1:28">
      <c r="A24" s="102"/>
      <c r="B24" s="50" t="s">
        <v>1743</v>
      </c>
      <c r="C24" s="892">
        <v>9.6867686685003819E-3</v>
      </c>
      <c r="D24" s="1782"/>
      <c r="E24" s="1782"/>
      <c r="G24" s="5"/>
      <c r="H24" s="6"/>
      <c r="I24" s="6"/>
      <c r="J24" s="2329"/>
      <c r="K24" s="2329"/>
      <c r="L24" s="2329"/>
    </row>
    <row r="25" spans="1:28" ht="13.9" customHeight="1">
      <c r="A25" s="102"/>
      <c r="B25" s="50" t="s">
        <v>1972</v>
      </c>
      <c r="C25" s="3801">
        <f>NetMW*(1-Transformer_Losses)*(1-GenTieLosses)</f>
        <v>96.565443187134534</v>
      </c>
      <c r="D25" s="1782">
        <f>LoadCenterMW*AverageOutputPct</f>
        <v>96.565443187134534</v>
      </c>
      <c r="E25" s="1782">
        <f>PMT(DiscountRate,BookLife,PV((1+DiscountRate)/(1-AnnCapDegredationRate)-1,BookLife,OpHrsPerYr*EffectiveMW/1000))/(1-AnnCapDegredationRate)</f>
        <v>213.51425129156823</v>
      </c>
      <c r="G25" s="3589"/>
      <c r="H25" s="6"/>
      <c r="I25" s="6"/>
      <c r="Q25" s="103"/>
      <c r="R25" s="103"/>
      <c r="S25" s="103"/>
      <c r="T25" s="103"/>
      <c r="U25" s="103"/>
      <c r="V25" s="103"/>
      <c r="W25" s="103"/>
      <c r="X25" s="103"/>
      <c r="Y25" s="103"/>
      <c r="Z25" s="103"/>
      <c r="AA25" s="103"/>
      <c r="AB25" s="103"/>
    </row>
    <row r="26" spans="1:28">
      <c r="A26" s="105"/>
      <c r="B26" s="538" t="s">
        <v>166</v>
      </c>
      <c r="C26" s="892">
        <v>3.0000000000000001E-3</v>
      </c>
      <c r="D26" s="1491"/>
      <c r="E26" s="1492"/>
      <c r="G26" s="5"/>
      <c r="H26" s="6"/>
      <c r="I26" s="6"/>
      <c r="Q26" s="103"/>
      <c r="R26" s="103"/>
      <c r="S26" s="103"/>
      <c r="T26" s="103"/>
      <c r="U26" s="103"/>
      <c r="V26" s="103"/>
      <c r="W26" s="103"/>
      <c r="X26" s="103"/>
      <c r="Y26" s="103"/>
      <c r="Z26" s="103"/>
      <c r="AA26" s="103"/>
      <c r="AB26" s="103"/>
    </row>
    <row r="27" spans="1:28" ht="13.9" customHeight="1" thickBot="1">
      <c r="A27" s="104"/>
      <c r="B27" s="1493" t="s">
        <v>1443</v>
      </c>
      <c r="C27" s="889">
        <f>IF(Perspective="At Interconnection Point",LoadCenterMW,IF(Perspective="At Busbar - Transmission Side",C23,NetMW))</f>
        <v>96.565443187134534</v>
      </c>
      <c r="D27" s="1735">
        <f>IF(Perspective="At Interconnection Point",EffectiveMW,IF(Perspective="At Busbar - Transmission Side",D23,OpCapMW))</f>
        <v>96.565443187134534</v>
      </c>
      <c r="E27" s="1735">
        <f>IF(Perspective="At Interconnection Point",LoadCenterGWh,IF(Perspective="At Busbar - Transmission Side",E23,AnnualNetGWh))</f>
        <v>213.51425129156823</v>
      </c>
      <c r="G27" s="6"/>
      <c r="H27" s="6"/>
      <c r="I27" s="6"/>
      <c r="M27" s="103"/>
      <c r="Q27" s="103"/>
      <c r="R27" s="103"/>
      <c r="S27" s="103"/>
      <c r="T27" s="103"/>
      <c r="U27" s="103"/>
      <c r="V27" s="103"/>
      <c r="W27" s="103"/>
      <c r="X27" s="103"/>
      <c r="Y27" s="103"/>
      <c r="Z27" s="103"/>
      <c r="AA27" s="103"/>
      <c r="AB27" s="103"/>
    </row>
    <row r="28" spans="1:28" ht="13.5" thickBot="1">
      <c r="A28" s="102"/>
      <c r="B28" s="251"/>
      <c r="D28" s="264"/>
      <c r="E28" s="264"/>
      <c r="F28" s="103"/>
      <c r="G28" s="2329"/>
      <c r="H28" s="2329"/>
      <c r="I28" s="2329"/>
      <c r="J28" s="2329"/>
      <c r="M28" s="103"/>
      <c r="Q28" s="103"/>
      <c r="R28" s="103"/>
      <c r="S28" s="103"/>
      <c r="T28" s="103"/>
      <c r="U28" s="103"/>
      <c r="V28" s="103"/>
      <c r="W28" s="103"/>
      <c r="X28" s="103"/>
      <c r="Y28" s="103"/>
      <c r="Z28" s="103"/>
      <c r="AA28" s="103"/>
      <c r="AB28" s="103"/>
    </row>
    <row r="29" spans="1:28" ht="13.15" customHeight="1" thickBot="1">
      <c r="A29" s="102"/>
      <c r="B29" s="256" t="s">
        <v>1360</v>
      </c>
      <c r="C29" s="257"/>
      <c r="D29" s="355" t="s">
        <v>559</v>
      </c>
      <c r="E29" s="344"/>
      <c r="G29" s="2329"/>
      <c r="H29" s="5"/>
      <c r="I29" s="2329"/>
      <c r="J29" s="2329"/>
      <c r="M29" s="103"/>
      <c r="Q29" s="103"/>
      <c r="R29" s="103"/>
      <c r="S29" s="103"/>
      <c r="T29" s="103"/>
      <c r="U29" s="103"/>
      <c r="V29" s="103"/>
      <c r="W29" s="103"/>
      <c r="X29" s="103"/>
      <c r="Y29" s="103"/>
      <c r="Z29" s="103"/>
      <c r="AA29" s="103"/>
      <c r="AB29" s="103"/>
    </row>
    <row r="30" spans="1:28">
      <c r="A30" s="102"/>
      <c r="B30" s="537" t="s">
        <v>956</v>
      </c>
      <c r="C30" s="803">
        <v>1</v>
      </c>
      <c r="D30" s="108"/>
      <c r="E30" s="105"/>
      <c r="F30" s="4324"/>
      <c r="G30" s="4323"/>
      <c r="H30" s="4323"/>
      <c r="I30" s="4323"/>
      <c r="J30" s="4323"/>
      <c r="K30" s="4323"/>
      <c r="L30" s="4323"/>
      <c r="M30" s="4323"/>
      <c r="Y30" s="103"/>
      <c r="Z30" s="103"/>
      <c r="AA30" s="103"/>
      <c r="AB30" s="103"/>
    </row>
    <row r="31" spans="1:28">
      <c r="A31" s="102"/>
      <c r="B31" s="50" t="s">
        <v>1887</v>
      </c>
      <c r="C31" s="4227">
        <f>((NetCapacityFactor)/AverageOutputPct)/((1-ForcedOutageFactor)*IF(NetCapacityFactor&lt;(1-ForcedOutageFactor)*(1-EnterSchdOutageFactor),1,(1-EnterSchdOutageFactor)))</f>
        <v>0.26262626262626265</v>
      </c>
      <c r="D31" s="2753">
        <f>PlannedPctYrOp*8760</f>
        <v>2300.606060606061</v>
      </c>
      <c r="E31" s="509"/>
      <c r="F31" s="4324"/>
      <c r="G31" s="4323"/>
      <c r="H31" s="4323"/>
      <c r="I31" s="4323"/>
      <c r="J31" s="4323"/>
      <c r="K31" s="4323"/>
      <c r="L31" s="4323"/>
      <c r="M31" s="4323"/>
      <c r="Y31" s="103"/>
      <c r="Z31" s="103"/>
      <c r="AA31" s="103"/>
      <c r="AB31" s="103"/>
    </row>
    <row r="32" spans="1:28">
      <c r="A32" s="102"/>
      <c r="B32" s="538" t="s">
        <v>167</v>
      </c>
      <c r="C32" s="359"/>
      <c r="D32" s="511"/>
      <c r="E32" s="105"/>
      <c r="G32" s="2329"/>
      <c r="H32" s="3592"/>
      <c r="I32" s="3591"/>
      <c r="J32" s="2329"/>
      <c r="M32" s="28"/>
      <c r="Q32" s="103"/>
      <c r="R32" s="103"/>
      <c r="S32" s="103"/>
      <c r="T32" s="103"/>
      <c r="U32" s="103"/>
      <c r="V32" s="103"/>
      <c r="W32" s="103"/>
      <c r="X32" s="103"/>
      <c r="Y32" s="103"/>
      <c r="Z32" s="103"/>
      <c r="AA32" s="103"/>
      <c r="AB32" s="103"/>
    </row>
    <row r="33" spans="1:28">
      <c r="A33" s="102"/>
      <c r="B33" s="540" t="s">
        <v>1048</v>
      </c>
      <c r="C33" s="360">
        <v>0</v>
      </c>
      <c r="D33" s="137"/>
      <c r="E33" s="105"/>
      <c r="G33" s="2329"/>
      <c r="H33" s="5"/>
      <c r="I33" s="3591"/>
      <c r="J33" s="2329"/>
      <c r="M33" s="128"/>
      <c r="Q33" s="103"/>
      <c r="R33" s="103"/>
      <c r="S33" s="103"/>
      <c r="T33" s="103"/>
      <c r="U33" s="103"/>
      <c r="V33" s="103"/>
      <c r="W33" s="103"/>
      <c r="X33" s="103"/>
      <c r="Y33" s="103"/>
      <c r="Z33" s="103"/>
      <c r="AA33" s="103"/>
      <c r="AB33" s="103"/>
    </row>
    <row r="34" spans="1:28" ht="14.25">
      <c r="A34" s="263"/>
      <c r="B34" s="541" t="s">
        <v>1049</v>
      </c>
      <c r="C34" s="361">
        <v>0</v>
      </c>
      <c r="D34" s="137"/>
      <c r="E34" s="245"/>
      <c r="G34" s="2329"/>
      <c r="H34" s="5"/>
      <c r="I34" s="3591"/>
      <c r="J34" s="3591"/>
      <c r="M34" s="128"/>
      <c r="Q34" s="103"/>
      <c r="R34" s="103"/>
      <c r="S34" s="103"/>
      <c r="T34" s="103"/>
      <c r="U34" s="103"/>
      <c r="V34" s="103"/>
      <c r="W34" s="103"/>
      <c r="X34" s="103"/>
      <c r="Y34" s="103"/>
      <c r="Z34" s="103"/>
      <c r="AA34" s="103"/>
      <c r="AB34" s="103"/>
    </row>
    <row r="35" spans="1:28" ht="14.25">
      <c r="A35" s="263"/>
      <c r="B35" s="538" t="s">
        <v>974</v>
      </c>
      <c r="C35" s="2189">
        <f>IF(AND(ISNUMBER(EnterSchdOutageFactor),EnterSchdOutageFactor&gt;0),EnterSchdOutageFactor,SchdOutageHours/8760)</f>
        <v>0</v>
      </c>
      <c r="D35" s="137">
        <f>SchdOutageFactor*8760</f>
        <v>0</v>
      </c>
      <c r="E35" s="345"/>
      <c r="G35" s="2329"/>
      <c r="H35" s="2329"/>
      <c r="I35" s="3591"/>
      <c r="J35" s="3591"/>
      <c r="M35" s="128"/>
      <c r="N35" s="103"/>
      <c r="O35" s="103"/>
      <c r="P35" s="103"/>
      <c r="Q35" s="103"/>
      <c r="R35" s="103"/>
      <c r="S35" s="103"/>
      <c r="T35" s="103"/>
      <c r="U35" s="103"/>
      <c r="V35" s="103"/>
      <c r="W35" s="103"/>
      <c r="X35" s="103"/>
      <c r="Y35" s="103"/>
      <c r="Z35" s="103"/>
      <c r="AA35" s="103"/>
      <c r="AB35" s="103"/>
    </row>
    <row r="36" spans="1:28" ht="14.25">
      <c r="A36" s="263"/>
      <c r="B36" s="539" t="s">
        <v>975</v>
      </c>
      <c r="C36" s="363"/>
      <c r="D36" s="136">
        <f>MIN(PlannedPctYrOp*8760,8760-SchdOutHours)</f>
        <v>2300.606060606061</v>
      </c>
      <c r="E36" s="345"/>
      <c r="G36" s="2329"/>
      <c r="H36" s="5"/>
      <c r="I36" s="3591"/>
      <c r="J36" s="3591"/>
      <c r="M36" s="28"/>
      <c r="N36" s="103"/>
      <c r="O36" s="103"/>
      <c r="P36" s="103"/>
    </row>
    <row r="37" spans="1:28" ht="14.25">
      <c r="A37" s="263"/>
      <c r="B37" s="538" t="s">
        <v>972</v>
      </c>
      <c r="C37" s="843">
        <v>0.01</v>
      </c>
      <c r="D37" s="138">
        <f>ForcedOutageRate*MIN(PlannedOpHrs,8760-SchdOutHours)</f>
        <v>23.006060606060611</v>
      </c>
      <c r="E37" s="345"/>
      <c r="G37" s="2329"/>
      <c r="H37" s="2329"/>
      <c r="I37" s="3592"/>
      <c r="J37" s="3591"/>
      <c r="M37" s="28"/>
      <c r="N37" s="103"/>
      <c r="O37" s="103"/>
      <c r="P37" s="103"/>
    </row>
    <row r="38" spans="1:28" ht="14.25">
      <c r="A38" s="263"/>
      <c r="B38" s="538" t="s">
        <v>624</v>
      </c>
      <c r="C38" s="363"/>
      <c r="D38" s="126">
        <f>PlannedOpHrs-ForceOutageHrs</f>
        <v>2277.6000000000004</v>
      </c>
      <c r="E38" s="509"/>
      <c r="G38" s="2329"/>
      <c r="H38" s="2329"/>
      <c r="I38" s="3591"/>
      <c r="J38" s="3591"/>
      <c r="N38" s="28"/>
      <c r="O38" s="103"/>
      <c r="P38" s="103"/>
      <c r="Q38" s="103"/>
      <c r="R38" s="103"/>
    </row>
    <row r="39" spans="1:28" ht="15">
      <c r="A39" s="102"/>
      <c r="B39" s="539" t="s">
        <v>168</v>
      </c>
      <c r="C39" s="363"/>
      <c r="D39" s="138">
        <f>EquipLifeYears*OpHrsPerYr</f>
        <v>68328.000000000015</v>
      </c>
      <c r="E39" s="510"/>
      <c r="G39" s="2329"/>
      <c r="H39" s="5"/>
      <c r="I39" s="2329"/>
      <c r="J39" s="3592"/>
      <c r="M39" s="312"/>
      <c r="N39" s="312"/>
      <c r="O39" s="312"/>
      <c r="P39" s="312"/>
      <c r="Q39" s="312"/>
      <c r="R39" s="312"/>
    </row>
    <row r="40" spans="1:28" ht="15">
      <c r="A40" s="102"/>
      <c r="B40" s="535" t="s">
        <v>632</v>
      </c>
      <c r="C40" s="364">
        <f>(1-SchdOutageFactor)*(1-ForcedOutageRate)</f>
        <v>0.99</v>
      </c>
      <c r="D40" s="113"/>
      <c r="E40" s="318"/>
      <c r="G40" s="2329"/>
      <c r="H40" s="5"/>
      <c r="I40" s="2329"/>
      <c r="J40" s="5"/>
      <c r="M40" s="312"/>
      <c r="N40" s="312"/>
      <c r="O40" s="312"/>
      <c r="P40" s="312"/>
      <c r="Q40" s="312"/>
      <c r="R40" s="312"/>
    </row>
    <row r="41" spans="1:28" ht="15.75" thickBot="1">
      <c r="A41" s="102"/>
      <c r="B41" s="536" t="s">
        <v>623</v>
      </c>
      <c r="C41" s="3258">
        <v>0.26</v>
      </c>
      <c r="D41" s="116"/>
      <c r="E41" s="868"/>
      <c r="G41" s="2329"/>
      <c r="H41" s="2329"/>
      <c r="I41" s="2329"/>
      <c r="J41" s="2329"/>
      <c r="M41" s="312"/>
      <c r="N41" s="312"/>
      <c r="O41" s="312"/>
      <c r="P41" s="312"/>
      <c r="Q41" s="312"/>
      <c r="R41" s="312"/>
    </row>
    <row r="42" spans="1:28" ht="15.75" thickBot="1">
      <c r="A42" s="102"/>
      <c r="E42" s="105"/>
      <c r="G42" s="2329"/>
      <c r="H42" s="2329"/>
      <c r="I42" s="2329"/>
      <c r="J42" s="2329"/>
      <c r="M42" s="312"/>
      <c r="N42" s="312"/>
      <c r="O42" s="312"/>
      <c r="P42" s="312"/>
      <c r="Q42" s="312"/>
      <c r="R42" s="312"/>
    </row>
    <row r="43" spans="1:28" ht="13.5" thickBot="1">
      <c r="A43" s="102"/>
      <c r="B43" s="4537" t="s">
        <v>1284</v>
      </c>
      <c r="C43" s="4538"/>
      <c r="D43" s="4539"/>
      <c r="E43" s="531" t="s">
        <v>1067</v>
      </c>
      <c r="G43" s="2329"/>
      <c r="H43" s="2329"/>
      <c r="I43" s="2329"/>
      <c r="J43" s="2329"/>
      <c r="O43" s="103"/>
      <c r="P43" s="103"/>
    </row>
    <row r="44" spans="1:28" ht="18.75" customHeight="1">
      <c r="A44" s="102"/>
      <c r="B44" s="1111" t="s">
        <v>1135</v>
      </c>
      <c r="C44" s="970"/>
      <c r="D44" s="1113"/>
      <c r="E44" s="1116"/>
      <c r="G44" s="2329"/>
      <c r="H44" s="3592"/>
      <c r="I44" s="2329"/>
      <c r="J44" s="3590"/>
    </row>
    <row r="45" spans="1:28">
      <c r="A45" s="102"/>
      <c r="B45" s="424" t="s">
        <v>1970</v>
      </c>
      <c r="C45" s="492"/>
      <c r="D45" s="1114" t="s">
        <v>1154</v>
      </c>
      <c r="E45" s="1117" t="str">
        <f>IF(AvgHeatRate=0,"N/A",3413/AvgHeatRate)</f>
        <v>N/A</v>
      </c>
      <c r="G45" s="2329"/>
      <c r="H45" s="3592"/>
      <c r="I45" s="2329"/>
      <c r="J45" s="3590"/>
    </row>
    <row r="46" spans="1:28">
      <c r="A46" s="102"/>
      <c r="B46" s="488" t="s">
        <v>1226</v>
      </c>
      <c r="C46" s="607" t="str">
        <f>IF(C45=0,"N/A",((C45*GrossMW/1000)*OpHrsPerYr-StartUpFuel*AnnualStarts)/(OpHrsPerYr*GrossMW/1000))</f>
        <v>N/A</v>
      </c>
      <c r="D46" s="1114" t="s">
        <v>1154</v>
      </c>
      <c r="E46" s="1117" t="str">
        <f>IF(AvgHeatRate=0,"N/A",3413/C46)</f>
        <v>N/A</v>
      </c>
      <c r="G46" s="2329"/>
      <c r="H46" s="2329"/>
      <c r="I46" s="2329"/>
      <c r="J46" s="2329"/>
    </row>
    <row r="47" spans="1:28" ht="13.5" customHeight="1">
      <c r="A47" s="102"/>
      <c r="B47" s="1112"/>
      <c r="C47" s="1112"/>
      <c r="E47" s="363"/>
      <c r="G47" s="2329"/>
      <c r="H47" s="5"/>
      <c r="I47" s="2329"/>
      <c r="J47" s="2329"/>
    </row>
    <row r="48" spans="1:28">
      <c r="A48" s="102"/>
      <c r="B48" s="608" t="s">
        <v>1185</v>
      </c>
      <c r="C48" s="609">
        <v>0</v>
      </c>
      <c r="D48" s="352"/>
      <c r="E48" s="1118"/>
      <c r="G48" s="2329"/>
      <c r="H48" s="3592"/>
      <c r="I48" s="2329"/>
      <c r="J48" s="2329"/>
    </row>
    <row r="49" spans="1:13">
      <c r="A49" s="102"/>
      <c r="B49" s="608" t="s">
        <v>1272</v>
      </c>
      <c r="C49" s="624" t="str">
        <f>IF(AvgHeatRate=0,"N/A",GrossMW*AverageOutputPct*OpHeatRate/1000)</f>
        <v>N/A</v>
      </c>
      <c r="D49" s="352" t="s">
        <v>1289</v>
      </c>
      <c r="E49" s="1118"/>
      <c r="G49" s="2329"/>
      <c r="H49" s="3592"/>
      <c r="I49" s="2329"/>
      <c r="J49" s="2329"/>
    </row>
    <row r="50" spans="1:13">
      <c r="A50" s="102"/>
      <c r="B50" s="608" t="s">
        <v>169</v>
      </c>
      <c r="C50" s="610"/>
      <c r="D50" s="352" t="s">
        <v>1370</v>
      </c>
      <c r="E50" s="1118"/>
      <c r="G50" s="2329"/>
      <c r="H50" s="3591"/>
      <c r="I50" s="2329"/>
      <c r="J50" s="2329"/>
      <c r="M50" s="30"/>
    </row>
    <row r="51" spans="1:13" ht="13.5" thickBot="1">
      <c r="A51" s="102"/>
      <c r="B51" s="611" t="s">
        <v>148</v>
      </c>
      <c r="C51" s="625" t="str">
        <f>IF(AvgHeatRate=0,"N/A",Income_Rev_Req!D17)</f>
        <v>N/A</v>
      </c>
      <c r="D51" s="1115" t="s">
        <v>1009</v>
      </c>
      <c r="E51" s="1119"/>
      <c r="M51" s="94"/>
    </row>
    <row r="52" spans="1:13">
      <c r="A52" s="102"/>
      <c r="M52" s="95"/>
    </row>
    <row r="53" spans="1:13">
      <c r="A53" s="102"/>
      <c r="M53" s="95"/>
    </row>
    <row r="54" spans="1:13">
      <c r="A54" s="102"/>
      <c r="C54" s="251"/>
      <c r="D54" s="251"/>
      <c r="E54" s="245"/>
      <c r="M54" s="96"/>
    </row>
    <row r="55" spans="1:13" ht="13.5" thickBot="1">
      <c r="A55" s="102"/>
      <c r="C55" s="245"/>
      <c r="D55" s="251"/>
      <c r="E55" s="245"/>
    </row>
    <row r="56" spans="1:13">
      <c r="A56" s="102"/>
      <c r="B56" s="266" t="s">
        <v>1064</v>
      </c>
      <c r="C56" s="103"/>
      <c r="D56" s="103"/>
      <c r="E56" s="103"/>
      <c r="M56" s="253"/>
    </row>
    <row r="57" spans="1:13">
      <c r="A57" s="103"/>
      <c r="B57" s="347" t="s">
        <v>1249</v>
      </c>
      <c r="C57" s="251"/>
      <c r="D57" s="251"/>
      <c r="E57" s="245"/>
    </row>
    <row r="58" spans="1:13">
      <c r="A58" s="102"/>
      <c r="B58" s="967" t="s">
        <v>388</v>
      </c>
      <c r="C58" s="251"/>
      <c r="D58" s="251"/>
      <c r="E58" s="245"/>
    </row>
    <row r="59" spans="1:13" ht="13.5" thickBot="1">
      <c r="A59" s="102"/>
      <c r="B59" s="348" t="s">
        <v>1053</v>
      </c>
      <c r="C59" s="251"/>
      <c r="D59" s="251"/>
      <c r="E59" s="245"/>
    </row>
    <row r="60" spans="1:13">
      <c r="A60" s="102"/>
    </row>
    <row r="61" spans="1:13">
      <c r="A61" s="102"/>
    </row>
    <row r="62" spans="1:13">
      <c r="A62" s="102"/>
    </row>
    <row r="63" spans="1:13">
      <c r="A63" s="102"/>
      <c r="B63" s="102"/>
      <c r="C63" s="102"/>
    </row>
    <row r="64" spans="1:13">
      <c r="A64" s="102"/>
      <c r="B64" s="102"/>
      <c r="C64" s="102"/>
      <c r="F64" s="208"/>
    </row>
    <row r="65" spans="1:6">
      <c r="A65" s="102"/>
      <c r="B65" s="102"/>
      <c r="C65" s="102"/>
      <c r="F65" s="2" t="s">
        <v>1187</v>
      </c>
    </row>
    <row r="66" spans="1:6">
      <c r="A66" s="102"/>
      <c r="B66" s="102"/>
      <c r="C66" s="102"/>
      <c r="F66" s="208"/>
    </row>
    <row r="67" spans="1:6">
      <c r="A67" s="102"/>
      <c r="B67" s="102"/>
      <c r="C67" s="102"/>
      <c r="F67" s="208" t="s">
        <v>1186</v>
      </c>
    </row>
    <row r="68" spans="1:6">
      <c r="A68" s="102"/>
      <c r="B68" s="102"/>
      <c r="C68" s="102"/>
      <c r="F68" s="117"/>
    </row>
    <row r="69" spans="1:6">
      <c r="B69" s="102"/>
      <c r="C69" s="102"/>
    </row>
    <row r="70" spans="1:6">
      <c r="A70" s="192"/>
      <c r="B70" s="102"/>
      <c r="C70" s="102"/>
    </row>
    <row r="71" spans="1:6">
      <c r="B71" s="102"/>
      <c r="C71" s="102"/>
    </row>
    <row r="72" spans="1:6">
      <c r="B72" s="102"/>
      <c r="C72" s="102"/>
    </row>
    <row r="73" spans="1:6">
      <c r="B73" s="102"/>
      <c r="C73" s="102"/>
    </row>
    <row r="74" spans="1:6">
      <c r="B74" s="102"/>
      <c r="C74" s="102"/>
    </row>
    <row r="75" spans="1:6">
      <c r="B75" s="102"/>
      <c r="C75" s="102"/>
    </row>
    <row r="76" spans="1:6">
      <c r="B76" s="102"/>
      <c r="C76" s="102"/>
    </row>
    <row r="77" spans="1:6">
      <c r="B77" s="102"/>
      <c r="C77" s="102"/>
    </row>
    <row r="78" spans="1:6">
      <c r="B78" s="102"/>
      <c r="C78" s="102"/>
    </row>
    <row r="79" spans="1:6">
      <c r="B79" s="102"/>
      <c r="C79" s="102"/>
    </row>
    <row r="80" spans="1:6">
      <c r="B80" s="102"/>
      <c r="C80" s="102"/>
    </row>
    <row r="81" spans="2:3">
      <c r="B81" s="102"/>
      <c r="C81" s="102"/>
    </row>
    <row r="82" spans="2:3">
      <c r="B82" s="102"/>
      <c r="C82" s="102"/>
    </row>
    <row r="83" spans="2:3">
      <c r="B83" s="102"/>
      <c r="C83" s="102"/>
    </row>
    <row r="84" spans="2:3">
      <c r="B84" s="102"/>
      <c r="C84" s="102"/>
    </row>
    <row r="85" spans="2:3">
      <c r="B85" s="102"/>
      <c r="C85" s="102"/>
    </row>
    <row r="86" spans="2:3">
      <c r="B86" s="102"/>
      <c r="C86" s="102"/>
    </row>
    <row r="87" spans="2:3">
      <c r="B87" s="102"/>
      <c r="C87" s="102"/>
    </row>
    <row r="88" spans="2:3">
      <c r="B88" s="102"/>
      <c r="C88" s="102"/>
    </row>
    <row r="89" spans="2:3">
      <c r="B89" s="102"/>
      <c r="C89" s="102"/>
    </row>
    <row r="90" spans="2:3">
      <c r="B90" s="102"/>
      <c r="C90" s="102"/>
    </row>
    <row r="91" spans="2:3">
      <c r="B91" s="102"/>
      <c r="C91" s="102"/>
    </row>
    <row r="92" spans="2:3">
      <c r="B92" s="102"/>
      <c r="C92" s="102"/>
    </row>
    <row r="93" spans="2:3">
      <c r="B93" s="102"/>
      <c r="C93" s="102"/>
    </row>
    <row r="94" spans="2:3">
      <c r="B94" s="102"/>
      <c r="C94" s="102"/>
    </row>
    <row r="95" spans="2:3">
      <c r="B95" s="102"/>
      <c r="C95" s="102"/>
    </row>
    <row r="96" spans="2:3">
      <c r="B96" s="102"/>
      <c r="C96" s="102"/>
    </row>
    <row r="97" spans="2:6">
      <c r="B97" s="102"/>
      <c r="C97" s="102"/>
    </row>
    <row r="98" spans="2:6">
      <c r="B98" s="102"/>
      <c r="C98" s="102"/>
    </row>
    <row r="99" spans="2:6">
      <c r="B99" s="102"/>
      <c r="C99" s="102"/>
      <c r="F99" s="118"/>
    </row>
    <row r="100" spans="2:6">
      <c r="B100" s="102"/>
      <c r="C100" s="102"/>
      <c r="F100" s="118"/>
    </row>
    <row r="101" spans="2:6">
      <c r="B101" s="102"/>
      <c r="C101" s="102"/>
      <c r="F101" s="118"/>
    </row>
    <row r="102" spans="2:6">
      <c r="B102" s="118"/>
      <c r="C102" s="118"/>
      <c r="D102" s="118"/>
      <c r="E102" s="118"/>
      <c r="F102" s="118"/>
    </row>
    <row r="103" spans="2:6">
      <c r="B103" s="118"/>
      <c r="C103" s="118"/>
      <c r="D103" s="118"/>
      <c r="E103" s="118"/>
      <c r="F103" s="118"/>
    </row>
    <row r="104" spans="2:6">
      <c r="B104" s="118"/>
      <c r="C104" s="118"/>
      <c r="D104" s="118"/>
      <c r="E104" s="118"/>
      <c r="F104" s="118"/>
    </row>
    <row r="105" spans="2:6">
      <c r="B105" s="118"/>
      <c r="C105" s="118"/>
      <c r="D105" s="118"/>
      <c r="E105" s="118"/>
      <c r="F105" s="118"/>
    </row>
    <row r="106" spans="2:6">
      <c r="B106" s="118"/>
      <c r="C106" s="118"/>
      <c r="D106" s="118"/>
      <c r="E106" s="118"/>
      <c r="F106" s="194"/>
    </row>
    <row r="107" spans="2:6">
      <c r="B107" s="118"/>
      <c r="C107" s="118"/>
      <c r="D107" s="118"/>
      <c r="E107" s="118"/>
      <c r="F107" s="117"/>
    </row>
    <row r="108" spans="2:6">
      <c r="B108" s="118"/>
      <c r="C108" s="118"/>
      <c r="D108" s="118"/>
      <c r="E108" s="118"/>
      <c r="F108" s="117"/>
    </row>
    <row r="109" spans="2:6">
      <c r="B109" s="194"/>
      <c r="C109" s="194"/>
      <c r="D109" s="194"/>
      <c r="E109" s="194"/>
      <c r="F109" s="117"/>
    </row>
    <row r="110" spans="2:6">
      <c r="D110" s="117"/>
      <c r="E110" s="117"/>
      <c r="F110" s="117"/>
    </row>
    <row r="111" spans="2:6">
      <c r="D111" s="117"/>
      <c r="E111" s="117"/>
      <c r="F111" s="117"/>
    </row>
    <row r="112" spans="2:6">
      <c r="D112" s="117"/>
      <c r="E112" s="117"/>
      <c r="F112" s="117"/>
    </row>
    <row r="113" spans="4:6">
      <c r="D113" s="117"/>
      <c r="E113" s="117"/>
      <c r="F113" s="117"/>
    </row>
    <row r="114" spans="4:6">
      <c r="D114" s="117"/>
      <c r="E114" s="117"/>
      <c r="F114" s="117"/>
    </row>
    <row r="115" spans="4:6">
      <c r="D115" s="117"/>
      <c r="E115" s="117"/>
      <c r="F115" s="117"/>
    </row>
    <row r="116" spans="4:6">
      <c r="D116" s="117"/>
      <c r="E116" s="117"/>
      <c r="F116" s="117"/>
    </row>
    <row r="117" spans="4:6">
      <c r="D117" s="117"/>
      <c r="E117" s="117"/>
      <c r="F117" s="117"/>
    </row>
    <row r="118" spans="4:6">
      <c r="D118" s="117"/>
      <c r="E118" s="117"/>
      <c r="F118" s="117"/>
    </row>
    <row r="119" spans="4:6">
      <c r="D119" s="117"/>
      <c r="E119" s="117"/>
      <c r="F119" s="117"/>
    </row>
    <row r="120" spans="4:6">
      <c r="D120" s="117"/>
      <c r="E120" s="117"/>
      <c r="F120" s="117"/>
    </row>
    <row r="121" spans="4:6">
      <c r="D121" s="117"/>
      <c r="E121" s="117"/>
      <c r="F121" s="117"/>
    </row>
    <row r="122" spans="4:6">
      <c r="D122" s="117"/>
      <c r="E122" s="117"/>
      <c r="F122" s="117"/>
    </row>
    <row r="123" spans="4:6">
      <c r="D123" s="117"/>
      <c r="E123" s="117"/>
      <c r="F123" s="117"/>
    </row>
    <row r="124" spans="4:6">
      <c r="D124" s="117"/>
      <c r="E124" s="117"/>
      <c r="F124" s="117"/>
    </row>
    <row r="125" spans="4:6">
      <c r="D125" s="117"/>
      <c r="E125" s="117"/>
      <c r="F125" s="117"/>
    </row>
    <row r="126" spans="4:6">
      <c r="D126" s="117"/>
      <c r="E126" s="117"/>
      <c r="F126" s="117"/>
    </row>
    <row r="127" spans="4:6">
      <c r="D127" s="117"/>
      <c r="E127" s="117"/>
      <c r="F127" s="117"/>
    </row>
    <row r="128" spans="4:6">
      <c r="D128" s="117"/>
      <c r="E128" s="117"/>
      <c r="F128" s="117"/>
    </row>
    <row r="129" spans="4:6">
      <c r="D129" s="117"/>
      <c r="E129" s="117"/>
      <c r="F129" s="117"/>
    </row>
    <row r="130" spans="4:6">
      <c r="D130" s="117"/>
      <c r="E130" s="117"/>
      <c r="F130" s="117"/>
    </row>
    <row r="131" spans="4:6">
      <c r="D131" s="117"/>
      <c r="E131" s="117"/>
      <c r="F131" s="117"/>
    </row>
    <row r="132" spans="4:6">
      <c r="D132" s="117"/>
      <c r="E132" s="117"/>
      <c r="F132" s="117"/>
    </row>
    <row r="133" spans="4:6">
      <c r="D133" s="117"/>
      <c r="E133" s="117"/>
      <c r="F133" s="117"/>
    </row>
    <row r="134" spans="4:6">
      <c r="D134" s="117"/>
      <c r="E134" s="117"/>
      <c r="F134" s="117"/>
    </row>
    <row r="135" spans="4:6">
      <c r="D135" s="117"/>
      <c r="E135" s="117"/>
      <c r="F135" s="117"/>
    </row>
    <row r="136" spans="4:6">
      <c r="D136" s="117"/>
      <c r="E136" s="117"/>
      <c r="F136" s="117"/>
    </row>
    <row r="137" spans="4:6">
      <c r="D137" s="117"/>
      <c r="E137" s="117"/>
      <c r="F137" s="117"/>
    </row>
    <row r="138" spans="4:6">
      <c r="D138" s="117"/>
      <c r="E138" s="117"/>
      <c r="F138" s="117"/>
    </row>
    <row r="139" spans="4:6">
      <c r="D139" s="117"/>
      <c r="E139" s="117"/>
      <c r="F139" s="117"/>
    </row>
    <row r="140" spans="4:6">
      <c r="D140" s="117"/>
      <c r="E140" s="117"/>
      <c r="F140" s="117"/>
    </row>
    <row r="141" spans="4:6">
      <c r="D141" s="117"/>
      <c r="E141" s="117"/>
      <c r="F141" s="117"/>
    </row>
    <row r="142" spans="4:6">
      <c r="D142" s="117"/>
      <c r="E142" s="117"/>
      <c r="F142" s="117"/>
    </row>
    <row r="143" spans="4:6">
      <c r="D143" s="117"/>
      <c r="E143" s="117"/>
      <c r="F143" s="117"/>
    </row>
    <row r="144" spans="4:6">
      <c r="D144" s="117"/>
      <c r="E144" s="117"/>
      <c r="F144" s="117"/>
    </row>
    <row r="145" spans="4:6">
      <c r="D145" s="117"/>
      <c r="E145" s="117"/>
      <c r="F145" s="117"/>
    </row>
    <row r="146" spans="4:6">
      <c r="D146" s="117"/>
      <c r="E146" s="117"/>
      <c r="F146" s="117"/>
    </row>
    <row r="147" spans="4:6">
      <c r="D147" s="117"/>
      <c r="E147" s="117"/>
      <c r="F147" s="117"/>
    </row>
    <row r="148" spans="4:6">
      <c r="D148" s="117"/>
      <c r="E148" s="117"/>
      <c r="F148" s="117"/>
    </row>
    <row r="149" spans="4:6">
      <c r="D149" s="117"/>
      <c r="E149" s="117"/>
      <c r="F149" s="117"/>
    </row>
    <row r="150" spans="4:6">
      <c r="D150" s="117"/>
      <c r="E150" s="117"/>
      <c r="F150" s="117"/>
    </row>
    <row r="151" spans="4:6">
      <c r="D151" s="117"/>
      <c r="E151" s="117"/>
      <c r="F151" s="117"/>
    </row>
    <row r="152" spans="4:6">
      <c r="D152" s="117"/>
      <c r="E152" s="117"/>
      <c r="F152" s="117"/>
    </row>
    <row r="153" spans="4:6">
      <c r="D153" s="117"/>
      <c r="E153" s="117"/>
      <c r="F153" s="117"/>
    </row>
    <row r="154" spans="4:6">
      <c r="D154" s="117"/>
      <c r="E154" s="117"/>
      <c r="F154" s="117"/>
    </row>
    <row r="155" spans="4:6">
      <c r="D155" s="117"/>
      <c r="E155" s="117"/>
      <c r="F155" s="117"/>
    </row>
    <row r="156" spans="4:6">
      <c r="D156" s="117"/>
      <c r="E156" s="117"/>
      <c r="F156" s="117"/>
    </row>
    <row r="157" spans="4:6">
      <c r="D157" s="117"/>
      <c r="E157" s="117"/>
      <c r="F157" s="117"/>
    </row>
    <row r="158" spans="4:6">
      <c r="D158" s="117"/>
      <c r="E158" s="117"/>
      <c r="F158" s="117"/>
    </row>
    <row r="159" spans="4:6">
      <c r="D159" s="117"/>
      <c r="E159" s="117"/>
      <c r="F159" s="117"/>
    </row>
    <row r="160" spans="4:6">
      <c r="D160" s="117"/>
      <c r="E160" s="117"/>
      <c r="F160" s="117"/>
    </row>
    <row r="161" spans="4:6">
      <c r="D161" s="117"/>
      <c r="E161" s="117"/>
      <c r="F161" s="117"/>
    </row>
    <row r="162" spans="4:6">
      <c r="D162" s="117"/>
      <c r="E162" s="117"/>
      <c r="F162" s="117"/>
    </row>
    <row r="163" spans="4:6">
      <c r="D163" s="117"/>
      <c r="E163" s="117"/>
      <c r="F163" s="117"/>
    </row>
    <row r="164" spans="4:6">
      <c r="D164" s="117"/>
      <c r="E164" s="117"/>
      <c r="F164" s="117"/>
    </row>
    <row r="165" spans="4:6">
      <c r="D165" s="117"/>
      <c r="E165" s="117"/>
      <c r="F165" s="117"/>
    </row>
    <row r="166" spans="4:6">
      <c r="D166" s="117"/>
      <c r="E166" s="117"/>
      <c r="F166" s="117"/>
    </row>
    <row r="167" spans="4:6">
      <c r="D167" s="117"/>
      <c r="E167" s="117"/>
      <c r="F167" s="117"/>
    </row>
    <row r="168" spans="4:6">
      <c r="D168" s="117"/>
      <c r="E168" s="117"/>
      <c r="F168" s="117"/>
    </row>
    <row r="169" spans="4:6">
      <c r="D169" s="117"/>
      <c r="E169" s="117"/>
      <c r="F169" s="117"/>
    </row>
    <row r="170" spans="4:6">
      <c r="D170" s="117"/>
      <c r="E170" s="117"/>
      <c r="F170" s="117"/>
    </row>
    <row r="171" spans="4:6">
      <c r="D171" s="117"/>
      <c r="E171" s="117"/>
      <c r="F171" s="117"/>
    </row>
    <row r="172" spans="4:6">
      <c r="D172" s="117"/>
      <c r="E172" s="117"/>
      <c r="F172" s="117"/>
    </row>
    <row r="173" spans="4:6">
      <c r="D173" s="117"/>
      <c r="E173" s="117"/>
      <c r="F173" s="117"/>
    </row>
    <row r="174" spans="4:6">
      <c r="D174" s="117"/>
      <c r="E174" s="117"/>
      <c r="F174" s="117"/>
    </row>
    <row r="175" spans="4:6">
      <c r="D175" s="117"/>
      <c r="E175" s="117"/>
      <c r="F175" s="117"/>
    </row>
    <row r="176" spans="4:6">
      <c r="D176" s="117"/>
      <c r="E176" s="117"/>
      <c r="F176" s="117"/>
    </row>
    <row r="177" spans="4:6">
      <c r="D177" s="117"/>
      <c r="E177" s="117"/>
      <c r="F177" s="117"/>
    </row>
    <row r="178" spans="4:6">
      <c r="D178" s="117"/>
      <c r="E178" s="117"/>
      <c r="F178" s="117"/>
    </row>
    <row r="179" spans="4:6">
      <c r="D179" s="117"/>
      <c r="E179" s="117"/>
      <c r="F179" s="117"/>
    </row>
    <row r="180" spans="4:6">
      <c r="D180" s="117"/>
      <c r="E180" s="117"/>
      <c r="F180" s="117"/>
    </row>
    <row r="181" spans="4:6">
      <c r="D181" s="117"/>
      <c r="E181" s="117"/>
      <c r="F181" s="117"/>
    </row>
    <row r="182" spans="4:6">
      <c r="D182" s="117"/>
      <c r="E182" s="117"/>
      <c r="F182" s="117"/>
    </row>
    <row r="183" spans="4:6">
      <c r="D183" s="117"/>
      <c r="E183" s="117"/>
      <c r="F183" s="117"/>
    </row>
    <row r="184" spans="4:6">
      <c r="D184" s="117"/>
      <c r="E184" s="117"/>
      <c r="F184" s="117"/>
    </row>
    <row r="185" spans="4:6">
      <c r="D185" s="117"/>
      <c r="E185" s="117"/>
      <c r="F185" s="117"/>
    </row>
    <row r="186" spans="4:6">
      <c r="D186" s="117"/>
      <c r="E186" s="117"/>
      <c r="F186" s="117"/>
    </row>
    <row r="187" spans="4:6">
      <c r="D187" s="117"/>
      <c r="E187" s="117"/>
      <c r="F187" s="117"/>
    </row>
    <row r="188" spans="4:6">
      <c r="D188" s="117"/>
      <c r="E188" s="117"/>
      <c r="F188" s="117"/>
    </row>
    <row r="189" spans="4:6">
      <c r="D189" s="117"/>
      <c r="E189" s="117"/>
      <c r="F189" s="117"/>
    </row>
    <row r="190" spans="4:6">
      <c r="D190" s="117"/>
      <c r="E190" s="117"/>
      <c r="F190" s="117"/>
    </row>
    <row r="191" spans="4:6">
      <c r="D191" s="117"/>
      <c r="E191" s="117"/>
      <c r="F191" s="117"/>
    </row>
    <row r="192" spans="4:6">
      <c r="D192" s="117"/>
      <c r="E192" s="117"/>
      <c r="F192" s="117"/>
    </row>
    <row r="193" spans="4:6">
      <c r="D193" s="117"/>
      <c r="E193" s="117"/>
      <c r="F193" s="117"/>
    </row>
    <row r="194" spans="4:6">
      <c r="D194" s="117"/>
      <c r="E194" s="117"/>
      <c r="F194" s="117"/>
    </row>
    <row r="195" spans="4:6">
      <c r="D195" s="117"/>
      <c r="E195" s="117"/>
      <c r="F195" s="117"/>
    </row>
    <row r="196" spans="4:6">
      <c r="D196" s="117"/>
      <c r="E196" s="117"/>
      <c r="F196" s="117"/>
    </row>
    <row r="197" spans="4:6">
      <c r="D197" s="117"/>
      <c r="E197" s="117"/>
      <c r="F197" s="117"/>
    </row>
    <row r="198" spans="4:6">
      <c r="D198" s="117"/>
      <c r="E198" s="117"/>
      <c r="F198" s="117"/>
    </row>
    <row r="199" spans="4:6">
      <c r="D199" s="117"/>
      <c r="E199" s="117"/>
      <c r="F199" s="117"/>
    </row>
    <row r="200" spans="4:6">
      <c r="D200" s="117"/>
      <c r="E200" s="117"/>
      <c r="F200" s="117"/>
    </row>
    <row r="201" spans="4:6">
      <c r="D201" s="117"/>
      <c r="E201" s="117"/>
      <c r="F201" s="117"/>
    </row>
    <row r="202" spans="4:6">
      <c r="D202" s="117"/>
      <c r="E202" s="117"/>
      <c r="F202" s="117"/>
    </row>
    <row r="203" spans="4:6">
      <c r="D203" s="117"/>
      <c r="E203" s="117"/>
      <c r="F203" s="117"/>
    </row>
    <row r="204" spans="4:6">
      <c r="D204" s="117"/>
      <c r="E204" s="117"/>
      <c r="F204" s="117"/>
    </row>
    <row r="205" spans="4:6">
      <c r="D205" s="117"/>
      <c r="E205" s="117"/>
      <c r="F205" s="117"/>
    </row>
    <row r="206" spans="4:6">
      <c r="D206" s="117"/>
      <c r="E206" s="117"/>
      <c r="F206" s="117"/>
    </row>
    <row r="207" spans="4:6">
      <c r="D207" s="117"/>
      <c r="E207" s="117"/>
      <c r="F207" s="117"/>
    </row>
    <row r="208" spans="4:6">
      <c r="D208" s="117"/>
      <c r="E208" s="117"/>
      <c r="F208" s="117"/>
    </row>
    <row r="209" spans="4:6">
      <c r="D209" s="117"/>
      <c r="E209" s="117"/>
      <c r="F209" s="117"/>
    </row>
    <row r="210" spans="4:6">
      <c r="D210" s="117"/>
      <c r="E210" s="117"/>
      <c r="F210" s="117"/>
    </row>
    <row r="211" spans="4:6">
      <c r="D211" s="117"/>
      <c r="E211" s="117"/>
      <c r="F211" s="117"/>
    </row>
    <row r="212" spans="4:6">
      <c r="D212" s="117"/>
      <c r="E212" s="117"/>
      <c r="F212" s="117"/>
    </row>
    <row r="213" spans="4:6">
      <c r="D213" s="117"/>
      <c r="E213" s="117"/>
      <c r="F213" s="117"/>
    </row>
    <row r="214" spans="4:6">
      <c r="D214" s="117"/>
      <c r="E214" s="117"/>
      <c r="F214" s="117"/>
    </row>
    <row r="215" spans="4:6">
      <c r="D215" s="117"/>
      <c r="E215" s="117"/>
      <c r="F215" s="117"/>
    </row>
    <row r="216" spans="4:6">
      <c r="D216" s="117"/>
      <c r="E216" s="117"/>
      <c r="F216" s="117"/>
    </row>
    <row r="217" spans="4:6">
      <c r="D217" s="117"/>
      <c r="E217" s="117"/>
      <c r="F217" s="117"/>
    </row>
    <row r="218" spans="4:6">
      <c r="D218" s="117"/>
      <c r="E218" s="117"/>
      <c r="F218" s="117"/>
    </row>
    <row r="219" spans="4:6">
      <c r="D219" s="117"/>
      <c r="E219" s="117"/>
      <c r="F219" s="117"/>
    </row>
    <row r="220" spans="4:6">
      <c r="D220" s="117"/>
      <c r="E220" s="117"/>
      <c r="F220" s="117"/>
    </row>
    <row r="221" spans="4:6">
      <c r="D221" s="117"/>
      <c r="E221" s="117"/>
      <c r="F221" s="117"/>
    </row>
    <row r="222" spans="4:6">
      <c r="D222" s="117"/>
      <c r="E222" s="117"/>
      <c r="F222" s="117"/>
    </row>
    <row r="223" spans="4:6">
      <c r="D223" s="117"/>
      <c r="E223" s="117"/>
      <c r="F223" s="117"/>
    </row>
    <row r="224" spans="4:6">
      <c r="D224" s="117"/>
      <c r="E224" s="117"/>
      <c r="F224" s="117"/>
    </row>
    <row r="225" spans="4:6">
      <c r="D225" s="117"/>
      <c r="E225" s="117"/>
      <c r="F225" s="117"/>
    </row>
    <row r="226" spans="4:6">
      <c r="D226" s="117"/>
      <c r="E226" s="117"/>
      <c r="F226" s="117"/>
    </row>
    <row r="227" spans="4:6">
      <c r="D227" s="117"/>
      <c r="E227" s="117"/>
      <c r="F227" s="117"/>
    </row>
    <row r="228" spans="4:6">
      <c r="D228" s="117"/>
      <c r="E228" s="117"/>
      <c r="F228" s="117"/>
    </row>
    <row r="229" spans="4:6">
      <c r="D229" s="117"/>
      <c r="E229" s="117"/>
      <c r="F229" s="117"/>
    </row>
    <row r="230" spans="4:6">
      <c r="D230" s="117"/>
      <c r="E230" s="117"/>
      <c r="F230" s="117"/>
    </row>
    <row r="231" spans="4:6">
      <c r="D231" s="117"/>
      <c r="E231" s="117"/>
      <c r="F231" s="117"/>
    </row>
    <row r="232" spans="4:6">
      <c r="D232" s="117"/>
      <c r="E232" s="117"/>
      <c r="F232" s="117"/>
    </row>
    <row r="233" spans="4:6">
      <c r="D233" s="117"/>
      <c r="E233" s="117"/>
      <c r="F233" s="117"/>
    </row>
    <row r="234" spans="4:6">
      <c r="D234" s="117"/>
      <c r="E234" s="117"/>
      <c r="F234" s="117"/>
    </row>
    <row r="235" spans="4:6">
      <c r="D235" s="117"/>
      <c r="E235" s="117"/>
      <c r="F235" s="117"/>
    </row>
    <row r="236" spans="4:6">
      <c r="D236" s="117"/>
      <c r="E236" s="117"/>
      <c r="F236" s="117"/>
    </row>
    <row r="237" spans="4:6">
      <c r="D237" s="117"/>
      <c r="E237" s="117"/>
      <c r="F237" s="117"/>
    </row>
    <row r="238" spans="4:6">
      <c r="D238" s="117"/>
      <c r="E238" s="117"/>
      <c r="F238" s="117"/>
    </row>
    <row r="239" spans="4:6">
      <c r="D239" s="117"/>
      <c r="E239" s="117"/>
      <c r="F239" s="117"/>
    </row>
    <row r="240" spans="4:6">
      <c r="D240" s="117"/>
      <c r="E240" s="117"/>
      <c r="F240" s="117"/>
    </row>
    <row r="241" spans="4:6">
      <c r="D241" s="117"/>
      <c r="E241" s="117"/>
      <c r="F241" s="117"/>
    </row>
    <row r="242" spans="4:6">
      <c r="D242" s="117"/>
      <c r="E242" s="117"/>
      <c r="F242" s="117"/>
    </row>
    <row r="243" spans="4:6">
      <c r="D243" s="117"/>
      <c r="E243" s="117"/>
      <c r="F243" s="117"/>
    </row>
    <row r="244" spans="4:6">
      <c r="D244" s="117"/>
      <c r="E244" s="117"/>
      <c r="F244" s="117"/>
    </row>
    <row r="245" spans="4:6">
      <c r="D245" s="117"/>
      <c r="E245" s="117"/>
      <c r="F245" s="117"/>
    </row>
    <row r="246" spans="4:6">
      <c r="D246" s="117"/>
      <c r="E246" s="117"/>
      <c r="F246" s="117"/>
    </row>
    <row r="247" spans="4:6">
      <c r="D247" s="117"/>
      <c r="E247" s="117"/>
      <c r="F247" s="117"/>
    </row>
    <row r="248" spans="4:6">
      <c r="D248" s="117"/>
      <c r="E248" s="117"/>
    </row>
    <row r="249" spans="4:6">
      <c r="D249" s="117"/>
      <c r="E249" s="117"/>
    </row>
    <row r="250" spans="4:6">
      <c r="D250" s="117"/>
      <c r="E250" s="117"/>
    </row>
  </sheetData>
  <mergeCells count="3">
    <mergeCell ref="C3:C4"/>
    <mergeCell ref="B1:C2"/>
    <mergeCell ref="B43:D43"/>
  </mergeCells>
  <phoneticPr fontId="77" type="noConversion"/>
  <dataValidations xWindow="611" yWindow="372" count="2">
    <dataValidation allowBlank="1" showInputMessage="1" showErrorMessage="1" prompt="Example:_x000a_A solar plant may have low Net Output Factor, but high Planned Percent of Year Operational" sqref="C30"/>
    <dataValidation allowBlank="1" showInputMessage="1" showErrorMessage="1" prompt="Example: _x000a_A peaking unit will have a high Net Output Factor, but low Planned Percent of Year Operational" sqref="C31"/>
  </dataValidations>
  <printOptions horizontalCentered="1"/>
  <pageMargins left="0.75" right="0.75" top="1" bottom="1" header="0.5" footer="0.5"/>
  <pageSetup orientation="portrait" horizontalDpi="4294967293" verticalDpi="96" r:id="rId1"/>
  <headerFooter alignWithMargins="0">
    <oddHeader>&amp;C&amp;"Arial,Bold"&amp;12Cost of Generation Results</oddHeader>
    <oddFooter>&amp;L&amp;9California Energy Commission&amp;R&amp;9&amp;D &amp;T</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0070C0"/>
  </sheetPr>
  <dimension ref="A1:H257"/>
  <sheetViews>
    <sheetView showGridLines="0" zoomScale="90" zoomScaleNormal="90" workbookViewId="0">
      <selection activeCell="B20" sqref="B20"/>
    </sheetView>
  </sheetViews>
  <sheetFormatPr defaultRowHeight="12.75"/>
  <cols>
    <col min="1" max="1" width="51.7109375" style="102" customWidth="1"/>
    <col min="2" max="2" width="16.140625" style="102" customWidth="1"/>
    <col min="3" max="3" width="14.85546875" style="102" customWidth="1"/>
    <col min="4" max="4" width="22.140625" style="102" customWidth="1"/>
    <col min="5" max="5" width="13.42578125" style="102" bestFit="1" customWidth="1"/>
    <col min="6" max="6" width="24.5703125" style="102" customWidth="1"/>
  </cols>
  <sheetData>
    <row r="1" spans="1:7" ht="15.75">
      <c r="A1" s="78" t="s">
        <v>960</v>
      </c>
      <c r="B1" s="2"/>
    </row>
    <row r="2" spans="1:7" s="2329" customFormat="1" ht="13.5" thickBot="1">
      <c r="A2" s="3127" t="s">
        <v>622</v>
      </c>
      <c r="B2" s="3129" t="str">
        <f>INDEX('Financial Assumptions'!$D$3:$M$3,0,MATCH(OwnerScenario,'Financial Assumptions'!$D$2:$M$2,0))</f>
        <v>Merchant</v>
      </c>
      <c r="C2" s="102"/>
      <c r="D2" s="102"/>
      <c r="E2" s="102"/>
      <c r="F2" s="102"/>
    </row>
    <row r="3" spans="1:7" ht="13.5" thickBot="1">
      <c r="A3" s="34" t="s">
        <v>187</v>
      </c>
      <c r="B3" s="3128">
        <f>BaseYr</f>
        <v>2011</v>
      </c>
      <c r="C3" s="2"/>
      <c r="D3" s="2"/>
      <c r="E3" s="2"/>
      <c r="F3" s="2"/>
    </row>
    <row r="4" spans="1:7" ht="13.5" thickBot="1">
      <c r="A4" s="100"/>
      <c r="B4" s="100"/>
      <c r="C4" s="2"/>
      <c r="D4" s="125"/>
      <c r="E4" s="100"/>
      <c r="F4" s="100"/>
    </row>
    <row r="5" spans="1:7" ht="16.5" thickBot="1">
      <c r="A5" s="410" t="s">
        <v>1373</v>
      </c>
      <c r="B5" s="411"/>
      <c r="C5" s="2"/>
      <c r="E5" s="100"/>
      <c r="F5" s="100"/>
    </row>
    <row r="6" spans="1:7">
      <c r="A6" s="20" t="s">
        <v>634</v>
      </c>
      <c r="B6" s="412">
        <f>'INPUT-OUTPUT'!U13</f>
        <v>72.918147785218665</v>
      </c>
      <c r="C6" s="2"/>
      <c r="E6" s="125"/>
      <c r="F6" s="125"/>
    </row>
    <row r="7" spans="1:7">
      <c r="A7" s="20" t="s">
        <v>635</v>
      </c>
      <c r="B7" s="413">
        <f>'INPUT-OUTPUT'!U16</f>
        <v>12.202695821312828</v>
      </c>
      <c r="C7" s="2"/>
    </row>
    <row r="8" spans="1:7" ht="13.5" thickBot="1">
      <c r="A8" s="619" t="s">
        <v>527</v>
      </c>
      <c r="B8" s="620">
        <f>'INPUT-OUTPUT'!T14*EffectiveMW/AnnualNetGWh</f>
        <v>0</v>
      </c>
      <c r="C8" s="2"/>
    </row>
    <row r="9" spans="1:7" ht="14.25" thickTop="1" thickBot="1">
      <c r="A9" s="184" t="s">
        <v>638</v>
      </c>
      <c r="B9" s="414">
        <f>SUM(B6:B7)</f>
        <v>85.120843606531494</v>
      </c>
      <c r="C9" s="2"/>
    </row>
    <row r="10" spans="1:7" ht="13.5" thickBot="1">
      <c r="A10" s="309" t="s">
        <v>636</v>
      </c>
      <c r="B10" s="310"/>
      <c r="C10" s="2"/>
    </row>
    <row r="11" spans="1:7">
      <c r="A11" s="114" t="str">
        <f>"Instant Cost (" &amp; BaseYr &amp; " Dollars)"</f>
        <v>Instant Cost (2011 Dollars)</v>
      </c>
      <c r="B11" s="408">
        <f>InstantCost</f>
        <v>1825.1512982560221</v>
      </c>
      <c r="C11" s="2"/>
    </row>
    <row r="12" spans="1:7" ht="13.5" thickBot="1">
      <c r="A12" s="127" t="str">
        <f>"Installed Cost (" &amp; StartYr &amp; "  Dollars)"</f>
        <v>Installed Cost (2013  Dollars)</v>
      </c>
      <c r="B12" s="409">
        <f>InstalledCostPerkW</f>
        <v>2073.8363425907637</v>
      </c>
      <c r="C12" s="2"/>
    </row>
    <row r="13" spans="1:7" ht="13.5" thickBot="1">
      <c r="C13" s="2"/>
    </row>
    <row r="14" spans="1:7" ht="16.5" thickBot="1">
      <c r="A14" s="4540" t="s">
        <v>203</v>
      </c>
      <c r="B14" s="4541"/>
      <c r="C14" s="4542"/>
      <c r="D14" s="124"/>
    </row>
    <row r="15" spans="1:7" ht="13.5" thickBot="1">
      <c r="A15" s="380"/>
      <c r="B15" s="369" t="s">
        <v>304</v>
      </c>
      <c r="C15" s="370" t="s">
        <v>633</v>
      </c>
    </row>
    <row r="16" spans="1:7">
      <c r="A16" s="3268" t="s">
        <v>1897</v>
      </c>
      <c r="B16" s="365">
        <v>0.4</v>
      </c>
      <c r="C16" s="3414">
        <f>(TaxEquityRate*PctTaxEquity+DeveloperEquity*EquityRate)/SUM(B17:B18)</f>
        <v>0.113425</v>
      </c>
      <c r="D16" s="3001" t="s">
        <v>1907</v>
      </c>
      <c r="F16" s="3434"/>
      <c r="G16" s="5"/>
    </row>
    <row r="17" spans="1:8" s="2329" customFormat="1">
      <c r="A17" s="45" t="s">
        <v>1953</v>
      </c>
      <c r="B17" s="3417">
        <f>1-PctTaxEquity</f>
        <v>0.6366666666666666</v>
      </c>
      <c r="C17" s="3413">
        <v>0.13250000000000001</v>
      </c>
      <c r="D17" s="3001"/>
      <c r="E17" s="102"/>
      <c r="F17" s="3434"/>
      <c r="G17" s="5"/>
    </row>
    <row r="18" spans="1:8" s="2329" customFormat="1">
      <c r="A18" s="45" t="s">
        <v>1952</v>
      </c>
      <c r="B18" s="3478">
        <v>0.3633333333333334</v>
      </c>
      <c r="C18" s="544">
        <v>8.0000000000000016E-2</v>
      </c>
      <c r="E18" s="102"/>
      <c r="F18" s="3434"/>
      <c r="G18" s="5"/>
    </row>
    <row r="19" spans="1:8">
      <c r="A19" s="21" t="s">
        <v>1896</v>
      </c>
      <c r="B19" s="362">
        <f>1-PctEquity</f>
        <v>0.6</v>
      </c>
      <c r="C19" s="544">
        <v>5.9130000000000002E-2</v>
      </c>
      <c r="F19" s="3434"/>
      <c r="G19" s="5"/>
    </row>
    <row r="20" spans="1:8">
      <c r="A20" s="111" t="s">
        <v>453</v>
      </c>
      <c r="B20" s="542">
        <f>((DeveloperEquity*EquityRate)+(PctTaxEquity*TaxEquityRate))*PctEquity+(Debt_Financed*DebtRate*(1-TotalTaxRate))</f>
        <v>6.6392134120000001E-2</v>
      </c>
      <c r="C20" s="304">
        <f>(1+DiscountRate)/(1+InflationRate)-1</f>
        <v>4.9974823400351864E-2</v>
      </c>
      <c r="F20" s="3435"/>
      <c r="G20" s="5"/>
    </row>
    <row r="21" spans="1:8" ht="13.5" thickBot="1">
      <c r="A21" s="514" t="s">
        <v>172</v>
      </c>
      <c r="B21" s="1195">
        <f>HistInflationRate</f>
        <v>2.3120259395784881E-2</v>
      </c>
      <c r="C21" s="515"/>
      <c r="D21" s="512"/>
      <c r="E21" s="512"/>
      <c r="F21" s="3436"/>
      <c r="G21" s="2329"/>
    </row>
    <row r="22" spans="1:8">
      <c r="A22" s="115" t="s">
        <v>176</v>
      </c>
      <c r="B22" s="1196">
        <f>InflationRate</f>
        <v>1.5635908932064346E-2</v>
      </c>
      <c r="C22" s="113"/>
      <c r="D22" s="2884" t="s">
        <v>1682</v>
      </c>
      <c r="E22" s="2885" t="s">
        <v>1683</v>
      </c>
      <c r="F22" s="3437"/>
      <c r="G22" s="102"/>
    </row>
    <row r="23" spans="1:8" ht="15.75">
      <c r="A23" s="21" t="s">
        <v>154</v>
      </c>
      <c r="B23" s="4035">
        <v>1.345</v>
      </c>
      <c r="C23" s="113"/>
      <c r="D23" s="4036">
        <f>IF(OwnerType="Merchant",'Income_Cash Flow'!D37,Income_Rev_Req!D45)</f>
        <v>1.6095061179475287</v>
      </c>
      <c r="E23" s="2886" t="b">
        <f>IF(D23&gt;=B23,TRUE,FALSE)</f>
        <v>1</v>
      </c>
      <c r="F23" s="3438"/>
      <c r="G23" s="2881"/>
      <c r="H23" s="2882"/>
    </row>
    <row r="24" spans="1:8" ht="15.75" thickBot="1">
      <c r="A24" s="21" t="s">
        <v>153</v>
      </c>
      <c r="B24" s="4035">
        <v>1.27</v>
      </c>
      <c r="C24" s="113"/>
      <c r="D24" s="4037">
        <f>IF(OwnerType="Merchant",'Income_Cash Flow'!E37,Income_Rev_Req!E45)</f>
        <v>1.097745798409439</v>
      </c>
      <c r="E24" s="2887" t="b">
        <f>IF(D24&gt;=B24,TRUE,FALSE)</f>
        <v>0</v>
      </c>
      <c r="F24" s="3439"/>
      <c r="G24" s="2883"/>
      <c r="H24" s="2870"/>
    </row>
    <row r="25" spans="1:8" ht="15">
      <c r="A25" s="111" t="s">
        <v>454</v>
      </c>
      <c r="B25" s="366">
        <v>20</v>
      </c>
      <c r="C25" s="113"/>
      <c r="D25" s="105"/>
      <c r="E25" s="1820"/>
      <c r="F25" s="3440"/>
      <c r="G25" s="3433"/>
      <c r="H25" s="2870"/>
    </row>
    <row r="26" spans="1:8">
      <c r="A26" s="110" t="s">
        <v>1283</v>
      </c>
      <c r="B26" s="366">
        <v>30</v>
      </c>
      <c r="C26" s="275">
        <f>DATE(StartYr+EquipLifeYears-1,12,31)</f>
        <v>52231</v>
      </c>
      <c r="D26" s="255"/>
      <c r="F26" s="3441"/>
      <c r="G26" s="3442"/>
    </row>
    <row r="27" spans="1:8">
      <c r="A27" s="111" t="s">
        <v>455</v>
      </c>
      <c r="B27" s="366">
        <v>30</v>
      </c>
      <c r="C27" s="113"/>
      <c r="D27" s="245"/>
      <c r="E27" s="278"/>
      <c r="F27" s="3443"/>
      <c r="G27" s="2329"/>
    </row>
    <row r="28" spans="1:8">
      <c r="A28" s="111" t="s">
        <v>456</v>
      </c>
      <c r="B28" s="367">
        <v>5</v>
      </c>
      <c r="C28" s="113"/>
      <c r="D28" s="104"/>
      <c r="G28" s="2329"/>
    </row>
    <row r="29" spans="1:8" ht="13.5" thickBot="1">
      <c r="A29" s="112" t="s">
        <v>457</v>
      </c>
      <c r="B29" s="368">
        <v>30</v>
      </c>
      <c r="C29" s="116"/>
      <c r="D29" s="9"/>
      <c r="G29" s="2329"/>
    </row>
    <row r="30" spans="1:8" ht="13.5" thickBot="1">
      <c r="A30" s="103"/>
      <c r="B30" s="103"/>
      <c r="C30" s="103"/>
      <c r="D30" s="245"/>
      <c r="G30" s="2329"/>
    </row>
    <row r="31" spans="1:8" ht="13.5" thickBot="1">
      <c r="A31" s="258" t="s">
        <v>204</v>
      </c>
      <c r="B31" s="519"/>
      <c r="C31" s="259"/>
      <c r="D31" s="245"/>
      <c r="G31" s="2329"/>
    </row>
    <row r="32" spans="1:8">
      <c r="A32" s="205" t="s">
        <v>1265</v>
      </c>
      <c r="B32" s="621">
        <v>0.35</v>
      </c>
      <c r="C32" s="42"/>
      <c r="D32" s="1078"/>
      <c r="E32" s="103"/>
      <c r="F32" s="3444"/>
      <c r="G32" s="2329"/>
    </row>
    <row r="33" spans="1:7">
      <c r="A33" s="46" t="s">
        <v>134</v>
      </c>
      <c r="B33" s="1248">
        <v>8.8400000000000006E-2</v>
      </c>
      <c r="C33" s="27"/>
      <c r="D33" s="1079"/>
      <c r="F33" s="3435"/>
      <c r="G33" s="2329"/>
    </row>
    <row r="34" spans="1:7">
      <c r="A34" s="46" t="s">
        <v>1295</v>
      </c>
      <c r="B34" s="371">
        <f>IF(OwnerType="POU",0,FedTaxRate*(1-StateTaxRate)+StateTaxRate)</f>
        <v>0.40745999999999993</v>
      </c>
      <c r="C34" s="27"/>
      <c r="D34" s="26"/>
      <c r="F34" s="3434"/>
      <c r="G34" s="2329"/>
    </row>
    <row r="35" spans="1:7">
      <c r="A35" s="46" t="s">
        <v>135</v>
      </c>
      <c r="B35" s="626">
        <v>1.098E-2</v>
      </c>
      <c r="C35" s="27"/>
      <c r="D35" s="245"/>
      <c r="F35" s="3435"/>
      <c r="G35" s="2329"/>
    </row>
    <row r="36" spans="1:7">
      <c r="A36" s="46" t="s">
        <v>1200</v>
      </c>
      <c r="B36" s="984" t="s">
        <v>1178</v>
      </c>
      <c r="C36" s="27"/>
      <c r="D36" s="245"/>
      <c r="F36" s="3435"/>
      <c r="G36" s="2329"/>
    </row>
    <row r="37" spans="1:7">
      <c r="A37" s="46" t="s">
        <v>1666</v>
      </c>
      <c r="B37" s="1248">
        <v>7.9399999999999998E-2</v>
      </c>
      <c r="C37" s="27"/>
      <c r="D37" s="104"/>
      <c r="F37" s="3435"/>
      <c r="G37" s="2329"/>
    </row>
    <row r="38" spans="1:7" s="2329" customFormat="1" ht="13.5" thickBot="1">
      <c r="A38" s="49" t="s">
        <v>1665</v>
      </c>
      <c r="B38" s="627">
        <v>0.9</v>
      </c>
      <c r="C38" s="29"/>
      <c r="D38" s="104"/>
      <c r="E38" s="102"/>
      <c r="F38" s="3435"/>
    </row>
    <row r="39" spans="1:7" ht="13.5" thickBot="1">
      <c r="A39" s="2"/>
      <c r="B39" s="2"/>
      <c r="C39" s="2"/>
      <c r="D39" s="105"/>
      <c r="G39" s="2329"/>
    </row>
    <row r="40" spans="1:7" ht="13.5" thickBot="1">
      <c r="A40" s="381" t="s">
        <v>35</v>
      </c>
      <c r="B40" s="382"/>
      <c r="C40" s="259"/>
      <c r="D40" s="245"/>
      <c r="F40" s="3434"/>
      <c r="G40" s="2329"/>
    </row>
    <row r="41" spans="1:7">
      <c r="A41" s="205" t="s">
        <v>39</v>
      </c>
      <c r="B41" s="2250" t="s">
        <v>1178</v>
      </c>
      <c r="C41" s="42"/>
      <c r="D41" s="103"/>
      <c r="G41" s="2329"/>
    </row>
    <row r="42" spans="1:7">
      <c r="A42" s="46" t="s">
        <v>38</v>
      </c>
      <c r="B42" s="372">
        <v>2030</v>
      </c>
      <c r="C42" s="27"/>
      <c r="D42" s="103"/>
      <c r="G42" s="2329"/>
    </row>
    <row r="43" spans="1:7" s="2473" customFormat="1">
      <c r="A43" s="2474" t="s">
        <v>1645</v>
      </c>
      <c r="B43" s="2476">
        <v>0.75</v>
      </c>
      <c r="C43" s="2475"/>
      <c r="D43" s="2471"/>
      <c r="E43" s="2472"/>
      <c r="F43" s="3445"/>
    </row>
    <row r="44" spans="1:7">
      <c r="A44" s="219" t="s">
        <v>178</v>
      </c>
      <c r="B44" s="2245" t="s">
        <v>1177</v>
      </c>
      <c r="C44" s="27"/>
      <c r="D44" s="103"/>
      <c r="G44" s="2329"/>
    </row>
    <row r="45" spans="1:7">
      <c r="A45" s="46" t="s">
        <v>177</v>
      </c>
      <c r="B45" s="2249" t="s">
        <v>1178</v>
      </c>
      <c r="C45" s="27"/>
      <c r="D45" s="103"/>
      <c r="G45" s="2329"/>
    </row>
    <row r="46" spans="1:7">
      <c r="A46" s="46" t="s">
        <v>40</v>
      </c>
      <c r="B46" s="372">
        <v>2016</v>
      </c>
      <c r="C46" s="27"/>
      <c r="D46" s="103"/>
      <c r="G46" s="2329"/>
    </row>
    <row r="47" spans="1:7">
      <c r="A47" s="46" t="s">
        <v>179</v>
      </c>
      <c r="B47" s="2249" t="s">
        <v>1177</v>
      </c>
      <c r="C47" s="27"/>
      <c r="D47" s="103"/>
      <c r="G47" s="2329"/>
    </row>
    <row r="48" spans="1:7" ht="13.5" thickBot="1">
      <c r="A48" s="46" t="s">
        <v>41</v>
      </c>
      <c r="B48" s="372">
        <v>2027</v>
      </c>
      <c r="C48" s="27"/>
      <c r="D48" s="103"/>
      <c r="G48" s="2329"/>
    </row>
    <row r="49" spans="1:7">
      <c r="A49" s="225" t="s">
        <v>1419</v>
      </c>
      <c r="B49" s="2246" t="s">
        <v>1178</v>
      </c>
      <c r="C49" s="850">
        <v>0.3</v>
      </c>
      <c r="D49" s="103"/>
      <c r="G49" s="3446"/>
    </row>
    <row r="50" spans="1:7">
      <c r="A50" s="46" t="s">
        <v>987</v>
      </c>
      <c r="B50" s="373"/>
      <c r="C50" s="977"/>
      <c r="D50" s="103"/>
      <c r="G50" s="3447"/>
    </row>
    <row r="51" spans="1:7">
      <c r="A51" s="46" t="s">
        <v>50</v>
      </c>
      <c r="B51" s="373"/>
      <c r="C51" s="2023">
        <v>0.15</v>
      </c>
      <c r="D51" s="103"/>
      <c r="G51" s="3446"/>
    </row>
    <row r="52" spans="1:7">
      <c r="A52" s="46" t="s">
        <v>180</v>
      </c>
      <c r="B52" s="374"/>
      <c r="C52" s="978">
        <v>1</v>
      </c>
      <c r="D52" s="103"/>
      <c r="G52" s="3446"/>
    </row>
    <row r="53" spans="1:7" ht="13.5" thickBot="1">
      <c r="A53" s="90" t="s">
        <v>985</v>
      </c>
      <c r="B53" s="375"/>
      <c r="C53" s="83">
        <f>IF(ApplyBETC="Y",InstalledCostPerkW*NetMW*1000*BETCPct/(NetMW*1000),0)</f>
        <v>622.15090277722902</v>
      </c>
      <c r="D53" s="103"/>
      <c r="G53" s="3447"/>
    </row>
    <row r="54" spans="1:7">
      <c r="A54" s="71" t="s">
        <v>155</v>
      </c>
      <c r="B54" s="2247" t="s">
        <v>1177</v>
      </c>
      <c r="C54" s="27"/>
      <c r="D54" s="103"/>
      <c r="G54" s="2329"/>
    </row>
    <row r="55" spans="1:7">
      <c r="A55" s="12" t="s">
        <v>1005</v>
      </c>
      <c r="B55" s="848"/>
      <c r="C55" s="27"/>
      <c r="D55" s="103"/>
      <c r="F55" s="3448"/>
      <c r="G55" s="2329"/>
    </row>
    <row r="56" spans="1:7" ht="13.5" thickBot="1">
      <c r="A56" s="54" t="s">
        <v>183</v>
      </c>
      <c r="B56" s="849"/>
      <c r="C56" s="55"/>
      <c r="D56" s="103"/>
      <c r="F56" s="3448"/>
      <c r="G56" s="2329"/>
    </row>
    <row r="57" spans="1:7">
      <c r="A57" s="226" t="s">
        <v>1108</v>
      </c>
      <c r="B57" s="2246" t="s">
        <v>1178</v>
      </c>
      <c r="C57" s="210">
        <v>0.02</v>
      </c>
      <c r="D57" s="103"/>
      <c r="F57" s="2330"/>
      <c r="G57" s="3122"/>
    </row>
    <row r="58" spans="1:7">
      <c r="A58" s="53" t="s">
        <v>1203</v>
      </c>
      <c r="B58" s="372">
        <v>10</v>
      </c>
      <c r="C58" s="211"/>
      <c r="D58" s="103"/>
      <c r="F58" s="2330"/>
      <c r="G58" s="3122"/>
    </row>
    <row r="59" spans="1:7">
      <c r="A59" s="12" t="s">
        <v>1207</v>
      </c>
      <c r="B59" s="376">
        <v>2008</v>
      </c>
      <c r="C59" s="211"/>
      <c r="D59" s="103"/>
      <c r="F59" s="2330"/>
      <c r="G59" s="3122"/>
    </row>
    <row r="60" spans="1:7">
      <c r="A60" s="54" t="s">
        <v>105</v>
      </c>
      <c r="B60" s="377"/>
      <c r="C60" s="4387">
        <f>REPTC*(1+HistInflationRate)^(StartYr-REPTCBaseYr)</f>
        <v>2.2421435694856658E-2</v>
      </c>
      <c r="D60" s="103"/>
      <c r="E60" s="252"/>
      <c r="F60" s="252"/>
      <c r="G60" s="3122"/>
    </row>
    <row r="61" spans="1:7">
      <c r="A61" s="71" t="s">
        <v>1213</v>
      </c>
      <c r="B61" s="378">
        <v>1</v>
      </c>
      <c r="C61" s="212">
        <v>0.02</v>
      </c>
      <c r="D61" s="103"/>
      <c r="E61" s="253"/>
      <c r="F61" s="3449"/>
      <c r="G61" s="3122"/>
    </row>
    <row r="62" spans="1:7">
      <c r="A62" s="50" t="s">
        <v>529</v>
      </c>
      <c r="B62" s="979">
        <v>0</v>
      </c>
      <c r="C62" s="211"/>
      <c r="F62" s="3450"/>
      <c r="G62" s="3122"/>
    </row>
    <row r="63" spans="1:7">
      <c r="A63" s="50" t="s">
        <v>1000</v>
      </c>
      <c r="B63" s="979">
        <v>0</v>
      </c>
      <c r="C63" s="211"/>
      <c r="F63" s="3450"/>
      <c r="G63" s="3122"/>
    </row>
    <row r="64" spans="1:7">
      <c r="A64" s="12" t="s">
        <v>999</v>
      </c>
      <c r="B64" s="376">
        <v>10</v>
      </c>
      <c r="C64" s="27"/>
      <c r="G64" s="2329"/>
    </row>
    <row r="65" spans="1:7">
      <c r="A65" s="53" t="s">
        <v>1208</v>
      </c>
      <c r="B65" s="376">
        <v>2008</v>
      </c>
      <c r="C65" s="211"/>
      <c r="G65" s="3122"/>
    </row>
    <row r="66" spans="1:7" ht="13.5" thickBot="1">
      <c r="A66" s="209" t="s">
        <v>103</v>
      </c>
      <c r="B66" s="379"/>
      <c r="C66" s="213">
        <f>IF(EligibleREPI="Y",IF(REPITier=1,REPI*(1+HistInflationRate)^(StartYr-REPIBaseYr)*REPITierIPaid,IF(REPITier=2,REPI*(1+HistInflationRate)^(StartYr-REPIBaseYr)*REPITierIIPaid,0)),0)</f>
        <v>0</v>
      </c>
      <c r="G66" s="3122"/>
    </row>
    <row r="67" spans="1:7">
      <c r="A67" s="960" t="s">
        <v>1642</v>
      </c>
      <c r="B67" s="964"/>
      <c r="C67" s="893"/>
      <c r="F67" s="3450"/>
      <c r="G67" s="2329"/>
    </row>
    <row r="68" spans="1:7" s="2329" customFormat="1">
      <c r="A68" s="2468" t="s">
        <v>1641</v>
      </c>
      <c r="B68" s="2469"/>
      <c r="C68" s="2470"/>
      <c r="D68" s="102"/>
      <c r="E68" s="102"/>
      <c r="F68" s="3450"/>
    </row>
    <row r="69" spans="1:7">
      <c r="A69" s="389" t="s">
        <v>104</v>
      </c>
      <c r="B69" s="965"/>
      <c r="C69" s="894"/>
      <c r="F69" s="3451"/>
      <c r="G69" s="2329"/>
    </row>
    <row r="70" spans="1:7">
      <c r="A70" s="373" t="s">
        <v>528</v>
      </c>
      <c r="B70" s="372"/>
      <c r="C70" s="894"/>
      <c r="G70" s="2329"/>
    </row>
    <row r="71" spans="1:7">
      <c r="A71" s="373" t="s">
        <v>541</v>
      </c>
      <c r="B71" s="372">
        <v>50</v>
      </c>
      <c r="C71" s="373" t="s">
        <v>542</v>
      </c>
      <c r="G71" s="2329"/>
    </row>
    <row r="72" spans="1:7" ht="13.5" thickBot="1">
      <c r="A72" s="899" t="s">
        <v>108</v>
      </c>
      <c r="B72" s="968"/>
      <c r="C72" s="966" t="s">
        <v>545</v>
      </c>
      <c r="F72" s="3452"/>
      <c r="G72" s="2329"/>
    </row>
    <row r="74" spans="1:7" ht="13.5" thickBot="1">
      <c r="A74" s="2"/>
      <c r="B74" s="2"/>
    </row>
    <row r="75" spans="1:7">
      <c r="A75" s="266" t="s">
        <v>1064</v>
      </c>
      <c r="B75" s="2"/>
    </row>
    <row r="76" spans="1:7">
      <c r="A76" s="347" t="s">
        <v>1249</v>
      </c>
      <c r="B76" s="2"/>
    </row>
    <row r="77" spans="1:7">
      <c r="A77" s="967" t="s">
        <v>388</v>
      </c>
      <c r="B77" s="2"/>
    </row>
    <row r="78" spans="1:7" ht="13.5" thickBot="1">
      <c r="A78" s="348" t="s">
        <v>1053</v>
      </c>
    </row>
    <row r="123" spans="1:2">
      <c r="A123" s="118"/>
      <c r="B123" s="118"/>
    </row>
    <row r="124" spans="1:2">
      <c r="A124" s="118"/>
      <c r="B124" s="118"/>
    </row>
    <row r="125" spans="1:2">
      <c r="A125" s="118"/>
      <c r="B125" s="118"/>
    </row>
    <row r="126" spans="1:2">
      <c r="A126" s="118"/>
      <c r="B126" s="118"/>
    </row>
    <row r="127" spans="1:2">
      <c r="A127" s="118"/>
      <c r="B127" s="118"/>
    </row>
    <row r="128" spans="1:2">
      <c r="A128" s="118"/>
      <c r="B128" s="118"/>
    </row>
    <row r="129" spans="1:2">
      <c r="A129" s="118"/>
      <c r="B129" s="117"/>
    </row>
    <row r="149" spans="1:2">
      <c r="A149" s="117"/>
      <c r="B149" s="117"/>
    </row>
    <row r="150" spans="1:2">
      <c r="A150" s="117"/>
      <c r="B150" s="117"/>
    </row>
    <row r="151" spans="1:2">
      <c r="A151" s="117"/>
      <c r="B151" s="117"/>
    </row>
    <row r="152" spans="1:2">
      <c r="A152" s="117"/>
      <c r="B152" s="117"/>
    </row>
    <row r="153" spans="1:2">
      <c r="A153" s="117"/>
      <c r="B153" s="117"/>
    </row>
    <row r="154" spans="1:2">
      <c r="A154" s="117"/>
      <c r="B154" s="117"/>
    </row>
    <row r="155" spans="1:2">
      <c r="A155" s="117"/>
      <c r="B155" s="117"/>
    </row>
    <row r="156" spans="1:2">
      <c r="A156" s="117"/>
      <c r="B156" s="117"/>
    </row>
    <row r="157" spans="1:2">
      <c r="A157" s="117"/>
      <c r="B157" s="117"/>
    </row>
    <row r="158" spans="1:2">
      <c r="A158" s="117"/>
      <c r="B158" s="117"/>
    </row>
    <row r="159" spans="1:2">
      <c r="A159" s="117"/>
      <c r="B159" s="117"/>
    </row>
    <row r="160" spans="1:2">
      <c r="A160" s="117"/>
      <c r="B160" s="117"/>
    </row>
    <row r="161" spans="1:2">
      <c r="A161" s="117"/>
      <c r="B161" s="117"/>
    </row>
    <row r="162" spans="1:2">
      <c r="A162" s="117"/>
      <c r="B162" s="117"/>
    </row>
    <row r="163" spans="1:2">
      <c r="A163" s="117"/>
      <c r="B163" s="117"/>
    </row>
    <row r="164" spans="1:2">
      <c r="A164" s="117"/>
      <c r="B164" s="117"/>
    </row>
    <row r="165" spans="1:2">
      <c r="A165" s="117"/>
      <c r="B165" s="117"/>
    </row>
    <row r="166" spans="1:2">
      <c r="A166" s="117"/>
      <c r="B166" s="117"/>
    </row>
    <row r="167" spans="1:2">
      <c r="A167" s="117"/>
      <c r="B167" s="117"/>
    </row>
    <row r="168" spans="1:2">
      <c r="A168" s="117"/>
      <c r="B168" s="117"/>
    </row>
    <row r="169" spans="1:2">
      <c r="A169" s="117"/>
      <c r="B169" s="117"/>
    </row>
    <row r="170" spans="1:2">
      <c r="A170" s="117"/>
      <c r="B170" s="117"/>
    </row>
    <row r="171" spans="1:2">
      <c r="A171" s="117"/>
      <c r="B171" s="117"/>
    </row>
    <row r="172" spans="1:2">
      <c r="A172" s="117"/>
      <c r="B172" s="117"/>
    </row>
    <row r="173" spans="1:2">
      <c r="A173" s="117"/>
      <c r="B173" s="117"/>
    </row>
    <row r="174" spans="1:2">
      <c r="A174" s="117"/>
      <c r="B174" s="117"/>
    </row>
    <row r="175" spans="1:2">
      <c r="A175" s="117"/>
      <c r="B175" s="117"/>
    </row>
    <row r="176" spans="1:2">
      <c r="A176" s="117"/>
      <c r="B176" s="117"/>
    </row>
    <row r="177" spans="1:2">
      <c r="A177" s="117"/>
      <c r="B177" s="117"/>
    </row>
    <row r="178" spans="1:2">
      <c r="A178" s="117"/>
      <c r="B178" s="117"/>
    </row>
    <row r="179" spans="1:2">
      <c r="A179" s="117"/>
      <c r="B179" s="117"/>
    </row>
    <row r="180" spans="1:2">
      <c r="A180" s="117"/>
      <c r="B180" s="117"/>
    </row>
    <row r="181" spans="1:2">
      <c r="A181" s="117"/>
      <c r="B181" s="117"/>
    </row>
    <row r="182" spans="1:2">
      <c r="A182" s="117"/>
      <c r="B182" s="117"/>
    </row>
    <row r="183" spans="1:2">
      <c r="A183" s="117"/>
      <c r="B183" s="117"/>
    </row>
    <row r="184" spans="1:2">
      <c r="A184" s="117"/>
      <c r="B184" s="117"/>
    </row>
    <row r="185" spans="1:2">
      <c r="A185" s="117"/>
      <c r="B185" s="117"/>
    </row>
    <row r="186" spans="1:2">
      <c r="A186" s="117"/>
      <c r="B186" s="117"/>
    </row>
    <row r="187" spans="1:2">
      <c r="A187" s="117"/>
      <c r="B187" s="117"/>
    </row>
    <row r="188" spans="1:2">
      <c r="A188" s="117"/>
      <c r="B188" s="117"/>
    </row>
    <row r="189" spans="1:2">
      <c r="A189" s="117"/>
      <c r="B189" s="117"/>
    </row>
    <row r="190" spans="1:2">
      <c r="A190" s="117"/>
      <c r="B190" s="117"/>
    </row>
    <row r="191" spans="1:2">
      <c r="A191" s="117"/>
      <c r="B191" s="117"/>
    </row>
    <row r="192" spans="1:2">
      <c r="A192" s="117"/>
      <c r="B192" s="117"/>
    </row>
    <row r="193" spans="1:2">
      <c r="A193" s="117"/>
      <c r="B193" s="117"/>
    </row>
    <row r="194" spans="1:2">
      <c r="A194" s="117"/>
      <c r="B194" s="117"/>
    </row>
    <row r="195" spans="1:2">
      <c r="A195" s="117"/>
      <c r="B195" s="117"/>
    </row>
    <row r="196" spans="1:2">
      <c r="A196" s="117"/>
      <c r="B196" s="117"/>
    </row>
    <row r="197" spans="1:2">
      <c r="A197" s="117"/>
      <c r="B197" s="117"/>
    </row>
    <row r="198" spans="1:2">
      <c r="A198" s="117"/>
      <c r="B198" s="117"/>
    </row>
    <row r="199" spans="1:2">
      <c r="A199" s="117"/>
      <c r="B199" s="117"/>
    </row>
    <row r="200" spans="1:2">
      <c r="A200" s="117"/>
      <c r="B200" s="117"/>
    </row>
    <row r="201" spans="1:2">
      <c r="A201" s="117"/>
      <c r="B201" s="117"/>
    </row>
    <row r="202" spans="1:2">
      <c r="A202" s="117"/>
      <c r="B202" s="117"/>
    </row>
    <row r="203" spans="1:2">
      <c r="A203" s="117"/>
      <c r="B203" s="117"/>
    </row>
    <row r="204" spans="1:2">
      <c r="A204" s="117"/>
      <c r="B204" s="117"/>
    </row>
    <row r="205" spans="1:2">
      <c r="A205" s="117"/>
      <c r="B205" s="117"/>
    </row>
    <row r="206" spans="1:2">
      <c r="A206" s="117"/>
      <c r="B206" s="117"/>
    </row>
    <row r="207" spans="1:2">
      <c r="A207" s="117"/>
      <c r="B207" s="117"/>
    </row>
    <row r="208" spans="1:2">
      <c r="A208" s="117"/>
      <c r="B208" s="117"/>
    </row>
    <row r="209" spans="1:2">
      <c r="A209" s="117"/>
      <c r="B209" s="117"/>
    </row>
    <row r="210" spans="1:2">
      <c r="A210" s="117"/>
      <c r="B210" s="117"/>
    </row>
    <row r="211" spans="1:2">
      <c r="A211" s="117"/>
      <c r="B211" s="117"/>
    </row>
    <row r="212" spans="1:2">
      <c r="A212" s="117"/>
      <c r="B212" s="117"/>
    </row>
    <row r="213" spans="1:2">
      <c r="A213" s="117"/>
      <c r="B213" s="117"/>
    </row>
    <row r="214" spans="1:2">
      <c r="A214" s="117"/>
      <c r="B214" s="117"/>
    </row>
    <row r="215" spans="1:2">
      <c r="A215" s="117"/>
      <c r="B215" s="117"/>
    </row>
    <row r="216" spans="1:2">
      <c r="A216" s="117"/>
      <c r="B216" s="117"/>
    </row>
    <row r="217" spans="1:2">
      <c r="A217" s="117"/>
      <c r="B217" s="117"/>
    </row>
    <row r="218" spans="1:2">
      <c r="A218" s="117"/>
      <c r="B218" s="117"/>
    </row>
    <row r="219" spans="1:2">
      <c r="A219" s="117"/>
      <c r="B219" s="117"/>
    </row>
    <row r="220" spans="1:2">
      <c r="A220" s="117"/>
      <c r="B220" s="117"/>
    </row>
    <row r="221" spans="1:2">
      <c r="A221" s="117"/>
      <c r="B221" s="117"/>
    </row>
    <row r="222" spans="1:2">
      <c r="A222" s="117"/>
      <c r="B222" s="117"/>
    </row>
    <row r="223" spans="1:2">
      <c r="A223" s="117"/>
      <c r="B223" s="117"/>
    </row>
    <row r="224" spans="1:2">
      <c r="A224" s="117"/>
      <c r="B224" s="117"/>
    </row>
    <row r="225" spans="1:2">
      <c r="A225" s="117"/>
      <c r="B225" s="117"/>
    </row>
    <row r="226" spans="1:2">
      <c r="A226" s="117"/>
      <c r="B226" s="117"/>
    </row>
    <row r="227" spans="1:2">
      <c r="A227" s="117"/>
      <c r="B227" s="117"/>
    </row>
    <row r="228" spans="1:2">
      <c r="A228" s="117"/>
      <c r="B228" s="117"/>
    </row>
    <row r="229" spans="1:2">
      <c r="A229" s="117"/>
      <c r="B229" s="117"/>
    </row>
    <row r="230" spans="1:2">
      <c r="A230" s="117"/>
      <c r="B230" s="117"/>
    </row>
    <row r="231" spans="1:2">
      <c r="A231" s="117"/>
      <c r="B231" s="117"/>
    </row>
    <row r="232" spans="1:2">
      <c r="A232" s="117"/>
      <c r="B232" s="117"/>
    </row>
    <row r="233" spans="1:2">
      <c r="A233" s="117"/>
      <c r="B233" s="117"/>
    </row>
    <row r="234" spans="1:2">
      <c r="A234" s="117"/>
      <c r="B234" s="117"/>
    </row>
    <row r="235" spans="1:2">
      <c r="A235" s="117"/>
      <c r="B235" s="117"/>
    </row>
    <row r="236" spans="1:2">
      <c r="A236" s="117"/>
      <c r="B236" s="117"/>
    </row>
    <row r="237" spans="1:2">
      <c r="A237" s="117"/>
      <c r="B237" s="117"/>
    </row>
    <row r="238" spans="1:2">
      <c r="A238" s="117"/>
      <c r="B238" s="117"/>
    </row>
    <row r="239" spans="1:2">
      <c r="A239" s="117"/>
      <c r="B239" s="117"/>
    </row>
    <row r="240" spans="1:2">
      <c r="A240" s="117"/>
      <c r="B240" s="117"/>
    </row>
    <row r="241" spans="1:4">
      <c r="A241" s="117"/>
      <c r="B241" s="117"/>
    </row>
    <row r="242" spans="1:4">
      <c r="A242" s="117"/>
      <c r="B242" s="117"/>
    </row>
    <row r="243" spans="1:4">
      <c r="A243" s="117"/>
      <c r="B243" s="117"/>
    </row>
    <row r="244" spans="1:4">
      <c r="A244" s="117"/>
      <c r="B244" s="117"/>
    </row>
    <row r="245" spans="1:4">
      <c r="A245" s="117"/>
      <c r="B245" s="117"/>
    </row>
    <row r="246" spans="1:4">
      <c r="A246" s="117"/>
      <c r="B246" s="117"/>
    </row>
    <row r="247" spans="1:4">
      <c r="A247" s="117"/>
      <c r="B247" s="117"/>
    </row>
    <row r="248" spans="1:4">
      <c r="A248" s="117"/>
      <c r="B248" s="117"/>
    </row>
    <row r="249" spans="1:4">
      <c r="A249" s="117"/>
      <c r="B249" s="117"/>
    </row>
    <row r="250" spans="1:4">
      <c r="A250" s="117"/>
      <c r="B250" s="117"/>
    </row>
    <row r="251" spans="1:4" ht="20.25">
      <c r="A251" s="117"/>
      <c r="B251" s="117"/>
      <c r="D251" s="254"/>
    </row>
    <row r="252" spans="1:4">
      <c r="A252" s="117"/>
      <c r="B252" s="117"/>
    </row>
    <row r="253" spans="1:4">
      <c r="A253" s="117"/>
      <c r="B253" s="117"/>
    </row>
    <row r="254" spans="1:4">
      <c r="A254" s="117"/>
      <c r="B254" s="117"/>
    </row>
    <row r="255" spans="1:4">
      <c r="A255" s="117"/>
      <c r="B255" s="117"/>
    </row>
    <row r="256" spans="1:4">
      <c r="A256" s="117"/>
      <c r="B256" s="117"/>
    </row>
    <row r="257" spans="1:2">
      <c r="A257" s="117"/>
      <c r="B257" s="117"/>
    </row>
  </sheetData>
  <mergeCells count="1">
    <mergeCell ref="A14:C14"/>
  </mergeCells>
  <conditionalFormatting sqref="E23:E24">
    <cfRule type="containsText" dxfId="2" priority="9" operator="containsText" text="FALSE">
      <formula>NOT(ISERROR(SEARCH("FALSE",E23)))</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3366FF"/>
  </sheetPr>
  <dimension ref="B3:BF183"/>
  <sheetViews>
    <sheetView showGridLines="0" zoomScaleNormal="100" workbookViewId="0">
      <selection activeCell="E37" sqref="E37"/>
    </sheetView>
  </sheetViews>
  <sheetFormatPr defaultColWidth="9.42578125" defaultRowHeight="12.75"/>
  <cols>
    <col min="1" max="1" width="2.28515625" style="2" customWidth="1"/>
    <col min="2" max="2" width="44.28515625" style="2" customWidth="1"/>
    <col min="3" max="3" width="21" style="2" customWidth="1"/>
    <col min="4" max="4" width="13.7109375" style="2" customWidth="1"/>
    <col min="5" max="5" width="16.28515625" style="2" customWidth="1"/>
    <col min="6" max="6" width="12.85546875" style="2" customWidth="1"/>
    <col min="7" max="7" width="18" style="2" customWidth="1"/>
    <col min="8" max="8" width="14.7109375" style="66" customWidth="1"/>
    <col min="9" max="9" width="14.5703125" style="2" customWidth="1"/>
    <col min="10" max="10" width="23" style="2" customWidth="1"/>
    <col min="11" max="11" width="23.85546875" style="2" customWidth="1"/>
    <col min="12" max="12" width="13.5703125" style="2" customWidth="1"/>
    <col min="13" max="13" width="15.7109375" style="2" customWidth="1"/>
    <col min="14" max="14" width="17" style="2" customWidth="1"/>
    <col min="34" max="16384" width="9.42578125" style="2"/>
  </cols>
  <sheetData>
    <row r="3" spans="2:41" ht="13.5" thickBot="1">
      <c r="B3" s="2330"/>
      <c r="F3" s="2330"/>
    </row>
    <row r="4" spans="2:41" ht="13.5" thickBot="1">
      <c r="B4" s="3980" t="str">
        <f>"Start-Year ("&amp; StartYr &amp;") Instant Costs"</f>
        <v>Start-Year (2013) Instant Costs</v>
      </c>
      <c r="C4" s="3981" t="str">
        <f>"In Real ("&amp;BaseYr &amp; " Dollars)"</f>
        <v>In Real (2011 Dollars)</v>
      </c>
      <c r="E4" s="4368" t="s">
        <v>2055</v>
      </c>
      <c r="F4" s="1068"/>
      <c r="G4" s="1068"/>
      <c r="H4" s="1069"/>
      <c r="AH4" s="66"/>
      <c r="AI4" s="66"/>
    </row>
    <row r="5" spans="2:41">
      <c r="B5" s="812" t="s">
        <v>402</v>
      </c>
      <c r="C5" s="824">
        <v>0</v>
      </c>
      <c r="D5" s="3820"/>
      <c r="E5" s="1058" t="s">
        <v>122</v>
      </c>
      <c r="F5" s="1059">
        <v>0</v>
      </c>
      <c r="G5" s="1060"/>
      <c r="H5" s="108"/>
      <c r="AL5" s="31"/>
      <c r="AM5" s="31"/>
      <c r="AN5" s="31"/>
      <c r="AO5" s="31"/>
    </row>
    <row r="6" spans="2:41" ht="13.5" thickBot="1">
      <c r="B6" s="813" t="s">
        <v>1292</v>
      </c>
      <c r="C6" s="825"/>
      <c r="D6" s="2330"/>
      <c r="E6" s="2155" t="s">
        <v>1260</v>
      </c>
      <c r="F6" s="2524">
        <f>IF(OwnerType="Merchant",DebtRate,DiscountRate)</f>
        <v>5.9130000000000002E-2</v>
      </c>
      <c r="G6" s="105"/>
      <c r="H6" s="113"/>
      <c r="AL6" s="28"/>
      <c r="AM6" s="28"/>
      <c r="AN6" s="28"/>
      <c r="AO6" s="28"/>
    </row>
    <row r="7" spans="2:41" ht="15" customHeight="1">
      <c r="B7" s="2248" t="s">
        <v>652</v>
      </c>
      <c r="C7" s="826">
        <v>152803129.8256022</v>
      </c>
      <c r="D7" s="3280"/>
      <c r="E7" s="4556" t="s">
        <v>521</v>
      </c>
      <c r="F7" s="4553" t="s">
        <v>1490</v>
      </c>
      <c r="G7" s="4550" t="s">
        <v>1489</v>
      </c>
      <c r="H7" s="845" t="s">
        <v>1129</v>
      </c>
      <c r="AL7" s="28"/>
      <c r="AM7" s="28"/>
      <c r="AN7" s="28"/>
      <c r="AO7" s="28"/>
    </row>
    <row r="8" spans="2:41">
      <c r="B8" s="814"/>
      <c r="C8" s="827"/>
      <c r="D8" s="3821"/>
      <c r="E8" s="4557"/>
      <c r="F8" s="4554"/>
      <c r="G8" s="4551"/>
      <c r="H8" s="846" t="s">
        <v>1130</v>
      </c>
      <c r="AL8" s="28"/>
      <c r="AM8" s="28"/>
      <c r="AN8" s="28"/>
      <c r="AO8" s="28"/>
    </row>
    <row r="9" spans="2:41">
      <c r="B9" s="814"/>
      <c r="C9" s="827"/>
      <c r="D9" s="875"/>
      <c r="E9" s="4557"/>
      <c r="F9" s="4554"/>
      <c r="G9" s="4551"/>
      <c r="H9" s="846" t="s">
        <v>521</v>
      </c>
      <c r="AL9" s="28"/>
      <c r="AM9" s="28"/>
      <c r="AN9" s="28"/>
      <c r="AO9" s="28"/>
    </row>
    <row r="10" spans="2:41" ht="13.5" thickBot="1">
      <c r="B10" s="814"/>
      <c r="C10" s="827"/>
      <c r="D10" s="875"/>
      <c r="E10" s="4558"/>
      <c r="F10" s="4555"/>
      <c r="G10" s="4552"/>
      <c r="H10" s="847"/>
      <c r="AL10" s="28"/>
      <c r="AM10" s="28"/>
      <c r="AN10" s="28"/>
      <c r="AO10" s="28"/>
    </row>
    <row r="11" spans="2:41">
      <c r="B11" s="814"/>
      <c r="C11" s="827"/>
      <c r="D11" s="875"/>
      <c r="E11" s="2156" t="str">
        <f>StartYr-5 &amp; "  (-5)"</f>
        <v>2008  (-5)</v>
      </c>
      <c r="F11" s="1061">
        <v>0</v>
      </c>
      <c r="G11" s="2158">
        <f>IF('INPUT-OUTPUT'!C$42="Instant",F11*(CapitalCostTotal+G45)*IF(H11&gt;0,1+AFUDCRate/(24/H11),0),0)</f>
        <v>0</v>
      </c>
      <c r="H11" s="853">
        <v>0</v>
      </c>
      <c r="AL11" s="28"/>
      <c r="AM11" s="28"/>
      <c r="AN11" s="28"/>
      <c r="AO11" s="28"/>
    </row>
    <row r="12" spans="2:41">
      <c r="B12" s="814"/>
      <c r="C12" s="827"/>
      <c r="D12" s="875"/>
      <c r="E12" s="2156" t="str">
        <f>StartYr-4 &amp; "  (-4)"</f>
        <v>2009  (-4)</v>
      </c>
      <c r="F12" s="1061">
        <v>0</v>
      </c>
      <c r="G12" s="2158">
        <f>IF('INPUT-OUTPUT'!C$42="Instant",F12*(CapitalCostTotal+G45)*IF(H12&gt;0,(1+AFUDCRate/(24/H12)),0)+G11*(1+AFUDCRate),0)</f>
        <v>0</v>
      </c>
      <c r="H12" s="853">
        <v>0</v>
      </c>
      <c r="AL12" s="28"/>
      <c r="AM12" s="28"/>
      <c r="AN12" s="28"/>
      <c r="AO12" s="28"/>
    </row>
    <row r="13" spans="2:41">
      <c r="B13" s="814"/>
      <c r="C13" s="827"/>
      <c r="D13" s="875"/>
      <c r="E13" s="2156" t="str">
        <f>StartYr-3 &amp; "  (-3)"</f>
        <v>2010  (-3)</v>
      </c>
      <c r="F13" s="1061">
        <v>0</v>
      </c>
      <c r="G13" s="2158">
        <f>IF('INPUT-OUTPUT'!C$42="Instant",F13*(CapitalCostTotal+G45)*IF(H13&gt;0,(1+AFUDCRate/(24/H13)),0)+G12*(1+AFUDCRate),0)</f>
        <v>0</v>
      </c>
      <c r="H13" s="853">
        <v>0</v>
      </c>
      <c r="AL13" s="28"/>
      <c r="AM13" s="28"/>
      <c r="AN13" s="28"/>
      <c r="AO13" s="28"/>
    </row>
    <row r="14" spans="2:41">
      <c r="B14" s="814"/>
      <c r="C14" s="827"/>
      <c r="D14" s="875"/>
      <c r="E14" s="2156" t="str">
        <f>StartYr-2 &amp; "  (-2)"</f>
        <v>2011  (-2)</v>
      </c>
      <c r="F14" s="1061">
        <v>0</v>
      </c>
      <c r="G14" s="2158">
        <f>IF('INPUT-OUTPUT'!C$42="Instant",F14*(CapitalCostTotal+G45)*IF(H14&gt;0,(1+AFUDCRate/(24/H14)),0)+G13*(1+AFUDCRate),0)</f>
        <v>0</v>
      </c>
      <c r="H14" s="853">
        <v>0</v>
      </c>
      <c r="AL14" s="28"/>
      <c r="AM14" s="28"/>
      <c r="AN14" s="28"/>
      <c r="AO14" s="28"/>
    </row>
    <row r="15" spans="2:41">
      <c r="B15" s="815"/>
      <c r="C15" s="828"/>
      <c r="D15" s="3822"/>
      <c r="E15" s="2156" t="str">
        <f>StartYr-1 &amp; "  (-1)"</f>
        <v>2012  (-1)</v>
      </c>
      <c r="F15" s="1061">
        <v>0.05</v>
      </c>
      <c r="G15" s="2158">
        <f>IF('INPUT-OUTPUT'!C$42="Instant",F15*(CapitalCostTotal+G45)*IF(H15&gt;0,(1+AFUDCRate/(24/H15)),0)+G14*(1+AFUDCRate),0)</f>
        <v>9742212.2019163072</v>
      </c>
      <c r="H15" s="853">
        <v>6</v>
      </c>
      <c r="AL15" s="28"/>
      <c r="AM15" s="28"/>
      <c r="AN15" s="28"/>
      <c r="AO15" s="28"/>
    </row>
    <row r="16" spans="2:41" ht="12.75" customHeight="1" thickBot="1">
      <c r="B16" s="815"/>
      <c r="C16" s="396"/>
      <c r="D16" s="3823"/>
      <c r="E16" s="2157" t="str">
        <f>StartYr &amp; "   (0)"</f>
        <v>2013   (0)</v>
      </c>
      <c r="F16" s="1062">
        <v>0.95</v>
      </c>
      <c r="G16" s="2159">
        <f>IF('INPUT-OUTPUT'!C42="Instant",F16*(CapitalCostTotal+G45)*IF(H16&gt;0,(1+AFUDCRate/(24/H16)),0)+G15*(1+AFUDCRate),(CapitalCostTotal+G45))*((1+HistInflationRate)*(1+CapitalCostEscalationRate))^(StartYr-BaseYr)</f>
        <v>207383634.25907639</v>
      </c>
      <c r="H16" s="854">
        <v>12</v>
      </c>
      <c r="AL16" s="28"/>
      <c r="AM16" s="28"/>
      <c r="AN16" s="28"/>
      <c r="AO16" s="28"/>
    </row>
    <row r="17" spans="2:41">
      <c r="B17" s="816"/>
      <c r="C17" s="397"/>
      <c r="D17" s="875"/>
      <c r="F17" s="855" t="b">
        <f>(SUM('Construction Costs'!F11:F16)=1)</f>
        <v>1</v>
      </c>
      <c r="G17" s="1063"/>
      <c r="H17" s="1064"/>
      <c r="N17" s="165"/>
      <c r="AL17" s="28"/>
      <c r="AM17" s="28"/>
      <c r="AN17" s="28"/>
      <c r="AO17" s="28"/>
    </row>
    <row r="18" spans="2:41" ht="13.5" thickBot="1">
      <c r="B18" s="817" t="s">
        <v>483</v>
      </c>
      <c r="C18" s="829">
        <f>SUM(C7:C17)</f>
        <v>152803129.8256022</v>
      </c>
      <c r="D18" s="3280"/>
      <c r="E18" s="1065"/>
      <c r="F18" s="1065"/>
      <c r="G18" s="1065"/>
      <c r="H18" s="1066"/>
      <c r="AL18" s="28"/>
      <c r="AM18" s="28"/>
      <c r="AN18" s="28"/>
      <c r="AO18" s="28"/>
    </row>
    <row r="19" spans="2:41" ht="13.5" thickBot="1">
      <c r="B19" s="16"/>
      <c r="C19" s="1514"/>
      <c r="D19" s="3824"/>
      <c r="E19" s="4547" t="s">
        <v>2013</v>
      </c>
      <c r="F19" s="4548"/>
      <c r="G19" s="4549"/>
      <c r="AK19" s="28"/>
      <c r="AL19" s="28"/>
      <c r="AM19" s="28"/>
      <c r="AN19" s="28"/>
      <c r="AO19" s="28"/>
    </row>
    <row r="20" spans="2:41">
      <c r="B20" s="818" t="s">
        <v>1324</v>
      </c>
      <c r="C20" s="363"/>
      <c r="D20" s="811"/>
      <c r="E20" s="1238" t="s">
        <v>968</v>
      </c>
      <c r="F20" s="44"/>
      <c r="G20" s="422"/>
      <c r="AK20" s="28"/>
      <c r="AL20" s="28"/>
      <c r="AM20" s="28"/>
      <c r="AN20" s="28"/>
      <c r="AO20" s="28"/>
    </row>
    <row r="21" spans="2:41" ht="13.5" thickBot="1">
      <c r="B21" s="111" t="s">
        <v>459</v>
      </c>
      <c r="C21" s="396">
        <v>40</v>
      </c>
      <c r="D21" s="811"/>
      <c r="E21" s="127" t="str">
        <f>"Installed Cost (" &amp; StartYr &amp; "  Dollars)"</f>
        <v>Installed Cost (2013  Dollars)</v>
      </c>
      <c r="F21" s="43"/>
      <c r="G21" s="1209"/>
      <c r="AK21" s="28"/>
      <c r="AL21" s="28"/>
      <c r="AM21" s="28"/>
      <c r="AN21" s="28"/>
      <c r="AO21" s="28"/>
    </row>
    <row r="22" spans="2:41">
      <c r="B22" s="110" t="s">
        <v>329</v>
      </c>
      <c r="C22" s="830">
        <v>4000</v>
      </c>
      <c r="D22" s="3825"/>
      <c r="E22" s="1067" t="str">
        <f>"Instant Cost (" &amp; BaseYr &amp; " Dollars)"</f>
        <v>Instant Cost (2011 Dollars)</v>
      </c>
      <c r="F22" s="1094"/>
      <c r="G22" s="1092">
        <f>IF(G21=0,CapitalCostTotal/(GrossMW*1000),"")</f>
        <v>1825.1512982560221</v>
      </c>
      <c r="H22" s="1038" t="s">
        <v>889</v>
      </c>
      <c r="I22" s="1038" t="s">
        <v>889</v>
      </c>
      <c r="AK22" s="28"/>
      <c r="AL22" s="28"/>
      <c r="AM22" s="28"/>
      <c r="AN22" s="28"/>
      <c r="AO22" s="28"/>
    </row>
    <row r="23" spans="2:41">
      <c r="B23" s="111" t="s">
        <v>460</v>
      </c>
      <c r="C23" s="831"/>
      <c r="D23" s="3826"/>
      <c r="E23" s="111" t="str">
        <f>"Installed Cost (" &amp; BaseYr &amp; " Dollars)"</f>
        <v>Installed Cost (2011 Dollars)</v>
      </c>
      <c r="F23" s="27"/>
      <c r="G23" s="1098">
        <f>IF(G21=0,ConstructedCostTotal/(GrossMW*1000)/(1+HistInflationRate)^(StartYr-BaseYr),"")</f>
        <v>1981.1671213452837</v>
      </c>
      <c r="H23" s="1096" t="s">
        <v>890</v>
      </c>
      <c r="I23" s="1096" t="s">
        <v>890</v>
      </c>
      <c r="AK23" s="28"/>
      <c r="AL23" s="28"/>
      <c r="AM23" s="28"/>
      <c r="AN23" s="28"/>
      <c r="AO23" s="28"/>
    </row>
    <row r="24" spans="2:41" ht="14.25" customHeight="1">
      <c r="B24" s="110" t="s">
        <v>486</v>
      </c>
      <c r="C24" s="832">
        <f>IF(ISNUMBER(AcrePerMW),AcrePerMW*GrossMW,AcrePerPlant)+AdditionalAcreage</f>
        <v>4000</v>
      </c>
      <c r="D24" s="3826"/>
      <c r="E24" s="115" t="str">
        <f>"Instant Cost (" &amp; StartYr &amp; "  Dollars)"</f>
        <v>Instant Cost (2013  Dollars)</v>
      </c>
      <c r="F24" s="27"/>
      <c r="G24" s="1098">
        <f>IF(G21=0,CapitalCostTotal/(GrossMW*1000)*(1+HistInflationRate)^(StartYr-BaseYr),"")</f>
        <v>1910.5228692064391</v>
      </c>
      <c r="H24" s="1095" t="s">
        <v>2056</v>
      </c>
      <c r="I24" s="1095" t="s">
        <v>1748</v>
      </c>
      <c r="AK24" s="28"/>
      <c r="AL24" s="28"/>
      <c r="AM24" s="28"/>
      <c r="AN24" s="28"/>
      <c r="AO24" s="28"/>
    </row>
    <row r="25" spans="2:41" ht="12.75" customHeight="1" thickBot="1">
      <c r="B25" s="110" t="s">
        <v>184</v>
      </c>
      <c r="C25" s="833">
        <v>5000</v>
      </c>
      <c r="D25" s="3280"/>
      <c r="E25" s="127" t="str">
        <f>"Installed Cost (" &amp; StartYr &amp; "  Dollars)"</f>
        <v>Installed Cost (2013  Dollars)</v>
      </c>
      <c r="F25" s="29"/>
      <c r="G25" s="1093">
        <f>IF(G21="",ConstructedCostTotal/(GrossMW*1000),G21)</f>
        <v>2073.8363425907637</v>
      </c>
      <c r="H25" s="3424">
        <f>IF(G21=0,G23/InstantCost,"N/A")</f>
        <v>1.0854810355932347</v>
      </c>
      <c r="I25" s="3424">
        <f>IF(G21=0,G23/(C47/GrossMW/1000),"N/A")</f>
        <v>1.2965487837889422</v>
      </c>
      <c r="J25" s="2330"/>
      <c r="AK25" s="28"/>
      <c r="AL25" s="28"/>
    </row>
    <row r="26" spans="2:41" ht="13.5" thickBot="1">
      <c r="B26" s="110" t="s">
        <v>487</v>
      </c>
      <c r="C26" s="834">
        <f>TotalAcres*CostPerAcre</f>
        <v>20000000</v>
      </c>
      <c r="D26" s="3280"/>
      <c r="H26" s="1097"/>
      <c r="AK26" s="28"/>
      <c r="AL26" s="28"/>
    </row>
    <row r="27" spans="2:41">
      <c r="B27" s="110" t="s">
        <v>1325</v>
      </c>
      <c r="C27" s="835"/>
      <c r="D27" s="3827"/>
      <c r="E27" s="4038" t="s">
        <v>964</v>
      </c>
      <c r="F27" s="556"/>
      <c r="G27" s="1047"/>
      <c r="H27" s="1097"/>
      <c r="J27" s="2330"/>
      <c r="AK27" s="28"/>
      <c r="AL27" s="28"/>
    </row>
    <row r="28" spans="2:41">
      <c r="B28" s="819" t="s">
        <v>488</v>
      </c>
      <c r="C28" s="836">
        <f>TotalAcres*LandPrepCostPerAcre</f>
        <v>0</v>
      </c>
      <c r="D28" s="3827"/>
      <c r="E28" s="1048" t="s">
        <v>1249</v>
      </c>
      <c r="F28" s="1049"/>
      <c r="G28" s="1050"/>
      <c r="H28" s="1097"/>
      <c r="AK28" s="28"/>
      <c r="AL28" s="28"/>
    </row>
    <row r="29" spans="2:41">
      <c r="B29" s="820" t="s">
        <v>505</v>
      </c>
      <c r="C29" s="837">
        <f>C26+C28</f>
        <v>20000000</v>
      </c>
      <c r="D29" s="3280"/>
      <c r="E29" s="1051" t="s">
        <v>388</v>
      </c>
      <c r="F29" s="1052"/>
      <c r="G29" s="1053"/>
      <c r="AK29" s="28"/>
      <c r="AL29" s="28"/>
    </row>
    <row r="30" spans="2:41">
      <c r="B30" s="813" t="s">
        <v>1327</v>
      </c>
      <c r="C30" s="825"/>
      <c r="D30" s="811"/>
      <c r="E30" s="1074" t="s">
        <v>1053</v>
      </c>
      <c r="F30" s="1075"/>
      <c r="G30" s="1076"/>
      <c r="AK30" s="30"/>
      <c r="AL30" s="30"/>
    </row>
    <row r="31" spans="2:41" ht="13.5" thickBot="1">
      <c r="B31" s="110" t="s">
        <v>185</v>
      </c>
      <c r="C31" s="838">
        <v>1000000</v>
      </c>
      <c r="D31" s="3822"/>
      <c r="E31" s="1071" t="s">
        <v>574</v>
      </c>
      <c r="F31" s="1072"/>
      <c r="G31" s="1073"/>
      <c r="AK31" s="28"/>
      <c r="AL31" s="28"/>
    </row>
    <row r="32" spans="2:41">
      <c r="B32" s="110" t="s">
        <v>186</v>
      </c>
      <c r="C32" s="838"/>
      <c r="D32" s="3280"/>
      <c r="H32" s="303"/>
      <c r="AH32" s="28"/>
      <c r="AI32" s="28"/>
      <c r="AJ32" s="28"/>
      <c r="AK32" s="28"/>
      <c r="AL32" s="28"/>
    </row>
    <row r="33" spans="2:42">
      <c r="B33" s="821" t="s">
        <v>1066</v>
      </c>
      <c r="C33" s="839">
        <f>G72</f>
        <v>0</v>
      </c>
      <c r="D33" s="3280"/>
      <c r="K33" s="3477"/>
      <c r="AH33" s="28"/>
      <c r="AI33" s="28"/>
      <c r="AJ33" s="28"/>
      <c r="AK33" s="28"/>
      <c r="AL33" s="28"/>
    </row>
    <row r="34" spans="2:42" ht="18">
      <c r="B34" s="817" t="s">
        <v>507</v>
      </c>
      <c r="C34" s="829">
        <f>SUM(C31:C33)</f>
        <v>1000000</v>
      </c>
      <c r="D34" s="3280"/>
      <c r="E34" s="1034" t="s">
        <v>2057</v>
      </c>
      <c r="F34" s="4370">
        <f>StartYr</f>
        <v>2013</v>
      </c>
      <c r="AH34" s="28"/>
      <c r="AI34" s="28"/>
      <c r="AJ34" s="28"/>
      <c r="AK34" s="28"/>
      <c r="AL34" s="28"/>
    </row>
    <row r="35" spans="2:42" ht="18">
      <c r="B35" s="813" t="s">
        <v>201</v>
      </c>
      <c r="C35" s="825"/>
      <c r="D35" s="811"/>
      <c r="E35" s="1034" t="s">
        <v>2058</v>
      </c>
      <c r="F35" s="4369">
        <f>BaseYr</f>
        <v>2011</v>
      </c>
      <c r="AH35" s="28"/>
      <c r="AI35" s="28"/>
      <c r="AJ35" s="28"/>
      <c r="AK35" s="28"/>
      <c r="AL35" s="28"/>
    </row>
    <row r="36" spans="2:42">
      <c r="B36" s="110" t="s">
        <v>912</v>
      </c>
      <c r="C36" s="840">
        <v>8712000</v>
      </c>
      <c r="D36" s="3827"/>
      <c r="AH36" s="28"/>
      <c r="AI36" s="28"/>
      <c r="AJ36" s="28"/>
      <c r="AK36" s="28"/>
      <c r="AL36" s="28"/>
    </row>
    <row r="37" spans="2:42" ht="18">
      <c r="B37" s="861" t="s">
        <v>916</v>
      </c>
      <c r="C37" s="840"/>
      <c r="D37" s="3828"/>
      <c r="E37" s="2183" t="s">
        <v>2059</v>
      </c>
      <c r="G37" s="1034" t="str">
        <f>Perspective</f>
        <v>At Interconnection Point</v>
      </c>
      <c r="N37" s="66"/>
      <c r="AI37" s="28"/>
      <c r="AJ37" s="28"/>
      <c r="AK37" s="28"/>
      <c r="AL37" s="28"/>
      <c r="AM37" s="28"/>
    </row>
    <row r="38" spans="2:42">
      <c r="B38" s="819" t="s">
        <v>913</v>
      </c>
      <c r="C38" s="841"/>
      <c r="D38" s="3829"/>
      <c r="G38" s="66"/>
      <c r="N38" s="66"/>
      <c r="AI38" s="28"/>
      <c r="AJ38" s="28"/>
      <c r="AK38" s="28"/>
      <c r="AL38" s="28"/>
      <c r="AM38" s="28"/>
    </row>
    <row r="39" spans="2:42" ht="13.5" thickBot="1">
      <c r="B39" s="820" t="s">
        <v>506</v>
      </c>
      <c r="C39" s="829">
        <f>IF(Perspective="At Interconnection Point", SUM(C36:C38),0)</f>
        <v>8712000</v>
      </c>
      <c r="D39" s="3280"/>
      <c r="F39" s="987"/>
      <c r="G39" s="66"/>
      <c r="N39" s="66"/>
      <c r="AI39" s="64"/>
      <c r="AJ39" s="28"/>
      <c r="AK39" s="28"/>
      <c r="AL39" s="28"/>
      <c r="AM39" s="28"/>
      <c r="AN39" s="28"/>
      <c r="AO39" s="28"/>
      <c r="AP39" s="28"/>
    </row>
    <row r="40" spans="2:42">
      <c r="B40" s="822" t="s">
        <v>225</v>
      </c>
      <c r="C40" s="825"/>
      <c r="D40" s="1507"/>
      <c r="E40" s="2525" t="s">
        <v>437</v>
      </c>
      <c r="F40" s="2526"/>
      <c r="G40" s="108"/>
      <c r="H40" s="1208"/>
      <c r="N40" s="66"/>
      <c r="AI40" s="64"/>
      <c r="AJ40" s="28"/>
      <c r="AK40" s="28"/>
      <c r="AL40" s="28"/>
      <c r="AM40" s="28"/>
      <c r="AN40" s="28"/>
      <c r="AO40" s="28"/>
      <c r="AP40" s="28"/>
    </row>
    <row r="41" spans="2:42">
      <c r="B41" s="111" t="s">
        <v>501</v>
      </c>
      <c r="C41" s="842">
        <f>AirCapitalCosts</f>
        <v>0</v>
      </c>
      <c r="D41" s="3828"/>
      <c r="E41" s="110" t="s">
        <v>484</v>
      </c>
      <c r="F41" s="2334"/>
      <c r="G41" s="2527"/>
      <c r="H41" s="1208"/>
      <c r="N41" s="66"/>
      <c r="AI41" s="37"/>
      <c r="AJ41" s="28"/>
      <c r="AK41" s="28"/>
      <c r="AL41" s="28"/>
      <c r="AM41" s="28"/>
      <c r="AN41" s="28"/>
      <c r="AO41" s="28"/>
      <c r="AP41" s="28"/>
    </row>
    <row r="42" spans="2:42">
      <c r="B42" s="20" t="s">
        <v>273</v>
      </c>
      <c r="C42" s="431">
        <f>C41</f>
        <v>0</v>
      </c>
      <c r="D42" s="3828"/>
      <c r="E42" s="111" t="s">
        <v>441</v>
      </c>
      <c r="F42" s="2334"/>
      <c r="G42" s="3301">
        <v>2.1999999999999999E-2</v>
      </c>
      <c r="H42" s="1918"/>
      <c r="AI42" s="28"/>
      <c r="AJ42" s="28"/>
      <c r="AK42" s="30"/>
      <c r="AL42" s="30"/>
      <c r="AM42" s="30"/>
      <c r="AN42" s="30"/>
      <c r="AO42" s="28"/>
      <c r="AP42" s="28"/>
    </row>
    <row r="43" spans="2:42">
      <c r="B43" s="822" t="s">
        <v>224</v>
      </c>
      <c r="C43" s="825"/>
      <c r="D43" s="1507"/>
      <c r="E43" s="110" t="s">
        <v>485</v>
      </c>
      <c r="F43" s="2334"/>
      <c r="G43" s="2527"/>
      <c r="H43" s="1208"/>
      <c r="N43" s="66"/>
      <c r="AI43" s="25"/>
      <c r="AJ43" s="28"/>
      <c r="AK43" s="28"/>
      <c r="AL43" s="28"/>
      <c r="AM43" s="28"/>
      <c r="AN43" s="28"/>
      <c r="AO43" s="28"/>
      <c r="AP43" s="28"/>
    </row>
    <row r="44" spans="2:42" ht="15">
      <c r="B44" s="111" t="s">
        <v>501</v>
      </c>
      <c r="C44" s="842">
        <f>WaterCapitalCosts</f>
        <v>0</v>
      </c>
      <c r="D44" s="3828"/>
      <c r="E44" s="4000" t="s">
        <v>1668</v>
      </c>
      <c r="F44" s="3023"/>
      <c r="G44" s="4001">
        <v>0.03</v>
      </c>
      <c r="H44" s="342"/>
      <c r="N44" s="66"/>
      <c r="AH44" s="66"/>
      <c r="AI44" s="25"/>
      <c r="AJ44" s="28"/>
      <c r="AK44" s="28"/>
      <c r="AL44" s="28"/>
      <c r="AM44" s="28"/>
      <c r="AN44" s="28"/>
      <c r="AO44" s="28"/>
      <c r="AP44" s="28"/>
    </row>
    <row r="45" spans="2:42" ht="13.5" thickBot="1">
      <c r="B45" s="20" t="s">
        <v>226</v>
      </c>
      <c r="C45" s="431">
        <f>C44</f>
        <v>0</v>
      </c>
      <c r="D45" s="3828"/>
      <c r="E45" s="4002" t="s">
        <v>504</v>
      </c>
      <c r="F45" s="4003"/>
      <c r="G45" s="4004">
        <f>SUM(G41:G44)*CapitalCostTotal</f>
        <v>9490786.7509313133</v>
      </c>
      <c r="H45" s="1208"/>
      <c r="AH45" s="66"/>
      <c r="AI45" s="25"/>
      <c r="AJ45" s="28"/>
      <c r="AK45" s="28"/>
      <c r="AL45" s="28"/>
      <c r="AM45" s="28"/>
      <c r="AN45" s="28"/>
      <c r="AO45" s="28"/>
      <c r="AP45" s="28"/>
    </row>
    <row r="46" spans="2:42" ht="13.5" thickBot="1">
      <c r="B46" s="822" t="s">
        <v>443</v>
      </c>
      <c r="C46" s="1099">
        <f>C42+C45</f>
        <v>0</v>
      </c>
      <c r="D46" s="3280"/>
      <c r="E46" s="3992" t="s">
        <v>1675</v>
      </c>
      <c r="F46" s="3644"/>
      <c r="G46" s="3993">
        <f>SalesTaxProportion</f>
        <v>0.9</v>
      </c>
      <c r="N46" s="66"/>
      <c r="AI46" s="25"/>
      <c r="AJ46" s="28"/>
      <c r="AK46" s="28"/>
      <c r="AL46" s="28"/>
      <c r="AM46" s="28"/>
      <c r="AN46" s="28"/>
      <c r="AO46" s="28"/>
      <c r="AP46" s="28"/>
    </row>
    <row r="47" spans="2:42" ht="13.5" thickBot="1">
      <c r="B47" s="1210" t="s">
        <v>483</v>
      </c>
      <c r="C47" s="1211">
        <f>C18</f>
        <v>152803129.8256022</v>
      </c>
      <c r="D47" s="3280"/>
      <c r="E47" s="3533" t="s">
        <v>1670</v>
      </c>
      <c r="F47" s="3537"/>
      <c r="G47" s="3994">
        <f>SalesTaxRate</f>
        <v>7.9399999999999998E-2</v>
      </c>
      <c r="I47" s="341"/>
      <c r="J47" s="66"/>
      <c r="K47" s="251"/>
      <c r="L47" s="284"/>
      <c r="M47" s="278"/>
      <c r="N47" s="278"/>
    </row>
    <row r="48" spans="2:42">
      <c r="B48" s="1239" t="str">
        <f>("INPUT OVERRIDE CAPITAL COST - ")&amp;'INPUT-OUTPUT'!C42</f>
        <v>INPUT OVERRIDE CAPITAL COST - Instant</v>
      </c>
      <c r="C48" s="1100"/>
      <c r="D48" s="3905"/>
      <c r="E48" s="3995" t="s">
        <v>1674</v>
      </c>
      <c r="F48" s="3537"/>
      <c r="G48" s="3996">
        <f>CapitalCostTotal*G46*G47</f>
        <v>13042531.177337533</v>
      </c>
      <c r="I48" s="1270"/>
      <c r="L48" s="284"/>
      <c r="N48" s="66"/>
    </row>
    <row r="49" spans="2:58" ht="13.5" thickBot="1">
      <c r="B49" s="823" t="str">
        <f>("TOTAL CAPITAL COST - ")&amp;'INPUT-OUTPUT'!C42</f>
        <v>TOTAL CAPITAL COST - Instant</v>
      </c>
      <c r="C49" s="851">
        <f>IF(C48="",(C29+C34+C39+C46+C47)*(1+C5*DebtRatio),C48)</f>
        <v>182515129.8256022</v>
      </c>
      <c r="D49" s="3280"/>
      <c r="E49" s="3537" t="s">
        <v>1676</v>
      </c>
      <c r="F49" s="3644"/>
      <c r="G49" s="3997">
        <f>G45+G48</f>
        <v>22533317.928268846</v>
      </c>
      <c r="H49" s="1919"/>
      <c r="I49" s="283"/>
      <c r="K49" s="1064"/>
      <c r="L49" s="2127"/>
      <c r="M49" s="2129"/>
      <c r="N49" s="278"/>
    </row>
    <row r="50" spans="2:58">
      <c r="C50" s="3280"/>
      <c r="D50" s="875"/>
      <c r="E50" s="3995" t="s">
        <v>1677</v>
      </c>
      <c r="F50" s="3537"/>
      <c r="G50" s="3998">
        <f>G49/CapitalCostTotal</f>
        <v>0.12345999999999999</v>
      </c>
      <c r="I50" s="283"/>
      <c r="J50" s="66"/>
      <c r="K50" s="1064"/>
      <c r="L50" s="2128"/>
      <c r="M50" s="2129"/>
      <c r="N50" s="278"/>
    </row>
    <row r="51" spans="2:58">
      <c r="B51" s="2" t="str">
        <f>Perspective</f>
        <v>At Interconnection Point</v>
      </c>
      <c r="D51" s="875"/>
      <c r="E51" s="3533" t="s">
        <v>1747</v>
      </c>
      <c r="F51" s="3537"/>
      <c r="G51" s="3994">
        <f>Year0*(1+AFUDCRate)^0.5+Year1*(1+AFUDCRate)^1.5+Year2*(1+AFUDCRate)^2.5+Year3*(1+AFUDCRate)^3.5+Year4*(1+AFUDCRate)^4.5+Year5*(1+AFUDCRate)^5.5-1</f>
        <v>3.2183071664716234E-2</v>
      </c>
      <c r="I51" s="66"/>
      <c r="J51" s="66"/>
      <c r="K51" s="1064"/>
      <c r="L51" s="2128"/>
      <c r="M51" s="2129"/>
      <c r="N51" s="278"/>
    </row>
    <row r="52" spans="2:58">
      <c r="D52" s="875"/>
      <c r="E52" s="3644" t="s">
        <v>1678</v>
      </c>
      <c r="F52" s="3995"/>
      <c r="G52" s="3999">
        <f>SUM(G50:G51)</f>
        <v>0.15564307166471622</v>
      </c>
      <c r="I52" s="66"/>
      <c r="J52" s="66"/>
      <c r="K52" s="1064"/>
      <c r="L52" s="2128"/>
      <c r="M52" s="2129"/>
      <c r="N52" s="278"/>
    </row>
    <row r="53" spans="2:58">
      <c r="D53" s="1101"/>
      <c r="I53" s="66"/>
      <c r="J53" s="66"/>
      <c r="K53" s="66"/>
      <c r="L53" s="66"/>
      <c r="M53" s="2129"/>
      <c r="N53" s="278"/>
    </row>
    <row r="54" spans="2:58">
      <c r="D54" s="1077"/>
      <c r="I54" s="66"/>
      <c r="J54" s="2128"/>
      <c r="K54" s="66"/>
      <c r="L54" s="66"/>
      <c r="M54" s="284"/>
      <c r="N54" s="278"/>
    </row>
    <row r="55" spans="2:58">
      <c r="D55" s="279"/>
      <c r="I55" s="66"/>
      <c r="J55" s="66"/>
      <c r="K55" s="66"/>
      <c r="L55" s="66"/>
      <c r="M55" s="284"/>
      <c r="N55" s="278"/>
    </row>
    <row r="56" spans="2:58">
      <c r="B56" s="529"/>
      <c r="C56" s="530"/>
      <c r="D56" s="30"/>
      <c r="M56" s="66"/>
      <c r="N56" s="278"/>
    </row>
    <row r="57" spans="2:58">
      <c r="B57" s="529"/>
      <c r="C57" s="530"/>
      <c r="D57" s="28"/>
      <c r="K57" s="96"/>
      <c r="N57" s="66"/>
    </row>
    <row r="58" spans="2:58">
      <c r="D58" s="199"/>
    </row>
    <row r="59" spans="2:58" ht="13.5" thickBot="1">
      <c r="B59" s="1" t="s">
        <v>1339</v>
      </c>
      <c r="E59" s="96"/>
      <c r="F59" s="28"/>
    </row>
    <row r="60" spans="2:58" ht="26.45" customHeight="1" thickBot="1">
      <c r="B60" s="262"/>
      <c r="C60" s="418"/>
      <c r="D60" s="419"/>
      <c r="E60" s="355"/>
      <c r="F60" s="4559" t="str">
        <f>"Total Air Emission Costs - Year " &amp;StartYr&amp; " ("&amp;BaseYr&amp; "dollars)"</f>
        <v>Total Air Emission Costs - Year 2013 (2011dollars)</v>
      </c>
      <c r="G60" s="4560"/>
      <c r="H60" s="804"/>
      <c r="I60" s="383"/>
      <c r="J60" s="384"/>
    </row>
    <row r="61" spans="2:58" ht="13.5" thickBot="1">
      <c r="B61" s="422"/>
      <c r="C61" s="4543" t="s">
        <v>517</v>
      </c>
      <c r="D61" s="4544"/>
      <c r="E61" s="406"/>
      <c r="F61" s="4545" t="s">
        <v>392</v>
      </c>
      <c r="G61" s="4546"/>
      <c r="H61" s="353"/>
      <c r="I61" s="420" t="s">
        <v>478</v>
      </c>
      <c r="J61" s="421"/>
    </row>
    <row r="62" spans="2:58" ht="13.5" thickBot="1">
      <c r="B62" s="423" t="s">
        <v>1340</v>
      </c>
      <c r="C62" s="354" t="s">
        <v>193</v>
      </c>
      <c r="D62" s="399" t="s">
        <v>192</v>
      </c>
      <c r="E62" s="389"/>
      <c r="F62" s="353" t="s">
        <v>1127</v>
      </c>
      <c r="G62" s="2864" t="s">
        <v>1025</v>
      </c>
      <c r="H62" s="2867"/>
      <c r="I62" s="2865" t="s">
        <v>397</v>
      </c>
      <c r="J62" s="407" t="s">
        <v>1025</v>
      </c>
      <c r="K62" s="2330"/>
      <c r="L62" s="3584"/>
      <c r="M62" s="3584"/>
      <c r="N62" s="2330"/>
    </row>
    <row r="63" spans="2:58" s="51" customFormat="1">
      <c r="B63" s="373" t="s">
        <v>1341</v>
      </c>
      <c r="C63" s="385">
        <v>0</v>
      </c>
      <c r="D63" s="390">
        <f>LbsNOx*AnnualNetGWh*1000/2000</f>
        <v>0</v>
      </c>
      <c r="E63" s="390"/>
      <c r="F63" s="393">
        <f t="shared" ref="F63:F71" si="0">INDEX(ERCCosts,MATCH($B63,EmissionsList,0),MATCH(Region,RegionList,0))</f>
        <v>63667.778816692618</v>
      </c>
      <c r="G63" s="805">
        <f t="shared" ref="G63:G71" si="1">F63*D63</f>
        <v>0</v>
      </c>
      <c r="H63" s="400"/>
      <c r="I63" s="305">
        <f>IF(Region="South Coast",'Air &amp; Water Data'!R5,0)</f>
        <v>0</v>
      </c>
      <c r="J63" s="404">
        <f>LbsNOxCostVar*D63*2000/1000000</f>
        <v>0</v>
      </c>
      <c r="K63" s="1269"/>
      <c r="L63" s="1269"/>
      <c r="M63" s="3585"/>
      <c r="N63" s="3586"/>
      <c r="AH63" s="2"/>
      <c r="AI63" s="2"/>
      <c r="AJ63" s="2"/>
      <c r="AK63" s="2"/>
      <c r="AL63" s="2"/>
      <c r="AM63" s="2"/>
      <c r="AN63" s="2"/>
      <c r="AO63" s="2"/>
      <c r="AP63" s="2"/>
      <c r="AQ63" s="2"/>
      <c r="AR63" s="2"/>
      <c r="AS63" s="2"/>
      <c r="AT63" s="2"/>
      <c r="AU63" s="2"/>
      <c r="AV63" s="2"/>
      <c r="AW63" s="2"/>
      <c r="AX63" s="2"/>
      <c r="AY63" s="2"/>
      <c r="AZ63" s="2"/>
      <c r="BA63" s="2"/>
      <c r="BB63" s="2"/>
      <c r="BC63" s="2"/>
      <c r="BD63" s="2"/>
      <c r="BE63" s="2"/>
      <c r="BF63" s="2"/>
    </row>
    <row r="64" spans="2:58" s="65" customFormat="1">
      <c r="B64" s="373" t="s">
        <v>1342</v>
      </c>
      <c r="C64" s="385">
        <v>0</v>
      </c>
      <c r="D64" s="390">
        <f>LbsVOC*AnnualNetGWh*1000/2000</f>
        <v>0</v>
      </c>
      <c r="E64" s="390"/>
      <c r="F64" s="393">
        <f t="shared" si="0"/>
        <v>20892.545248744773</v>
      </c>
      <c r="G64" s="805">
        <f t="shared" si="1"/>
        <v>0</v>
      </c>
      <c r="H64" s="400"/>
      <c r="I64" s="305">
        <f>IF(Region="South Coast",'Air &amp; Water Data'!R6,0)</f>
        <v>0</v>
      </c>
      <c r="J64" s="405"/>
      <c r="K64" s="1269"/>
      <c r="L64" s="1269"/>
      <c r="M64" s="3585"/>
      <c r="N64" s="3586"/>
      <c r="AH64" s="2"/>
      <c r="AI64" s="2"/>
      <c r="AJ64" s="2"/>
      <c r="AK64" s="2"/>
      <c r="AL64" s="2"/>
      <c r="AM64" s="2"/>
      <c r="AN64" s="2"/>
      <c r="AO64" s="2"/>
      <c r="AP64" s="2"/>
      <c r="AQ64" s="2"/>
      <c r="AR64" s="2"/>
      <c r="AS64" s="2"/>
      <c r="AT64" s="2"/>
      <c r="AU64" s="2"/>
      <c r="AV64" s="2"/>
      <c r="AW64" s="2"/>
      <c r="AX64" s="2"/>
      <c r="AY64" s="2"/>
      <c r="AZ64" s="2"/>
      <c r="BA64" s="2"/>
      <c r="BB64" s="2"/>
      <c r="BC64" s="2"/>
      <c r="BD64" s="2"/>
      <c r="BE64" s="2"/>
      <c r="BF64" s="2"/>
    </row>
    <row r="65" spans="2:14">
      <c r="B65" s="373" t="s">
        <v>1343</v>
      </c>
      <c r="C65" s="386">
        <v>0</v>
      </c>
      <c r="D65" s="390">
        <f>LbsCO*AnnualNetGWh*1000/2000</f>
        <v>0</v>
      </c>
      <c r="E65" s="390"/>
      <c r="F65" s="393">
        <f t="shared" si="0"/>
        <v>0</v>
      </c>
      <c r="G65" s="805">
        <f t="shared" si="1"/>
        <v>0</v>
      </c>
      <c r="H65" s="400"/>
      <c r="I65" s="305">
        <f>IF(Region="South Coast",'Air &amp; Water Data'!R7,0)</f>
        <v>0</v>
      </c>
      <c r="J65" s="405"/>
      <c r="K65" s="1269"/>
      <c r="L65" s="1269"/>
      <c r="M65" s="3585"/>
      <c r="N65" s="3586"/>
    </row>
    <row r="66" spans="2:14">
      <c r="B66" s="1431" t="s">
        <v>1344</v>
      </c>
      <c r="C66" s="3131">
        <v>0</v>
      </c>
      <c r="D66" s="1337">
        <f>LbsCO2*AnnualNetGWh*1000/2000</f>
        <v>0</v>
      </c>
      <c r="E66" s="390"/>
      <c r="F66" s="1329">
        <f t="shared" si="0"/>
        <v>0</v>
      </c>
      <c r="G66" s="805">
        <f t="shared" si="1"/>
        <v>0</v>
      </c>
      <c r="H66" s="400"/>
      <c r="I66" s="305">
        <f>IF(Region="South Coast",'Air &amp; Water Data'!R8,0)</f>
        <v>0</v>
      </c>
      <c r="J66" s="405"/>
      <c r="K66" s="3587"/>
      <c r="L66" s="1269"/>
      <c r="M66" s="3585"/>
      <c r="N66" s="3586"/>
    </row>
    <row r="67" spans="2:14">
      <c r="B67" s="424" t="s">
        <v>294</v>
      </c>
      <c r="C67" s="387"/>
      <c r="D67" s="390">
        <f>LbsH2S*AnnualNetGWh*1000/2000</f>
        <v>0</v>
      </c>
      <c r="E67" s="390"/>
      <c r="F67" s="393">
        <f t="shared" si="0"/>
        <v>0</v>
      </c>
      <c r="G67" s="805">
        <f t="shared" si="1"/>
        <v>0</v>
      </c>
      <c r="H67" s="400"/>
      <c r="I67" s="305">
        <f>IF(Region="South Coast",'Air &amp; Water Data'!R9,0)</f>
        <v>0</v>
      </c>
      <c r="J67" s="405"/>
      <c r="K67" s="1269"/>
      <c r="L67" s="1269"/>
      <c r="M67" s="3585"/>
      <c r="N67" s="3586"/>
    </row>
    <row r="68" spans="2:14">
      <c r="B68" s="424" t="s">
        <v>295</v>
      </c>
      <c r="C68" s="387"/>
      <c r="D68" s="391"/>
      <c r="E68" s="391"/>
      <c r="F68" s="393">
        <f t="shared" si="0"/>
        <v>0</v>
      </c>
      <c r="G68" s="805">
        <f t="shared" si="1"/>
        <v>0</v>
      </c>
      <c r="H68" s="400"/>
      <c r="I68" s="305">
        <f>IF(Region="South Coast",'Air &amp; Water Data'!R10,0)</f>
        <v>0</v>
      </c>
      <c r="J68" s="405"/>
      <c r="K68" s="1269"/>
      <c r="L68" s="1269"/>
      <c r="M68" s="3585"/>
      <c r="N68" s="72"/>
    </row>
    <row r="69" spans="2:14">
      <c r="B69" s="424" t="s">
        <v>296</v>
      </c>
      <c r="C69" s="387"/>
      <c r="D69" s="391"/>
      <c r="E69" s="391"/>
      <c r="F69" s="393">
        <f t="shared" si="0"/>
        <v>0</v>
      </c>
      <c r="G69" s="805">
        <f t="shared" si="1"/>
        <v>0</v>
      </c>
      <c r="H69" s="400"/>
      <c r="I69" s="305">
        <f>IF(Region="South Coast",'Air &amp; Water Data'!R11,0)</f>
        <v>0</v>
      </c>
      <c r="J69" s="405"/>
      <c r="K69" s="1269"/>
      <c r="L69" s="1269"/>
      <c r="M69" s="3585"/>
      <c r="N69" s="3588"/>
    </row>
    <row r="70" spans="2:14">
      <c r="B70" s="424" t="s">
        <v>387</v>
      </c>
      <c r="C70" s="388">
        <v>0</v>
      </c>
      <c r="D70" s="390">
        <f>LbsSOx*AnnualNetGWh*1000/2000</f>
        <v>0</v>
      </c>
      <c r="E70" s="390"/>
      <c r="F70" s="393">
        <f t="shared" si="0"/>
        <v>16326.415973391768</v>
      </c>
      <c r="G70" s="805">
        <f t="shared" si="1"/>
        <v>0</v>
      </c>
      <c r="H70" s="400"/>
      <c r="I70" s="305">
        <f>IF(Region="South Coast",'Air &amp; Water Data'!R12,0)</f>
        <v>0</v>
      </c>
      <c r="J70" s="404">
        <f>LbsNOxCostVar*D70*2000/1000000</f>
        <v>0</v>
      </c>
      <c r="K70" s="1269"/>
      <c r="L70" s="1269"/>
      <c r="M70" s="3585"/>
      <c r="N70" s="72"/>
    </row>
    <row r="71" spans="2:14">
      <c r="B71" s="377" t="s">
        <v>375</v>
      </c>
      <c r="C71" s="402">
        <v>0</v>
      </c>
      <c r="D71" s="392">
        <f>LbsPM10*AnnualNetGWh*1000/2000</f>
        <v>0</v>
      </c>
      <c r="E71" s="392"/>
      <c r="F71" s="403">
        <f t="shared" si="0"/>
        <v>122886.82289432328</v>
      </c>
      <c r="G71" s="806">
        <f t="shared" si="1"/>
        <v>0</v>
      </c>
      <c r="H71" s="2869"/>
      <c r="I71" s="2866">
        <f>IF(Region="South Coast",'Air &amp; Water Data'!R13,0)</f>
        <v>0</v>
      </c>
      <c r="J71" s="377"/>
      <c r="K71" s="1269"/>
      <c r="L71" s="1269"/>
      <c r="M71" s="3585"/>
      <c r="N71" s="3588"/>
    </row>
    <row r="72" spans="2:14" ht="13.5" thickBot="1">
      <c r="B72" s="425" t="s">
        <v>344</v>
      </c>
      <c r="C72" s="36"/>
      <c r="D72" s="29"/>
      <c r="E72" s="379"/>
      <c r="F72" s="351"/>
      <c r="G72" s="807">
        <f>SUM(G63:G71)</f>
        <v>0</v>
      </c>
      <c r="H72" s="2868"/>
      <c r="I72" s="523"/>
      <c r="J72" s="401">
        <f>SUM(J63:J71)</f>
        <v>0</v>
      </c>
      <c r="K72" s="2330"/>
      <c r="L72" s="2330"/>
      <c r="M72" s="2330"/>
      <c r="N72" s="1208"/>
    </row>
    <row r="73" spans="2:14">
      <c r="B73" s="71"/>
      <c r="C73" s="28"/>
      <c r="D73" s="28"/>
      <c r="E73" s="28"/>
      <c r="F73" s="28"/>
      <c r="G73" s="306" t="s">
        <v>347</v>
      </c>
      <c r="H73" s="808"/>
      <c r="I73" s="28"/>
      <c r="J73" s="307" t="s">
        <v>1269</v>
      </c>
      <c r="N73" s="47"/>
    </row>
    <row r="74" spans="2:14">
      <c r="B74" s="16" t="s">
        <v>1345</v>
      </c>
      <c r="C74" s="28"/>
      <c r="D74" s="28"/>
      <c r="E74" s="28"/>
      <c r="F74" s="28"/>
      <c r="G74" s="72"/>
      <c r="H74" s="809"/>
      <c r="I74" s="28"/>
      <c r="J74" s="27"/>
      <c r="N74" s="58"/>
    </row>
    <row r="75" spans="2:14">
      <c r="B75" s="12" t="s">
        <v>194</v>
      </c>
      <c r="C75" s="56"/>
      <c r="D75" s="28"/>
      <c r="E75" s="28"/>
      <c r="F75" s="28"/>
      <c r="G75" s="72"/>
      <c r="H75" s="809"/>
      <c r="I75" s="28"/>
      <c r="J75" s="27"/>
      <c r="N75" s="58"/>
    </row>
    <row r="76" spans="2:14">
      <c r="B76" s="12" t="s">
        <v>1347</v>
      </c>
      <c r="C76" s="56"/>
      <c r="D76" s="28"/>
      <c r="E76" s="28"/>
      <c r="F76" s="28"/>
      <c r="G76" s="72"/>
      <c r="H76" s="809"/>
      <c r="I76" s="28"/>
      <c r="J76" s="27"/>
      <c r="N76" s="38"/>
    </row>
    <row r="77" spans="2:14">
      <c r="B77" s="12" t="s">
        <v>195</v>
      </c>
      <c r="C77" s="56"/>
      <c r="D77" s="28"/>
      <c r="E77" s="28"/>
      <c r="F77" s="28"/>
      <c r="G77" s="73"/>
      <c r="H77" s="810"/>
      <c r="I77" s="28"/>
      <c r="J77" s="27"/>
      <c r="N77" s="38"/>
    </row>
    <row r="78" spans="2:14">
      <c r="B78" s="16" t="s">
        <v>1348</v>
      </c>
      <c r="C78" s="28"/>
      <c r="D78" s="28"/>
      <c r="E78" s="28"/>
      <c r="F78" s="28"/>
      <c r="G78" s="28"/>
      <c r="H78" s="30"/>
      <c r="I78" s="28"/>
      <c r="J78" s="27"/>
      <c r="N78" s="38"/>
    </row>
    <row r="79" spans="2:14">
      <c r="B79" s="12" t="s">
        <v>205</v>
      </c>
      <c r="C79" s="28">
        <f>'O&amp;M Costs'!K30</f>
        <v>0</v>
      </c>
      <c r="D79" s="28"/>
      <c r="E79" s="28"/>
      <c r="F79" s="28"/>
      <c r="G79" s="28"/>
      <c r="H79" s="30"/>
      <c r="I79" s="28"/>
      <c r="J79" s="27"/>
      <c r="N79" s="38"/>
    </row>
    <row r="80" spans="2:14" ht="13.5" thickBot="1">
      <c r="B80" s="36" t="s">
        <v>206</v>
      </c>
      <c r="C80" s="43">
        <f>'O&amp;M Costs'!K35</f>
        <v>0</v>
      </c>
      <c r="D80" s="43"/>
      <c r="E80" s="43"/>
      <c r="F80" s="43"/>
      <c r="G80" s="43"/>
      <c r="H80" s="523"/>
      <c r="I80" s="43"/>
      <c r="J80" s="29"/>
    </row>
    <row r="81" spans="2:13">
      <c r="L81" s="150"/>
      <c r="M81" s="150"/>
    </row>
    <row r="82" spans="2:13" s="150" customFormat="1">
      <c r="B82" s="2"/>
      <c r="C82" s="2"/>
      <c r="D82" s="2"/>
      <c r="E82" s="2"/>
      <c r="F82" s="2"/>
      <c r="G82" s="2"/>
      <c r="H82" s="66"/>
      <c r="I82" s="2"/>
      <c r="J82" s="2"/>
      <c r="K82" s="2"/>
    </row>
    <row r="83" spans="2:13" s="150" customFormat="1">
      <c r="B83" s="2"/>
      <c r="C83" s="2"/>
      <c r="D83" s="2"/>
      <c r="E83" s="2"/>
      <c r="F83" s="2"/>
      <c r="G83" s="2"/>
      <c r="H83" s="66"/>
      <c r="I83" s="2"/>
      <c r="J83" s="2"/>
      <c r="K83" s="2"/>
    </row>
    <row r="84" spans="2:13" s="150" customFormat="1">
      <c r="B84" s="2"/>
      <c r="C84" s="2"/>
      <c r="D84" s="2"/>
      <c r="E84" s="2"/>
      <c r="F84" s="2"/>
      <c r="G84" s="2"/>
      <c r="H84" s="66"/>
      <c r="I84" s="2"/>
      <c r="K84" s="2"/>
    </row>
    <row r="85" spans="2:13" s="150" customFormat="1">
      <c r="B85" s="2"/>
      <c r="C85" s="2"/>
      <c r="D85" s="2"/>
      <c r="E85" s="2"/>
      <c r="F85" s="2"/>
      <c r="G85" s="2"/>
      <c r="H85" s="66"/>
      <c r="I85" s="2"/>
    </row>
    <row r="86" spans="2:13" s="150" customFormat="1">
      <c r="B86" s="1" t="s">
        <v>284</v>
      </c>
      <c r="C86" s="2"/>
      <c r="D86" s="2"/>
      <c r="E86" s="2"/>
      <c r="F86" s="2"/>
      <c r="G86" s="844"/>
      <c r="H86" s="66"/>
      <c r="I86" s="2"/>
    </row>
    <row r="87" spans="2:13" s="150" customFormat="1">
      <c r="B87" s="2"/>
      <c r="C87" s="2"/>
      <c r="D87" s="2"/>
      <c r="E87" s="2"/>
      <c r="F87" s="2"/>
      <c r="G87" s="2"/>
      <c r="H87" s="151"/>
      <c r="I87" s="2"/>
    </row>
    <row r="88" spans="2:13" s="150" customFormat="1">
      <c r="B88" s="159" t="s">
        <v>283</v>
      </c>
      <c r="H88" s="151"/>
    </row>
    <row r="89" spans="2:13" s="150" customFormat="1">
      <c r="B89" s="153" t="s">
        <v>165</v>
      </c>
      <c r="H89" s="151"/>
    </row>
    <row r="90" spans="2:13" s="150" customFormat="1">
      <c r="B90" s="153" t="s">
        <v>286</v>
      </c>
      <c r="H90" s="151"/>
      <c r="L90" s="2"/>
      <c r="M90" s="2"/>
    </row>
    <row r="91" spans="2:13">
      <c r="B91" s="153" t="s">
        <v>133</v>
      </c>
      <c r="E91" s="150"/>
      <c r="F91" s="150"/>
      <c r="G91" s="150"/>
      <c r="H91" s="151"/>
      <c r="I91" s="150"/>
      <c r="J91" s="150"/>
      <c r="K91" s="150"/>
    </row>
    <row r="92" spans="2:13">
      <c r="B92" s="153" t="s">
        <v>132</v>
      </c>
      <c r="E92" s="150"/>
      <c r="F92" s="150"/>
      <c r="G92" s="150"/>
      <c r="H92" s="151"/>
      <c r="I92" s="150"/>
      <c r="J92" s="150"/>
      <c r="K92" s="150"/>
    </row>
    <row r="93" spans="2:13">
      <c r="B93" s="153" t="s">
        <v>131</v>
      </c>
      <c r="E93" s="150"/>
      <c r="F93" s="150"/>
      <c r="G93" s="150"/>
      <c r="H93" s="151"/>
      <c r="I93" s="150"/>
      <c r="K93" s="150"/>
    </row>
    <row r="94" spans="2:13">
      <c r="B94" s="153" t="s">
        <v>287</v>
      </c>
      <c r="E94" s="150"/>
      <c r="F94" s="150"/>
      <c r="G94" s="150"/>
      <c r="H94" s="151"/>
      <c r="I94" s="150"/>
    </row>
    <row r="95" spans="2:13">
      <c r="B95" s="153" t="s">
        <v>288</v>
      </c>
      <c r="E95" s="150"/>
      <c r="F95" s="150"/>
      <c r="G95" s="150"/>
      <c r="H95" s="151"/>
      <c r="I95" s="150"/>
    </row>
    <row r="96" spans="2:13">
      <c r="B96" s="156" t="s">
        <v>291</v>
      </c>
      <c r="E96" s="150"/>
      <c r="F96" s="150"/>
      <c r="G96" s="150"/>
      <c r="I96" s="150"/>
    </row>
    <row r="109" spans="2:3">
      <c r="B109" s="1" t="s">
        <v>306</v>
      </c>
    </row>
    <row r="110" spans="2:3">
      <c r="B110" s="57" t="s">
        <v>1279</v>
      </c>
      <c r="C110" s="57" t="s">
        <v>91</v>
      </c>
    </row>
    <row r="111" spans="2:3">
      <c r="B111" s="57" t="s">
        <v>1281</v>
      </c>
      <c r="C111" s="57" t="s">
        <v>1286</v>
      </c>
    </row>
    <row r="112" spans="2:3">
      <c r="B112" s="57" t="s">
        <v>1278</v>
      </c>
      <c r="C112" s="57" t="s">
        <v>87</v>
      </c>
    </row>
    <row r="113" spans="2:3">
      <c r="B113" s="57" t="s">
        <v>1270</v>
      </c>
      <c r="C113" s="57" t="s">
        <v>1285</v>
      </c>
    </row>
    <row r="114" spans="2:3">
      <c r="B114" s="57" t="s">
        <v>1280</v>
      </c>
      <c r="C114" s="57" t="s">
        <v>90</v>
      </c>
    </row>
    <row r="115" spans="2:3">
      <c r="B115" s="57" t="s">
        <v>98</v>
      </c>
      <c r="C115" s="57" t="s">
        <v>99</v>
      </c>
    </row>
    <row r="116" spans="2:3">
      <c r="B116" s="57" t="s">
        <v>94</v>
      </c>
      <c r="C116" s="57" t="s">
        <v>95</v>
      </c>
    </row>
    <row r="117" spans="2:3">
      <c r="B117" s="57" t="s">
        <v>1299</v>
      </c>
      <c r="C117" s="57"/>
    </row>
    <row r="118" spans="2:3">
      <c r="B118" s="57" t="s">
        <v>92</v>
      </c>
      <c r="C118" s="57" t="s">
        <v>93</v>
      </c>
    </row>
    <row r="119" spans="2:3">
      <c r="B119" s="57" t="s">
        <v>96</v>
      </c>
      <c r="C119" s="57" t="s">
        <v>97</v>
      </c>
    </row>
    <row r="120" spans="2:3">
      <c r="B120" s="57"/>
      <c r="C120" s="57"/>
    </row>
    <row r="121" spans="2:3">
      <c r="B121" s="57"/>
      <c r="C121" s="57"/>
    </row>
    <row r="122" spans="2:3">
      <c r="B122" s="57" t="s">
        <v>1298</v>
      </c>
      <c r="C122" s="57" t="s">
        <v>162</v>
      </c>
    </row>
    <row r="123" spans="2:3">
      <c r="B123" s="57"/>
      <c r="C123" s="57"/>
    </row>
    <row r="124" spans="2:3">
      <c r="B124" s="57" t="s">
        <v>1277</v>
      </c>
      <c r="C124" s="57" t="s">
        <v>114</v>
      </c>
    </row>
    <row r="125" spans="2:3">
      <c r="B125" s="57"/>
      <c r="C125" s="57"/>
    </row>
    <row r="126" spans="2:3">
      <c r="B126" s="57" t="s">
        <v>116</v>
      </c>
      <c r="C126" s="57" t="s">
        <v>117</v>
      </c>
    </row>
    <row r="127" spans="2:3">
      <c r="B127" s="57" t="s">
        <v>115</v>
      </c>
      <c r="C127" s="57" t="s">
        <v>118</v>
      </c>
    </row>
    <row r="128" spans="2:3">
      <c r="B128" s="57" t="s">
        <v>1287</v>
      </c>
      <c r="C128" s="57" t="s">
        <v>152</v>
      </c>
    </row>
    <row r="129" spans="2:6">
      <c r="B129" s="57"/>
      <c r="C129" s="57"/>
    </row>
    <row r="130" spans="2:6">
      <c r="B130" s="67" t="s">
        <v>129</v>
      </c>
      <c r="C130" s="67" t="s">
        <v>141</v>
      </c>
      <c r="F130" s="39"/>
    </row>
    <row r="131" spans="2:6">
      <c r="B131" s="67" t="s">
        <v>151</v>
      </c>
      <c r="C131" s="67"/>
      <c r="F131" s="30"/>
    </row>
    <row r="132" spans="2:6">
      <c r="B132" s="67" t="s">
        <v>136</v>
      </c>
      <c r="C132" s="67" t="s">
        <v>137</v>
      </c>
      <c r="F132" s="30"/>
    </row>
    <row r="133" spans="2:6">
      <c r="B133" s="67" t="s">
        <v>155</v>
      </c>
      <c r="C133" s="67" t="s">
        <v>156</v>
      </c>
      <c r="F133" s="30"/>
    </row>
    <row r="134" spans="2:6">
      <c r="B134" s="67" t="s">
        <v>138</v>
      </c>
      <c r="C134" s="67" t="s">
        <v>142</v>
      </c>
      <c r="F134" s="30"/>
    </row>
    <row r="135" spans="2:6">
      <c r="B135" s="67" t="s">
        <v>139</v>
      </c>
      <c r="C135" s="67" t="s">
        <v>140</v>
      </c>
      <c r="F135" s="30"/>
    </row>
    <row r="136" spans="2:6">
      <c r="B136" s="67" t="s">
        <v>149</v>
      </c>
      <c r="C136" s="67" t="s">
        <v>150</v>
      </c>
      <c r="F136" s="30"/>
    </row>
    <row r="137" spans="2:6">
      <c r="B137" s="57"/>
      <c r="C137" s="57"/>
    </row>
    <row r="138" spans="2:6">
      <c r="B138" s="21" t="s">
        <v>153</v>
      </c>
      <c r="C138" s="2" t="s">
        <v>320</v>
      </c>
    </row>
    <row r="139" spans="2:6">
      <c r="B139" s="21" t="s">
        <v>154</v>
      </c>
      <c r="C139" s="2" t="s">
        <v>320</v>
      </c>
    </row>
    <row r="140" spans="2:6">
      <c r="B140" s="57"/>
      <c r="C140" s="57"/>
    </row>
    <row r="141" spans="2:6">
      <c r="B141" s="68" t="s">
        <v>322</v>
      </c>
      <c r="C141" s="2" t="s">
        <v>1409</v>
      </c>
    </row>
    <row r="142" spans="2:6">
      <c r="B142" s="68" t="s">
        <v>323</v>
      </c>
      <c r="C142" s="2" t="s">
        <v>1410</v>
      </c>
    </row>
    <row r="143" spans="2:6">
      <c r="B143" s="68"/>
    </row>
    <row r="145" spans="2:8" ht="13.5" thickBot="1">
      <c r="B145" s="57"/>
      <c r="C145" s="57"/>
      <c r="H145" s="30"/>
    </row>
    <row r="146" spans="2:8">
      <c r="B146" s="61" t="s">
        <v>1292</v>
      </c>
      <c r="C146" s="44" t="s">
        <v>336</v>
      </c>
      <c r="D146" s="44"/>
      <c r="E146" s="44"/>
      <c r="F146" s="44"/>
      <c r="G146" s="42"/>
      <c r="H146" s="30"/>
    </row>
    <row r="147" spans="2:8">
      <c r="B147" s="12"/>
      <c r="C147" s="69"/>
      <c r="D147" s="28"/>
      <c r="E147" s="28"/>
      <c r="F147" s="28"/>
      <c r="G147" s="27"/>
      <c r="H147" s="30"/>
    </row>
    <row r="148" spans="2:8">
      <c r="B148" s="12"/>
      <c r="C148" s="28"/>
      <c r="D148" s="28"/>
      <c r="E148" s="28"/>
      <c r="F148" s="28"/>
      <c r="G148" s="27"/>
      <c r="H148" s="30"/>
    </row>
    <row r="149" spans="2:8">
      <c r="B149" s="12"/>
      <c r="C149" s="28"/>
      <c r="D149" s="28"/>
      <c r="E149" s="28"/>
      <c r="F149" s="28"/>
      <c r="G149" s="27"/>
      <c r="H149" s="30"/>
    </row>
    <row r="150" spans="2:8">
      <c r="B150" s="12"/>
      <c r="C150" s="28"/>
      <c r="D150" s="28"/>
      <c r="E150" s="28"/>
      <c r="F150" s="28"/>
      <c r="G150" s="27"/>
      <c r="H150" s="30"/>
    </row>
    <row r="151" spans="2:8">
      <c r="B151" s="12"/>
      <c r="C151" s="28"/>
      <c r="D151" s="28"/>
      <c r="E151" s="28"/>
      <c r="F151" s="28"/>
      <c r="G151" s="27"/>
      <c r="H151" s="30"/>
    </row>
    <row r="152" spans="2:8">
      <c r="B152" s="12"/>
      <c r="C152" s="28"/>
      <c r="D152" s="28"/>
      <c r="E152" s="28"/>
      <c r="F152" s="28"/>
      <c r="G152" s="27"/>
      <c r="H152" s="30"/>
    </row>
    <row r="153" spans="2:8">
      <c r="B153" s="12" t="s">
        <v>325</v>
      </c>
      <c r="C153" s="28"/>
      <c r="D153" s="28"/>
      <c r="E153" s="39"/>
      <c r="F153" s="28"/>
      <c r="G153" s="27"/>
      <c r="H153" s="30"/>
    </row>
    <row r="154" spans="2:8">
      <c r="B154" s="12" t="s">
        <v>326</v>
      </c>
      <c r="C154" s="28"/>
      <c r="D154" s="28"/>
      <c r="E154" s="30"/>
      <c r="F154" s="28"/>
      <c r="G154" s="27"/>
      <c r="H154" s="30"/>
    </row>
    <row r="155" spans="2:8">
      <c r="B155" s="12" t="s">
        <v>327</v>
      </c>
      <c r="C155" s="28"/>
      <c r="D155" s="28"/>
      <c r="E155" s="30"/>
      <c r="F155" s="28"/>
      <c r="G155" s="27"/>
      <c r="H155" s="30"/>
    </row>
    <row r="156" spans="2:8">
      <c r="B156" s="12"/>
      <c r="C156" s="28"/>
      <c r="D156" s="28"/>
      <c r="E156" s="30"/>
      <c r="F156" s="28"/>
      <c r="G156" s="27"/>
      <c r="H156" s="30"/>
    </row>
    <row r="157" spans="2:8">
      <c r="B157" s="62" t="s">
        <v>1324</v>
      </c>
      <c r="C157" s="28"/>
      <c r="D157" s="28"/>
      <c r="E157" s="30"/>
      <c r="F157" s="28"/>
      <c r="G157" s="27"/>
      <c r="H157" s="30"/>
    </row>
    <row r="158" spans="2:8">
      <c r="B158" s="12" t="s">
        <v>328</v>
      </c>
      <c r="C158" s="28" t="s">
        <v>369</v>
      </c>
      <c r="D158" s="28"/>
      <c r="E158" s="30"/>
      <c r="F158" s="28"/>
      <c r="G158" s="27"/>
      <c r="H158" s="30"/>
    </row>
    <row r="159" spans="2:8">
      <c r="B159" s="12" t="s">
        <v>329</v>
      </c>
      <c r="C159" s="28" t="s">
        <v>370</v>
      </c>
      <c r="D159" s="28"/>
      <c r="E159" s="30"/>
      <c r="F159" s="28"/>
      <c r="G159" s="27"/>
      <c r="H159" s="30"/>
    </row>
    <row r="160" spans="2:8">
      <c r="B160" s="12" t="s">
        <v>330</v>
      </c>
      <c r="C160" s="28"/>
      <c r="D160" s="28"/>
      <c r="E160" s="28"/>
      <c r="F160" s="28"/>
      <c r="G160" s="27"/>
      <c r="H160" s="30"/>
    </row>
    <row r="161" spans="2:8">
      <c r="B161" s="12" t="s">
        <v>331</v>
      </c>
      <c r="C161" s="28"/>
      <c r="D161" s="28"/>
      <c r="E161" s="28"/>
      <c r="F161" s="28"/>
      <c r="G161" s="27"/>
      <c r="H161" s="30"/>
    </row>
    <row r="162" spans="2:8">
      <c r="B162" s="12" t="s">
        <v>1325</v>
      </c>
      <c r="C162" s="28"/>
      <c r="D162" s="28"/>
      <c r="E162" s="28"/>
      <c r="F162" s="28"/>
      <c r="G162" s="27"/>
      <c r="H162" s="30"/>
    </row>
    <row r="163" spans="2:8">
      <c r="B163" s="12" t="s">
        <v>1326</v>
      </c>
      <c r="C163" s="28"/>
      <c r="D163" s="28"/>
      <c r="E163" s="28"/>
      <c r="F163" s="28"/>
      <c r="G163" s="27"/>
      <c r="H163" s="30"/>
    </row>
    <row r="164" spans="2:8">
      <c r="B164" s="12"/>
      <c r="C164" s="28"/>
      <c r="D164" s="28"/>
      <c r="E164" s="28"/>
      <c r="F164" s="28"/>
      <c r="G164" s="27"/>
      <c r="H164" s="30"/>
    </row>
    <row r="165" spans="2:8">
      <c r="B165" s="62" t="s">
        <v>1327</v>
      </c>
      <c r="C165" s="28"/>
      <c r="D165" s="28"/>
      <c r="E165" s="28"/>
      <c r="F165" s="28"/>
      <c r="G165" s="27"/>
      <c r="H165" s="30"/>
    </row>
    <row r="166" spans="2:8">
      <c r="B166" s="12" t="s">
        <v>332</v>
      </c>
      <c r="C166" s="28"/>
      <c r="D166" s="28"/>
      <c r="E166" s="28"/>
      <c r="F166" s="28"/>
      <c r="G166" s="27"/>
      <c r="H166" s="30"/>
    </row>
    <row r="167" spans="2:8">
      <c r="B167" s="12" t="s">
        <v>1328</v>
      </c>
      <c r="C167" s="28"/>
      <c r="D167" s="28"/>
      <c r="E167" s="28"/>
      <c r="F167" s="28"/>
      <c r="G167" s="27"/>
      <c r="H167" s="30"/>
    </row>
    <row r="168" spans="2:8">
      <c r="B168" s="12"/>
      <c r="C168" s="28"/>
      <c r="D168" s="28"/>
      <c r="E168" s="28"/>
      <c r="F168" s="28"/>
      <c r="G168" s="27"/>
      <c r="H168" s="30"/>
    </row>
    <row r="169" spans="2:8">
      <c r="B169" s="62" t="s">
        <v>1329</v>
      </c>
      <c r="C169" s="28"/>
      <c r="D169" s="28"/>
      <c r="E169" s="28"/>
      <c r="F169" s="28"/>
      <c r="G169" s="27"/>
      <c r="H169" s="30"/>
    </row>
    <row r="170" spans="2:8">
      <c r="B170" s="12" t="s">
        <v>1330</v>
      </c>
      <c r="C170" s="28"/>
      <c r="D170" s="28"/>
      <c r="E170" s="28"/>
      <c r="F170" s="28"/>
      <c r="G170" s="27"/>
      <c r="H170" s="30"/>
    </row>
    <row r="171" spans="2:8">
      <c r="B171" s="12" t="s">
        <v>1338</v>
      </c>
      <c r="C171" s="28"/>
      <c r="D171" s="28"/>
      <c r="E171" s="28"/>
      <c r="F171" s="28"/>
      <c r="G171" s="27"/>
      <c r="H171" s="30"/>
    </row>
    <row r="172" spans="2:8">
      <c r="B172" s="12" t="s">
        <v>319</v>
      </c>
      <c r="C172" s="28"/>
      <c r="D172" s="28"/>
      <c r="E172" s="28"/>
      <c r="F172" s="28"/>
      <c r="G172" s="27"/>
      <c r="H172" s="30"/>
    </row>
    <row r="173" spans="2:8">
      <c r="B173" s="12"/>
      <c r="C173" s="28"/>
      <c r="D173" s="28"/>
      <c r="E173" s="28"/>
      <c r="F173" s="28"/>
      <c r="G173" s="27"/>
      <c r="H173" s="30"/>
    </row>
    <row r="174" spans="2:8">
      <c r="B174" s="62" t="s">
        <v>333</v>
      </c>
      <c r="C174" s="28"/>
      <c r="D174" s="28"/>
      <c r="E174" s="28"/>
      <c r="F174" s="28"/>
      <c r="G174" s="27"/>
      <c r="H174" s="30"/>
    </row>
    <row r="175" spans="2:8">
      <c r="B175" s="12" t="s">
        <v>334</v>
      </c>
      <c r="C175" s="28"/>
      <c r="D175" s="28"/>
      <c r="E175" s="28"/>
      <c r="F175" s="28"/>
      <c r="G175" s="27"/>
      <c r="H175" s="30"/>
    </row>
    <row r="176" spans="2:8" ht="13.5" thickBot="1">
      <c r="B176" s="36" t="s">
        <v>335</v>
      </c>
      <c r="C176" s="43"/>
      <c r="D176" s="43"/>
      <c r="E176" s="43"/>
      <c r="F176" s="43"/>
      <c r="G176" s="29"/>
    </row>
    <row r="177" spans="3:4">
      <c r="C177" s="57"/>
      <c r="D177" s="57"/>
    </row>
    <row r="178" spans="3:4">
      <c r="C178" s="57"/>
      <c r="D178" s="57"/>
    </row>
    <row r="179" spans="3:4">
      <c r="C179" s="57"/>
      <c r="D179" s="57"/>
    </row>
    <row r="180" spans="3:4">
      <c r="C180" s="57"/>
      <c r="D180" s="57"/>
    </row>
    <row r="181" spans="3:4">
      <c r="C181" s="57"/>
      <c r="D181" s="57"/>
    </row>
    <row r="182" spans="3:4">
      <c r="C182" s="57"/>
      <c r="D182" s="57"/>
    </row>
    <row r="183" spans="3:4">
      <c r="C183" s="57"/>
      <c r="D183" s="57"/>
    </row>
  </sheetData>
  <mergeCells count="7">
    <mergeCell ref="C61:D61"/>
    <mergeCell ref="F61:G61"/>
    <mergeCell ref="E19:G19"/>
    <mergeCell ref="G7:G10"/>
    <mergeCell ref="F7:F10"/>
    <mergeCell ref="E7:E10"/>
    <mergeCell ref="F60:G60"/>
  </mergeCells>
  <phoneticPr fontId="77" type="noConversion"/>
  <pageMargins left="0.75" right="0.75" top="1" bottom="1" header="0.5" footer="0.5"/>
  <pageSetup scale="54" fitToWidth="2" orientation="landscape" horizontalDpi="300" verticalDpi="300" r:id="rId1"/>
  <headerFooter alignWithMargins="0">
    <oddHeader>&amp;C&amp;"Arial,Bold"&amp;12Cost of Generation Detailed Inputs</oddHeader>
    <oddFooter>&amp;LCalifornia Energy Commission&amp;C&amp;F &amp;A&amp;R&amp;D &amp;T</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rgb="FF0070C0"/>
  </sheetPr>
  <dimension ref="A1:Y211"/>
  <sheetViews>
    <sheetView showGridLines="0" zoomScaleNormal="100" workbookViewId="0">
      <selection activeCell="B43" sqref="B43"/>
    </sheetView>
  </sheetViews>
  <sheetFormatPr defaultRowHeight="12.75"/>
  <cols>
    <col min="2" max="2" width="51.85546875" customWidth="1"/>
    <col min="3" max="3" width="15.42578125" customWidth="1"/>
    <col min="5" max="5" width="10" customWidth="1"/>
    <col min="7" max="7" width="50.42578125" style="2" customWidth="1"/>
    <col min="8" max="8" width="20.140625" style="2" customWidth="1"/>
    <col min="9" max="9" width="7" style="2" customWidth="1"/>
    <col min="10" max="10" width="54.5703125" style="2" customWidth="1"/>
    <col min="11" max="11" width="14" style="2" customWidth="1"/>
    <col min="12" max="12" width="14.5703125" style="2" customWidth="1"/>
    <col min="13" max="13" width="10.5703125" style="2" bestFit="1" customWidth="1"/>
    <col min="14" max="14" width="14.7109375" style="2" customWidth="1"/>
    <col min="15" max="15" width="11.5703125" style="2" bestFit="1" customWidth="1"/>
    <col min="16" max="16" width="50.7109375" style="2" bestFit="1" customWidth="1"/>
    <col min="17" max="17" width="10.7109375" style="2" bestFit="1" customWidth="1"/>
    <col min="18" max="18" width="10.42578125" style="2" customWidth="1"/>
    <col min="19" max="19" width="10" style="2" bestFit="1" customWidth="1"/>
    <col min="20" max="20" width="11.42578125" style="2" customWidth="1"/>
    <col min="21" max="21" width="18.42578125" style="2" customWidth="1"/>
    <col min="22" max="22" width="11.42578125" style="2" customWidth="1"/>
    <col min="23" max="25" width="9.140625" style="2"/>
  </cols>
  <sheetData>
    <row r="1" spans="1:25">
      <c r="A1" s="2"/>
      <c r="B1" s="2"/>
      <c r="C1" s="2"/>
      <c r="D1" s="2"/>
      <c r="E1" s="2"/>
    </row>
    <row r="2" spans="1:25">
      <c r="A2" s="2"/>
      <c r="B2" s="2"/>
      <c r="C2" s="2"/>
      <c r="D2" s="2"/>
      <c r="E2" s="2"/>
    </row>
    <row r="3" spans="1:25" ht="13.5" thickBot="1">
      <c r="A3" s="2"/>
      <c r="B3" s="2"/>
      <c r="C3" s="2"/>
      <c r="D3" s="2"/>
      <c r="E3" s="2"/>
      <c r="O3" s="28"/>
      <c r="T3" s="31"/>
    </row>
    <row r="4" spans="1:25" ht="13.5" thickBot="1">
      <c r="A4" s="2"/>
      <c r="B4" s="4565" t="s">
        <v>616</v>
      </c>
      <c r="C4" s="4566"/>
      <c r="D4" s="4566"/>
      <c r="E4" s="4567"/>
      <c r="G4" s="260" t="s">
        <v>299</v>
      </c>
      <c r="H4" s="261"/>
      <c r="J4" s="262" t="s">
        <v>1155</v>
      </c>
      <c r="K4" s="259"/>
      <c r="M4" s="160" t="s">
        <v>626</v>
      </c>
      <c r="N4" s="161"/>
      <c r="O4" s="2268"/>
      <c r="P4" s="2268"/>
      <c r="Q4" s="2268"/>
      <c r="R4" s="2268"/>
      <c r="S4" s="2268"/>
      <c r="Y4" s="66"/>
    </row>
    <row r="5" spans="1:25" ht="13.5" thickBot="1">
      <c r="A5" s="2"/>
      <c r="B5" s="497" t="s">
        <v>1309</v>
      </c>
      <c r="C5" s="1214" t="s">
        <v>1312</v>
      </c>
      <c r="D5" s="1216" t="s">
        <v>1310</v>
      </c>
      <c r="E5" s="1213" t="s">
        <v>954</v>
      </c>
      <c r="G5" s="497" t="s">
        <v>563</v>
      </c>
      <c r="H5" s="503"/>
      <c r="J5" s="13" t="s">
        <v>1361</v>
      </c>
      <c r="K5" s="84"/>
      <c r="M5" s="152" t="s">
        <v>631</v>
      </c>
      <c r="N5" s="162">
        <f>OpHrsPerYr</f>
        <v>2277.6000000000004</v>
      </c>
      <c r="O5" s="2268"/>
      <c r="P5" s="2268"/>
      <c r="Q5" s="2268"/>
      <c r="R5" s="2268"/>
      <c r="S5" s="2268"/>
    </row>
    <row r="6" spans="1:25">
      <c r="A6" s="2"/>
      <c r="B6" s="21" t="s">
        <v>1540</v>
      </c>
      <c r="C6" s="1215"/>
      <c r="D6" s="1217"/>
      <c r="E6" s="1212"/>
      <c r="G6" s="92" t="s">
        <v>461</v>
      </c>
      <c r="H6" s="422"/>
      <c r="J6" s="398" t="s">
        <v>1340</v>
      </c>
      <c r="K6" s="42"/>
      <c r="M6" s="154" t="s">
        <v>627</v>
      </c>
      <c r="N6" s="155">
        <v>12</v>
      </c>
      <c r="O6" s="2268"/>
      <c r="P6" s="2268"/>
      <c r="Q6" s="2268"/>
      <c r="R6" s="2268"/>
      <c r="S6" s="2268"/>
    </row>
    <row r="7" spans="1:25">
      <c r="A7" s="2"/>
      <c r="B7" s="21" t="s">
        <v>1541</v>
      </c>
      <c r="C7" s="1215"/>
      <c r="D7" s="1217"/>
      <c r="E7" s="613"/>
      <c r="G7" s="12" t="s">
        <v>207</v>
      </c>
      <c r="H7" s="2245"/>
      <c r="J7" s="373" t="s">
        <v>497</v>
      </c>
      <c r="K7" s="27"/>
      <c r="L7" s="278"/>
      <c r="M7" s="154" t="s">
        <v>521</v>
      </c>
      <c r="N7" s="155">
        <v>1</v>
      </c>
      <c r="O7" s="245"/>
      <c r="P7" s="278"/>
      <c r="Q7" s="278"/>
      <c r="R7" s="278"/>
      <c r="S7" s="278"/>
      <c r="T7" s="66"/>
      <c r="U7" s="66"/>
      <c r="V7" s="66"/>
      <c r="W7" s="66"/>
      <c r="X7" s="66"/>
      <c r="Y7" s="66"/>
    </row>
    <row r="8" spans="1:25">
      <c r="A8" s="2"/>
      <c r="B8" s="21" t="s">
        <v>1542</v>
      </c>
      <c r="C8" s="1215"/>
      <c r="D8" s="1217"/>
      <c r="E8" s="613"/>
      <c r="G8" s="12" t="s">
        <v>208</v>
      </c>
      <c r="H8" s="376"/>
      <c r="J8" s="373" t="s">
        <v>499</v>
      </c>
      <c r="K8" s="1240">
        <f>AirControlInstallCost*GrossMW*1000</f>
        <v>0</v>
      </c>
      <c r="M8" s="154" t="s">
        <v>628</v>
      </c>
      <c r="N8" s="163">
        <f>AnnualNetGWh*1000000</f>
        <v>216686176.0891442</v>
      </c>
      <c r="O8" s="66"/>
      <c r="P8" s="30"/>
      <c r="Q8" s="66"/>
      <c r="R8" s="66"/>
      <c r="S8" s="66"/>
      <c r="T8" s="66"/>
      <c r="U8" s="66"/>
      <c r="V8" s="66"/>
      <c r="W8" s="66"/>
      <c r="X8" s="66"/>
      <c r="Y8" s="66"/>
    </row>
    <row r="9" spans="1:25">
      <c r="A9" s="2"/>
      <c r="B9" s="21" t="s">
        <v>1539</v>
      </c>
      <c r="C9" s="1215"/>
      <c r="D9" s="1217"/>
      <c r="E9" s="613"/>
      <c r="G9" s="12" t="s">
        <v>209</v>
      </c>
      <c r="H9" s="436"/>
      <c r="J9" s="373" t="s">
        <v>433</v>
      </c>
      <c r="K9" s="1241"/>
      <c r="M9" s="157" t="s">
        <v>629</v>
      </c>
      <c r="N9" s="164">
        <f>AnnualNetGWh*1000</f>
        <v>216686.1760891442</v>
      </c>
      <c r="O9" s="66"/>
      <c r="P9" s="30"/>
      <c r="Q9" s="66"/>
      <c r="R9" s="66"/>
      <c r="S9" s="66"/>
      <c r="T9" s="66"/>
      <c r="U9" s="66"/>
      <c r="V9" s="66"/>
      <c r="W9" s="66"/>
      <c r="X9" s="66"/>
      <c r="Y9" s="66"/>
    </row>
    <row r="10" spans="1:25">
      <c r="A10" s="2"/>
      <c r="B10" s="21" t="s">
        <v>1543</v>
      </c>
      <c r="C10" s="1215"/>
      <c r="D10" s="1217"/>
      <c r="E10" s="613"/>
      <c r="G10" s="21" t="s">
        <v>210</v>
      </c>
      <c r="H10" s="437">
        <f>N9*H8*H9</f>
        <v>0</v>
      </c>
      <c r="J10" s="424" t="s">
        <v>498</v>
      </c>
      <c r="K10" s="27"/>
      <c r="M10" s="150"/>
      <c r="N10" s="150"/>
      <c r="O10" s="66"/>
      <c r="P10" s="30"/>
      <c r="Q10" s="66"/>
      <c r="R10" s="66"/>
      <c r="S10" s="66"/>
      <c r="T10" s="66"/>
      <c r="U10" s="66"/>
      <c r="V10" s="66"/>
      <c r="W10" s="66"/>
      <c r="X10" s="66"/>
      <c r="Y10" s="66"/>
    </row>
    <row r="11" spans="1:25" ht="13.5" thickBot="1">
      <c r="A11" s="2"/>
      <c r="B11" s="52" t="s">
        <v>1544</v>
      </c>
      <c r="C11" s="2265"/>
      <c r="D11" s="2266"/>
      <c r="E11" s="2267"/>
      <c r="G11" s="21" t="s">
        <v>211</v>
      </c>
      <c r="H11" s="417"/>
      <c r="J11" s="373" t="s">
        <v>434</v>
      </c>
      <c r="K11" s="1241"/>
      <c r="M11" s="150"/>
      <c r="N11" s="150"/>
      <c r="O11" s="250"/>
      <c r="P11" s="201"/>
      <c r="Q11" s="250"/>
      <c r="R11" s="66"/>
      <c r="S11" s="66"/>
      <c r="T11" s="66"/>
      <c r="U11" s="66"/>
      <c r="V11" s="66"/>
      <c r="W11" s="66"/>
      <c r="X11" s="66"/>
      <c r="Y11" s="66"/>
    </row>
    <row r="12" spans="1:25">
      <c r="A12" s="2"/>
      <c r="B12" s="21" t="s">
        <v>267</v>
      </c>
      <c r="C12" s="3340">
        <f>(ManagerFTE*ManagerSalary+SUMPRODUCT(C7:C11,D7:D11,E7:E11))/((1+HistInflationRate)*(1+LaborEscalation))^(2011-BaseYr)</f>
        <v>0</v>
      </c>
      <c r="D12" s="1221"/>
      <c r="E12" s="623"/>
      <c r="G12" s="12" t="s">
        <v>1032</v>
      </c>
      <c r="H12" s="415">
        <f>N9*H11</f>
        <v>0</v>
      </c>
      <c r="J12" s="373" t="s">
        <v>233</v>
      </c>
      <c r="K12" s="1242">
        <v>0</v>
      </c>
      <c r="M12" s="150"/>
      <c r="N12" s="150"/>
      <c r="O12" s="66"/>
      <c r="P12" s="30"/>
      <c r="Q12" s="66"/>
      <c r="R12" s="66"/>
      <c r="S12" s="66"/>
      <c r="T12" s="66"/>
      <c r="U12" s="66"/>
      <c r="V12" s="66"/>
      <c r="W12" s="66"/>
      <c r="X12" s="66"/>
      <c r="Y12" s="66"/>
    </row>
    <row r="13" spans="1:25">
      <c r="A13" s="2"/>
      <c r="B13" s="21" t="s">
        <v>1308</v>
      </c>
      <c r="C13" s="388"/>
      <c r="D13" s="1222"/>
      <c r="E13" s="27"/>
      <c r="G13" s="12" t="s">
        <v>212</v>
      </c>
      <c r="H13" s="376"/>
      <c r="J13" s="373" t="s">
        <v>238</v>
      </c>
      <c r="K13" s="1243">
        <f>'Overhaul Calcs'!$B$20</f>
        <v>0</v>
      </c>
      <c r="M13" s="66"/>
      <c r="N13" s="66"/>
      <c r="O13" s="66"/>
      <c r="P13" s="30"/>
      <c r="Q13" s="66"/>
      <c r="R13" s="66"/>
      <c r="S13" s="66"/>
      <c r="T13" s="66"/>
      <c r="U13" s="66"/>
      <c r="V13" s="66"/>
      <c r="W13" s="66"/>
      <c r="X13" s="66"/>
      <c r="Y13" s="66"/>
    </row>
    <row r="14" spans="1:25" ht="13.5" thickBot="1">
      <c r="A14" s="2"/>
      <c r="B14" s="21" t="s">
        <v>967</v>
      </c>
      <c r="C14" s="3341">
        <f>W2_Wages*OverheadMultiplier</f>
        <v>0</v>
      </c>
      <c r="D14" s="1223"/>
      <c r="E14" s="27"/>
      <c r="G14" s="12" t="s">
        <v>213</v>
      </c>
      <c r="H14" s="438">
        <f>N9*CleaningWage*OverheadMultiplier*ConsumableLaborPerPeriod</f>
        <v>0</v>
      </c>
      <c r="J14" s="373" t="s">
        <v>1046</v>
      </c>
      <c r="K14" s="1244">
        <v>0</v>
      </c>
      <c r="M14" s="66"/>
      <c r="N14" s="66"/>
      <c r="O14" s="66"/>
      <c r="P14" s="30"/>
      <c r="Q14" s="66"/>
      <c r="R14" s="66"/>
      <c r="S14" s="66"/>
      <c r="T14" s="66"/>
      <c r="U14" s="66"/>
      <c r="V14" s="66"/>
      <c r="W14" s="66"/>
      <c r="X14" s="66"/>
      <c r="Y14" s="66"/>
    </row>
    <row r="15" spans="1:25" ht="13.5" thickBot="1">
      <c r="A15" s="2"/>
      <c r="B15" s="20" t="s">
        <v>991</v>
      </c>
      <c r="C15" s="2130">
        <f>AnnualSalary/GrossMW/1000</f>
        <v>0</v>
      </c>
      <c r="D15" s="1223"/>
      <c r="E15" s="27"/>
      <c r="G15" s="4543" t="s">
        <v>630</v>
      </c>
      <c r="H15" s="4544"/>
      <c r="J15" s="377" t="s">
        <v>234</v>
      </c>
      <c r="K15" s="1245">
        <v>0</v>
      </c>
      <c r="L15" s="278"/>
      <c r="M15" s="250"/>
      <c r="N15" s="250"/>
      <c r="O15" s="201"/>
      <c r="P15" s="250"/>
      <c r="Q15" s="66"/>
      <c r="R15" s="66"/>
      <c r="S15" s="66"/>
      <c r="T15" s="66"/>
      <c r="U15" s="66"/>
      <c r="V15" s="66"/>
      <c r="W15" s="66"/>
      <c r="X15" s="66"/>
      <c r="Y15" s="66"/>
    </row>
    <row r="16" spans="1:25" ht="13.5" thickBot="1">
      <c r="A16" s="1"/>
      <c r="B16" s="20" t="s">
        <v>1487</v>
      </c>
      <c r="C16" s="1226"/>
      <c r="D16" s="228"/>
      <c r="E16" s="55"/>
      <c r="G16" s="21" t="s">
        <v>214</v>
      </c>
      <c r="H16" s="457">
        <v>0</v>
      </c>
      <c r="I16" s="1"/>
      <c r="J16" s="184" t="s">
        <v>240</v>
      </c>
      <c r="K16" s="1246">
        <f>K13+AirControlAnnualConsumables*AnnualNetGWh*1000+CleaningWage*OverheadMultiplier*AirControlAnnualLabor</f>
        <v>0</v>
      </c>
      <c r="U16" s="66"/>
      <c r="V16" s="66"/>
      <c r="W16" s="66"/>
      <c r="X16" s="66"/>
      <c r="Y16" s="66"/>
    </row>
    <row r="17" spans="1:25" ht="13.5" thickBot="1">
      <c r="A17" s="2"/>
      <c r="B17" s="1238" t="s">
        <v>968</v>
      </c>
      <c r="C17" s="2254"/>
      <c r="D17" s="1225"/>
      <c r="E17" s="2255"/>
      <c r="G17" s="459" t="s">
        <v>508</v>
      </c>
      <c r="H17" s="461" t="e">
        <f>IF(ISNUMBER(TotalConsumableCostPerPeriod),VLOOKUP(ConsumableMaintenancePeriod,'O&amp;M Costs'!$M$5:$N$9,2,0)*TotalConsumableCostPerPeriod,H10+H12+H14)</f>
        <v>#N/A</v>
      </c>
      <c r="J17" s="13" t="s">
        <v>395</v>
      </c>
      <c r="K17" s="422"/>
      <c r="N17" s="4564"/>
      <c r="O17" s="4564"/>
      <c r="P17" s="4564"/>
      <c r="Q17" s="4564"/>
      <c r="R17" s="4564"/>
      <c r="S17" s="4564"/>
      <c r="T17" s="4564"/>
      <c r="U17" s="4564"/>
      <c r="V17" s="66"/>
      <c r="W17" s="66"/>
      <c r="X17" s="66"/>
      <c r="Y17" s="66"/>
    </row>
    <row r="18" spans="1:25">
      <c r="A18" s="1"/>
      <c r="B18" s="80" t="s">
        <v>969</v>
      </c>
      <c r="C18" s="1220">
        <v>0</v>
      </c>
      <c r="D18" s="1224" t="s">
        <v>966</v>
      </c>
      <c r="E18" s="55"/>
      <c r="G18" s="458" t="s">
        <v>440</v>
      </c>
      <c r="H18" s="422"/>
      <c r="I18" s="165" t="s">
        <v>465</v>
      </c>
      <c r="J18" s="373" t="s">
        <v>497</v>
      </c>
      <c r="K18" s="27"/>
      <c r="N18" s="4564"/>
      <c r="O18" s="4564"/>
      <c r="P18" s="4564"/>
      <c r="Q18" s="4564"/>
      <c r="R18" s="4564"/>
      <c r="S18" s="4564"/>
      <c r="T18" s="4564"/>
      <c r="U18" s="4564"/>
      <c r="V18" s="66"/>
      <c r="W18" s="66"/>
      <c r="X18" s="66"/>
      <c r="Y18" s="66"/>
    </row>
    <row r="19" spans="1:25" ht="13.5" thickBot="1">
      <c r="A19" s="1"/>
      <c r="B19" s="1218" t="s">
        <v>615</v>
      </c>
      <c r="C19" s="527">
        <f>IF(AND(ISNUMBER(FixedOMPerkWYrUserInput),NOT(ISBLANK(FixedOMPerkWYrUserInput))),FixedOMPerkWYrUserInput,C15+NonlaborFixedOM)</f>
        <v>0</v>
      </c>
      <c r="D19" s="1219"/>
      <c r="E19" s="29"/>
      <c r="G19" s="53" t="s">
        <v>216</v>
      </c>
      <c r="H19" s="439"/>
      <c r="I19" s="165"/>
      <c r="J19" s="12" t="s">
        <v>500</v>
      </c>
      <c r="K19" s="415">
        <f>WaterControlInstallCost*GrossMW*1000</f>
        <v>0</v>
      </c>
      <c r="N19" s="4564"/>
      <c r="O19" s="4564"/>
      <c r="P19" s="4564"/>
      <c r="Q19" s="4564"/>
      <c r="R19" s="4564"/>
      <c r="S19" s="4564"/>
      <c r="T19" s="4564"/>
      <c r="U19" s="4564"/>
    </row>
    <row r="20" spans="1:25" ht="15.75" thickBot="1">
      <c r="A20" s="1"/>
      <c r="B20" s="617"/>
      <c r="C20" s="165"/>
      <c r="D20" s="165"/>
      <c r="E20" s="165"/>
      <c r="G20" s="53" t="s">
        <v>1071</v>
      </c>
      <c r="H20" s="440"/>
      <c r="I20" s="165"/>
      <c r="J20" s="12" t="s">
        <v>433</v>
      </c>
      <c r="K20" s="416"/>
      <c r="N20" s="4564"/>
      <c r="O20" s="4564"/>
      <c r="P20" s="4564"/>
      <c r="Q20" s="4564"/>
      <c r="R20" s="4564"/>
      <c r="S20" s="4564"/>
      <c r="T20" s="4564"/>
      <c r="U20" s="4564"/>
    </row>
    <row r="21" spans="1:25" ht="13.5" thickBot="1">
      <c r="A21" s="2"/>
      <c r="B21" s="4565" t="s">
        <v>617</v>
      </c>
      <c r="C21" s="4566"/>
      <c r="D21" s="4566"/>
      <c r="E21" s="4567"/>
      <c r="G21" s="53" t="s">
        <v>217</v>
      </c>
      <c r="H21" s="376"/>
      <c r="I21" s="66"/>
      <c r="J21" s="424" t="s">
        <v>498</v>
      </c>
      <c r="K21" s="27"/>
      <c r="N21" s="4563"/>
      <c r="O21" s="4563"/>
      <c r="P21" s="4563"/>
      <c r="Q21" s="4563"/>
      <c r="R21" s="4563"/>
      <c r="S21" s="4563"/>
      <c r="T21" s="4563"/>
      <c r="U21" s="4563"/>
    </row>
    <row r="22" spans="1:25">
      <c r="A22" s="1"/>
      <c r="B22" s="534" t="s">
        <v>398</v>
      </c>
      <c r="C22" s="1228"/>
      <c r="D22" s="1236"/>
      <c r="E22" s="518"/>
      <c r="G22" s="53" t="s">
        <v>215</v>
      </c>
      <c r="H22" s="439"/>
      <c r="I22" s="165"/>
      <c r="J22" s="12" t="s">
        <v>434</v>
      </c>
      <c r="K22" s="416"/>
      <c r="N22" s="4563"/>
      <c r="O22" s="4563"/>
      <c r="P22" s="4563"/>
      <c r="Q22" s="4563"/>
      <c r="R22" s="4563"/>
      <c r="S22" s="4563"/>
      <c r="T22" s="4563"/>
      <c r="U22" s="4563"/>
    </row>
    <row r="23" spans="1:25">
      <c r="A23" s="2"/>
      <c r="B23" s="21" t="s">
        <v>479</v>
      </c>
      <c r="C23" s="1518">
        <f>HLOOKUP(Region,'Air &amp; Water Data'!$D$2:$P$17,16,0)</f>
        <v>586</v>
      </c>
      <c r="D23" s="1222"/>
      <c r="E23" s="35"/>
      <c r="G23" s="53" t="s">
        <v>1072</v>
      </c>
      <c r="H23" s="440"/>
      <c r="I23" s="66"/>
      <c r="J23" s="12" t="s">
        <v>233</v>
      </c>
      <c r="K23" s="426">
        <v>0</v>
      </c>
      <c r="N23" s="4563"/>
      <c r="O23" s="4563"/>
      <c r="P23" s="4563"/>
      <c r="Q23" s="4563"/>
      <c r="R23" s="4563"/>
      <c r="S23" s="4563"/>
      <c r="T23" s="4563"/>
      <c r="U23" s="4563"/>
    </row>
    <row r="24" spans="1:25">
      <c r="A24" s="2"/>
      <c r="B24" s="21" t="s">
        <v>1040</v>
      </c>
      <c r="C24" s="1229"/>
      <c r="D24" s="1222"/>
      <c r="E24" s="27"/>
      <c r="G24" s="53" t="s">
        <v>217</v>
      </c>
      <c r="H24" s="376"/>
      <c r="I24" s="66"/>
      <c r="J24" s="12" t="s">
        <v>239</v>
      </c>
      <c r="K24" s="427">
        <f>'Overhaul Calcs'!$B$23</f>
        <v>0</v>
      </c>
      <c r="N24" s="4563"/>
      <c r="O24" s="4563"/>
      <c r="P24" s="4563"/>
      <c r="Q24" s="4563"/>
      <c r="R24" s="4563"/>
      <c r="S24" s="4563"/>
      <c r="T24" s="4563"/>
      <c r="U24" s="4563"/>
    </row>
    <row r="25" spans="1:25">
      <c r="A25" s="2"/>
      <c r="B25" s="20" t="s">
        <v>480</v>
      </c>
      <c r="C25" s="1230">
        <f>WaterCostPerAF*WaterConsumptionAF</f>
        <v>0</v>
      </c>
      <c r="D25" s="1222"/>
      <c r="E25" s="27"/>
      <c r="G25" s="53" t="s">
        <v>218</v>
      </c>
      <c r="H25" s="439"/>
      <c r="I25" s="66"/>
      <c r="J25" s="12" t="s">
        <v>1047</v>
      </c>
      <c r="K25" s="428">
        <v>0</v>
      </c>
      <c r="O25" s="28"/>
    </row>
    <row r="26" spans="1:25">
      <c r="A26" s="2"/>
      <c r="B26" s="21" t="s">
        <v>190</v>
      </c>
      <c r="C26" s="1231"/>
      <c r="D26" s="1222"/>
      <c r="E26" s="27"/>
      <c r="G26" s="53" t="s">
        <v>1073</v>
      </c>
      <c r="H26" s="441"/>
      <c r="I26" s="66"/>
      <c r="J26" s="54" t="s">
        <v>234</v>
      </c>
      <c r="K26" s="429">
        <v>0</v>
      </c>
      <c r="O26" s="28"/>
    </row>
    <row r="27" spans="1:25" ht="13.5" thickBot="1">
      <c r="A27" s="2"/>
      <c r="B27" s="21" t="s">
        <v>191</v>
      </c>
      <c r="C27" s="1232">
        <v>0</v>
      </c>
      <c r="D27" s="1222"/>
      <c r="E27" s="27"/>
      <c r="G27" s="53" t="s">
        <v>217</v>
      </c>
      <c r="H27" s="460"/>
      <c r="J27" s="60" t="s">
        <v>241</v>
      </c>
      <c r="K27" s="1246">
        <f>K24+WaterControlAnnualConsumables*AnnualNetGWh*1000+CleaningWage*OverheadMultiplier*WaterControlAnnualLabor</f>
        <v>0</v>
      </c>
      <c r="O27" s="28"/>
    </row>
    <row r="28" spans="1:25">
      <c r="A28" s="2"/>
      <c r="B28" s="12"/>
      <c r="C28" s="12"/>
      <c r="D28" s="1222"/>
      <c r="E28" s="27"/>
      <c r="G28" s="462" t="s">
        <v>872</v>
      </c>
      <c r="H28" s="463">
        <f>OpHrsPerYr*(1/MAX(H19,1)*H20+1/MAX(H22,1)*H23+1/MAX(H25,1)*H26)+OpHrsPerYr*MaintenanceWage*OverheadMultiplier*(1/MAX(H19,1)*H21+1/MAX(H22,1)*H24+1/MAX(H25,1)*H27)</f>
        <v>0</v>
      </c>
      <c r="J28" s="16" t="s">
        <v>1364</v>
      </c>
      <c r="K28" s="373"/>
      <c r="O28" s="28"/>
    </row>
    <row r="29" spans="1:25">
      <c r="A29" s="2"/>
      <c r="B29" s="20" t="s">
        <v>300</v>
      </c>
      <c r="C29" s="1233" t="e">
        <f>'O&amp;M Costs'!H74</f>
        <v>#N/A</v>
      </c>
      <c r="D29" s="1222"/>
      <c r="E29" s="27"/>
      <c r="G29" s="458" t="s">
        <v>389</v>
      </c>
      <c r="H29" s="373"/>
      <c r="J29" s="12" t="s">
        <v>242</v>
      </c>
      <c r="K29" s="373"/>
      <c r="O29" s="28"/>
    </row>
    <row r="30" spans="1:25">
      <c r="A30" s="2"/>
      <c r="B30" s="81" t="s">
        <v>1157</v>
      </c>
      <c r="C30" s="1234">
        <f>('O&amp;M Costs'!K40+'Construction Costs'!J72)/(StudyGWH*1000)</f>
        <v>0</v>
      </c>
      <c r="D30" s="228"/>
      <c r="E30" s="55" t="s">
        <v>465</v>
      </c>
      <c r="G30" s="2244"/>
      <c r="H30" s="866"/>
      <c r="J30" s="12" t="s">
        <v>243</v>
      </c>
      <c r="K30" s="395">
        <v>0</v>
      </c>
      <c r="O30" s="28"/>
    </row>
    <row r="31" spans="1:25">
      <c r="A31" s="250"/>
      <c r="B31" s="1238" t="s">
        <v>968</v>
      </c>
      <c r="C31" s="353"/>
      <c r="D31" s="1237"/>
      <c r="E31" s="517"/>
      <c r="G31" s="316"/>
      <c r="H31" s="442"/>
      <c r="I31" s="128"/>
      <c r="J31" s="12" t="s">
        <v>244</v>
      </c>
      <c r="K31" s="416">
        <v>0</v>
      </c>
      <c r="O31" s="28"/>
    </row>
    <row r="32" spans="1:25">
      <c r="A32" s="2"/>
      <c r="B32" s="81" t="s">
        <v>970</v>
      </c>
      <c r="C32" s="1235">
        <v>9</v>
      </c>
      <c r="D32" s="1224" t="s">
        <v>966</v>
      </c>
      <c r="E32" s="1227"/>
      <c r="G32" s="315"/>
      <c r="H32" s="443"/>
      <c r="I32" s="128"/>
      <c r="J32" s="12" t="s">
        <v>245</v>
      </c>
      <c r="K32" s="416">
        <v>0</v>
      </c>
      <c r="O32" s="28"/>
    </row>
    <row r="33" spans="1:25" ht="13.5" thickBot="1">
      <c r="A33" s="28"/>
      <c r="B33" s="184" t="s">
        <v>1065</v>
      </c>
      <c r="C33" s="1328">
        <f>IF(AND(ISNUMBER(TotalVariableOMPerMWhUserInput),NOT(ISBLANK(TotalVariableOMPerMWhUserInput))),TotalVariableOMPerMWhUserInput,SUM(C29:C30)+C25)</f>
        <v>9</v>
      </c>
      <c r="D33" s="523"/>
      <c r="E33" s="29"/>
      <c r="G33" s="315"/>
      <c r="H33" s="443"/>
      <c r="I33" s="28"/>
      <c r="J33" s="12" t="s">
        <v>250</v>
      </c>
      <c r="K33" s="427">
        <f>NonHazardTonsPerYear*(NonHazardCollectionCost+NonHazardTippingCost)</f>
        <v>0</v>
      </c>
      <c r="O33" s="28"/>
    </row>
    <row r="34" spans="1:25" ht="13.5" thickBot="1">
      <c r="A34" s="28"/>
      <c r="B34" s="66"/>
      <c r="C34" s="165"/>
      <c r="D34" s="66"/>
      <c r="E34" s="66"/>
      <c r="G34" s="316"/>
      <c r="H34" s="443"/>
      <c r="I34" s="28"/>
      <c r="J34" s="12" t="s">
        <v>257</v>
      </c>
      <c r="K34" s="373"/>
      <c r="O34" s="28"/>
    </row>
    <row r="35" spans="1:25" ht="13.5" thickBot="1">
      <c r="A35" s="28"/>
      <c r="B35" s="260" t="s">
        <v>450</v>
      </c>
      <c r="C35" s="519"/>
      <c r="D35" s="519"/>
      <c r="E35" s="520"/>
      <c r="G35" s="315"/>
      <c r="H35" s="443"/>
      <c r="I35" s="28"/>
      <c r="J35" s="12" t="s">
        <v>243</v>
      </c>
      <c r="K35" s="395">
        <v>0</v>
      </c>
      <c r="O35" s="28"/>
    </row>
    <row r="36" spans="1:25">
      <c r="A36" s="283"/>
      <c r="B36" s="350" t="s">
        <v>189</v>
      </c>
      <c r="C36" s="524">
        <v>5.0000000000000001E-3</v>
      </c>
      <c r="D36" s="44" t="s">
        <v>451</v>
      </c>
      <c r="E36" s="42"/>
      <c r="G36" s="315"/>
      <c r="H36" s="443"/>
      <c r="I36" s="28"/>
      <c r="J36" s="12" t="s">
        <v>244</v>
      </c>
      <c r="K36" s="416">
        <v>0</v>
      </c>
    </row>
    <row r="37" spans="1:25">
      <c r="A37" s="66"/>
      <c r="B37" s="45" t="s">
        <v>188</v>
      </c>
      <c r="C37" s="525">
        <v>5.0000000000000001E-3</v>
      </c>
      <c r="D37" s="28" t="s">
        <v>452</v>
      </c>
      <c r="E37" s="27"/>
      <c r="G37" s="317"/>
      <c r="H37" s="444"/>
      <c r="I37" s="128"/>
      <c r="J37" s="12" t="s">
        <v>245</v>
      </c>
      <c r="K37" s="416">
        <v>0</v>
      </c>
      <c r="U37" s="31"/>
    </row>
    <row r="38" spans="1:25" ht="13.5" thickBot="1">
      <c r="A38" s="66"/>
      <c r="B38" s="521" t="s">
        <v>550</v>
      </c>
      <c r="C38" s="526">
        <v>6.0000000000000001E-3</v>
      </c>
      <c r="D38" s="523" t="s">
        <v>451</v>
      </c>
      <c r="E38" s="522"/>
      <c r="G38" s="81" t="s">
        <v>390</v>
      </c>
      <c r="H38" s="445">
        <f>SUM(H30:H37)</f>
        <v>0</v>
      </c>
      <c r="I38" s="128"/>
      <c r="J38" s="54" t="s">
        <v>258</v>
      </c>
      <c r="K38" s="432">
        <f>HazardTonsPerYear*(HazardCollectionCost+HazardTippingCost)</f>
        <v>0</v>
      </c>
      <c r="U38" s="31"/>
    </row>
    <row r="39" spans="1:25" ht="13.5" thickBot="1">
      <c r="A39" s="66"/>
      <c r="B39" s="2"/>
      <c r="C39" s="165"/>
      <c r="D39" s="2"/>
      <c r="E39" s="2"/>
      <c r="G39" s="82" t="s">
        <v>514</v>
      </c>
      <c r="H39" s="430"/>
      <c r="I39" s="128"/>
      <c r="J39" s="20" t="s">
        <v>516</v>
      </c>
      <c r="K39" s="431">
        <f>K33+K38</f>
        <v>0</v>
      </c>
      <c r="U39" s="31"/>
    </row>
    <row r="40" spans="1:25" ht="13.5" thickBot="1">
      <c r="A40" s="2"/>
      <c r="B40" s="4568" t="s">
        <v>2060</v>
      </c>
      <c r="C40" s="4569"/>
      <c r="D40" s="2329"/>
      <c r="E40" s="2329"/>
      <c r="G40" s="21" t="s">
        <v>1037</v>
      </c>
      <c r="H40" s="446" t="str">
        <f>IF(EligibleGeothermalDepletion="Y",0.1*Income_Rev_Req!D34*GrossMW*1000,"")</f>
        <v/>
      </c>
      <c r="I40" s="199"/>
      <c r="J40" s="34" t="s">
        <v>1156</v>
      </c>
      <c r="K40" s="433">
        <f>K16+K27+K39</f>
        <v>0</v>
      </c>
      <c r="U40" s="31"/>
    </row>
    <row r="41" spans="1:25" ht="13.5" thickBot="1">
      <c r="A41" s="2"/>
      <c r="B41" s="4371" t="s">
        <v>2061</v>
      </c>
      <c r="C41" s="15"/>
      <c r="D41" s="2329"/>
      <c r="E41" s="2329"/>
      <c r="G41" s="53" t="s">
        <v>474</v>
      </c>
      <c r="H41" s="447"/>
      <c r="U41" s="28"/>
      <c r="V41" s="28"/>
    </row>
    <row r="42" spans="1:25" ht="15.75" thickBot="1">
      <c r="A42" s="342"/>
      <c r="B42" s="4372" t="s">
        <v>2062</v>
      </c>
      <c r="C42" s="486"/>
      <c r="D42" s="2329"/>
      <c r="E42" s="2329"/>
      <c r="G42" s="53" t="s">
        <v>219</v>
      </c>
      <c r="H42" s="447"/>
      <c r="J42" s="262" t="s">
        <v>111</v>
      </c>
      <c r="K42" s="528"/>
      <c r="M42" s="181"/>
      <c r="N42" s="182"/>
      <c r="U42" s="28"/>
      <c r="V42" s="28"/>
    </row>
    <row r="43" spans="1:25">
      <c r="A43" s="66"/>
      <c r="B43" s="2329"/>
      <c r="C43" s="2329"/>
      <c r="D43" s="2329"/>
      <c r="E43" s="2329"/>
      <c r="G43" s="53" t="s">
        <v>220</v>
      </c>
      <c r="H43" s="441"/>
      <c r="J43" s="13" t="s">
        <v>112</v>
      </c>
      <c r="K43" s="422"/>
      <c r="M43" s="181"/>
      <c r="N43" s="182"/>
      <c r="U43" s="28"/>
      <c r="V43" s="28"/>
    </row>
    <row r="44" spans="1:25">
      <c r="A44" s="251"/>
      <c r="B44" s="2329"/>
      <c r="C44" s="2329"/>
      <c r="D44" s="2329"/>
      <c r="E44" s="2329"/>
      <c r="G44" s="53" t="s">
        <v>221</v>
      </c>
      <c r="H44" s="441"/>
      <c r="J44" s="12" t="s">
        <v>269</v>
      </c>
      <c r="K44" s="395"/>
      <c r="M44" s="200"/>
      <c r="N44" s="182"/>
      <c r="U44" s="28"/>
      <c r="V44" s="30"/>
      <c r="W44" s="66"/>
      <c r="X44" s="66"/>
      <c r="Y44" s="66"/>
    </row>
    <row r="45" spans="1:25">
      <c r="A45" s="30"/>
      <c r="B45" s="2329"/>
      <c r="C45" s="2329"/>
      <c r="D45" s="2329"/>
      <c r="E45" s="2329"/>
      <c r="G45" s="90" t="s">
        <v>477</v>
      </c>
      <c r="H45" s="448"/>
      <c r="J45" s="12" t="s">
        <v>270</v>
      </c>
      <c r="K45" s="395"/>
      <c r="L45" s="181"/>
      <c r="M45" s="200"/>
      <c r="N45" s="182"/>
      <c r="U45" s="28"/>
      <c r="V45" s="30"/>
      <c r="W45" s="66"/>
      <c r="X45" s="66"/>
      <c r="Y45" s="66"/>
    </row>
    <row r="46" spans="1:25" ht="13.5" thickBot="1">
      <c r="A46" s="66"/>
      <c r="B46" s="2329"/>
      <c r="C46" s="2329"/>
      <c r="D46" s="2329"/>
      <c r="E46" s="2329"/>
      <c r="G46" s="16" t="s">
        <v>515</v>
      </c>
      <c r="H46" s="501">
        <f>SUM(H40:H45)</f>
        <v>0</v>
      </c>
      <c r="J46" s="12" t="s">
        <v>274</v>
      </c>
      <c r="K46" s="395"/>
      <c r="L46" s="202"/>
      <c r="M46" s="202"/>
      <c r="N46" s="183"/>
      <c r="U46" s="28"/>
      <c r="V46" s="28"/>
    </row>
    <row r="47" spans="1:25" ht="13.5" thickBot="1">
      <c r="G47" s="506" t="s">
        <v>565</v>
      </c>
      <c r="H47" s="507" t="e">
        <f>SUM(H46,H38,H28,H17)</f>
        <v>#N/A</v>
      </c>
      <c r="I47" s="278"/>
      <c r="J47" s="12" t="s">
        <v>271</v>
      </c>
      <c r="K47" s="395"/>
      <c r="O47" s="25"/>
      <c r="R47" s="28"/>
      <c r="S47" s="28"/>
      <c r="T47" s="28"/>
      <c r="U47" s="28"/>
      <c r="V47" s="28"/>
    </row>
    <row r="48" spans="1:25" ht="13.5" thickBot="1">
      <c r="G48" s="499"/>
      <c r="H48" s="502"/>
      <c r="I48" s="299"/>
      <c r="J48" s="85" t="s">
        <v>272</v>
      </c>
      <c r="K48" s="434">
        <f>K47-SUM(K45:K46)</f>
        <v>0</v>
      </c>
      <c r="O48" s="25"/>
      <c r="R48" s="28"/>
      <c r="S48" s="28"/>
      <c r="T48" s="28"/>
      <c r="U48" s="28"/>
      <c r="V48" s="28"/>
    </row>
    <row r="49" spans="7:22" ht="13.5" thickBot="1">
      <c r="G49" s="504" t="s">
        <v>564</v>
      </c>
      <c r="H49" s="505"/>
      <c r="I49" s="278"/>
      <c r="J49" s="60" t="s">
        <v>113</v>
      </c>
      <c r="K49" s="435">
        <f>K48*NetMW*K44</f>
        <v>0</v>
      </c>
      <c r="O49" s="24"/>
      <c r="R49" s="28"/>
      <c r="S49" s="28"/>
      <c r="T49" s="28"/>
      <c r="U49" s="28"/>
      <c r="V49" s="28"/>
    </row>
    <row r="50" spans="7:22">
      <c r="G50" s="79" t="s">
        <v>1301</v>
      </c>
      <c r="H50" s="430"/>
      <c r="I50" s="278"/>
      <c r="O50" s="24"/>
      <c r="R50" s="28"/>
      <c r="S50" s="28"/>
      <c r="T50" s="28"/>
      <c r="U50" s="28"/>
      <c r="V50" s="28"/>
    </row>
    <row r="51" spans="7:22">
      <c r="G51" s="12" t="s">
        <v>222</v>
      </c>
      <c r="H51" s="394"/>
      <c r="I51" s="278"/>
      <c r="O51" s="24"/>
      <c r="R51" s="28"/>
      <c r="S51" s="28"/>
      <c r="T51" s="28"/>
      <c r="U51" s="28"/>
      <c r="V51" s="28"/>
    </row>
    <row r="52" spans="7:22">
      <c r="G52" s="12" t="s">
        <v>223</v>
      </c>
      <c r="H52" s="394">
        <v>0</v>
      </c>
      <c r="I52" s="278"/>
      <c r="O52" s="24"/>
      <c r="R52" s="28"/>
      <c r="S52" s="28"/>
      <c r="T52" s="28"/>
      <c r="U52" s="28"/>
      <c r="V52" s="28"/>
    </row>
    <row r="53" spans="7:22">
      <c r="G53" s="12" t="s">
        <v>509</v>
      </c>
      <c r="H53" s="449">
        <v>0</v>
      </c>
      <c r="I53" s="278"/>
      <c r="O53" s="24"/>
      <c r="R53" s="28"/>
      <c r="S53" s="28"/>
      <c r="T53" s="28"/>
      <c r="U53" s="28"/>
      <c r="V53" s="28"/>
    </row>
    <row r="54" spans="7:22">
      <c r="G54" s="52" t="s">
        <v>510</v>
      </c>
      <c r="H54" s="450">
        <f>H52*MaintenanceWage*OverheadMultiplier+H53</f>
        <v>0</v>
      </c>
      <c r="I54" s="278"/>
      <c r="O54" s="24"/>
      <c r="R54" s="28"/>
      <c r="S54" s="28"/>
      <c r="T54" s="28"/>
      <c r="U54" s="28"/>
      <c r="V54" s="28"/>
    </row>
    <row r="55" spans="7:22">
      <c r="G55" s="81" t="s">
        <v>612</v>
      </c>
      <c r="H55" s="445">
        <f>'Overhaul Calcs'!B6</f>
        <v>0</v>
      </c>
      <c r="I55" s="278"/>
      <c r="O55" s="24"/>
      <c r="R55" s="28"/>
      <c r="S55" s="28"/>
      <c r="T55" s="28"/>
      <c r="U55" s="28"/>
      <c r="V55" s="28"/>
    </row>
    <row r="56" spans="7:22">
      <c r="G56" s="79" t="s">
        <v>1323</v>
      </c>
      <c r="H56" s="430"/>
      <c r="I56" s="278"/>
      <c r="O56" s="24"/>
      <c r="R56" s="28"/>
      <c r="S56" s="28"/>
      <c r="T56" s="28"/>
      <c r="U56" s="28"/>
      <c r="V56" s="28"/>
    </row>
    <row r="57" spans="7:22">
      <c r="G57" s="12" t="s">
        <v>227</v>
      </c>
      <c r="H57" s="449">
        <v>0</v>
      </c>
      <c r="I57" s="278"/>
      <c r="O57" s="24"/>
      <c r="R57" s="28"/>
      <c r="S57" s="28"/>
      <c r="T57" s="28"/>
      <c r="U57" s="28"/>
      <c r="V57" s="28"/>
    </row>
    <row r="58" spans="7:22">
      <c r="G58" s="12" t="s">
        <v>229</v>
      </c>
      <c r="H58" s="451">
        <v>0</v>
      </c>
      <c r="I58" s="300"/>
      <c r="J58" s="150"/>
      <c r="O58" s="41"/>
      <c r="R58" s="28"/>
      <c r="S58" s="28"/>
      <c r="T58" s="28"/>
      <c r="U58" s="28"/>
      <c r="V58" s="28"/>
    </row>
    <row r="59" spans="7:22">
      <c r="G59" s="12" t="s">
        <v>228</v>
      </c>
      <c r="H59" s="449">
        <v>0</v>
      </c>
      <c r="I59" s="302"/>
      <c r="J59" s="150"/>
      <c r="O59" s="28"/>
      <c r="R59" s="28"/>
      <c r="S59" s="28"/>
      <c r="T59" s="28"/>
      <c r="U59" s="28"/>
      <c r="V59" s="28"/>
    </row>
    <row r="60" spans="7:22">
      <c r="G60" s="12" t="s">
        <v>230</v>
      </c>
      <c r="H60" s="451">
        <v>0</v>
      </c>
      <c r="I60" s="278"/>
      <c r="J60" s="150"/>
      <c r="O60" s="28"/>
      <c r="R60" s="28"/>
      <c r="S60" s="28"/>
      <c r="T60" s="28"/>
      <c r="U60" s="28"/>
      <c r="V60" s="28"/>
    </row>
    <row r="61" spans="7:22">
      <c r="G61" s="12" t="s">
        <v>231</v>
      </c>
      <c r="H61" s="452"/>
      <c r="I61" s="278"/>
      <c r="J61" s="278"/>
      <c r="K61" s="278"/>
      <c r="L61" s="278"/>
      <c r="M61" s="278"/>
      <c r="N61" s="66"/>
      <c r="O61" s="30"/>
      <c r="P61" s="66"/>
      <c r="R61" s="28"/>
      <c r="S61" s="28"/>
      <c r="T61" s="28"/>
      <c r="U61" s="28"/>
      <c r="V61" s="28"/>
    </row>
    <row r="62" spans="7:22">
      <c r="G62" s="54" t="s">
        <v>232</v>
      </c>
      <c r="H62" s="453"/>
      <c r="I62" s="66"/>
      <c r="J62" s="278"/>
      <c r="K62" s="278"/>
      <c r="L62" s="278"/>
      <c r="M62" s="278"/>
      <c r="N62" s="30"/>
      <c r="O62" s="30"/>
      <c r="P62" s="66"/>
      <c r="R62" s="28"/>
      <c r="S62" s="28"/>
      <c r="T62" s="28"/>
      <c r="U62" s="28"/>
      <c r="V62" s="28"/>
    </row>
    <row r="63" spans="7:22" ht="13.5" thickBot="1">
      <c r="G63" s="493" t="s">
        <v>613</v>
      </c>
      <c r="H63" s="1070">
        <f>'Overhaul Calcs'!B9</f>
        <v>0</v>
      </c>
      <c r="I63" s="66"/>
      <c r="J63" s="278"/>
      <c r="K63" s="278"/>
      <c r="L63" s="278"/>
      <c r="M63" s="278"/>
      <c r="N63" s="30"/>
      <c r="O63" s="30"/>
      <c r="P63" s="66"/>
      <c r="R63" s="28"/>
      <c r="S63" s="28"/>
      <c r="T63" s="28"/>
      <c r="U63" s="28"/>
      <c r="V63" s="28"/>
    </row>
    <row r="64" spans="7:22" ht="13.5" thickBot="1">
      <c r="G64" s="497" t="s">
        <v>88</v>
      </c>
      <c r="H64" s="498">
        <f>H63+H55</f>
        <v>0</v>
      </c>
      <c r="J64" s="278"/>
      <c r="K64" s="300"/>
      <c r="L64" s="300"/>
      <c r="M64" s="300"/>
      <c r="N64" s="66"/>
      <c r="O64" s="30"/>
      <c r="P64" s="301"/>
      <c r="Q64" s="51"/>
      <c r="R64" s="28"/>
      <c r="S64" s="28"/>
      <c r="T64" s="28"/>
      <c r="U64" s="28"/>
      <c r="V64" s="28"/>
    </row>
    <row r="65" spans="7:17" ht="13.5" thickBot="1">
      <c r="G65" s="499"/>
      <c r="H65" s="500"/>
      <c r="J65" s="278"/>
      <c r="K65" s="302"/>
      <c r="L65" s="302"/>
      <c r="M65" s="302"/>
      <c r="N65" s="66"/>
      <c r="O65" s="66"/>
      <c r="P65" s="303"/>
      <c r="Q65" s="65"/>
    </row>
    <row r="66" spans="7:17">
      <c r="G66" s="13" t="s">
        <v>566</v>
      </c>
      <c r="H66" s="422"/>
      <c r="J66" s="250"/>
      <c r="K66" s="250"/>
      <c r="L66" s="250"/>
      <c r="M66" s="250"/>
      <c r="N66" s="250"/>
      <c r="O66" s="66"/>
      <c r="P66" s="66"/>
    </row>
    <row r="67" spans="7:17">
      <c r="G67" s="12" t="s">
        <v>502</v>
      </c>
      <c r="H67" s="454">
        <f>ForceOutageHrs</f>
        <v>23.006060606060611</v>
      </c>
      <c r="J67" s="4561"/>
      <c r="K67" s="4562"/>
      <c r="L67" s="4562"/>
      <c r="M67" s="4562"/>
      <c r="N67" s="4562"/>
      <c r="O67" s="4562"/>
      <c r="P67" s="4562"/>
    </row>
    <row r="68" spans="7:17">
      <c r="G68" s="12" t="s">
        <v>275</v>
      </c>
      <c r="H68" s="454">
        <f>H67*0</f>
        <v>0</v>
      </c>
      <c r="J68" s="4562"/>
      <c r="K68" s="4562"/>
      <c r="L68" s="4562"/>
      <c r="M68" s="4562"/>
      <c r="N68" s="4562"/>
      <c r="O68" s="4562"/>
      <c r="P68" s="4562"/>
    </row>
    <row r="69" spans="7:17">
      <c r="G69" s="54" t="s">
        <v>503</v>
      </c>
      <c r="H69" s="455">
        <v>0</v>
      </c>
      <c r="J69" s="4562"/>
      <c r="K69" s="4562"/>
      <c r="L69" s="4562"/>
      <c r="M69" s="4562"/>
      <c r="N69" s="4562"/>
      <c r="O69" s="4562"/>
      <c r="P69" s="4562"/>
    </row>
    <row r="70" spans="7:17" ht="13.5" thickBot="1">
      <c r="G70" s="493" t="s">
        <v>513</v>
      </c>
      <c r="H70" s="494">
        <f>MaintenanceWage*OverheadMultiplier*H68+H69</f>
        <v>0</v>
      </c>
    </row>
    <row r="71" spans="7:17" ht="13.5" thickBot="1">
      <c r="G71" s="495"/>
      <c r="H71" s="496"/>
    </row>
    <row r="72" spans="7:17">
      <c r="G72" s="80" t="s">
        <v>1142</v>
      </c>
      <c r="H72" s="456" t="e">
        <f>H17+H28+H38+H46+H64+H70</f>
        <v>#N/A</v>
      </c>
    </row>
    <row r="73" spans="7:17">
      <c r="G73" s="12" t="s">
        <v>553</v>
      </c>
      <c r="H73" s="1106" t="e">
        <f>H72/(GrossMW*1000)</f>
        <v>#N/A</v>
      </c>
    </row>
    <row r="74" spans="7:17" ht="13.5" thickBot="1">
      <c r="G74" s="351" t="s">
        <v>321</v>
      </c>
      <c r="H74" s="1107" t="e">
        <f>H72/(StudyGWH*1000)</f>
        <v>#N/A</v>
      </c>
    </row>
    <row r="77" spans="7:17">
      <c r="I77" s="150"/>
    </row>
    <row r="78" spans="7:17">
      <c r="I78" s="150"/>
    </row>
    <row r="79" spans="7:17">
      <c r="I79" s="150"/>
    </row>
    <row r="80" spans="7:17">
      <c r="I80" s="150"/>
    </row>
    <row r="81" spans="7:25">
      <c r="I81" s="150"/>
      <c r="O81" s="66"/>
      <c r="P81" s="66"/>
      <c r="Q81" s="66"/>
    </row>
    <row r="82" spans="7:25">
      <c r="I82" s="158"/>
      <c r="R82" s="66"/>
      <c r="S82" s="66"/>
      <c r="T82" s="66"/>
    </row>
    <row r="83" spans="7:25">
      <c r="G83" s="150"/>
      <c r="H83" s="150"/>
      <c r="I83" s="158"/>
      <c r="J83" s="150"/>
      <c r="K83" s="150"/>
      <c r="L83" s="150"/>
      <c r="M83" s="150"/>
      <c r="N83" s="150"/>
      <c r="O83" s="150"/>
      <c r="P83" s="150"/>
      <c r="Q83" s="150"/>
      <c r="R83" s="151"/>
      <c r="S83" s="151"/>
      <c r="T83" s="151"/>
      <c r="U83" s="150"/>
      <c r="V83" s="150"/>
      <c r="W83" s="150"/>
      <c r="X83" s="150"/>
      <c r="Y83" s="150"/>
    </row>
    <row r="84" spans="7:25">
      <c r="G84" s="150"/>
      <c r="H84" s="150"/>
      <c r="I84" s="158"/>
      <c r="J84" s="150"/>
      <c r="K84" s="150"/>
      <c r="L84" s="150"/>
      <c r="M84" s="150"/>
      <c r="N84" s="150"/>
      <c r="O84" s="150"/>
      <c r="P84" s="150"/>
      <c r="Q84" s="150"/>
      <c r="R84" s="151"/>
      <c r="S84" s="151"/>
      <c r="T84" s="151"/>
      <c r="U84" s="150"/>
      <c r="V84" s="150"/>
      <c r="W84" s="150"/>
      <c r="X84" s="150"/>
      <c r="Y84" s="150"/>
    </row>
    <row r="85" spans="7:25">
      <c r="G85" s="150"/>
      <c r="H85" s="150"/>
      <c r="I85" s="158"/>
      <c r="J85" s="150"/>
      <c r="K85" s="150"/>
      <c r="L85" s="150"/>
      <c r="M85" s="150"/>
      <c r="N85" s="150"/>
      <c r="O85" s="150"/>
      <c r="P85" s="150"/>
      <c r="Q85" s="150"/>
      <c r="R85" s="151"/>
      <c r="S85" s="151"/>
      <c r="T85" s="151"/>
      <c r="U85" s="150"/>
      <c r="V85" s="150"/>
      <c r="W85" s="150"/>
      <c r="X85" s="150"/>
      <c r="Y85" s="150"/>
    </row>
    <row r="86" spans="7:25">
      <c r="G86" s="150"/>
      <c r="H86" s="150"/>
      <c r="I86" s="38"/>
      <c r="J86" s="150"/>
      <c r="K86" s="150"/>
      <c r="L86" s="150"/>
      <c r="M86" s="150"/>
      <c r="N86" s="150"/>
      <c r="O86" s="150"/>
      <c r="P86" s="150"/>
      <c r="Q86" s="150"/>
      <c r="R86" s="151"/>
      <c r="S86" s="151"/>
      <c r="T86" s="151"/>
      <c r="U86" s="150"/>
      <c r="V86" s="150"/>
      <c r="W86" s="150"/>
      <c r="X86" s="150"/>
      <c r="Y86" s="150"/>
    </row>
    <row r="87" spans="7:25">
      <c r="G87" s="150"/>
      <c r="H87" s="150"/>
      <c r="I87" s="38"/>
      <c r="J87" s="150"/>
      <c r="K87" s="150"/>
      <c r="L87" s="150"/>
      <c r="M87" s="150"/>
      <c r="N87" s="150"/>
      <c r="O87" s="150"/>
      <c r="P87" s="150"/>
      <c r="Q87" s="150"/>
      <c r="R87" s="151"/>
      <c r="S87" s="151"/>
      <c r="T87" s="151"/>
      <c r="U87" s="150"/>
      <c r="V87" s="150"/>
      <c r="W87" s="150"/>
      <c r="X87" s="150"/>
      <c r="Y87" s="150"/>
    </row>
    <row r="88" spans="7:25">
      <c r="G88" s="150"/>
      <c r="H88" s="150"/>
      <c r="I88" s="38"/>
      <c r="J88" s="158"/>
      <c r="K88" s="158"/>
      <c r="L88" s="158"/>
      <c r="M88" s="150"/>
      <c r="N88" s="150"/>
      <c r="O88" s="150"/>
      <c r="P88" s="150"/>
      <c r="Q88" s="150"/>
      <c r="R88" s="150"/>
      <c r="S88" s="150"/>
      <c r="T88" s="150"/>
      <c r="U88" s="150"/>
      <c r="V88" s="150"/>
      <c r="W88" s="150"/>
      <c r="X88" s="150"/>
      <c r="Y88" s="150"/>
    </row>
    <row r="89" spans="7:25">
      <c r="G89" s="150"/>
      <c r="H89" s="150"/>
      <c r="I89" s="38"/>
      <c r="J89" s="158"/>
      <c r="K89" s="158"/>
      <c r="L89" s="158"/>
      <c r="M89" s="150"/>
      <c r="N89" s="150"/>
      <c r="O89" s="150"/>
      <c r="P89" s="150"/>
      <c r="Q89" s="150"/>
      <c r="R89" s="150"/>
      <c r="S89" s="150"/>
      <c r="T89" s="150"/>
      <c r="U89" s="150"/>
      <c r="V89" s="150"/>
      <c r="W89" s="150"/>
      <c r="X89" s="150"/>
      <c r="Y89" s="150"/>
    </row>
    <row r="90" spans="7:25">
      <c r="I90" s="59"/>
      <c r="J90" s="158"/>
      <c r="K90" s="158"/>
      <c r="L90" s="158"/>
      <c r="M90" s="150"/>
      <c r="N90" s="150"/>
      <c r="O90" s="150"/>
      <c r="P90" s="150"/>
      <c r="Q90" s="150"/>
      <c r="R90" s="150"/>
      <c r="S90" s="150"/>
      <c r="T90" s="150"/>
      <c r="U90" s="150"/>
      <c r="V90" s="150"/>
      <c r="W90" s="150"/>
      <c r="X90" s="150"/>
      <c r="Y90" s="150"/>
    </row>
    <row r="91" spans="7:25">
      <c r="H91" s="38"/>
      <c r="I91" s="38"/>
      <c r="J91" s="158"/>
      <c r="K91" s="158"/>
      <c r="L91" s="158"/>
      <c r="M91" s="150"/>
      <c r="N91" s="150"/>
      <c r="O91" s="150"/>
      <c r="P91" s="150"/>
      <c r="Q91" s="150"/>
      <c r="R91" s="150"/>
      <c r="S91" s="150"/>
      <c r="T91" s="150"/>
      <c r="U91" s="150"/>
      <c r="V91" s="150"/>
      <c r="W91" s="150"/>
      <c r="X91" s="150"/>
      <c r="Y91" s="150"/>
    </row>
    <row r="92" spans="7:25">
      <c r="H92" s="38"/>
      <c r="I92" s="38"/>
      <c r="J92" s="38"/>
      <c r="K92" s="38"/>
      <c r="L92" s="38"/>
    </row>
    <row r="93" spans="7:25">
      <c r="H93" s="38"/>
      <c r="I93" s="66"/>
      <c r="J93" s="39"/>
      <c r="K93" s="38"/>
      <c r="L93" s="38"/>
    </row>
    <row r="94" spans="7:25">
      <c r="H94" s="59"/>
      <c r="J94" s="39"/>
      <c r="K94" s="38"/>
      <c r="L94" s="38"/>
    </row>
    <row r="95" spans="7:25">
      <c r="H95" s="38"/>
      <c r="J95" s="39"/>
      <c r="K95" s="38"/>
      <c r="L95" s="38"/>
    </row>
    <row r="96" spans="7:25">
      <c r="H96" s="38"/>
      <c r="J96" s="341"/>
      <c r="K96" s="59"/>
      <c r="L96" s="28"/>
    </row>
    <row r="97" spans="1:15">
      <c r="G97" s="66"/>
      <c r="H97" s="66"/>
      <c r="J97" s="39"/>
      <c r="K97" s="38"/>
      <c r="L97" s="38"/>
    </row>
    <row r="98" spans="1:15">
      <c r="J98" s="39"/>
      <c r="K98" s="38"/>
      <c r="L98" s="38"/>
    </row>
    <row r="99" spans="1:15">
      <c r="G99" s="30"/>
      <c r="H99" s="30"/>
      <c r="I99" s="30"/>
      <c r="J99" s="66"/>
    </row>
    <row r="100" spans="1:15">
      <c r="A100" s="1332" t="s">
        <v>337</v>
      </c>
      <c r="G100" s="1331"/>
      <c r="H100" s="1331"/>
      <c r="I100" s="1331"/>
      <c r="J100" s="1330"/>
      <c r="K100" s="1330"/>
      <c r="L100" s="1330"/>
      <c r="M100" s="1330"/>
      <c r="N100" s="1330"/>
      <c r="O100" s="1330"/>
    </row>
    <row r="101" spans="1:15">
      <c r="A101" s="1333" t="s">
        <v>338</v>
      </c>
      <c r="G101" s="1331"/>
      <c r="H101" s="1331"/>
      <c r="I101" s="1331"/>
      <c r="J101" s="1330"/>
      <c r="K101" s="1330"/>
      <c r="L101" s="1330"/>
      <c r="M101" s="1330"/>
      <c r="N101" s="1330"/>
      <c r="O101" s="1330"/>
    </row>
    <row r="102" spans="1:15">
      <c r="A102" s="1330" t="s">
        <v>1303</v>
      </c>
      <c r="G102" s="1331"/>
      <c r="H102" s="1331"/>
      <c r="I102" s="1331"/>
      <c r="J102" s="1330"/>
      <c r="K102" s="1330"/>
      <c r="L102" s="1330"/>
      <c r="M102" s="1330"/>
      <c r="N102" s="1330"/>
      <c r="O102" s="1330"/>
    </row>
    <row r="103" spans="1:15">
      <c r="A103" s="1330" t="s">
        <v>1304</v>
      </c>
      <c r="G103" s="1331"/>
      <c r="H103" s="1331"/>
      <c r="I103" s="1331"/>
      <c r="J103" s="1330"/>
      <c r="K103" s="1330"/>
      <c r="L103" s="1330"/>
      <c r="M103" s="1330"/>
      <c r="N103" s="1330"/>
      <c r="O103" s="1330"/>
    </row>
    <row r="104" spans="1:15">
      <c r="A104" s="1330" t="s">
        <v>1305</v>
      </c>
      <c r="G104" s="1330"/>
      <c r="H104" s="1330"/>
      <c r="I104" s="1330"/>
      <c r="J104" s="1330"/>
      <c r="K104" s="1330"/>
      <c r="L104" s="1330"/>
      <c r="M104" s="1330"/>
      <c r="N104" s="1330"/>
      <c r="O104" s="1330"/>
    </row>
    <row r="105" spans="1:15">
      <c r="A105" s="1330" t="s">
        <v>1306</v>
      </c>
      <c r="G105" s="1330"/>
      <c r="H105" s="1330"/>
      <c r="I105" s="1330"/>
      <c r="J105" s="1330"/>
      <c r="K105" s="1330"/>
      <c r="L105" s="1330"/>
      <c r="M105" s="1330"/>
      <c r="N105" s="1330"/>
      <c r="O105" s="1330"/>
    </row>
    <row r="106" spans="1:15">
      <c r="A106" s="1330" t="s">
        <v>1307</v>
      </c>
      <c r="G106" s="1330"/>
      <c r="H106" s="1330"/>
      <c r="I106" s="1330"/>
      <c r="J106" s="1330"/>
      <c r="K106" s="1330"/>
      <c r="L106" s="1330"/>
      <c r="M106" s="1330"/>
      <c r="N106" s="1330"/>
      <c r="O106" s="1330"/>
    </row>
    <row r="107" spans="1:15">
      <c r="A107" s="1330"/>
      <c r="G107" s="1330"/>
      <c r="H107" s="1330"/>
      <c r="I107" s="1330"/>
      <c r="J107" s="1330"/>
      <c r="K107" s="1330"/>
      <c r="L107" s="1330"/>
      <c r="M107" s="1330"/>
      <c r="N107" s="1330"/>
      <c r="O107" s="1330"/>
    </row>
    <row r="108" spans="1:15">
      <c r="A108" s="1333" t="s">
        <v>1313</v>
      </c>
      <c r="G108" s="1330"/>
      <c r="H108" s="1330"/>
      <c r="I108" s="1330"/>
      <c r="J108" s="1330"/>
      <c r="K108" s="1330"/>
      <c r="L108" s="1330"/>
      <c r="M108" s="1330"/>
      <c r="N108" s="1330"/>
      <c r="O108" s="1330"/>
    </row>
    <row r="109" spans="1:15">
      <c r="A109" s="1330" t="s">
        <v>1303</v>
      </c>
      <c r="G109" s="1330"/>
      <c r="H109" s="1330"/>
      <c r="I109" s="1330"/>
      <c r="J109" s="1330"/>
      <c r="K109" s="1330"/>
      <c r="L109" s="1330"/>
      <c r="M109" s="1330"/>
      <c r="N109" s="1330"/>
      <c r="O109" s="1330"/>
    </row>
    <row r="110" spans="1:15">
      <c r="A110" s="1330" t="s">
        <v>1304</v>
      </c>
      <c r="G110" s="1330"/>
      <c r="H110" s="1330"/>
      <c r="I110" s="1330"/>
      <c r="J110" s="1330"/>
      <c r="K110" s="1330"/>
      <c r="L110" s="1330"/>
      <c r="M110" s="1330"/>
      <c r="N110" s="1330"/>
      <c r="O110" s="1330"/>
    </row>
    <row r="111" spans="1:15">
      <c r="A111" s="1330" t="s">
        <v>1305</v>
      </c>
      <c r="G111" s="1330"/>
      <c r="H111" s="1330"/>
      <c r="I111" s="1330"/>
      <c r="J111" s="1330"/>
      <c r="K111" s="1330"/>
      <c r="L111" s="1330"/>
      <c r="M111" s="1330"/>
      <c r="N111" s="1330"/>
      <c r="O111" s="1330"/>
    </row>
    <row r="112" spans="1:15">
      <c r="A112" s="1330" t="s">
        <v>1306</v>
      </c>
      <c r="G112" s="1330"/>
      <c r="H112" s="1330"/>
      <c r="I112" s="1330"/>
      <c r="J112" s="1330"/>
      <c r="K112" s="1330"/>
      <c r="L112" s="1330"/>
      <c r="M112" s="1330"/>
      <c r="N112" s="1330"/>
      <c r="O112" s="1330"/>
    </row>
    <row r="113" spans="1:15">
      <c r="A113" s="1330" t="s">
        <v>1307</v>
      </c>
      <c r="G113" s="1330"/>
      <c r="H113" s="1330"/>
      <c r="I113" s="1330"/>
      <c r="J113" s="1330"/>
      <c r="K113" s="1330"/>
      <c r="L113" s="1330"/>
      <c r="M113" s="1330"/>
      <c r="N113" s="1330"/>
      <c r="O113" s="1330"/>
    </row>
    <row r="114" spans="1:15">
      <c r="A114" s="1330" t="s">
        <v>1268</v>
      </c>
      <c r="G114" s="1330"/>
      <c r="H114" s="1330"/>
      <c r="I114" s="1330"/>
      <c r="J114" s="1330"/>
      <c r="K114" s="1330"/>
      <c r="L114" s="1330"/>
      <c r="M114" s="1330"/>
      <c r="N114" s="1330"/>
      <c r="O114" s="1330"/>
    </row>
    <row r="115" spans="1:15">
      <c r="A115" s="1330" t="s">
        <v>1308</v>
      </c>
      <c r="G115" s="1330"/>
      <c r="H115" s="1330"/>
      <c r="I115" s="1330"/>
      <c r="J115" s="1330"/>
      <c r="K115" s="1330"/>
      <c r="L115" s="1330"/>
      <c r="M115" s="1330"/>
      <c r="N115" s="1330"/>
      <c r="O115" s="1330"/>
    </row>
    <row r="116" spans="1:15">
      <c r="A116" s="1330" t="s">
        <v>340</v>
      </c>
      <c r="G116" s="1330" t="s">
        <v>341</v>
      </c>
      <c r="H116" s="1330"/>
      <c r="I116" s="1330"/>
      <c r="J116" s="1330"/>
      <c r="K116" s="1330"/>
      <c r="L116" s="1330"/>
      <c r="M116" s="1330"/>
      <c r="N116" s="1330"/>
      <c r="O116" s="1330"/>
    </row>
    <row r="117" spans="1:15">
      <c r="A117" s="1330"/>
      <c r="G117" s="1330"/>
      <c r="H117" s="1330"/>
      <c r="I117" s="1330"/>
      <c r="J117" s="1330"/>
      <c r="K117" s="1330"/>
      <c r="L117" s="1330"/>
      <c r="M117" s="1330"/>
      <c r="N117" s="1330"/>
      <c r="O117" s="1330"/>
    </row>
    <row r="118" spans="1:15">
      <c r="A118" s="1330" t="s">
        <v>121</v>
      </c>
      <c r="G118" s="1330"/>
      <c r="H118" s="1330"/>
      <c r="I118" s="1330"/>
      <c r="J118" s="1330"/>
      <c r="K118" s="1330"/>
      <c r="L118" s="1330"/>
      <c r="M118" s="1330"/>
      <c r="N118" s="1330"/>
      <c r="O118" s="1330"/>
    </row>
    <row r="119" spans="1:15">
      <c r="A119" s="1330"/>
      <c r="G119" s="1330" t="s">
        <v>342</v>
      </c>
      <c r="H119" s="1330"/>
      <c r="I119" s="1330"/>
      <c r="J119" s="1330"/>
      <c r="K119" s="1330"/>
      <c r="L119" s="1330"/>
      <c r="M119" s="1330"/>
      <c r="N119" s="1330"/>
      <c r="O119" s="1330"/>
    </row>
    <row r="120" spans="1:15">
      <c r="A120" s="1332" t="s">
        <v>124</v>
      </c>
      <c r="G120" s="1330" t="s">
        <v>343</v>
      </c>
      <c r="H120" s="1330"/>
      <c r="I120" s="1330"/>
      <c r="J120" s="1330"/>
      <c r="K120" s="1330"/>
      <c r="L120" s="1330"/>
      <c r="M120" s="1330"/>
      <c r="N120" s="1330"/>
      <c r="O120" s="1330"/>
    </row>
    <row r="121" spans="1:15">
      <c r="A121" s="1330" t="s">
        <v>125</v>
      </c>
      <c r="G121" s="1330"/>
      <c r="H121" s="1330"/>
      <c r="I121" s="1330"/>
      <c r="J121" s="1330"/>
      <c r="K121" s="1330"/>
      <c r="L121" s="1330"/>
      <c r="M121" s="1330"/>
      <c r="N121" s="1330"/>
      <c r="O121" s="1330"/>
    </row>
    <row r="122" spans="1:15">
      <c r="A122" s="1330" t="s">
        <v>126</v>
      </c>
      <c r="G122" s="1330"/>
      <c r="H122" s="1330"/>
      <c r="I122" s="1330"/>
      <c r="J122" s="1330"/>
      <c r="K122" s="1330"/>
      <c r="L122" s="1330"/>
      <c r="M122" s="1330"/>
      <c r="N122" s="1330"/>
      <c r="O122" s="1330"/>
    </row>
    <row r="123" spans="1:15">
      <c r="A123" s="1330"/>
      <c r="G123" s="1330"/>
      <c r="H123" s="1330"/>
      <c r="I123" s="1330"/>
      <c r="J123" s="1330"/>
      <c r="K123" s="1330"/>
      <c r="L123" s="1330"/>
      <c r="M123" s="1330"/>
      <c r="N123" s="1330"/>
      <c r="O123" s="1330"/>
    </row>
    <row r="124" spans="1:15">
      <c r="A124" s="1332" t="s">
        <v>164</v>
      </c>
      <c r="G124" s="1330"/>
      <c r="H124" s="1330"/>
      <c r="I124" s="1330"/>
      <c r="J124" s="1330"/>
      <c r="K124" s="1330"/>
      <c r="L124" s="1330"/>
      <c r="M124" s="1330"/>
      <c r="N124" s="1330"/>
      <c r="O124" s="1330"/>
    </row>
    <row r="125" spans="1:15">
      <c r="A125" s="1330"/>
      <c r="G125" s="1330" t="s">
        <v>351</v>
      </c>
      <c r="H125" s="1330"/>
      <c r="I125" s="1330"/>
      <c r="J125" s="1330"/>
      <c r="K125" s="1330"/>
      <c r="L125" s="1330"/>
      <c r="M125" s="1330"/>
      <c r="N125" s="1330"/>
      <c r="O125" s="1330"/>
    </row>
    <row r="126" spans="1:15">
      <c r="A126" s="1330"/>
      <c r="G126" s="1330" t="s">
        <v>352</v>
      </c>
      <c r="H126" s="1330"/>
      <c r="I126" s="1330"/>
      <c r="J126" s="1330"/>
      <c r="K126" s="1330"/>
      <c r="L126" s="1330"/>
      <c r="M126" s="1330"/>
      <c r="N126" s="1330"/>
      <c r="O126" s="1330"/>
    </row>
    <row r="127" spans="1:15">
      <c r="A127" s="1334" t="s">
        <v>1300</v>
      </c>
      <c r="G127" s="1330"/>
      <c r="H127" s="1330"/>
      <c r="I127" s="1330"/>
      <c r="J127" s="1330"/>
      <c r="K127" s="1330"/>
      <c r="L127" s="1330"/>
      <c r="M127" s="1330"/>
      <c r="N127" s="1330"/>
      <c r="O127" s="1330"/>
    </row>
    <row r="128" spans="1:15">
      <c r="A128" s="1330" t="s">
        <v>307</v>
      </c>
      <c r="G128" s="1330"/>
      <c r="H128" s="1330"/>
      <c r="I128" s="1330"/>
      <c r="J128" s="1330"/>
      <c r="K128" s="1330"/>
      <c r="L128" s="1330"/>
      <c r="M128" s="1330"/>
      <c r="N128" s="1330"/>
      <c r="O128" s="1330"/>
    </row>
    <row r="129" spans="1:15">
      <c r="A129" s="1330" t="s">
        <v>308</v>
      </c>
      <c r="G129" s="1330" t="s">
        <v>353</v>
      </c>
      <c r="H129" s="1330"/>
      <c r="I129" s="1330"/>
      <c r="J129" s="1330"/>
      <c r="K129" s="1330"/>
      <c r="L129" s="1330"/>
      <c r="M129" s="1330"/>
      <c r="N129" s="1330"/>
      <c r="O129" s="1330"/>
    </row>
    <row r="130" spans="1:15">
      <c r="A130" s="1330" t="s">
        <v>309</v>
      </c>
      <c r="G130" s="1330"/>
      <c r="H130" s="1330"/>
      <c r="I130" s="1330"/>
      <c r="J130" s="1330"/>
      <c r="K130" s="1330"/>
      <c r="L130" s="1330"/>
      <c r="M130" s="1330"/>
      <c r="N130" s="1330"/>
      <c r="O130" s="1330"/>
    </row>
    <row r="131" spans="1:15">
      <c r="A131" s="1330" t="s">
        <v>310</v>
      </c>
      <c r="G131" s="1330"/>
      <c r="H131" s="1330"/>
      <c r="I131" s="1330"/>
      <c r="J131" s="1330"/>
      <c r="K131" s="1330"/>
      <c r="L131" s="1330"/>
      <c r="M131" s="1330"/>
      <c r="N131" s="1330"/>
      <c r="O131" s="1330"/>
    </row>
    <row r="132" spans="1:15">
      <c r="A132" s="1330" t="s">
        <v>311</v>
      </c>
      <c r="G132" s="1330"/>
      <c r="H132" s="1330"/>
      <c r="I132" s="1330"/>
      <c r="J132" s="1330"/>
      <c r="K132" s="1330"/>
      <c r="L132" s="1330"/>
      <c r="M132" s="1330"/>
      <c r="N132" s="1330"/>
      <c r="O132" s="1330"/>
    </row>
    <row r="133" spans="1:15">
      <c r="A133" s="1330" t="s">
        <v>312</v>
      </c>
      <c r="G133" s="1330"/>
      <c r="H133" s="1330"/>
      <c r="I133" s="1330"/>
      <c r="J133" s="1330"/>
      <c r="K133" s="1330"/>
      <c r="L133" s="1330"/>
      <c r="M133" s="1330"/>
      <c r="N133" s="1330"/>
      <c r="O133" s="1330"/>
    </row>
    <row r="134" spans="1:15">
      <c r="A134" s="1330" t="s">
        <v>313</v>
      </c>
      <c r="G134" s="1330" t="s">
        <v>354</v>
      </c>
      <c r="H134" s="1330"/>
      <c r="I134" s="1330"/>
      <c r="J134" s="1330"/>
      <c r="K134" s="1330"/>
      <c r="L134" s="1330"/>
      <c r="M134" s="1330"/>
      <c r="N134" s="1330"/>
      <c r="O134" s="1330"/>
    </row>
    <row r="135" spans="1:15">
      <c r="A135" s="1330" t="s">
        <v>314</v>
      </c>
      <c r="G135" s="1330"/>
      <c r="H135" s="1330"/>
      <c r="I135" s="1330"/>
      <c r="J135" s="1330"/>
      <c r="K135" s="1330"/>
      <c r="L135" s="1330"/>
      <c r="M135" s="1330"/>
      <c r="N135" s="1330"/>
      <c r="O135" s="1330"/>
    </row>
    <row r="136" spans="1:15">
      <c r="A136" s="1330" t="s">
        <v>315</v>
      </c>
      <c r="G136" s="1330" t="s">
        <v>355</v>
      </c>
      <c r="H136" s="1330"/>
      <c r="I136" s="1330"/>
      <c r="J136" s="1330"/>
      <c r="K136" s="1330"/>
      <c r="L136" s="1330"/>
      <c r="M136" s="1330"/>
      <c r="N136" s="1330"/>
      <c r="O136" s="1330"/>
    </row>
    <row r="137" spans="1:15">
      <c r="A137" s="1330" t="s">
        <v>316</v>
      </c>
      <c r="G137" s="1330" t="s">
        <v>356</v>
      </c>
      <c r="H137" s="1330"/>
      <c r="I137" s="1330"/>
      <c r="J137" s="1330"/>
      <c r="K137" s="1330"/>
      <c r="L137" s="1330"/>
      <c r="M137" s="1330"/>
      <c r="N137" s="1330"/>
      <c r="O137" s="1330"/>
    </row>
    <row r="138" spans="1:15">
      <c r="A138" s="1330" t="s">
        <v>317</v>
      </c>
      <c r="G138" s="1330"/>
      <c r="H138" s="1330"/>
      <c r="I138" s="1330"/>
      <c r="J138" s="1330"/>
      <c r="K138" s="1330"/>
      <c r="L138" s="1330"/>
      <c r="M138" s="1330"/>
      <c r="N138" s="1330"/>
      <c r="O138" s="1330"/>
    </row>
    <row r="139" spans="1:15">
      <c r="A139" s="1330" t="s">
        <v>318</v>
      </c>
      <c r="G139" s="1330"/>
      <c r="H139" s="1330"/>
      <c r="I139" s="1330"/>
      <c r="J139" s="1330"/>
      <c r="K139" s="1330"/>
      <c r="L139" s="1330"/>
      <c r="M139" s="1330"/>
      <c r="N139" s="1330"/>
      <c r="O139" s="1330"/>
    </row>
    <row r="140" spans="1:15">
      <c r="A140" s="1330"/>
      <c r="G140" s="1330"/>
      <c r="H140" s="1330"/>
      <c r="I140" s="1330"/>
      <c r="J140" s="1330"/>
      <c r="K140" s="1330"/>
      <c r="L140" s="1330"/>
      <c r="M140" s="1330"/>
      <c r="N140" s="1330"/>
      <c r="O140" s="1330"/>
    </row>
    <row r="141" spans="1:15">
      <c r="A141" s="1332" t="s">
        <v>1302</v>
      </c>
      <c r="G141" s="1330" t="s">
        <v>351</v>
      </c>
      <c r="H141" s="1330"/>
      <c r="I141" s="1330"/>
      <c r="J141" s="1330"/>
      <c r="K141" s="1330"/>
      <c r="L141" s="1330"/>
      <c r="M141" s="1330"/>
      <c r="N141" s="1330"/>
      <c r="O141" s="1330"/>
    </row>
    <row r="142" spans="1:15">
      <c r="A142" s="1330"/>
      <c r="G142" s="1330" t="s">
        <v>357</v>
      </c>
      <c r="H142" s="1330"/>
      <c r="I142" s="1330"/>
      <c r="J142" s="1330"/>
      <c r="K142" s="1330"/>
      <c r="L142" s="1330"/>
      <c r="M142" s="1330"/>
      <c r="N142" s="1330"/>
      <c r="O142" s="1330"/>
    </row>
    <row r="143" spans="1:15">
      <c r="A143" s="1334" t="s">
        <v>1301</v>
      </c>
      <c r="G143" s="1330"/>
      <c r="H143" s="1330"/>
      <c r="I143" s="1330"/>
      <c r="J143" s="1330"/>
      <c r="K143" s="1330"/>
      <c r="L143" s="1330"/>
      <c r="M143" s="1330"/>
      <c r="N143" s="1330"/>
      <c r="O143" s="1330"/>
    </row>
    <row r="144" spans="1:15">
      <c r="A144" s="1330" t="s">
        <v>1273</v>
      </c>
      <c r="G144" s="1330" t="s">
        <v>356</v>
      </c>
      <c r="H144" s="1330"/>
      <c r="I144" s="1330"/>
      <c r="J144" s="1330"/>
      <c r="K144" s="1330"/>
      <c r="L144" s="1330"/>
      <c r="M144" s="1330"/>
      <c r="N144" s="1330"/>
      <c r="O144" s="1330"/>
    </row>
    <row r="145" spans="1:15">
      <c r="A145" s="1330" t="s">
        <v>1318</v>
      </c>
      <c r="G145" s="1330" t="s">
        <v>358</v>
      </c>
      <c r="H145" s="1330"/>
      <c r="I145" s="1330"/>
      <c r="J145" s="1330"/>
      <c r="K145" s="1330"/>
      <c r="L145" s="1330"/>
      <c r="M145" s="1330"/>
      <c r="N145" s="1330"/>
      <c r="O145" s="1330"/>
    </row>
    <row r="146" spans="1:15">
      <c r="A146" s="1330" t="s">
        <v>1319</v>
      </c>
      <c r="G146" s="1330" t="s">
        <v>359</v>
      </c>
      <c r="H146" s="1330"/>
      <c r="I146" s="1330"/>
      <c r="J146" s="1330"/>
      <c r="K146" s="1330"/>
      <c r="L146" s="1330"/>
      <c r="M146" s="1330"/>
      <c r="N146" s="1330"/>
      <c r="O146" s="1330"/>
    </row>
    <row r="147" spans="1:15">
      <c r="A147" s="1330" t="s">
        <v>1317</v>
      </c>
      <c r="G147" s="1330"/>
      <c r="H147" s="1330"/>
      <c r="I147" s="1330"/>
      <c r="J147" s="1330"/>
      <c r="K147" s="1330"/>
      <c r="L147" s="1330"/>
      <c r="M147" s="1330"/>
      <c r="N147" s="1330"/>
      <c r="O147" s="1330"/>
    </row>
    <row r="148" spans="1:15">
      <c r="A148" s="1330" t="s">
        <v>1316</v>
      </c>
      <c r="G148" s="1330"/>
      <c r="H148" s="1330"/>
      <c r="I148" s="1330"/>
      <c r="J148" s="1330"/>
      <c r="K148" s="1330"/>
      <c r="L148" s="1330"/>
      <c r="M148" s="1330"/>
      <c r="N148" s="1330"/>
      <c r="O148" s="1330"/>
    </row>
    <row r="149" spans="1:15">
      <c r="A149" s="1330" t="s">
        <v>160</v>
      </c>
      <c r="G149" s="1330" t="s">
        <v>373</v>
      </c>
      <c r="H149" s="1330"/>
      <c r="I149" s="1330"/>
      <c r="J149" s="1330"/>
      <c r="K149" s="1330"/>
      <c r="L149" s="1330"/>
      <c r="M149" s="1330"/>
      <c r="N149" s="1330"/>
      <c r="O149" s="1330"/>
    </row>
    <row r="150" spans="1:15">
      <c r="A150" s="1334" t="s">
        <v>1323</v>
      </c>
      <c r="G150" s="1330"/>
      <c r="H150" s="1330"/>
      <c r="I150" s="1330"/>
      <c r="J150" s="1330"/>
      <c r="K150" s="1330"/>
      <c r="L150" s="1330"/>
      <c r="M150" s="1330"/>
      <c r="N150" s="1330"/>
      <c r="O150" s="1330"/>
    </row>
    <row r="151" spans="1:15">
      <c r="A151" s="1330" t="s">
        <v>348</v>
      </c>
      <c r="G151" s="1330" t="s">
        <v>374</v>
      </c>
      <c r="H151" s="1330"/>
      <c r="I151" s="1330"/>
      <c r="J151" s="1330"/>
      <c r="K151" s="1330"/>
      <c r="L151" s="1330"/>
      <c r="M151" s="1330"/>
      <c r="N151" s="1330"/>
      <c r="O151" s="1330"/>
    </row>
    <row r="152" spans="1:15">
      <c r="A152" s="1330" t="s">
        <v>1314</v>
      </c>
      <c r="G152" s="1330"/>
      <c r="H152" s="1330"/>
      <c r="I152" s="1330"/>
      <c r="J152" s="1330"/>
      <c r="K152" s="1330"/>
      <c r="L152" s="1330"/>
      <c r="M152" s="1330"/>
      <c r="N152" s="1330"/>
      <c r="O152" s="1330"/>
    </row>
    <row r="153" spans="1:15">
      <c r="A153" s="1330" t="s">
        <v>349</v>
      </c>
      <c r="G153" s="1330"/>
      <c r="H153" s="1330"/>
      <c r="I153" s="1330"/>
      <c r="J153" s="1330"/>
      <c r="K153" s="1330"/>
      <c r="L153" s="1330"/>
      <c r="M153" s="1330"/>
      <c r="N153" s="1330"/>
      <c r="O153" s="1330"/>
    </row>
    <row r="154" spans="1:15">
      <c r="A154" s="1330" t="s">
        <v>1315</v>
      </c>
      <c r="G154" s="1330"/>
      <c r="H154" s="1330"/>
      <c r="I154" s="1330"/>
      <c r="J154" s="1330"/>
      <c r="K154" s="1330"/>
      <c r="L154" s="1330"/>
      <c r="M154" s="1330"/>
      <c r="N154" s="1330"/>
      <c r="O154" s="1330"/>
    </row>
    <row r="155" spans="1:15">
      <c r="A155" s="1330"/>
      <c r="G155" s="1330"/>
      <c r="H155" s="1330"/>
      <c r="I155" s="1330"/>
      <c r="J155" s="1330"/>
      <c r="K155" s="1330"/>
      <c r="L155" s="1330"/>
      <c r="M155" s="1330"/>
      <c r="N155" s="1330"/>
      <c r="O155" s="1330"/>
    </row>
    <row r="156" spans="1:15">
      <c r="A156" s="1332" t="s">
        <v>1274</v>
      </c>
      <c r="G156" s="1330"/>
      <c r="H156" s="1330"/>
      <c r="I156" s="1330"/>
      <c r="J156" s="1330"/>
      <c r="K156" s="1330"/>
      <c r="L156" s="1330"/>
      <c r="M156" s="1330"/>
      <c r="N156" s="1330"/>
      <c r="O156" s="1330"/>
    </row>
    <row r="157" spans="1:15">
      <c r="A157" s="1332"/>
      <c r="G157" s="1330" t="s">
        <v>360</v>
      </c>
      <c r="H157" s="1330"/>
      <c r="I157" s="1330"/>
      <c r="J157" s="1330"/>
      <c r="K157" s="1330"/>
      <c r="L157" s="1330"/>
      <c r="M157" s="1330"/>
      <c r="N157" s="1330"/>
      <c r="O157" s="1330"/>
    </row>
    <row r="158" spans="1:15">
      <c r="A158" s="1332" t="s">
        <v>1275</v>
      </c>
      <c r="G158" s="1330" t="s">
        <v>356</v>
      </c>
      <c r="H158" s="1330"/>
      <c r="I158" s="1330"/>
      <c r="J158" s="1330"/>
      <c r="K158" s="1330"/>
      <c r="L158" s="1330"/>
      <c r="M158" s="1330"/>
      <c r="N158" s="1330"/>
      <c r="O158" s="1330"/>
    </row>
    <row r="159" spans="1:15">
      <c r="A159" s="1330" t="s">
        <v>1297</v>
      </c>
      <c r="G159" s="1330" t="s">
        <v>361</v>
      </c>
      <c r="H159" s="1330"/>
      <c r="I159" s="1330"/>
      <c r="J159" s="1330"/>
      <c r="K159" s="1330"/>
      <c r="L159" s="1330"/>
      <c r="M159" s="1330"/>
      <c r="N159" s="1330"/>
      <c r="O159" s="1330"/>
    </row>
    <row r="160" spans="1:15">
      <c r="A160" s="1330" t="s">
        <v>1320</v>
      </c>
      <c r="G160" s="1330"/>
      <c r="H160" s="1330"/>
      <c r="I160" s="1330"/>
      <c r="J160" s="1330"/>
      <c r="K160" s="1330"/>
      <c r="L160" s="1330"/>
      <c r="M160" s="1330"/>
      <c r="N160" s="1330"/>
      <c r="O160" s="1330"/>
    </row>
    <row r="161" spans="1:16">
      <c r="A161" s="1330" t="s">
        <v>1322</v>
      </c>
      <c r="G161" s="1330" t="s">
        <v>362</v>
      </c>
      <c r="H161" s="1330"/>
      <c r="I161" s="1330"/>
      <c r="J161" s="1330"/>
      <c r="K161" s="1330"/>
      <c r="L161" s="1330"/>
      <c r="M161" s="1330"/>
      <c r="N161" s="1330"/>
      <c r="O161" s="1330"/>
    </row>
    <row r="162" spans="1:16">
      <c r="A162" s="1330" t="s">
        <v>1321</v>
      </c>
      <c r="G162" s="1330"/>
      <c r="H162" s="1330"/>
      <c r="I162" s="1330"/>
      <c r="J162" s="1330"/>
      <c r="K162" s="1330"/>
      <c r="L162" s="1330"/>
      <c r="M162" s="1330"/>
      <c r="N162" s="1330"/>
      <c r="O162" s="1330"/>
    </row>
    <row r="163" spans="1:16">
      <c r="A163" s="1330"/>
      <c r="G163" s="1330"/>
      <c r="H163" s="1330"/>
      <c r="I163" s="1330"/>
      <c r="J163" s="1330"/>
      <c r="K163" s="1330"/>
      <c r="L163" s="1330"/>
      <c r="M163" s="1330"/>
      <c r="N163" s="1330"/>
      <c r="O163" s="1330"/>
    </row>
    <row r="164" spans="1:16">
      <c r="A164" s="1330"/>
      <c r="G164" s="1330"/>
      <c r="H164" s="1330"/>
      <c r="I164" s="1330"/>
      <c r="J164" s="1330"/>
      <c r="K164" s="1330"/>
      <c r="L164" s="1330"/>
      <c r="M164" s="1330"/>
      <c r="N164" s="1330"/>
      <c r="O164" s="1330"/>
    </row>
    <row r="165" spans="1:16">
      <c r="A165" s="1330" t="s">
        <v>1276</v>
      </c>
      <c r="G165" s="1330"/>
      <c r="H165" s="1330"/>
      <c r="I165" s="1330"/>
      <c r="J165" s="1330"/>
      <c r="K165" s="1330"/>
      <c r="L165" s="1330"/>
      <c r="M165" s="1330"/>
      <c r="N165" s="1330"/>
      <c r="O165" s="1330"/>
    </row>
    <row r="166" spans="1:16">
      <c r="A166" s="1330" t="s">
        <v>158</v>
      </c>
      <c r="G166" s="1330" t="s">
        <v>363</v>
      </c>
      <c r="H166" s="1330"/>
      <c r="I166" s="1330"/>
      <c r="J166" s="1330"/>
      <c r="K166" s="1330"/>
      <c r="L166" s="1330"/>
      <c r="M166" s="1330"/>
      <c r="N166" s="1330"/>
      <c r="O166" s="1330"/>
    </row>
    <row r="167" spans="1:16">
      <c r="A167" s="1330" t="s">
        <v>161</v>
      </c>
      <c r="G167" s="1330"/>
      <c r="H167" s="1330"/>
      <c r="I167" s="1330"/>
      <c r="J167" s="1330"/>
      <c r="K167" s="1330"/>
      <c r="L167" s="1330"/>
      <c r="M167" s="1330"/>
      <c r="N167" s="1330"/>
      <c r="O167" s="1330"/>
    </row>
    <row r="168" spans="1:16">
      <c r="A168" s="1330" t="s">
        <v>350</v>
      </c>
      <c r="G168" s="1330"/>
      <c r="H168" s="1330"/>
      <c r="I168" s="1330"/>
      <c r="J168" s="1330"/>
      <c r="K168" s="1330"/>
      <c r="L168" s="1330"/>
      <c r="M168" s="1330"/>
      <c r="N168" s="1330"/>
      <c r="O168" s="1330"/>
    </row>
    <row r="169" spans="1:16">
      <c r="A169" s="1330"/>
      <c r="G169" s="1330"/>
      <c r="H169" s="1330"/>
      <c r="I169" s="1330"/>
      <c r="J169" s="1330"/>
      <c r="K169" s="1330"/>
      <c r="L169" s="1330"/>
      <c r="M169" s="1330"/>
      <c r="N169" s="1330"/>
      <c r="O169" s="1330"/>
    </row>
    <row r="170" spans="1:16">
      <c r="A170" s="1330"/>
      <c r="G170" s="1330" t="s">
        <v>365</v>
      </c>
      <c r="H170" s="1330"/>
      <c r="I170" s="1330"/>
      <c r="J170" s="1330"/>
      <c r="K170" s="1330"/>
      <c r="L170" s="1330"/>
      <c r="M170" s="1330"/>
      <c r="N170" s="1330"/>
      <c r="O170" s="1330"/>
    </row>
    <row r="171" spans="1:16">
      <c r="A171" s="1334" t="s">
        <v>1340</v>
      </c>
      <c r="G171" s="1330"/>
      <c r="H171" s="1330"/>
      <c r="I171" s="1330"/>
      <c r="J171" s="1330"/>
      <c r="K171" s="1330"/>
      <c r="L171" s="1330"/>
      <c r="M171" s="1330"/>
      <c r="N171" s="1330"/>
      <c r="O171" s="1330"/>
      <c r="P171" s="28"/>
    </row>
    <row r="172" spans="1:16">
      <c r="A172" s="1330" t="s">
        <v>1359</v>
      </c>
      <c r="G172" s="1330"/>
      <c r="H172" s="1330"/>
      <c r="I172" s="1330"/>
      <c r="J172" s="1330"/>
      <c r="K172" s="1330"/>
      <c r="L172" s="1330"/>
      <c r="M172" s="1330"/>
      <c r="N172" s="1330"/>
      <c r="O172" s="1330"/>
      <c r="P172" s="28"/>
    </row>
    <row r="173" spans="1:16">
      <c r="A173" s="1330" t="s">
        <v>1351</v>
      </c>
      <c r="G173" s="1330"/>
      <c r="H173" s="1330"/>
      <c r="I173" s="1330"/>
      <c r="J173" s="1330"/>
      <c r="K173" s="1330"/>
      <c r="L173" s="1330"/>
      <c r="M173" s="1330"/>
      <c r="N173" s="1330"/>
      <c r="O173" s="1330"/>
      <c r="P173" s="28"/>
    </row>
    <row r="174" spans="1:16">
      <c r="A174" s="1330" t="s">
        <v>1353</v>
      </c>
      <c r="G174" s="1330"/>
      <c r="H174" s="1330"/>
      <c r="I174" s="1330"/>
      <c r="J174" s="1330"/>
      <c r="K174" s="1330"/>
      <c r="L174" s="1330"/>
      <c r="M174" s="1330"/>
      <c r="N174" s="1330"/>
      <c r="O174" s="1330"/>
      <c r="P174" s="28"/>
    </row>
    <row r="175" spans="1:16">
      <c r="A175" s="1330" t="s">
        <v>1354</v>
      </c>
      <c r="G175" s="1330" t="s">
        <v>366</v>
      </c>
      <c r="H175" s="1330"/>
      <c r="I175" s="1330"/>
      <c r="J175" s="1330"/>
      <c r="K175" s="1330"/>
      <c r="L175" s="1330"/>
      <c r="M175" s="1330"/>
      <c r="N175" s="1330"/>
      <c r="O175" s="1330"/>
      <c r="P175" s="28"/>
    </row>
    <row r="176" spans="1:16">
      <c r="A176" s="1330" t="s">
        <v>1355</v>
      </c>
      <c r="G176" s="1330" t="s">
        <v>367</v>
      </c>
      <c r="H176" s="1330"/>
      <c r="I176" s="1330"/>
      <c r="J176" s="1330"/>
      <c r="K176" s="1330"/>
      <c r="L176" s="1330"/>
      <c r="M176" s="1330"/>
      <c r="N176" s="1330"/>
      <c r="O176" s="1330"/>
      <c r="P176" s="28"/>
    </row>
    <row r="177" spans="1:16">
      <c r="A177" s="1330" t="s">
        <v>1356</v>
      </c>
      <c r="G177" s="1330"/>
      <c r="H177" s="1330"/>
      <c r="I177" s="1330"/>
      <c r="J177" s="1330"/>
      <c r="K177" s="1330"/>
      <c r="L177" s="1330"/>
      <c r="M177" s="1330"/>
      <c r="N177" s="1330"/>
      <c r="O177" s="1330"/>
      <c r="P177" s="28"/>
    </row>
    <row r="178" spans="1:16">
      <c r="A178" s="1330" t="s">
        <v>1352</v>
      </c>
      <c r="G178" s="1330"/>
      <c r="H178" s="1330"/>
      <c r="I178" s="1330"/>
      <c r="J178" s="1330"/>
      <c r="K178" s="1330"/>
      <c r="L178" s="1330"/>
      <c r="M178" s="1330"/>
      <c r="N178" s="1330"/>
      <c r="O178" s="1330"/>
      <c r="P178" s="28"/>
    </row>
    <row r="179" spans="1:16">
      <c r="A179" s="1330" t="s">
        <v>1357</v>
      </c>
      <c r="G179" s="1330"/>
      <c r="H179" s="1330"/>
      <c r="I179" s="1330"/>
      <c r="J179" s="1330"/>
      <c r="K179" s="1330"/>
      <c r="L179" s="1330"/>
      <c r="M179" s="1330"/>
      <c r="N179" s="1330"/>
      <c r="O179" s="1330"/>
      <c r="P179" s="28"/>
    </row>
    <row r="180" spans="1:16">
      <c r="A180" s="1330" t="s">
        <v>1358</v>
      </c>
      <c r="G180" s="1330"/>
      <c r="H180" s="1330"/>
      <c r="I180" s="1330"/>
      <c r="J180" s="1330"/>
      <c r="K180" s="1330"/>
      <c r="L180" s="1330"/>
      <c r="M180" s="1330"/>
      <c r="N180" s="1330"/>
      <c r="O180" s="1330"/>
      <c r="P180" s="28"/>
    </row>
    <row r="181" spans="1:16">
      <c r="A181" s="1330"/>
      <c r="G181" s="1330" t="s">
        <v>368</v>
      </c>
      <c r="H181" s="1330"/>
      <c r="I181" s="1330"/>
      <c r="J181" s="1330"/>
      <c r="K181" s="1330"/>
      <c r="L181" s="1330"/>
      <c r="M181" s="1330"/>
      <c r="N181" s="1330"/>
      <c r="O181" s="1330"/>
      <c r="P181" s="28"/>
    </row>
    <row r="182" spans="1:16">
      <c r="A182" s="1334" t="s">
        <v>1362</v>
      </c>
      <c r="G182" s="1330"/>
      <c r="H182" s="1330"/>
      <c r="I182" s="1330"/>
      <c r="J182" s="1330"/>
      <c r="K182" s="1330"/>
      <c r="L182" s="1330"/>
      <c r="M182" s="1330"/>
      <c r="N182" s="1330"/>
      <c r="O182" s="1330"/>
      <c r="P182" s="28"/>
    </row>
    <row r="183" spans="1:16">
      <c r="A183" s="1330" t="s">
        <v>1363</v>
      </c>
      <c r="G183" s="1330"/>
      <c r="H183" s="1330"/>
      <c r="I183" s="1330"/>
      <c r="J183" s="1330"/>
      <c r="K183" s="1330"/>
      <c r="L183" s="1330"/>
      <c r="M183" s="1330"/>
      <c r="N183" s="1330"/>
      <c r="O183" s="1330"/>
      <c r="P183" s="28"/>
    </row>
    <row r="184" spans="1:16">
      <c r="A184" s="1330" t="s">
        <v>1351</v>
      </c>
      <c r="G184" s="1330"/>
      <c r="H184" s="1330"/>
      <c r="I184" s="1330"/>
      <c r="J184" s="1330"/>
      <c r="K184" s="1330"/>
      <c r="L184" s="1330"/>
      <c r="M184" s="1330"/>
      <c r="N184" s="1330"/>
      <c r="O184" s="1330"/>
      <c r="P184" s="28"/>
    </row>
    <row r="185" spans="1:16">
      <c r="A185" s="1330" t="s">
        <v>1353</v>
      </c>
      <c r="G185" s="1330"/>
      <c r="H185" s="1330"/>
      <c r="I185" s="1330"/>
      <c r="J185" s="1330"/>
      <c r="K185" s="1330"/>
      <c r="L185" s="1330"/>
      <c r="M185" s="1330"/>
      <c r="N185" s="1330"/>
      <c r="O185" s="1330"/>
      <c r="P185" s="28"/>
    </row>
    <row r="186" spans="1:16">
      <c r="A186" s="1330" t="s">
        <v>1354</v>
      </c>
      <c r="G186" s="1330"/>
      <c r="H186" s="1330"/>
      <c r="I186" s="1330"/>
      <c r="J186" s="1330"/>
      <c r="K186" s="1330"/>
      <c r="L186" s="1330"/>
      <c r="M186" s="1330"/>
      <c r="N186" s="1330"/>
      <c r="O186" s="1330"/>
      <c r="P186" s="28"/>
    </row>
    <row r="187" spans="1:16">
      <c r="A187" s="1330" t="s">
        <v>1355</v>
      </c>
      <c r="G187" s="1330"/>
      <c r="H187" s="1330"/>
      <c r="I187" s="1330"/>
      <c r="J187" s="1330"/>
      <c r="K187" s="1330"/>
      <c r="L187" s="1330"/>
      <c r="M187" s="1330"/>
      <c r="N187" s="1330"/>
      <c r="O187" s="1330"/>
      <c r="P187" s="28"/>
    </row>
    <row r="188" spans="1:16">
      <c r="A188" s="1330" t="s">
        <v>1356</v>
      </c>
      <c r="G188" s="1330"/>
      <c r="H188" s="1330"/>
      <c r="I188" s="1330"/>
      <c r="J188" s="1330"/>
      <c r="K188" s="1330"/>
      <c r="L188" s="1330"/>
      <c r="M188" s="1330"/>
      <c r="N188" s="1330"/>
      <c r="O188" s="1330"/>
      <c r="P188" s="28"/>
    </row>
    <row r="189" spans="1:16">
      <c r="A189" s="1330" t="s">
        <v>1352</v>
      </c>
      <c r="G189" s="1330"/>
      <c r="H189" s="1330"/>
      <c r="I189" s="1330"/>
      <c r="J189" s="1330"/>
      <c r="K189" s="1330"/>
      <c r="L189" s="1330"/>
      <c r="M189" s="1330"/>
      <c r="N189" s="1330"/>
      <c r="O189" s="1330"/>
      <c r="P189" s="28"/>
    </row>
    <row r="190" spans="1:16">
      <c r="A190" s="1330" t="s">
        <v>1357</v>
      </c>
      <c r="G190" s="1330"/>
      <c r="H190" s="1330"/>
      <c r="I190" s="1330"/>
      <c r="J190" s="1330"/>
      <c r="K190" s="1330"/>
      <c r="L190" s="1330"/>
      <c r="M190" s="1330"/>
      <c r="N190" s="1330"/>
      <c r="O190" s="1330"/>
      <c r="P190" s="28"/>
    </row>
    <row r="191" spans="1:16">
      <c r="A191" s="1330" t="s">
        <v>1358</v>
      </c>
      <c r="G191" s="1330"/>
      <c r="H191" s="1330"/>
      <c r="I191" s="1330"/>
      <c r="J191" s="1330"/>
      <c r="K191" s="1330"/>
      <c r="L191" s="1330"/>
      <c r="M191" s="1330"/>
      <c r="N191" s="1330"/>
      <c r="O191" s="1330"/>
      <c r="P191" s="28"/>
    </row>
    <row r="192" spans="1:16">
      <c r="A192" s="1330"/>
      <c r="G192" s="1330"/>
      <c r="H192" s="1330"/>
      <c r="I192" s="1330"/>
      <c r="J192" s="1330"/>
      <c r="K192" s="1330"/>
      <c r="L192" s="1330"/>
      <c r="M192" s="1330"/>
      <c r="N192" s="1330"/>
      <c r="O192" s="1330"/>
      <c r="P192" s="28"/>
    </row>
    <row r="193" spans="1:16">
      <c r="A193" s="1334" t="s">
        <v>1364</v>
      </c>
      <c r="G193" s="1330"/>
      <c r="H193" s="1330"/>
      <c r="I193" s="1330"/>
      <c r="J193" s="1330"/>
      <c r="K193" s="1330"/>
      <c r="L193" s="1330"/>
      <c r="M193" s="1330"/>
      <c r="N193" s="1330"/>
      <c r="O193" s="1330"/>
      <c r="P193" s="28"/>
    </row>
    <row r="194" spans="1:16">
      <c r="A194" s="1330" t="s">
        <v>1365</v>
      </c>
      <c r="G194" s="1330"/>
      <c r="H194" s="1330"/>
      <c r="I194" s="1330"/>
      <c r="J194" s="1330"/>
      <c r="K194" s="1330"/>
      <c r="L194" s="1330"/>
      <c r="M194" s="1330"/>
      <c r="N194" s="1330"/>
      <c r="O194" s="1330"/>
      <c r="P194" s="28"/>
    </row>
    <row r="195" spans="1:16">
      <c r="A195" s="1330" t="s">
        <v>119</v>
      </c>
      <c r="G195" s="1330"/>
      <c r="H195" s="1330"/>
      <c r="I195" s="1330"/>
      <c r="J195" s="1330"/>
      <c r="K195" s="1330"/>
      <c r="L195" s="1330"/>
      <c r="M195" s="1330"/>
      <c r="N195" s="1330"/>
      <c r="O195" s="1330"/>
      <c r="P195" s="28"/>
    </row>
    <row r="196" spans="1:16">
      <c r="A196" s="1330" t="s">
        <v>1366</v>
      </c>
      <c r="G196" s="1330"/>
      <c r="H196" s="1330"/>
      <c r="I196" s="1330"/>
      <c r="J196" s="1330"/>
      <c r="K196" s="1330"/>
      <c r="L196" s="1330"/>
      <c r="M196" s="1330"/>
      <c r="N196" s="1330"/>
      <c r="O196" s="1330"/>
      <c r="P196" s="28"/>
    </row>
    <row r="197" spans="1:16">
      <c r="A197" s="1330" t="s">
        <v>1367</v>
      </c>
      <c r="G197" s="1330"/>
      <c r="H197" s="1330"/>
      <c r="I197" s="1330"/>
      <c r="J197" s="1330"/>
      <c r="K197" s="1330"/>
      <c r="L197" s="1330"/>
      <c r="M197" s="1330"/>
      <c r="N197" s="1330"/>
      <c r="O197" s="1330"/>
      <c r="P197" s="28"/>
    </row>
    <row r="198" spans="1:16">
      <c r="A198" s="1330" t="s">
        <v>120</v>
      </c>
      <c r="G198" s="1330"/>
      <c r="H198" s="1330"/>
      <c r="I198" s="1330"/>
      <c r="J198" s="1330"/>
      <c r="K198" s="1330"/>
      <c r="L198" s="1330"/>
      <c r="M198" s="1330"/>
      <c r="N198" s="1330"/>
      <c r="O198" s="1330"/>
      <c r="P198" s="28"/>
    </row>
    <row r="199" spans="1:16">
      <c r="A199" s="1330" t="s">
        <v>1368</v>
      </c>
      <c r="G199" s="1330"/>
      <c r="H199" s="1330"/>
      <c r="I199" s="1330"/>
      <c r="J199" s="1330"/>
      <c r="K199" s="1330"/>
      <c r="L199" s="1330"/>
      <c r="M199" s="1330"/>
      <c r="N199" s="1330"/>
      <c r="O199" s="1330"/>
      <c r="P199" s="28"/>
    </row>
    <row r="200" spans="1:16">
      <c r="A200" s="1330" t="s">
        <v>119</v>
      </c>
      <c r="G200" s="1330"/>
      <c r="H200" s="1330"/>
      <c r="I200" s="1330"/>
      <c r="J200" s="1330"/>
      <c r="K200" s="1330"/>
      <c r="L200" s="1330"/>
      <c r="M200" s="1330"/>
      <c r="N200" s="1330"/>
      <c r="O200" s="1330"/>
      <c r="P200" s="28"/>
    </row>
    <row r="201" spans="1:16">
      <c r="A201" s="1330" t="s">
        <v>1366</v>
      </c>
      <c r="G201" s="1330"/>
      <c r="H201" s="1330"/>
      <c r="I201" s="1330"/>
      <c r="J201" s="1330"/>
      <c r="K201" s="1330"/>
      <c r="L201" s="1330"/>
      <c r="M201" s="1330"/>
      <c r="N201" s="1330"/>
      <c r="O201" s="1330"/>
      <c r="P201" s="28"/>
    </row>
    <row r="202" spans="1:16">
      <c r="A202" s="1330" t="s">
        <v>1367</v>
      </c>
      <c r="G202" s="1330"/>
      <c r="H202" s="1330"/>
      <c r="I202" s="1330"/>
      <c r="J202" s="1330"/>
      <c r="K202" s="1330"/>
      <c r="L202" s="1330"/>
      <c r="M202" s="1330"/>
      <c r="N202" s="1330"/>
      <c r="O202" s="1330"/>
      <c r="P202" s="28"/>
    </row>
    <row r="203" spans="1:16">
      <c r="A203" s="1330" t="s">
        <v>120</v>
      </c>
      <c r="G203" s="1330"/>
      <c r="H203" s="1330"/>
      <c r="I203" s="1330"/>
      <c r="J203" s="1330"/>
      <c r="K203" s="1330"/>
      <c r="L203" s="1330"/>
      <c r="M203" s="1330"/>
      <c r="N203" s="1330"/>
      <c r="O203" s="1330"/>
      <c r="P203" s="28"/>
    </row>
    <row r="204" spans="1:16">
      <c r="A204" s="1330"/>
      <c r="G204" s="1330"/>
      <c r="H204" s="1330"/>
      <c r="I204" s="1330"/>
      <c r="J204" s="1330"/>
      <c r="K204" s="1330"/>
      <c r="L204" s="1330"/>
      <c r="M204" s="1330"/>
      <c r="N204" s="1330"/>
      <c r="O204" s="1330"/>
      <c r="P204" s="28"/>
    </row>
    <row r="205" spans="1:16">
      <c r="A205" s="1330" t="s">
        <v>364</v>
      </c>
      <c r="G205" s="1330"/>
      <c r="H205" s="1330"/>
      <c r="I205" s="1330"/>
      <c r="J205" s="1330"/>
      <c r="K205" s="1330"/>
      <c r="L205" s="1330"/>
      <c r="M205" s="1330"/>
      <c r="N205" s="1330"/>
      <c r="O205" s="1330"/>
      <c r="P205" s="28"/>
    </row>
    <row r="206" spans="1:16">
      <c r="A206" s="1330"/>
      <c r="G206" s="1330"/>
      <c r="H206" s="1330"/>
      <c r="I206" s="1330"/>
      <c r="J206" s="1330"/>
      <c r="K206" s="1330"/>
      <c r="L206" s="1330"/>
      <c r="M206" s="1330"/>
      <c r="N206" s="1330"/>
      <c r="O206" s="1330"/>
    </row>
    <row r="207" spans="1:16">
      <c r="A207" s="2"/>
    </row>
    <row r="208" spans="1:16">
      <c r="A208" s="2"/>
    </row>
    <row r="209" spans="1:1">
      <c r="A209" s="2"/>
    </row>
    <row r="210" spans="1:1">
      <c r="A210" s="2"/>
    </row>
    <row r="211" spans="1:1">
      <c r="A211" s="2"/>
    </row>
  </sheetData>
  <mergeCells count="7">
    <mergeCell ref="J67:P69"/>
    <mergeCell ref="N21:U24"/>
    <mergeCell ref="N17:U20"/>
    <mergeCell ref="B4:E4"/>
    <mergeCell ref="B21:E21"/>
    <mergeCell ref="G15:H15"/>
    <mergeCell ref="B40:C40"/>
  </mergeCells>
  <dataValidations count="1">
    <dataValidation type="list" allowBlank="1" showInputMessage="1" showErrorMessage="1" sqref="H7">
      <formula1>$M$4:$M$9</formula1>
    </dataValidation>
  </dataValidation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00B050"/>
  </sheetPr>
  <dimension ref="A1:IV427"/>
  <sheetViews>
    <sheetView showGridLines="0" showZeros="0" zoomScale="90" zoomScaleNormal="90" workbookViewId="0">
      <pane xSplit="5" ySplit="5" topLeftCell="F6" activePane="bottomRight" state="frozen"/>
      <selection activeCell="D73" sqref="D73"/>
      <selection pane="topRight" activeCell="D73" sqref="D73"/>
      <selection pane="bottomLeft" activeCell="D73" sqref="D73"/>
      <selection pane="bottomRight" activeCell="B2" sqref="B2"/>
    </sheetView>
  </sheetViews>
  <sheetFormatPr defaultColWidth="9" defaultRowHeight="12.75"/>
  <cols>
    <col min="1" max="1" width="3.42578125" style="102" bestFit="1" customWidth="1"/>
    <col min="2" max="2" width="36.7109375" style="102" customWidth="1"/>
    <col min="3" max="3" width="9.28515625" style="102" customWidth="1"/>
    <col min="4" max="4" width="13.28515625" style="102" bestFit="1" customWidth="1"/>
    <col min="5" max="5" width="11.140625" style="102" customWidth="1"/>
    <col min="6" max="6" width="20.5703125" style="103" bestFit="1" customWidth="1"/>
    <col min="7" max="7" width="13" style="102" bestFit="1" customWidth="1"/>
    <col min="8" max="12" width="11.85546875" style="102" bestFit="1" customWidth="1"/>
    <col min="13" max="13" width="11.28515625" style="102" bestFit="1" customWidth="1"/>
    <col min="14" max="14" width="12" style="102" bestFit="1" customWidth="1"/>
    <col min="15" max="15" width="11" style="102" bestFit="1" customWidth="1"/>
    <col min="16" max="16" width="11.28515625" style="102" bestFit="1" customWidth="1"/>
    <col min="17" max="17" width="12" style="102" bestFit="1" customWidth="1"/>
    <col min="18" max="18" width="11.85546875" style="102" bestFit="1" customWidth="1"/>
    <col min="19" max="19" width="12" style="103" bestFit="1" customWidth="1"/>
    <col min="20" max="20" width="11.5703125" style="103" bestFit="1" customWidth="1"/>
    <col min="21" max="21" width="12" style="102" bestFit="1" customWidth="1"/>
    <col min="22" max="25" width="11.85546875" style="102" customWidth="1"/>
    <col min="26" max="35" width="11.28515625" style="102" customWidth="1"/>
    <col min="36" max="36" width="9.85546875" style="102" bestFit="1" customWidth="1"/>
    <col min="37" max="37" width="11.42578125" style="102" bestFit="1" customWidth="1"/>
    <col min="38" max="45" width="9.85546875" style="102" bestFit="1" customWidth="1"/>
    <col min="46" max="16384" width="9" style="102"/>
  </cols>
  <sheetData>
    <row r="1" spans="1:45" s="100" customFormat="1">
      <c r="B1" s="631"/>
      <c r="F1" s="267">
        <f t="shared" ref="F1:AS1" si="0">IF(ISNUMBER(F2),1,0)</f>
        <v>1</v>
      </c>
      <c r="G1" s="100">
        <f t="shared" si="0"/>
        <v>1</v>
      </c>
      <c r="H1" s="100">
        <f t="shared" si="0"/>
        <v>1</v>
      </c>
      <c r="I1" s="100">
        <f t="shared" si="0"/>
        <v>1</v>
      </c>
      <c r="J1" s="100">
        <f t="shared" si="0"/>
        <v>1</v>
      </c>
      <c r="K1" s="100">
        <f t="shared" si="0"/>
        <v>1</v>
      </c>
      <c r="L1" s="100">
        <f t="shared" si="0"/>
        <v>1</v>
      </c>
      <c r="M1" s="100">
        <f t="shared" si="0"/>
        <v>1</v>
      </c>
      <c r="N1" s="100">
        <f t="shared" si="0"/>
        <v>1</v>
      </c>
      <c r="O1" s="100">
        <f t="shared" si="0"/>
        <v>1</v>
      </c>
      <c r="P1" s="100">
        <f t="shared" si="0"/>
        <v>1</v>
      </c>
      <c r="Q1" s="100">
        <f t="shared" si="0"/>
        <v>1</v>
      </c>
      <c r="R1" s="100">
        <f t="shared" si="0"/>
        <v>1</v>
      </c>
      <c r="S1" s="100">
        <f t="shared" si="0"/>
        <v>1</v>
      </c>
      <c r="T1" s="100">
        <f t="shared" si="0"/>
        <v>1</v>
      </c>
      <c r="U1" s="100">
        <f t="shared" si="0"/>
        <v>1</v>
      </c>
      <c r="V1" s="100">
        <f t="shared" si="0"/>
        <v>1</v>
      </c>
      <c r="W1" s="100">
        <f t="shared" si="0"/>
        <v>1</v>
      </c>
      <c r="X1" s="100">
        <f t="shared" si="0"/>
        <v>1</v>
      </c>
      <c r="Y1" s="100">
        <f t="shared" si="0"/>
        <v>1</v>
      </c>
      <c r="Z1" s="100">
        <f t="shared" si="0"/>
        <v>1</v>
      </c>
      <c r="AA1" s="100">
        <f t="shared" si="0"/>
        <v>1</v>
      </c>
      <c r="AB1" s="100">
        <f t="shared" si="0"/>
        <v>1</v>
      </c>
      <c r="AC1" s="100">
        <f t="shared" si="0"/>
        <v>1</v>
      </c>
      <c r="AD1" s="100">
        <f t="shared" si="0"/>
        <v>1</v>
      </c>
      <c r="AE1" s="100">
        <f t="shared" si="0"/>
        <v>1</v>
      </c>
      <c r="AF1" s="100">
        <f t="shared" si="0"/>
        <v>1</v>
      </c>
      <c r="AG1" s="100">
        <f t="shared" si="0"/>
        <v>1</v>
      </c>
      <c r="AH1" s="100">
        <f t="shared" si="0"/>
        <v>1</v>
      </c>
      <c r="AI1" s="100">
        <f t="shared" si="0"/>
        <v>1</v>
      </c>
      <c r="AJ1" s="100">
        <f t="shared" si="0"/>
        <v>0</v>
      </c>
      <c r="AK1" s="100">
        <f t="shared" si="0"/>
        <v>0</v>
      </c>
      <c r="AL1" s="100">
        <f t="shared" si="0"/>
        <v>0</v>
      </c>
      <c r="AM1" s="100">
        <f t="shared" si="0"/>
        <v>0</v>
      </c>
      <c r="AN1" s="100">
        <f t="shared" si="0"/>
        <v>0</v>
      </c>
      <c r="AO1" s="100">
        <f t="shared" si="0"/>
        <v>0</v>
      </c>
      <c r="AP1" s="100">
        <f t="shared" si="0"/>
        <v>0</v>
      </c>
      <c r="AQ1" s="100">
        <f t="shared" si="0"/>
        <v>0</v>
      </c>
      <c r="AR1" s="100">
        <f t="shared" si="0"/>
        <v>0</v>
      </c>
      <c r="AS1" s="100">
        <f t="shared" si="0"/>
        <v>0</v>
      </c>
    </row>
    <row r="2" spans="1:45" s="101" customFormat="1">
      <c r="A2" s="100"/>
      <c r="B2" s="100"/>
      <c r="C2" s="100"/>
      <c r="D2" s="87"/>
      <c r="F2" s="632">
        <f t="shared" ref="F2:AS2" si="1">IF(F4-StartYr+1&lt;=BookLife,F4-StartYr+1,"")</f>
        <v>1</v>
      </c>
      <c r="G2" s="101">
        <f t="shared" si="1"/>
        <v>2</v>
      </c>
      <c r="H2" s="101">
        <f t="shared" si="1"/>
        <v>3</v>
      </c>
      <c r="I2" s="101">
        <f t="shared" si="1"/>
        <v>4</v>
      </c>
      <c r="J2" s="101">
        <f t="shared" si="1"/>
        <v>5</v>
      </c>
      <c r="K2" s="101">
        <f t="shared" si="1"/>
        <v>6</v>
      </c>
      <c r="L2" s="101">
        <f t="shared" si="1"/>
        <v>7</v>
      </c>
      <c r="M2" s="101">
        <f t="shared" si="1"/>
        <v>8</v>
      </c>
      <c r="N2" s="101">
        <f t="shared" si="1"/>
        <v>9</v>
      </c>
      <c r="O2" s="101">
        <f t="shared" si="1"/>
        <v>10</v>
      </c>
      <c r="P2" s="101">
        <f t="shared" si="1"/>
        <v>11</v>
      </c>
      <c r="Q2" s="101">
        <f t="shared" si="1"/>
        <v>12</v>
      </c>
      <c r="R2" s="101">
        <f t="shared" si="1"/>
        <v>13</v>
      </c>
      <c r="S2" s="101">
        <f t="shared" si="1"/>
        <v>14</v>
      </c>
      <c r="T2" s="101">
        <f t="shared" si="1"/>
        <v>15</v>
      </c>
      <c r="U2" s="101">
        <f t="shared" si="1"/>
        <v>16</v>
      </c>
      <c r="V2" s="101">
        <f t="shared" si="1"/>
        <v>17</v>
      </c>
      <c r="W2" s="101">
        <f t="shared" si="1"/>
        <v>18</v>
      </c>
      <c r="X2" s="101">
        <f t="shared" si="1"/>
        <v>19</v>
      </c>
      <c r="Y2" s="101">
        <f t="shared" si="1"/>
        <v>20</v>
      </c>
      <c r="Z2" s="101">
        <f t="shared" si="1"/>
        <v>21</v>
      </c>
      <c r="AA2" s="101">
        <f t="shared" si="1"/>
        <v>22</v>
      </c>
      <c r="AB2" s="101">
        <f t="shared" si="1"/>
        <v>23</v>
      </c>
      <c r="AC2" s="101">
        <f t="shared" si="1"/>
        <v>24</v>
      </c>
      <c r="AD2" s="101">
        <f t="shared" si="1"/>
        <v>25</v>
      </c>
      <c r="AE2" s="101">
        <f t="shared" si="1"/>
        <v>26</v>
      </c>
      <c r="AF2" s="101">
        <f t="shared" si="1"/>
        <v>27</v>
      </c>
      <c r="AG2" s="101">
        <f t="shared" si="1"/>
        <v>28</v>
      </c>
      <c r="AH2" s="101">
        <f t="shared" si="1"/>
        <v>29</v>
      </c>
      <c r="AI2" s="101">
        <f t="shared" si="1"/>
        <v>30</v>
      </c>
      <c r="AJ2" s="101" t="str">
        <f t="shared" si="1"/>
        <v/>
      </c>
      <c r="AK2" s="101" t="str">
        <f t="shared" si="1"/>
        <v/>
      </c>
      <c r="AL2" s="101" t="str">
        <f t="shared" si="1"/>
        <v/>
      </c>
      <c r="AM2" s="101" t="str">
        <f t="shared" si="1"/>
        <v/>
      </c>
      <c r="AN2" s="101" t="str">
        <f t="shared" si="1"/>
        <v/>
      </c>
      <c r="AO2" s="101" t="str">
        <f t="shared" si="1"/>
        <v/>
      </c>
      <c r="AP2" s="101" t="str">
        <f t="shared" si="1"/>
        <v/>
      </c>
      <c r="AQ2" s="101" t="str">
        <f t="shared" si="1"/>
        <v/>
      </c>
      <c r="AR2" s="101" t="str">
        <f t="shared" si="1"/>
        <v/>
      </c>
      <c r="AS2" s="101" t="str">
        <f t="shared" si="1"/>
        <v/>
      </c>
    </row>
    <row r="3" spans="1:45" s="101" customFormat="1">
      <c r="A3" s="100"/>
      <c r="B3" s="2465"/>
      <c r="C3" s="2466"/>
      <c r="F3" s="3071"/>
    </row>
    <row r="4" spans="1:45" s="101" customFormat="1">
      <c r="A4" s="100"/>
      <c r="D4" s="1002" t="s">
        <v>305</v>
      </c>
      <c r="E4" s="1002" t="str">
        <f>StartYr &amp; " NPV"</f>
        <v>2013 NPV</v>
      </c>
      <c r="F4" s="632">
        <f>StartYr</f>
        <v>2013</v>
      </c>
      <c r="G4" s="633">
        <f t="shared" ref="G4:AS4" si="2">F4+1</f>
        <v>2014</v>
      </c>
      <c r="H4" s="633">
        <f t="shared" si="2"/>
        <v>2015</v>
      </c>
      <c r="I4" s="633">
        <f t="shared" si="2"/>
        <v>2016</v>
      </c>
      <c r="J4" s="633">
        <f t="shared" si="2"/>
        <v>2017</v>
      </c>
      <c r="K4" s="633">
        <f t="shared" si="2"/>
        <v>2018</v>
      </c>
      <c r="L4" s="633">
        <f t="shared" si="2"/>
        <v>2019</v>
      </c>
      <c r="M4" s="633">
        <f t="shared" si="2"/>
        <v>2020</v>
      </c>
      <c r="N4" s="633">
        <f t="shared" si="2"/>
        <v>2021</v>
      </c>
      <c r="O4" s="633">
        <f t="shared" si="2"/>
        <v>2022</v>
      </c>
      <c r="P4" s="633">
        <f t="shared" si="2"/>
        <v>2023</v>
      </c>
      <c r="Q4" s="633">
        <f t="shared" si="2"/>
        <v>2024</v>
      </c>
      <c r="R4" s="633">
        <f t="shared" si="2"/>
        <v>2025</v>
      </c>
      <c r="S4" s="633">
        <f t="shared" si="2"/>
        <v>2026</v>
      </c>
      <c r="T4" s="633">
        <f t="shared" si="2"/>
        <v>2027</v>
      </c>
      <c r="U4" s="633">
        <f t="shared" si="2"/>
        <v>2028</v>
      </c>
      <c r="V4" s="633">
        <f t="shared" si="2"/>
        <v>2029</v>
      </c>
      <c r="W4" s="633">
        <f t="shared" si="2"/>
        <v>2030</v>
      </c>
      <c r="X4" s="633">
        <f t="shared" si="2"/>
        <v>2031</v>
      </c>
      <c r="Y4" s="633">
        <f t="shared" si="2"/>
        <v>2032</v>
      </c>
      <c r="Z4" s="633">
        <f t="shared" si="2"/>
        <v>2033</v>
      </c>
      <c r="AA4" s="633">
        <f t="shared" si="2"/>
        <v>2034</v>
      </c>
      <c r="AB4" s="633">
        <f t="shared" si="2"/>
        <v>2035</v>
      </c>
      <c r="AC4" s="633">
        <f t="shared" si="2"/>
        <v>2036</v>
      </c>
      <c r="AD4" s="633">
        <f t="shared" si="2"/>
        <v>2037</v>
      </c>
      <c r="AE4" s="633">
        <f t="shared" si="2"/>
        <v>2038</v>
      </c>
      <c r="AF4" s="633">
        <f t="shared" si="2"/>
        <v>2039</v>
      </c>
      <c r="AG4" s="633">
        <f t="shared" si="2"/>
        <v>2040</v>
      </c>
      <c r="AH4" s="633">
        <f t="shared" si="2"/>
        <v>2041</v>
      </c>
      <c r="AI4" s="633">
        <f t="shared" si="2"/>
        <v>2042</v>
      </c>
      <c r="AJ4" s="633">
        <f t="shared" si="2"/>
        <v>2043</v>
      </c>
      <c r="AK4" s="633">
        <f t="shared" si="2"/>
        <v>2044</v>
      </c>
      <c r="AL4" s="633">
        <f t="shared" si="2"/>
        <v>2045</v>
      </c>
      <c r="AM4" s="633">
        <f t="shared" si="2"/>
        <v>2046</v>
      </c>
      <c r="AN4" s="633">
        <f t="shared" si="2"/>
        <v>2047</v>
      </c>
      <c r="AO4" s="633">
        <f t="shared" si="2"/>
        <v>2048</v>
      </c>
      <c r="AP4" s="633">
        <f t="shared" si="2"/>
        <v>2049</v>
      </c>
      <c r="AQ4" s="633">
        <f t="shared" si="2"/>
        <v>2050</v>
      </c>
      <c r="AR4" s="633">
        <f t="shared" si="2"/>
        <v>2051</v>
      </c>
      <c r="AS4" s="633">
        <f t="shared" si="2"/>
        <v>2052</v>
      </c>
    </row>
    <row r="5" spans="1:45" s="101" customFormat="1">
      <c r="A5" s="100"/>
      <c r="B5" s="634"/>
      <c r="C5" s="635"/>
      <c r="D5" s="636"/>
      <c r="E5" s="636"/>
      <c r="F5" s="554"/>
      <c r="G5" s="633"/>
      <c r="H5" s="633"/>
      <c r="I5" s="633"/>
      <c r="J5" s="633"/>
      <c r="K5" s="633"/>
      <c r="L5" s="633"/>
      <c r="M5" s="633"/>
      <c r="N5" s="633"/>
      <c r="O5" s="633"/>
      <c r="P5" s="633"/>
      <c r="Q5" s="633"/>
      <c r="R5" s="633"/>
      <c r="S5" s="633"/>
      <c r="T5" s="633"/>
      <c r="U5" s="633"/>
      <c r="V5" s="633"/>
      <c r="W5" s="633"/>
      <c r="X5" s="633"/>
      <c r="Y5" s="633"/>
      <c r="Z5" s="633"/>
      <c r="AA5" s="633"/>
      <c r="AB5" s="633"/>
      <c r="AC5" s="633"/>
      <c r="AD5" s="633"/>
      <c r="AE5" s="633"/>
      <c r="AF5" s="633"/>
      <c r="AG5" s="633"/>
      <c r="AH5" s="633"/>
      <c r="AI5" s="633"/>
      <c r="AJ5" s="633"/>
      <c r="AK5" s="633"/>
      <c r="AL5" s="633"/>
      <c r="AM5" s="633"/>
      <c r="AN5" s="633"/>
      <c r="AO5" s="633"/>
      <c r="AP5" s="633"/>
      <c r="AQ5" s="633"/>
      <c r="AR5" s="633"/>
      <c r="AS5" s="633"/>
    </row>
    <row r="6" spans="1:45" s="1315" customFormat="1">
      <c r="A6" s="1312"/>
      <c r="B6" s="1313" t="s">
        <v>147</v>
      </c>
      <c r="C6" s="1312" t="s">
        <v>980</v>
      </c>
      <c r="D6" s="1319">
        <f t="shared" ref="D6:D11" si="3">-PMT(DiscountRate,BookLife,E6)</f>
        <v>181.74513191955251</v>
      </c>
      <c r="E6" s="1314">
        <f t="shared" ref="E6:E11" si="4">NPV(DiscountRate,F6:AS6)*(1)</f>
        <v>2339.4909135495436</v>
      </c>
      <c r="F6" s="3377">
        <f t="shared" ref="F6:AS6" si="5">F30+F44</f>
        <v>157.31002243558117</v>
      </c>
      <c r="G6" s="3377">
        <f t="shared" si="5"/>
        <v>160.30848687251077</v>
      </c>
      <c r="H6" s="3377">
        <f t="shared" si="5"/>
        <v>162.9764313366793</v>
      </c>
      <c r="I6" s="3377">
        <f t="shared" si="5"/>
        <v>165.61642034332471</v>
      </c>
      <c r="J6" s="3377">
        <f t="shared" si="5"/>
        <v>168.00408744708835</v>
      </c>
      <c r="K6" s="3377">
        <f t="shared" si="5"/>
        <v>170.19014918565293</v>
      </c>
      <c r="L6" s="3377">
        <f t="shared" si="5"/>
        <v>172.31596421785957</v>
      </c>
      <c r="M6" s="3377">
        <f t="shared" si="5"/>
        <v>174.42385049101918</v>
      </c>
      <c r="N6" s="3377">
        <f t="shared" si="5"/>
        <v>176.57941015250543</v>
      </c>
      <c r="O6" s="3377">
        <f t="shared" si="5"/>
        <v>178.78226743043905</v>
      </c>
      <c r="P6" s="3377">
        <f t="shared" si="5"/>
        <v>181.07942910239566</v>
      </c>
      <c r="Q6" s="3377">
        <f t="shared" si="5"/>
        <v>183.40678885854581</v>
      </c>
      <c r="R6" s="3377">
        <f t="shared" si="5"/>
        <v>185.76475497215102</v>
      </c>
      <c r="S6" s="3377">
        <f t="shared" si="5"/>
        <v>188.15374141908427</v>
      </c>
      <c r="T6" s="3377">
        <f t="shared" si="5"/>
        <v>190.57416796035992</v>
      </c>
      <c r="U6" s="3377">
        <f t="shared" si="5"/>
        <v>193.02646022590096</v>
      </c>
      <c r="V6" s="3377">
        <f t="shared" si="5"/>
        <v>195.51104979956449</v>
      </c>
      <c r="W6" s="3377">
        <f t="shared" si="5"/>
        <v>198.02837430544372</v>
      </c>
      <c r="X6" s="3377">
        <f t="shared" si="5"/>
        <v>200.57887749546643</v>
      </c>
      <c r="Y6" s="3377">
        <f t="shared" si="5"/>
        <v>203.16300933831167</v>
      </c>
      <c r="Z6" s="3377">
        <f t="shared" si="5"/>
        <v>205.78122610966219</v>
      </c>
      <c r="AA6" s="3377">
        <f t="shared" si="5"/>
        <v>208.43399048381661</v>
      </c>
      <c r="AB6" s="3377">
        <f t="shared" si="5"/>
        <v>211.12177162668053</v>
      </c>
      <c r="AC6" s="3377">
        <f t="shared" si="5"/>
        <v>213.84504529015746</v>
      </c>
      <c r="AD6" s="3377">
        <f t="shared" si="5"/>
        <v>216.60429390796494</v>
      </c>
      <c r="AE6" s="3377">
        <f t="shared" si="5"/>
        <v>219.40000669289273</v>
      </c>
      <c r="AF6" s="3377">
        <f t="shared" si="5"/>
        <v>222.23267973553061</v>
      </c>
      <c r="AG6" s="3377">
        <f t="shared" si="5"/>
        <v>225.10281610448536</v>
      </c>
      <c r="AH6" s="3377">
        <f t="shared" si="5"/>
        <v>228.01092594811152</v>
      </c>
      <c r="AI6" s="3377">
        <f t="shared" si="5"/>
        <v>230.95752659777997</v>
      </c>
      <c r="AJ6" s="3377">
        <f t="shared" si="5"/>
        <v>0</v>
      </c>
      <c r="AK6" s="3377">
        <f t="shared" si="5"/>
        <v>0</v>
      </c>
      <c r="AL6" s="3377">
        <f t="shared" si="5"/>
        <v>0</v>
      </c>
      <c r="AM6" s="3377">
        <f t="shared" si="5"/>
        <v>0</v>
      </c>
      <c r="AN6" s="3377">
        <f t="shared" si="5"/>
        <v>0</v>
      </c>
      <c r="AO6" s="3377">
        <f t="shared" si="5"/>
        <v>0</v>
      </c>
      <c r="AP6" s="3377">
        <f t="shared" si="5"/>
        <v>0</v>
      </c>
      <c r="AQ6" s="3377">
        <f t="shared" si="5"/>
        <v>0</v>
      </c>
      <c r="AR6" s="3377">
        <f t="shared" si="5"/>
        <v>0</v>
      </c>
      <c r="AS6" s="3377">
        <f t="shared" si="5"/>
        <v>0</v>
      </c>
    </row>
    <row r="7" spans="1:45" s="1307" customFormat="1">
      <c r="A7" s="1305"/>
      <c r="B7" s="1306" t="s">
        <v>1386</v>
      </c>
      <c r="C7" s="1305" t="s">
        <v>1389</v>
      </c>
      <c r="D7" s="1785">
        <f t="shared" si="3"/>
        <v>221.10834294810641</v>
      </c>
      <c r="E7" s="1784">
        <f t="shared" si="4"/>
        <v>2846.1888017229539</v>
      </c>
      <c r="F7" s="1435">
        <f t="shared" ref="F7:AS7" si="6">IF(F$1,GrossMW*(1-AnnCapDegredationRate)^(F$4-StartYr)*AverageOutputPct*OpHrsPerYr/1000,0)</f>
        <v>227.76000000000002</v>
      </c>
      <c r="G7" s="1435">
        <f t="shared" si="6"/>
        <v>227.07672000000002</v>
      </c>
      <c r="H7" s="1435">
        <f t="shared" si="6"/>
        <v>226.39548984000004</v>
      </c>
      <c r="I7" s="1435">
        <f t="shared" si="6"/>
        <v>225.71630337048003</v>
      </c>
      <c r="J7" s="1435">
        <f t="shared" si="6"/>
        <v>225.03915446036859</v>
      </c>
      <c r="K7" s="1435">
        <f t="shared" si="6"/>
        <v>224.36403699698747</v>
      </c>
      <c r="L7" s="1435">
        <f t="shared" si="6"/>
        <v>223.69094488599654</v>
      </c>
      <c r="M7" s="1435">
        <f t="shared" si="6"/>
        <v>223.01987205133855</v>
      </c>
      <c r="N7" s="1435">
        <f t="shared" si="6"/>
        <v>222.35081243518454</v>
      </c>
      <c r="O7" s="1435">
        <f t="shared" si="6"/>
        <v>221.68375999787898</v>
      </c>
      <c r="P7" s="1435">
        <f t="shared" si="6"/>
        <v>221.01870871788537</v>
      </c>
      <c r="Q7" s="1435">
        <f t="shared" si="6"/>
        <v>220.35565259173168</v>
      </c>
      <c r="R7" s="1435">
        <f t="shared" si="6"/>
        <v>219.69458563395651</v>
      </c>
      <c r="S7" s="1435">
        <f t="shared" si="6"/>
        <v>219.03550187705463</v>
      </c>
      <c r="T7" s="1435">
        <f t="shared" si="6"/>
        <v>218.37839537142349</v>
      </c>
      <c r="U7" s="1435">
        <f t="shared" si="6"/>
        <v>217.72326018530921</v>
      </c>
      <c r="V7" s="1435">
        <f t="shared" si="6"/>
        <v>217.07009040475327</v>
      </c>
      <c r="W7" s="1435">
        <f t="shared" si="6"/>
        <v>216.41888013353903</v>
      </c>
      <c r="X7" s="1435">
        <f t="shared" si="6"/>
        <v>215.7696234931384</v>
      </c>
      <c r="Y7" s="1435">
        <f t="shared" si="6"/>
        <v>215.12231462265899</v>
      </c>
      <c r="Z7" s="1435">
        <f t="shared" si="6"/>
        <v>214.47694767879105</v>
      </c>
      <c r="AA7" s="1435">
        <f t="shared" si="6"/>
        <v>213.83351683575464</v>
      </c>
      <c r="AB7" s="1435">
        <f t="shared" si="6"/>
        <v>213.1920162852474</v>
      </c>
      <c r="AC7" s="1435">
        <f t="shared" si="6"/>
        <v>212.55244023639167</v>
      </c>
      <c r="AD7" s="1435">
        <f t="shared" si="6"/>
        <v>211.91478291568251</v>
      </c>
      <c r="AE7" s="1435">
        <f t="shared" si="6"/>
        <v>211.27903856693544</v>
      </c>
      <c r="AF7" s="1435">
        <f t="shared" si="6"/>
        <v>210.64520145123464</v>
      </c>
      <c r="AG7" s="1435">
        <f t="shared" si="6"/>
        <v>210.01326584688093</v>
      </c>
      <c r="AH7" s="1435">
        <f t="shared" si="6"/>
        <v>209.38322604934027</v>
      </c>
      <c r="AI7" s="1435">
        <f t="shared" si="6"/>
        <v>208.75507637119227</v>
      </c>
      <c r="AJ7" s="1435">
        <f t="shared" si="6"/>
        <v>0</v>
      </c>
      <c r="AK7" s="1435">
        <f t="shared" si="6"/>
        <v>0</v>
      </c>
      <c r="AL7" s="1435">
        <f t="shared" si="6"/>
        <v>0</v>
      </c>
      <c r="AM7" s="1435">
        <f t="shared" si="6"/>
        <v>0</v>
      </c>
      <c r="AN7" s="1435">
        <f t="shared" si="6"/>
        <v>0</v>
      </c>
      <c r="AO7" s="1435">
        <f t="shared" si="6"/>
        <v>0</v>
      </c>
      <c r="AP7" s="1435">
        <f t="shared" si="6"/>
        <v>0</v>
      </c>
      <c r="AQ7" s="1435">
        <f t="shared" si="6"/>
        <v>0</v>
      </c>
      <c r="AR7" s="1435">
        <f t="shared" si="6"/>
        <v>0</v>
      </c>
      <c r="AS7" s="1435">
        <f t="shared" si="6"/>
        <v>0</v>
      </c>
    </row>
    <row r="8" spans="1:45" s="1311" customFormat="1">
      <c r="A8" s="1308"/>
      <c r="B8" s="1309" t="s">
        <v>1442</v>
      </c>
      <c r="C8" s="1308" t="s">
        <v>955</v>
      </c>
      <c r="D8" s="640">
        <f t="shared" si="3"/>
        <v>70.6223533823336</v>
      </c>
      <c r="E8" s="641">
        <f t="shared" si="4"/>
        <v>909.07719115462919</v>
      </c>
      <c r="F8" s="1310">
        <f>F202-(F27+F28)*GrossMW/F7</f>
        <v>59.552906510826503</v>
      </c>
      <c r="G8" s="1310">
        <f t="shared" ref="G8:AS8" si="7">IF(G$1,F8*(1+G150),0)</f>
        <v>60.884094870566187</v>
      </c>
      <c r="H8" s="1310">
        <f t="shared" si="7"/>
        <v>62.0737801004489</v>
      </c>
      <c r="I8" s="1310">
        <f t="shared" si="7"/>
        <v>63.254643865299478</v>
      </c>
      <c r="J8" s="1310">
        <f t="shared" si="7"/>
        <v>64.326820902067695</v>
      </c>
      <c r="K8" s="1310">
        <f t="shared" si="7"/>
        <v>65.311849256800684</v>
      </c>
      <c r="L8" s="1310">
        <f t="shared" si="7"/>
        <v>66.272052403802292</v>
      </c>
      <c r="M8" s="1310">
        <f t="shared" si="7"/>
        <v>67.226098883442731</v>
      </c>
      <c r="N8" s="1310">
        <f t="shared" si="7"/>
        <v>68.203354198895809</v>
      </c>
      <c r="O8" s="1310">
        <f t="shared" si="7"/>
        <v>69.203774517707345</v>
      </c>
      <c r="P8" s="1310">
        <f t="shared" si="7"/>
        <v>70.248751512924713</v>
      </c>
      <c r="Q8" s="1310">
        <f t="shared" si="7"/>
        <v>71.309507660769867</v>
      </c>
      <c r="R8" s="1310">
        <f t="shared" si="7"/>
        <v>72.38628122644748</v>
      </c>
      <c r="S8" s="1310">
        <f t="shared" si="7"/>
        <v>73.479314072966829</v>
      </c>
      <c r="T8" s="1310">
        <f t="shared" si="7"/>
        <v>74.588851715468621</v>
      </c>
      <c r="U8" s="1310">
        <f t="shared" si="7"/>
        <v>75.715143376372183</v>
      </c>
      <c r="V8" s="1310">
        <f t="shared" si="7"/>
        <v>76.858442041355389</v>
      </c>
      <c r="W8" s="1310">
        <f t="shared" si="7"/>
        <v>78.019004516179848</v>
      </c>
      <c r="X8" s="1310">
        <f t="shared" si="7"/>
        <v>79.197091484374155</v>
      </c>
      <c r="Y8" s="1310">
        <f t="shared" si="7"/>
        <v>80.392967565788197</v>
      </c>
      <c r="Z8" s="1310">
        <f t="shared" si="7"/>
        <v>81.606901376031587</v>
      </c>
      <c r="AA8" s="1310">
        <f t="shared" si="7"/>
        <v>82.839165586809656</v>
      </c>
      <c r="AB8" s="1310">
        <f t="shared" si="7"/>
        <v>84.090036987170478</v>
      </c>
      <c r="AC8" s="1310">
        <f t="shared" si="7"/>
        <v>85.359796545676744</v>
      </c>
      <c r="AD8" s="1310">
        <f t="shared" si="7"/>
        <v>86.648729473516454</v>
      </c>
      <c r="AE8" s="1310">
        <f t="shared" si="7"/>
        <v>87.957125288566544</v>
      </c>
      <c r="AF8" s="1310">
        <f t="shared" si="7"/>
        <v>89.285277880423891</v>
      </c>
      <c r="AG8" s="1310">
        <f t="shared" si="7"/>
        <v>90.633485576418281</v>
      </c>
      <c r="AH8" s="1310">
        <f t="shared" si="7"/>
        <v>92.002051208622191</v>
      </c>
      <c r="AI8" s="1310">
        <f t="shared" si="7"/>
        <v>93.39128218187237</v>
      </c>
      <c r="AJ8" s="1310">
        <f t="shared" si="7"/>
        <v>0</v>
      </c>
      <c r="AK8" s="1310">
        <f t="shared" si="7"/>
        <v>0</v>
      </c>
      <c r="AL8" s="1310">
        <f t="shared" si="7"/>
        <v>0</v>
      </c>
      <c r="AM8" s="1310">
        <f t="shared" si="7"/>
        <v>0</v>
      </c>
      <c r="AN8" s="1310">
        <f t="shared" si="7"/>
        <v>0</v>
      </c>
      <c r="AO8" s="1310">
        <f t="shared" si="7"/>
        <v>0</v>
      </c>
      <c r="AP8" s="1310">
        <f t="shared" si="7"/>
        <v>0</v>
      </c>
      <c r="AQ8" s="1310">
        <f t="shared" si="7"/>
        <v>0</v>
      </c>
      <c r="AR8" s="1310">
        <f t="shared" si="7"/>
        <v>0</v>
      </c>
      <c r="AS8" s="1310">
        <f t="shared" si="7"/>
        <v>0</v>
      </c>
    </row>
    <row r="9" spans="1:45" s="1311" customFormat="1">
      <c r="A9" s="1308"/>
      <c r="B9" s="1309" t="s">
        <v>1441</v>
      </c>
      <c r="C9" s="1308" t="s">
        <v>955</v>
      </c>
      <c r="D9" s="640">
        <f t="shared" si="3"/>
        <v>11.831224366931542</v>
      </c>
      <c r="E9" s="641">
        <f t="shared" si="4"/>
        <v>152.29591907228703</v>
      </c>
      <c r="F9" s="1310">
        <f t="shared" ref="F9:AS9" si="8">IF(F$1,(F27+F28)*GrossMW/F7,0)</f>
        <v>9.5154208669312972</v>
      </c>
      <c r="G9" s="1310">
        <f t="shared" si="8"/>
        <v>9.7125241366621822</v>
      </c>
      <c r="H9" s="1310">
        <f t="shared" si="8"/>
        <v>9.9137102209613257</v>
      </c>
      <c r="I9" s="1310">
        <f t="shared" si="8"/>
        <v>10.119063691610927</v>
      </c>
      <c r="J9" s="1310">
        <f t="shared" si="8"/>
        <v>10.328670872220567</v>
      </c>
      <c r="K9" s="1310">
        <f t="shared" si="8"/>
        <v>10.542619874514711</v>
      </c>
      <c r="L9" s="1310">
        <f t="shared" si="8"/>
        <v>10.761000635371884</v>
      </c>
      <c r="M9" s="1310">
        <f t="shared" si="8"/>
        <v>10.983904954631067</v>
      </c>
      <c r="N9" s="1310">
        <f t="shared" si="8"/>
        <v>11.211426533681228</v>
      </c>
      <c r="O9" s="1310">
        <f t="shared" si="8"/>
        <v>11.443661014850196</v>
      </c>
      <c r="P9" s="1310">
        <f t="shared" si="8"/>
        <v>11.680706021609447</v>
      </c>
      <c r="Q9" s="1310">
        <f t="shared" si="8"/>
        <v>11.922661199611673</v>
      </c>
      <c r="R9" s="1310">
        <f t="shared" si="8"/>
        <v>12.169628258578443</v>
      </c>
      <c r="S9" s="1310">
        <f t="shared" si="8"/>
        <v>12.421711015055486</v>
      </c>
      <c r="T9" s="1310">
        <f t="shared" si="8"/>
        <v>12.679015436053648</v>
      </c>
      <c r="U9" s="1310">
        <f t="shared" si="8"/>
        <v>12.941649683593818</v>
      </c>
      <c r="V9" s="1310">
        <f t="shared" si="8"/>
        <v>13.209724160174556</v>
      </c>
      <c r="W9" s="1310">
        <f t="shared" si="8"/>
        <v>13.483351555181535</v>
      </c>
      <c r="X9" s="1310">
        <f t="shared" si="8"/>
        <v>13.762646892258347</v>
      </c>
      <c r="Y9" s="1310">
        <f t="shared" si="8"/>
        <v>14.047727577658504</v>
      </c>
      <c r="Z9" s="1310">
        <f t="shared" si="8"/>
        <v>14.33871344959905</v>
      </c>
      <c r="AA9" s="1310">
        <f t="shared" si="8"/>
        <v>14.635726828636441</v>
      </c>
      <c r="AB9" s="1310">
        <f t="shared" si="8"/>
        <v>14.93889256908599</v>
      </c>
      <c r="AC9" s="1310">
        <f t="shared" si="8"/>
        <v>15.248338111506319</v>
      </c>
      <c r="AD9" s="1310">
        <f t="shared" si="8"/>
        <v>15.564193536271073</v>
      </c>
      <c r="AE9" s="1310">
        <f t="shared" si="8"/>
        <v>15.886591618250256</v>
      </c>
      <c r="AF9" s="1310">
        <f t="shared" si="8"/>
        <v>16.215667882624281</v>
      </c>
      <c r="AG9" s="1310">
        <f t="shared" si="8"/>
        <v>16.551560661854143</v>
      </c>
      <c r="AH9" s="1310">
        <f t="shared" si="8"/>
        <v>16.894411153831669</v>
      </c>
      <c r="AI9" s="1310">
        <f t="shared" si="8"/>
        <v>17.244363481234295</v>
      </c>
      <c r="AJ9" s="1310">
        <f t="shared" si="8"/>
        <v>0</v>
      </c>
      <c r="AK9" s="1310">
        <f t="shared" si="8"/>
        <v>0</v>
      </c>
      <c r="AL9" s="1310">
        <f t="shared" si="8"/>
        <v>0</v>
      </c>
      <c r="AM9" s="1310">
        <f t="shared" si="8"/>
        <v>0</v>
      </c>
      <c r="AN9" s="1310">
        <f t="shared" si="8"/>
        <v>0</v>
      </c>
      <c r="AO9" s="1310">
        <f t="shared" si="8"/>
        <v>0</v>
      </c>
      <c r="AP9" s="1310">
        <f t="shared" si="8"/>
        <v>0</v>
      </c>
      <c r="AQ9" s="1310">
        <f t="shared" si="8"/>
        <v>0</v>
      </c>
      <c r="AR9" s="1310">
        <f t="shared" si="8"/>
        <v>0</v>
      </c>
      <c r="AS9" s="1310">
        <f t="shared" si="8"/>
        <v>0</v>
      </c>
    </row>
    <row r="10" spans="1:45" s="1378" customFormat="1">
      <c r="A10" s="66"/>
      <c r="B10" s="30" t="s">
        <v>1387</v>
      </c>
      <c r="C10" s="66" t="s">
        <v>1388</v>
      </c>
      <c r="D10" s="640">
        <f t="shared" si="3"/>
        <v>18.174513191955246</v>
      </c>
      <c r="E10" s="641">
        <f t="shared" si="4"/>
        <v>233.94909135495433</v>
      </c>
      <c r="F10" s="1433">
        <f>((F8+F9)*F7)/1000</f>
        <v>15.731002243558118</v>
      </c>
      <c r="G10" s="1433">
        <f t="shared" ref="G10:AS10" si="9">((G8+G9)*G7)/1000</f>
        <v>16.030848687251076</v>
      </c>
      <c r="H10" s="1433">
        <f t="shared" si="9"/>
        <v>16.297643133667929</v>
      </c>
      <c r="I10" s="1433">
        <f t="shared" si="9"/>
        <v>16.561642034332472</v>
      </c>
      <c r="J10" s="1433">
        <f t="shared" si="9"/>
        <v>16.800408744708836</v>
      </c>
      <c r="K10" s="1433">
        <f t="shared" si="9"/>
        <v>17.019014918565293</v>
      </c>
      <c r="L10" s="1433">
        <f t="shared" si="9"/>
        <v>17.231596421785959</v>
      </c>
      <c r="M10" s="1433">
        <f t="shared" si="9"/>
        <v>17.442385049101919</v>
      </c>
      <c r="N10" s="1433">
        <f t="shared" si="9"/>
        <v>17.657941015250543</v>
      </c>
      <c r="O10" s="1433">
        <f t="shared" si="9"/>
        <v>17.878226743043903</v>
      </c>
      <c r="P10" s="1433">
        <f t="shared" si="9"/>
        <v>18.107942910239565</v>
      </c>
      <c r="Q10" s="1433">
        <f t="shared" si="9"/>
        <v>18.34067888585458</v>
      </c>
      <c r="R10" s="1433">
        <f t="shared" si="9"/>
        <v>18.576475497215103</v>
      </c>
      <c r="S10" s="1433">
        <f t="shared" si="9"/>
        <v>18.815374141908428</v>
      </c>
      <c r="T10" s="1433">
        <f t="shared" si="9"/>
        <v>19.057416796035991</v>
      </c>
      <c r="U10" s="1433">
        <f t="shared" si="9"/>
        <v>19.302646022590096</v>
      </c>
      <c r="V10" s="1433">
        <f t="shared" si="9"/>
        <v>19.551104979956449</v>
      </c>
      <c r="W10" s="1433">
        <f t="shared" si="9"/>
        <v>19.802837430544368</v>
      </c>
      <c r="X10" s="1433">
        <f t="shared" si="9"/>
        <v>20.057887749546644</v>
      </c>
      <c r="Y10" s="1433">
        <f t="shared" si="9"/>
        <v>20.316300933831165</v>
      </c>
      <c r="Z10" s="1433">
        <f t="shared" si="9"/>
        <v>20.578122610966219</v>
      </c>
      <c r="AA10" s="1433">
        <f t="shared" si="9"/>
        <v>20.843399048381663</v>
      </c>
      <c r="AB10" s="1433">
        <f t="shared" si="9"/>
        <v>21.112177162668051</v>
      </c>
      <c r="AC10" s="1433">
        <f t="shared" si="9"/>
        <v>21.384504529015746</v>
      </c>
      <c r="AD10" s="1433">
        <f t="shared" si="9"/>
        <v>21.660429390796494</v>
      </c>
      <c r="AE10" s="1433">
        <f t="shared" si="9"/>
        <v>21.940000669289272</v>
      </c>
      <c r="AF10" s="1433">
        <f t="shared" si="9"/>
        <v>22.22326797355306</v>
      </c>
      <c r="AG10" s="1433">
        <f t="shared" si="9"/>
        <v>22.510281610448533</v>
      </c>
      <c r="AH10" s="1433">
        <f t="shared" si="9"/>
        <v>22.801092594811152</v>
      </c>
      <c r="AI10" s="1433">
        <f t="shared" si="9"/>
        <v>23.095752659777997</v>
      </c>
      <c r="AJ10" s="1433">
        <f t="shared" si="9"/>
        <v>0</v>
      </c>
      <c r="AK10" s="1433">
        <f t="shared" si="9"/>
        <v>0</v>
      </c>
      <c r="AL10" s="1433">
        <f t="shared" si="9"/>
        <v>0</v>
      </c>
      <c r="AM10" s="1433">
        <f t="shared" si="9"/>
        <v>0</v>
      </c>
      <c r="AN10" s="1433">
        <f t="shared" si="9"/>
        <v>0</v>
      </c>
      <c r="AO10" s="1433">
        <f t="shared" si="9"/>
        <v>0</v>
      </c>
      <c r="AP10" s="1433">
        <f t="shared" si="9"/>
        <v>0</v>
      </c>
      <c r="AQ10" s="1433">
        <f t="shared" si="9"/>
        <v>0</v>
      </c>
      <c r="AR10" s="1433">
        <f t="shared" si="9"/>
        <v>0</v>
      </c>
      <c r="AS10" s="1433">
        <f t="shared" si="9"/>
        <v>0</v>
      </c>
    </row>
    <row r="11" spans="1:45" s="1378" customFormat="1">
      <c r="B11" s="66" t="s">
        <v>1387</v>
      </c>
      <c r="C11" s="66" t="s">
        <v>980</v>
      </c>
      <c r="D11" s="640">
        <f t="shared" si="3"/>
        <v>181.74513191955251</v>
      </c>
      <c r="E11" s="641">
        <f t="shared" si="4"/>
        <v>2339.4909135495436</v>
      </c>
      <c r="F11" s="1434">
        <f t="shared" ref="F11:AS11" si="10">F10/GrossMW*1000</f>
        <v>157.31002243558117</v>
      </c>
      <c r="G11" s="1434">
        <f t="shared" si="10"/>
        <v>160.30848687251077</v>
      </c>
      <c r="H11" s="1434">
        <f t="shared" si="10"/>
        <v>162.9764313366793</v>
      </c>
      <c r="I11" s="1434">
        <f t="shared" si="10"/>
        <v>165.61642034332471</v>
      </c>
      <c r="J11" s="1434">
        <f t="shared" si="10"/>
        <v>168.00408744708835</v>
      </c>
      <c r="K11" s="1434">
        <f t="shared" si="10"/>
        <v>170.19014918565293</v>
      </c>
      <c r="L11" s="1434">
        <f t="shared" si="10"/>
        <v>172.31596421785957</v>
      </c>
      <c r="M11" s="1434">
        <f t="shared" si="10"/>
        <v>174.42385049101918</v>
      </c>
      <c r="N11" s="1434">
        <f t="shared" si="10"/>
        <v>176.57941015250543</v>
      </c>
      <c r="O11" s="1434">
        <f t="shared" si="10"/>
        <v>178.78226743043905</v>
      </c>
      <c r="P11" s="1434">
        <f t="shared" si="10"/>
        <v>181.07942910239566</v>
      </c>
      <c r="Q11" s="1434">
        <f t="shared" si="10"/>
        <v>183.40678885854581</v>
      </c>
      <c r="R11" s="1434">
        <f t="shared" si="10"/>
        <v>185.76475497215102</v>
      </c>
      <c r="S11" s="1434">
        <f t="shared" si="10"/>
        <v>188.15374141908427</v>
      </c>
      <c r="T11" s="1434">
        <f t="shared" si="10"/>
        <v>190.57416796035992</v>
      </c>
      <c r="U11" s="1434">
        <f t="shared" si="10"/>
        <v>193.02646022590096</v>
      </c>
      <c r="V11" s="1434">
        <f t="shared" si="10"/>
        <v>195.51104979956449</v>
      </c>
      <c r="W11" s="1434">
        <f t="shared" si="10"/>
        <v>198.02837430544369</v>
      </c>
      <c r="X11" s="1434">
        <f t="shared" si="10"/>
        <v>200.57887749546643</v>
      </c>
      <c r="Y11" s="1434">
        <f t="shared" si="10"/>
        <v>203.16300933831167</v>
      </c>
      <c r="Z11" s="1434">
        <f t="shared" si="10"/>
        <v>205.78122610966219</v>
      </c>
      <c r="AA11" s="1434">
        <f t="shared" si="10"/>
        <v>208.43399048381664</v>
      </c>
      <c r="AB11" s="1434">
        <f t="shared" si="10"/>
        <v>211.1217716266805</v>
      </c>
      <c r="AC11" s="1434">
        <f t="shared" si="10"/>
        <v>213.84504529015746</v>
      </c>
      <c r="AD11" s="1434">
        <f t="shared" si="10"/>
        <v>216.60429390796494</v>
      </c>
      <c r="AE11" s="1434">
        <f t="shared" si="10"/>
        <v>219.40000669289273</v>
      </c>
      <c r="AF11" s="1434">
        <f t="shared" si="10"/>
        <v>222.23267973553061</v>
      </c>
      <c r="AG11" s="1434">
        <f t="shared" si="10"/>
        <v>225.10281610448536</v>
      </c>
      <c r="AH11" s="1434">
        <f t="shared" si="10"/>
        <v>228.01092594811152</v>
      </c>
      <c r="AI11" s="1434">
        <f t="shared" si="10"/>
        <v>230.95752659777997</v>
      </c>
      <c r="AJ11" s="1434">
        <f t="shared" si="10"/>
        <v>0</v>
      </c>
      <c r="AK11" s="1434">
        <f t="shared" si="10"/>
        <v>0</v>
      </c>
      <c r="AL11" s="1434">
        <f t="shared" si="10"/>
        <v>0</v>
      </c>
      <c r="AM11" s="1434">
        <f t="shared" si="10"/>
        <v>0</v>
      </c>
      <c r="AN11" s="1434">
        <f t="shared" si="10"/>
        <v>0</v>
      </c>
      <c r="AO11" s="1434">
        <f t="shared" si="10"/>
        <v>0</v>
      </c>
      <c r="AP11" s="1434">
        <f t="shared" si="10"/>
        <v>0</v>
      </c>
      <c r="AQ11" s="1434">
        <f t="shared" si="10"/>
        <v>0</v>
      </c>
      <c r="AR11" s="1434">
        <f t="shared" si="10"/>
        <v>0</v>
      </c>
      <c r="AS11" s="1434">
        <f t="shared" si="10"/>
        <v>0</v>
      </c>
    </row>
    <row r="12" spans="1:45" s="1378" customFormat="1">
      <c r="B12" s="66"/>
      <c r="C12" s="66"/>
      <c r="D12" s="640"/>
      <c r="E12" s="641"/>
      <c r="F12" s="464"/>
      <c r="G12" s="464"/>
      <c r="H12" s="464"/>
      <c r="I12" s="464"/>
      <c r="J12" s="464"/>
      <c r="K12" s="464"/>
      <c r="L12" s="464"/>
      <c r="M12" s="464"/>
      <c r="N12" s="464"/>
      <c r="O12" s="464"/>
      <c r="P12" s="464"/>
      <c r="Q12" s="464"/>
      <c r="R12" s="464"/>
      <c r="S12" s="464"/>
      <c r="T12" s="464"/>
      <c r="U12" s="464"/>
      <c r="V12" s="464"/>
      <c r="W12" s="464"/>
      <c r="X12" s="464"/>
      <c r="Y12" s="464"/>
      <c r="Z12" s="464"/>
      <c r="AA12" s="464"/>
      <c r="AB12" s="464"/>
      <c r="AC12" s="464"/>
      <c r="AD12" s="464"/>
      <c r="AE12" s="464"/>
      <c r="AF12" s="464"/>
      <c r="AG12" s="464"/>
      <c r="AH12" s="464"/>
      <c r="AI12" s="464"/>
      <c r="AJ12" s="464"/>
      <c r="AK12" s="464"/>
      <c r="AL12" s="464"/>
      <c r="AM12" s="464"/>
      <c r="AN12" s="464"/>
      <c r="AO12" s="464"/>
      <c r="AP12" s="464"/>
      <c r="AQ12" s="464"/>
      <c r="AR12" s="464"/>
      <c r="AS12" s="464"/>
    </row>
    <row r="13" spans="1:45" s="639" customFormat="1">
      <c r="A13" s="638"/>
      <c r="B13" s="639" t="s">
        <v>637</v>
      </c>
      <c r="C13" s="639" t="s">
        <v>980</v>
      </c>
      <c r="D13" s="640">
        <f>-PMT(DiscountRate,BookLife,E13)</f>
        <v>0</v>
      </c>
      <c r="E13" s="641">
        <f>NPV(DiscountRate,F13:AS13)*(1)</f>
        <v>0</v>
      </c>
      <c r="F13" s="642">
        <f>IF(F$1,FixedOMPerkWYr*((1+HistInflationRate)*(1+LaborEscalation))^(StartYr-BaseYr)*((1+InflationRate)*(1+LaborEscalation))^(F$4-StartYr),0)</f>
        <v>0</v>
      </c>
      <c r="G13" s="642">
        <f t="shared" ref="G13:AS13" si="11">IF(G$1,FixedOMPerkWYr*((1+HistInflationRate)*(1+LaborEscalation))^(StartYr-BaseYr)*((1+InflationRate)*(1+LaborEscalation))^(G$4-StartYr),0)</f>
        <v>0</v>
      </c>
      <c r="H13" s="642">
        <f t="shared" si="11"/>
        <v>0</v>
      </c>
      <c r="I13" s="642">
        <f t="shared" si="11"/>
        <v>0</v>
      </c>
      <c r="J13" s="642">
        <f t="shared" si="11"/>
        <v>0</v>
      </c>
      <c r="K13" s="642">
        <f t="shared" si="11"/>
        <v>0</v>
      </c>
      <c r="L13" s="642">
        <f t="shared" si="11"/>
        <v>0</v>
      </c>
      <c r="M13" s="642">
        <f t="shared" si="11"/>
        <v>0</v>
      </c>
      <c r="N13" s="642">
        <f t="shared" si="11"/>
        <v>0</v>
      </c>
      <c r="O13" s="642">
        <f t="shared" si="11"/>
        <v>0</v>
      </c>
      <c r="P13" s="642">
        <f t="shared" si="11"/>
        <v>0</v>
      </c>
      <c r="Q13" s="642">
        <f t="shared" si="11"/>
        <v>0</v>
      </c>
      <c r="R13" s="642">
        <f t="shared" si="11"/>
        <v>0</v>
      </c>
      <c r="S13" s="642">
        <f t="shared" si="11"/>
        <v>0</v>
      </c>
      <c r="T13" s="642">
        <f t="shared" si="11"/>
        <v>0</v>
      </c>
      <c r="U13" s="642">
        <f t="shared" si="11"/>
        <v>0</v>
      </c>
      <c r="V13" s="642">
        <f t="shared" si="11"/>
        <v>0</v>
      </c>
      <c r="W13" s="642">
        <f t="shared" si="11"/>
        <v>0</v>
      </c>
      <c r="X13" s="642">
        <f t="shared" si="11"/>
        <v>0</v>
      </c>
      <c r="Y13" s="642">
        <f t="shared" si="11"/>
        <v>0</v>
      </c>
      <c r="Z13" s="642">
        <f t="shared" si="11"/>
        <v>0</v>
      </c>
      <c r="AA13" s="642">
        <f t="shared" si="11"/>
        <v>0</v>
      </c>
      <c r="AB13" s="642">
        <f t="shared" si="11"/>
        <v>0</v>
      </c>
      <c r="AC13" s="642">
        <f t="shared" si="11"/>
        <v>0</v>
      </c>
      <c r="AD13" s="642">
        <f t="shared" si="11"/>
        <v>0</v>
      </c>
      <c r="AE13" s="642">
        <f t="shared" si="11"/>
        <v>0</v>
      </c>
      <c r="AF13" s="642">
        <f t="shared" si="11"/>
        <v>0</v>
      </c>
      <c r="AG13" s="642">
        <f t="shared" si="11"/>
        <v>0</v>
      </c>
      <c r="AH13" s="642">
        <f t="shared" si="11"/>
        <v>0</v>
      </c>
      <c r="AI13" s="642">
        <f t="shared" si="11"/>
        <v>0</v>
      </c>
      <c r="AJ13" s="642">
        <f t="shared" si="11"/>
        <v>0</v>
      </c>
      <c r="AK13" s="642">
        <f t="shared" si="11"/>
        <v>0</v>
      </c>
      <c r="AL13" s="642">
        <f t="shared" si="11"/>
        <v>0</v>
      </c>
      <c r="AM13" s="642">
        <f t="shared" si="11"/>
        <v>0</v>
      </c>
      <c r="AN13" s="642">
        <f t="shared" si="11"/>
        <v>0</v>
      </c>
      <c r="AO13" s="642">
        <f t="shared" si="11"/>
        <v>0</v>
      </c>
      <c r="AP13" s="642">
        <f t="shared" si="11"/>
        <v>0</v>
      </c>
      <c r="AQ13" s="642">
        <f t="shared" si="11"/>
        <v>0</v>
      </c>
      <c r="AR13" s="642">
        <f t="shared" si="11"/>
        <v>0</v>
      </c>
      <c r="AS13" s="642">
        <f t="shared" si="11"/>
        <v>0</v>
      </c>
    </row>
    <row r="14" spans="1:45" s="643" customFormat="1">
      <c r="B14" s="644" t="s">
        <v>822</v>
      </c>
      <c r="C14" s="645"/>
      <c r="D14" s="645"/>
      <c r="E14" s="644"/>
      <c r="F14" s="643">
        <f t="shared" ref="F14:AS14" si="12">VLOOKUP(BookLife,$D$143:$BA$148,(2+(F$4-$F$4)+1),1)</f>
        <v>0.99</v>
      </c>
      <c r="G14" s="643">
        <f t="shared" si="12"/>
        <v>0.97</v>
      </c>
      <c r="H14" s="643">
        <f t="shared" si="12"/>
        <v>0.96</v>
      </c>
      <c r="I14" s="643">
        <f t="shared" si="12"/>
        <v>0.94</v>
      </c>
      <c r="J14" s="643">
        <f t="shared" si="12"/>
        <v>0.92</v>
      </c>
      <c r="K14" s="643">
        <f t="shared" si="12"/>
        <v>0.91</v>
      </c>
      <c r="L14" s="643">
        <f t="shared" si="12"/>
        <v>0.89</v>
      </c>
      <c r="M14" s="643">
        <f t="shared" si="12"/>
        <v>0.87</v>
      </c>
      <c r="N14" s="643">
        <f t="shared" si="12"/>
        <v>0.85</v>
      </c>
      <c r="O14" s="643">
        <f t="shared" si="12"/>
        <v>0.83</v>
      </c>
      <c r="P14" s="643">
        <f t="shared" si="12"/>
        <v>0.81</v>
      </c>
      <c r="Q14" s="643">
        <f t="shared" si="12"/>
        <v>0.79</v>
      </c>
      <c r="R14" s="643">
        <f t="shared" si="12"/>
        <v>0.76</v>
      </c>
      <c r="S14" s="643">
        <f t="shared" si="12"/>
        <v>0.74</v>
      </c>
      <c r="T14" s="643">
        <f t="shared" si="12"/>
        <v>0.72</v>
      </c>
      <c r="U14" s="643">
        <f t="shared" si="12"/>
        <v>0.69</v>
      </c>
      <c r="V14" s="643">
        <f t="shared" si="12"/>
        <v>0.67</v>
      </c>
      <c r="W14" s="643">
        <f t="shared" si="12"/>
        <v>0.64</v>
      </c>
      <c r="X14" s="643">
        <f t="shared" si="12"/>
        <v>0.62</v>
      </c>
      <c r="Y14" s="643">
        <f t="shared" si="12"/>
        <v>0.59</v>
      </c>
      <c r="Z14" s="643">
        <f t="shared" si="12"/>
        <v>0.56999999999999995</v>
      </c>
      <c r="AA14" s="643">
        <f t="shared" si="12"/>
        <v>0.54</v>
      </c>
      <c r="AB14" s="643">
        <f t="shared" si="12"/>
        <v>0.51</v>
      </c>
      <c r="AC14" s="643">
        <f t="shared" si="12"/>
        <v>0.48</v>
      </c>
      <c r="AD14" s="643">
        <f t="shared" si="12"/>
        <v>0.46</v>
      </c>
      <c r="AE14" s="643">
        <f t="shared" si="12"/>
        <v>0.43</v>
      </c>
      <c r="AF14" s="643">
        <f t="shared" si="12"/>
        <v>0.4</v>
      </c>
      <c r="AG14" s="643">
        <f t="shared" si="12"/>
        <v>0.38</v>
      </c>
      <c r="AH14" s="643">
        <f t="shared" si="12"/>
        <v>0.35</v>
      </c>
      <c r="AI14" s="643">
        <f t="shared" si="12"/>
        <v>0.33</v>
      </c>
      <c r="AJ14" s="643">
        <f t="shared" si="12"/>
        <v>0.31</v>
      </c>
      <c r="AK14" s="643">
        <f t="shared" si="12"/>
        <v>0.28000000000000003</v>
      </c>
      <c r="AL14" s="643">
        <f t="shared" si="12"/>
        <v>0.27</v>
      </c>
      <c r="AM14" s="643">
        <f t="shared" si="12"/>
        <v>0.24</v>
      </c>
      <c r="AN14" s="643">
        <f t="shared" si="12"/>
        <v>0.22</v>
      </c>
      <c r="AO14" s="643">
        <f t="shared" si="12"/>
        <v>0.21</v>
      </c>
      <c r="AP14" s="643">
        <f t="shared" si="12"/>
        <v>0.19</v>
      </c>
      <c r="AQ14" s="643">
        <f t="shared" si="12"/>
        <v>0.18</v>
      </c>
      <c r="AR14" s="643">
        <f t="shared" si="12"/>
        <v>0.17</v>
      </c>
      <c r="AS14" s="643">
        <f t="shared" si="12"/>
        <v>0.15</v>
      </c>
    </row>
    <row r="15" spans="1:45" s="651" customFormat="1">
      <c r="A15" s="646"/>
      <c r="B15" s="647" t="s">
        <v>303</v>
      </c>
      <c r="C15" s="647" t="s">
        <v>980</v>
      </c>
      <c r="D15" s="648">
        <f>-PMT(DiscountRate,BookLife,E15)</f>
        <v>21.391440826369717</v>
      </c>
      <c r="E15" s="649">
        <f>NPV(DiscountRate,F15:AS15)*(1)</f>
        <v>275.35857996557843</v>
      </c>
      <c r="F15" s="650">
        <f t="shared" ref="F15:AS15" si="13">IF(F$1,IF(AND(OwnerType="POU",MuniInlieu="N"),0,IF(OwnerType="Merchant",AdValoremTaxRate*InstalledCostPerkW*SolarPropTax25*0.25*F$14*(1+0.02)^(F$4-StartYr)+AdValoremTaxRate*InstalledCostPerkW*(1-SolarPropTax)*F$14*(1+0.02)^(F$4-StartYr),AdValoremTaxRate*(1-SolarPropTax-SolarPropTax25)*F$40+AdValoremTaxRate*SolarPropTax25*0.25*F$40)),0)</f>
        <v>22.54301581123012</v>
      </c>
      <c r="G15" s="650">
        <f t="shared" si="13"/>
        <v>22.529353377405133</v>
      </c>
      <c r="H15" s="650">
        <f t="shared" si="13"/>
        <v>22.743033842427945</v>
      </c>
      <c r="I15" s="650">
        <f t="shared" si="13"/>
        <v>22.714605050124906</v>
      </c>
      <c r="J15" s="650">
        <f t="shared" si="13"/>
        <v>22.675941892592785</v>
      </c>
      <c r="K15" s="650">
        <f t="shared" si="13"/>
        <v>22.878053548591982</v>
      </c>
      <c r="L15" s="650">
        <f t="shared" si="13"/>
        <v>22.822743968584394</v>
      </c>
      <c r="M15" s="650">
        <f t="shared" si="13"/>
        <v>22.756070783957068</v>
      </c>
      <c r="N15" s="650">
        <f t="shared" si="13"/>
        <v>22.677601574357215</v>
      </c>
      <c r="O15" s="650">
        <f t="shared" si="13"/>
        <v>22.586891168059786</v>
      </c>
      <c r="P15" s="650">
        <f t="shared" si="13"/>
        <v>22.483481304880719</v>
      </c>
      <c r="Q15" s="650">
        <f t="shared" si="13"/>
        <v>22.366900290707257</v>
      </c>
      <c r="R15" s="650">
        <f t="shared" si="13"/>
        <v>21.947874816906669</v>
      </c>
      <c r="S15" s="650">
        <f t="shared" si="13"/>
        <v>21.797705147106779</v>
      </c>
      <c r="T15" s="650">
        <f t="shared" si="13"/>
        <v>21.632749540588136</v>
      </c>
      <c r="U15" s="650">
        <f t="shared" si="13"/>
        <v>21.146012675924897</v>
      </c>
      <c r="V15" s="650">
        <f t="shared" si="13"/>
        <v>20.943746467720405</v>
      </c>
      <c r="W15" s="650">
        <f t="shared" si="13"/>
        <v>20.406086110638629</v>
      </c>
      <c r="X15" s="650">
        <f t="shared" si="13"/>
        <v>20.163763838074793</v>
      </c>
      <c r="Y15" s="650">
        <f t="shared" si="13"/>
        <v>19.571859802828076</v>
      </c>
      <c r="Z15" s="650">
        <f t="shared" si="13"/>
        <v>19.28657506671906</v>
      </c>
      <c r="AA15" s="650">
        <f t="shared" si="13"/>
        <v>18.636922011840102</v>
      </c>
      <c r="AB15" s="650">
        <f t="shared" si="13"/>
        <v>17.953568204739302</v>
      </c>
      <c r="AC15" s="650">
        <f t="shared" si="13"/>
        <v>17.235425476549725</v>
      </c>
      <c r="AD15" s="650">
        <f t="shared" si="13"/>
        <v>16.847628403327359</v>
      </c>
      <c r="AE15" s="650">
        <f t="shared" si="13"/>
        <v>16.063847429781259</v>
      </c>
      <c r="AF15" s="650">
        <f t="shared" si="13"/>
        <v>15.241976165931986</v>
      </c>
      <c r="AG15" s="650">
        <f t="shared" si="13"/>
        <v>14.769474904788092</v>
      </c>
      <c r="AH15" s="650">
        <f t="shared" si="13"/>
        <v>13.875533002656184</v>
      </c>
      <c r="AI15" s="650">
        <f t="shared" si="13"/>
        <v>13.344298310554489</v>
      </c>
      <c r="AJ15" s="650">
        <f t="shared" si="13"/>
        <v>0</v>
      </c>
      <c r="AK15" s="650">
        <f t="shared" si="13"/>
        <v>0</v>
      </c>
      <c r="AL15" s="650">
        <f t="shared" si="13"/>
        <v>0</v>
      </c>
      <c r="AM15" s="650">
        <f t="shared" si="13"/>
        <v>0</v>
      </c>
      <c r="AN15" s="650">
        <f t="shared" si="13"/>
        <v>0</v>
      </c>
      <c r="AO15" s="650">
        <f t="shared" si="13"/>
        <v>0</v>
      </c>
      <c r="AP15" s="650">
        <f t="shared" si="13"/>
        <v>0</v>
      </c>
      <c r="AQ15" s="650">
        <f t="shared" si="13"/>
        <v>0</v>
      </c>
      <c r="AR15" s="650">
        <f t="shared" si="13"/>
        <v>0</v>
      </c>
      <c r="AS15" s="650">
        <f t="shared" si="13"/>
        <v>0</v>
      </c>
    </row>
    <row r="16" spans="1:45" s="130" customFormat="1">
      <c r="A16" s="652"/>
      <c r="B16" s="653" t="s">
        <v>550</v>
      </c>
      <c r="C16" s="653" t="s">
        <v>980</v>
      </c>
      <c r="D16" s="654">
        <f>-PMT(DiscountRate,BookLife,E16)</f>
        <v>14.635139806572186</v>
      </c>
      <c r="E16" s="655">
        <f>NPV(DiscountRate,F16:AS16)*(1)</f>
        <v>188.38896114784674</v>
      </c>
      <c r="F16" s="656">
        <f t="shared" ref="F16:AS16" si="14">IF(F$1,IF(OwnerType="IOU",InsurancePct*F40,InsurancePct*InstalledCostPerkW*(1+InflationRate)^(F$4-StartYr)),0)</f>
        <v>12.443018055544583</v>
      </c>
      <c r="G16" s="656">
        <f t="shared" si="14"/>
        <v>12.637575952701111</v>
      </c>
      <c r="H16" s="656">
        <f t="shared" si="14"/>
        <v>12.835175939419591</v>
      </c>
      <c r="I16" s="656">
        <f t="shared" si="14"/>
        <v>13.035865581535377</v>
      </c>
      <c r="J16" s="656">
        <f t="shared" si="14"/>
        <v>13.239693188618897</v>
      </c>
      <c r="K16" s="656">
        <f t="shared" si="14"/>
        <v>13.446707825604614</v>
      </c>
      <c r="L16" s="656">
        <f t="shared" si="14"/>
        <v>13.656959324601845</v>
      </c>
      <c r="M16" s="656">
        <f t="shared" si="14"/>
        <v>13.870498296890224</v>
      </c>
      <c r="N16" s="656">
        <f t="shared" si="14"/>
        <v>14.087376145102754</v>
      </c>
      <c r="O16" s="656">
        <f t="shared" si="14"/>
        <v>14.307645075599316</v>
      </c>
      <c r="P16" s="656">
        <f t="shared" si="14"/>
        <v>14.531358111033684</v>
      </c>
      <c r="Q16" s="656">
        <f t="shared" si="14"/>
        <v>14.75856910311702</v>
      </c>
      <c r="R16" s="656">
        <f t="shared" si="14"/>
        <v>14.989332745580938</v>
      </c>
      <c r="S16" s="656">
        <f t="shared" si="14"/>
        <v>15.223704587343251</v>
      </c>
      <c r="T16" s="656">
        <f t="shared" si="14"/>
        <v>15.461741045879601</v>
      </c>
      <c r="U16" s="656">
        <f t="shared" si="14"/>
        <v>15.703499420804134</v>
      </c>
      <c r="V16" s="656">
        <f t="shared" si="14"/>
        <v>15.94903790766255</v>
      </c>
      <c r="W16" s="656">
        <f t="shared" si="14"/>
        <v>16.198415611940806</v>
      </c>
      <c r="X16" s="656">
        <f t="shared" si="14"/>
        <v>16.451692563292838</v>
      </c>
      <c r="Y16" s="656">
        <f t="shared" si="14"/>
        <v>16.708929729990807</v>
      </c>
      <c r="Z16" s="656">
        <f t="shared" si="14"/>
        <v>16.970189033601205</v>
      </c>
      <c r="AA16" s="656">
        <f t="shared" si="14"/>
        <v>17.235533363890507</v>
      </c>
      <c r="AB16" s="656">
        <f t="shared" si="14"/>
        <v>17.505026593963859</v>
      </c>
      <c r="AC16" s="656">
        <f t="shared" si="14"/>
        <v>17.778733595640439</v>
      </c>
      <c r="AD16" s="656">
        <f t="shared" si="14"/>
        <v>18.056720255069308</v>
      </c>
      <c r="AE16" s="656">
        <f t="shared" si="14"/>
        <v>18.339053488589332</v>
      </c>
      <c r="AF16" s="656">
        <f t="shared" si="14"/>
        <v>18.625801258837168</v>
      </c>
      <c r="AG16" s="656">
        <f t="shared" si="14"/>
        <v>18.917032591107073</v>
      </c>
      <c r="AH16" s="656">
        <f t="shared" si="14"/>
        <v>19.212817589966519</v>
      </c>
      <c r="AI16" s="656">
        <f t="shared" si="14"/>
        <v>19.513227456131599</v>
      </c>
      <c r="AJ16" s="656">
        <f t="shared" si="14"/>
        <v>0</v>
      </c>
      <c r="AK16" s="656">
        <f t="shared" si="14"/>
        <v>0</v>
      </c>
      <c r="AL16" s="656">
        <f t="shared" si="14"/>
        <v>0</v>
      </c>
      <c r="AM16" s="656">
        <f t="shared" si="14"/>
        <v>0</v>
      </c>
      <c r="AN16" s="656">
        <f t="shared" si="14"/>
        <v>0</v>
      </c>
      <c r="AO16" s="656">
        <f t="shared" si="14"/>
        <v>0</v>
      </c>
      <c r="AP16" s="656">
        <f t="shared" si="14"/>
        <v>0</v>
      </c>
      <c r="AQ16" s="656">
        <f t="shared" si="14"/>
        <v>0</v>
      </c>
      <c r="AR16" s="656">
        <f t="shared" si="14"/>
        <v>0</v>
      </c>
      <c r="AS16" s="656">
        <f t="shared" si="14"/>
        <v>0</v>
      </c>
    </row>
    <row r="17" spans="1:45" s="478" customFormat="1">
      <c r="A17" s="657"/>
      <c r="B17" s="658" t="s">
        <v>1035</v>
      </c>
      <c r="C17" s="658"/>
      <c r="D17" s="637">
        <f>-PMT(DiscountRate,BookLife,E17)</f>
        <v>36.026580632941901</v>
      </c>
      <c r="E17" s="659">
        <f>NPV(DiscountRate,F17:AS17)*(1)</f>
        <v>463.74754111342514</v>
      </c>
      <c r="F17" s="1437">
        <f>SUM(F13,F15:F16)</f>
        <v>34.986033866774704</v>
      </c>
      <c r="G17" s="1437">
        <f t="shared" ref="G17:AS17" si="15">SUM(G13,G15:G16)</f>
        <v>35.166929330106242</v>
      </c>
      <c r="H17" s="1437">
        <f t="shared" si="15"/>
        <v>35.578209781847534</v>
      </c>
      <c r="I17" s="1437">
        <f t="shared" si="15"/>
        <v>35.750470631660285</v>
      </c>
      <c r="J17" s="1437">
        <f t="shared" si="15"/>
        <v>35.915635081211683</v>
      </c>
      <c r="K17" s="1437">
        <f t="shared" si="15"/>
        <v>36.324761374196598</v>
      </c>
      <c r="L17" s="1437">
        <f t="shared" si="15"/>
        <v>36.47970329318624</v>
      </c>
      <c r="M17" s="1437">
        <f t="shared" si="15"/>
        <v>36.62656908084729</v>
      </c>
      <c r="N17" s="1437">
        <f t="shared" si="15"/>
        <v>36.764977719459971</v>
      </c>
      <c r="O17" s="1437">
        <f t="shared" si="15"/>
        <v>36.894536243659104</v>
      </c>
      <c r="P17" s="1437">
        <f t="shared" si="15"/>
        <v>37.014839415914402</v>
      </c>
      <c r="Q17" s="1437">
        <f t="shared" si="15"/>
        <v>37.125469393824275</v>
      </c>
      <c r="R17" s="1437">
        <f t="shared" si="15"/>
        <v>36.937207562487608</v>
      </c>
      <c r="S17" s="1437">
        <f t="shared" si="15"/>
        <v>37.021409734450032</v>
      </c>
      <c r="T17" s="1437">
        <f t="shared" si="15"/>
        <v>37.094490586467735</v>
      </c>
      <c r="U17" s="1437">
        <f t="shared" si="15"/>
        <v>36.849512096729029</v>
      </c>
      <c r="V17" s="1437">
        <f t="shared" si="15"/>
        <v>36.892784375382959</v>
      </c>
      <c r="W17" s="1437">
        <f t="shared" si="15"/>
        <v>36.604501722579435</v>
      </c>
      <c r="X17" s="1437">
        <f t="shared" si="15"/>
        <v>36.615456401367631</v>
      </c>
      <c r="Y17" s="1437">
        <f t="shared" si="15"/>
        <v>36.280789532818886</v>
      </c>
      <c r="Z17" s="1437">
        <f t="shared" si="15"/>
        <v>36.256764100320268</v>
      </c>
      <c r="AA17" s="1437">
        <f t="shared" si="15"/>
        <v>35.87245537573061</v>
      </c>
      <c r="AB17" s="1437">
        <f t="shared" si="15"/>
        <v>35.45859479870316</v>
      </c>
      <c r="AC17" s="1437">
        <f t="shared" si="15"/>
        <v>35.014159072190168</v>
      </c>
      <c r="AD17" s="1437">
        <f t="shared" si="15"/>
        <v>34.904348658396671</v>
      </c>
      <c r="AE17" s="1437">
        <f t="shared" si="15"/>
        <v>34.402900918370591</v>
      </c>
      <c r="AF17" s="1437">
        <f t="shared" si="15"/>
        <v>33.867777424769152</v>
      </c>
      <c r="AG17" s="1437">
        <f t="shared" si="15"/>
        <v>33.686507495895164</v>
      </c>
      <c r="AH17" s="1437">
        <f t="shared" si="15"/>
        <v>33.088350592622703</v>
      </c>
      <c r="AI17" s="1437">
        <f t="shared" si="15"/>
        <v>32.857525766686088</v>
      </c>
      <c r="AJ17" s="1437">
        <f t="shared" si="15"/>
        <v>0</v>
      </c>
      <c r="AK17" s="1437">
        <f t="shared" si="15"/>
        <v>0</v>
      </c>
      <c r="AL17" s="1437">
        <f t="shared" si="15"/>
        <v>0</v>
      </c>
      <c r="AM17" s="1437">
        <f t="shared" si="15"/>
        <v>0</v>
      </c>
      <c r="AN17" s="1437">
        <f t="shared" si="15"/>
        <v>0</v>
      </c>
      <c r="AO17" s="1437">
        <f t="shared" si="15"/>
        <v>0</v>
      </c>
      <c r="AP17" s="1437">
        <f t="shared" si="15"/>
        <v>0</v>
      </c>
      <c r="AQ17" s="1437">
        <f t="shared" si="15"/>
        <v>0</v>
      </c>
      <c r="AR17" s="1437">
        <f t="shared" si="15"/>
        <v>0</v>
      </c>
      <c r="AS17" s="1437">
        <f t="shared" si="15"/>
        <v>0</v>
      </c>
    </row>
    <row r="18" spans="1:45">
      <c r="A18" s="661"/>
      <c r="B18" s="141"/>
      <c r="C18" s="141"/>
      <c r="D18" s="640"/>
      <c r="E18" s="662"/>
      <c r="F18" s="663"/>
      <c r="G18" s="664"/>
      <c r="H18" s="664"/>
      <c r="I18" s="665"/>
      <c r="J18" s="665"/>
      <c r="K18" s="665"/>
      <c r="L18" s="665"/>
      <c r="M18" s="665"/>
      <c r="N18" s="665"/>
      <c r="O18" s="665"/>
      <c r="P18" s="665"/>
      <c r="Q18" s="665"/>
      <c r="R18" s="665"/>
      <c r="S18" s="665"/>
      <c r="T18" s="665"/>
      <c r="U18" s="665"/>
      <c r="V18" s="665"/>
      <c r="W18" s="665"/>
      <c r="X18" s="665"/>
      <c r="Y18" s="665"/>
      <c r="Z18" s="665"/>
      <c r="AA18" s="665"/>
      <c r="AB18" s="665"/>
      <c r="AC18" s="665"/>
      <c r="AD18" s="665"/>
      <c r="AE18" s="665"/>
      <c r="AF18" s="665"/>
      <c r="AG18" s="665"/>
      <c r="AH18" s="665"/>
      <c r="AI18" s="665"/>
      <c r="AJ18" s="665"/>
      <c r="AK18" s="665"/>
      <c r="AL18" s="665"/>
      <c r="AM18" s="665"/>
      <c r="AN18" s="665"/>
      <c r="AO18" s="665"/>
      <c r="AP18" s="665"/>
      <c r="AQ18" s="665"/>
      <c r="AR18" s="665"/>
      <c r="AS18" s="665"/>
    </row>
    <row r="19" spans="1:45" s="133" customFormat="1">
      <c r="A19" s="666"/>
      <c r="B19" s="134" t="s">
        <v>982</v>
      </c>
      <c r="C19" s="134" t="s">
        <v>981</v>
      </c>
      <c r="D19" s="648"/>
      <c r="E19" s="649"/>
      <c r="F19" s="667">
        <f t="array" ref="F19:AS19">TRANSPOSE('Fuel Price Forecasts'!$C$16:$C$57)</f>
        <v>0</v>
      </c>
      <c r="G19" s="668">
        <v>0</v>
      </c>
      <c r="H19" s="668">
        <v>0</v>
      </c>
      <c r="I19" s="668">
        <v>0</v>
      </c>
      <c r="J19" s="668">
        <v>0</v>
      </c>
      <c r="K19" s="668">
        <v>0</v>
      </c>
      <c r="L19" s="668">
        <v>0</v>
      </c>
      <c r="M19" s="668">
        <v>0</v>
      </c>
      <c r="N19" s="668">
        <v>0</v>
      </c>
      <c r="O19" s="668">
        <v>0</v>
      </c>
      <c r="P19" s="668">
        <v>0</v>
      </c>
      <c r="Q19" s="668">
        <v>0</v>
      </c>
      <c r="R19" s="668">
        <v>0</v>
      </c>
      <c r="S19" s="668">
        <v>0</v>
      </c>
      <c r="T19" s="668">
        <v>0</v>
      </c>
      <c r="U19" s="668">
        <v>0</v>
      </c>
      <c r="V19" s="668">
        <v>0</v>
      </c>
      <c r="W19" s="668">
        <v>0</v>
      </c>
      <c r="X19" s="668">
        <v>0</v>
      </c>
      <c r="Y19" s="668">
        <v>0</v>
      </c>
      <c r="Z19" s="668">
        <v>0</v>
      </c>
      <c r="AA19" s="668">
        <v>0</v>
      </c>
      <c r="AB19" s="668">
        <v>0</v>
      </c>
      <c r="AC19" s="668">
        <v>0</v>
      </c>
      <c r="AD19" s="668">
        <v>0</v>
      </c>
      <c r="AE19" s="668">
        <v>0</v>
      </c>
      <c r="AF19" s="668">
        <v>0</v>
      </c>
      <c r="AG19" s="668">
        <v>0</v>
      </c>
      <c r="AH19" s="668">
        <v>0</v>
      </c>
      <c r="AI19" s="668">
        <v>0</v>
      </c>
      <c r="AJ19" s="668">
        <v>0</v>
      </c>
      <c r="AK19" s="668">
        <v>0</v>
      </c>
      <c r="AL19" s="668">
        <v>0</v>
      </c>
      <c r="AM19" s="668">
        <v>0</v>
      </c>
      <c r="AN19" s="668">
        <v>0</v>
      </c>
      <c r="AO19" s="668">
        <v>0</v>
      </c>
      <c r="AP19" s="668">
        <v>0</v>
      </c>
      <c r="AQ19" s="668">
        <v>0</v>
      </c>
      <c r="AR19" s="668">
        <v>0</v>
      </c>
      <c r="AS19" s="668">
        <v>0</v>
      </c>
    </row>
    <row r="20" spans="1:45" s="131" customFormat="1">
      <c r="A20" s="669"/>
      <c r="B20" s="132" t="s">
        <v>1123</v>
      </c>
      <c r="C20" s="132" t="s">
        <v>981</v>
      </c>
      <c r="D20" s="648">
        <f t="shared" ref="D20:D27" si="16">-PMT(DiscountRate,BookLife,E20)</f>
        <v>0</v>
      </c>
      <c r="E20" s="649">
        <f t="shared" ref="E20:E27" si="17">NPV(DiscountRate,F20:AS20)*(1)</f>
        <v>0</v>
      </c>
      <c r="F20" s="667">
        <f t="shared" ref="F20:AS20" si="18">IF(F$1,F19,0)</f>
        <v>0</v>
      </c>
      <c r="G20" s="667">
        <f t="shared" si="18"/>
        <v>0</v>
      </c>
      <c r="H20" s="667">
        <f t="shared" si="18"/>
        <v>0</v>
      </c>
      <c r="I20" s="667">
        <f t="shared" si="18"/>
        <v>0</v>
      </c>
      <c r="J20" s="667">
        <f t="shared" si="18"/>
        <v>0</v>
      </c>
      <c r="K20" s="667">
        <f t="shared" si="18"/>
        <v>0</v>
      </c>
      <c r="L20" s="667">
        <f t="shared" si="18"/>
        <v>0</v>
      </c>
      <c r="M20" s="667">
        <f t="shared" si="18"/>
        <v>0</v>
      </c>
      <c r="N20" s="667">
        <f t="shared" si="18"/>
        <v>0</v>
      </c>
      <c r="O20" s="667">
        <f t="shared" si="18"/>
        <v>0</v>
      </c>
      <c r="P20" s="667">
        <f t="shared" si="18"/>
        <v>0</v>
      </c>
      <c r="Q20" s="667">
        <f t="shared" si="18"/>
        <v>0</v>
      </c>
      <c r="R20" s="667">
        <f t="shared" si="18"/>
        <v>0</v>
      </c>
      <c r="S20" s="667">
        <f t="shared" si="18"/>
        <v>0</v>
      </c>
      <c r="T20" s="667">
        <f t="shared" si="18"/>
        <v>0</v>
      </c>
      <c r="U20" s="667">
        <f t="shared" si="18"/>
        <v>0</v>
      </c>
      <c r="V20" s="667">
        <f t="shared" si="18"/>
        <v>0</v>
      </c>
      <c r="W20" s="667">
        <f t="shared" si="18"/>
        <v>0</v>
      </c>
      <c r="X20" s="667">
        <f t="shared" si="18"/>
        <v>0</v>
      </c>
      <c r="Y20" s="667">
        <f t="shared" si="18"/>
        <v>0</v>
      </c>
      <c r="Z20" s="667">
        <f t="shared" si="18"/>
        <v>0</v>
      </c>
      <c r="AA20" s="667">
        <f t="shared" si="18"/>
        <v>0</v>
      </c>
      <c r="AB20" s="667">
        <f t="shared" si="18"/>
        <v>0</v>
      </c>
      <c r="AC20" s="667">
        <f t="shared" si="18"/>
        <v>0</v>
      </c>
      <c r="AD20" s="667">
        <f t="shared" si="18"/>
        <v>0</v>
      </c>
      <c r="AE20" s="667">
        <f t="shared" si="18"/>
        <v>0</v>
      </c>
      <c r="AF20" s="667">
        <f t="shared" si="18"/>
        <v>0</v>
      </c>
      <c r="AG20" s="667">
        <f t="shared" si="18"/>
        <v>0</v>
      </c>
      <c r="AH20" s="667">
        <f t="shared" si="18"/>
        <v>0</v>
      </c>
      <c r="AI20" s="667">
        <f t="shared" si="18"/>
        <v>0</v>
      </c>
      <c r="AJ20" s="667">
        <f t="shared" si="18"/>
        <v>0</v>
      </c>
      <c r="AK20" s="667">
        <f t="shared" si="18"/>
        <v>0</v>
      </c>
      <c r="AL20" s="667">
        <f t="shared" si="18"/>
        <v>0</v>
      </c>
      <c r="AM20" s="667">
        <f t="shared" si="18"/>
        <v>0</v>
      </c>
      <c r="AN20" s="667">
        <f t="shared" si="18"/>
        <v>0</v>
      </c>
      <c r="AO20" s="667">
        <f t="shared" si="18"/>
        <v>0</v>
      </c>
      <c r="AP20" s="667">
        <f t="shared" si="18"/>
        <v>0</v>
      </c>
      <c r="AQ20" s="667">
        <f t="shared" si="18"/>
        <v>0</v>
      </c>
      <c r="AR20" s="667">
        <f t="shared" si="18"/>
        <v>0</v>
      </c>
      <c r="AS20" s="667">
        <f t="shared" si="18"/>
        <v>0</v>
      </c>
    </row>
    <row r="21" spans="1:45" s="131" customFormat="1">
      <c r="A21" s="669"/>
      <c r="B21" s="132" t="s">
        <v>1284</v>
      </c>
      <c r="C21" s="132" t="s">
        <v>1009</v>
      </c>
      <c r="D21" s="1379">
        <f t="shared" si="16"/>
        <v>0</v>
      </c>
      <c r="E21" s="1379">
        <f t="shared" si="17"/>
        <v>0</v>
      </c>
      <c r="F21" s="1166">
        <f>IF(AvgHeatRate=0,0,IF(F$1,GrossMW/(1+AnnCapDegredationRate)^(F$4-StartYr)*AverageOutputPct*OpHrsPerYr/1000*OpHeatRate*(1+HeatRateDegredation)^(F$4-StartYr)+StartUpFuel*AnnualStarts,0))</f>
        <v>0</v>
      </c>
      <c r="G21" s="1166">
        <f>IF(AvgHeatRate=0,0,IF(G$1,GrossMW/(1+AnnCapDegredationRate)^(G$4-StartYr)*AverageOutputPct*OpHrsPerYr/1000*OpHeatRate*(1+HeatRateDegredation)^(G$4-StartYr)+StartUpFuel*AnnualStarts,0))</f>
        <v>0</v>
      </c>
      <c r="H21" s="1166">
        <f t="shared" ref="H21:AS21" si="19">IF(AvgHeatRate=0,0,IF(H$1,GrossMW/(1+AnnCapDegredationRate)^(H$4-StartYr)*AverageOutputPct*OpHrsPerYr/1000*OpHeatRate*(1+HeatRateDegredation)^(H$4-StartYr)+StartUpFuel*AnnualStarts,0))</f>
        <v>0</v>
      </c>
      <c r="I21" s="1166">
        <f t="shared" si="19"/>
        <v>0</v>
      </c>
      <c r="J21" s="1166">
        <f t="shared" si="19"/>
        <v>0</v>
      </c>
      <c r="K21" s="1166">
        <f t="shared" si="19"/>
        <v>0</v>
      </c>
      <c r="L21" s="1166">
        <f t="shared" si="19"/>
        <v>0</v>
      </c>
      <c r="M21" s="1166">
        <f t="shared" si="19"/>
        <v>0</v>
      </c>
      <c r="N21" s="1166">
        <f t="shared" si="19"/>
        <v>0</v>
      </c>
      <c r="O21" s="1166">
        <f t="shared" si="19"/>
        <v>0</v>
      </c>
      <c r="P21" s="1166">
        <f t="shared" si="19"/>
        <v>0</v>
      </c>
      <c r="Q21" s="1166">
        <f t="shared" si="19"/>
        <v>0</v>
      </c>
      <c r="R21" s="1166">
        <f t="shared" si="19"/>
        <v>0</v>
      </c>
      <c r="S21" s="1166">
        <f t="shared" si="19"/>
        <v>0</v>
      </c>
      <c r="T21" s="1166">
        <f t="shared" si="19"/>
        <v>0</v>
      </c>
      <c r="U21" s="1166">
        <f t="shared" si="19"/>
        <v>0</v>
      </c>
      <c r="V21" s="1166">
        <f t="shared" si="19"/>
        <v>0</v>
      </c>
      <c r="W21" s="1166">
        <f t="shared" si="19"/>
        <v>0</v>
      </c>
      <c r="X21" s="1166">
        <f t="shared" si="19"/>
        <v>0</v>
      </c>
      <c r="Y21" s="1166">
        <f t="shared" si="19"/>
        <v>0</v>
      </c>
      <c r="Z21" s="1166">
        <f t="shared" si="19"/>
        <v>0</v>
      </c>
      <c r="AA21" s="1166">
        <f t="shared" si="19"/>
        <v>0</v>
      </c>
      <c r="AB21" s="1166">
        <f t="shared" si="19"/>
        <v>0</v>
      </c>
      <c r="AC21" s="1166">
        <f t="shared" si="19"/>
        <v>0</v>
      </c>
      <c r="AD21" s="1166">
        <f t="shared" si="19"/>
        <v>0</v>
      </c>
      <c r="AE21" s="1166">
        <f t="shared" si="19"/>
        <v>0</v>
      </c>
      <c r="AF21" s="1166">
        <f t="shared" si="19"/>
        <v>0</v>
      </c>
      <c r="AG21" s="1166">
        <f t="shared" si="19"/>
        <v>0</v>
      </c>
      <c r="AH21" s="1166">
        <f t="shared" si="19"/>
        <v>0</v>
      </c>
      <c r="AI21" s="1166">
        <f t="shared" si="19"/>
        <v>0</v>
      </c>
      <c r="AJ21" s="1166">
        <f t="shared" si="19"/>
        <v>0</v>
      </c>
      <c r="AK21" s="1166">
        <f t="shared" si="19"/>
        <v>0</v>
      </c>
      <c r="AL21" s="1166">
        <f t="shared" si="19"/>
        <v>0</v>
      </c>
      <c r="AM21" s="1166">
        <f t="shared" si="19"/>
        <v>0</v>
      </c>
      <c r="AN21" s="1166">
        <f t="shared" si="19"/>
        <v>0</v>
      </c>
      <c r="AO21" s="1166">
        <f t="shared" si="19"/>
        <v>0</v>
      </c>
      <c r="AP21" s="1166">
        <f t="shared" si="19"/>
        <v>0</v>
      </c>
      <c r="AQ21" s="1166">
        <f t="shared" si="19"/>
        <v>0</v>
      </c>
      <c r="AR21" s="1166">
        <f t="shared" si="19"/>
        <v>0</v>
      </c>
      <c r="AS21" s="1166">
        <f t="shared" si="19"/>
        <v>0</v>
      </c>
    </row>
    <row r="22" spans="1:45" s="651" customFormat="1">
      <c r="B22" s="647" t="s">
        <v>1311</v>
      </c>
      <c r="C22" s="647" t="s">
        <v>980</v>
      </c>
      <c r="D22" s="648">
        <f t="shared" si="16"/>
        <v>0</v>
      </c>
      <c r="E22" s="649">
        <f t="shared" si="17"/>
        <v>0</v>
      </c>
      <c r="F22" s="1482">
        <f t="shared" ref="F22:AS22" si="20">IF(F$1,F21*F19/GrossMW/1000,0)</f>
        <v>0</v>
      </c>
      <c r="G22" s="1482">
        <f t="shared" si="20"/>
        <v>0</v>
      </c>
      <c r="H22" s="1482">
        <f t="shared" si="20"/>
        <v>0</v>
      </c>
      <c r="I22" s="1482">
        <f t="shared" si="20"/>
        <v>0</v>
      </c>
      <c r="J22" s="1482">
        <f t="shared" si="20"/>
        <v>0</v>
      </c>
      <c r="K22" s="1482">
        <f t="shared" si="20"/>
        <v>0</v>
      </c>
      <c r="L22" s="1482">
        <f t="shared" si="20"/>
        <v>0</v>
      </c>
      <c r="M22" s="1482">
        <f t="shared" si="20"/>
        <v>0</v>
      </c>
      <c r="N22" s="1482">
        <f t="shared" si="20"/>
        <v>0</v>
      </c>
      <c r="O22" s="1482">
        <f t="shared" si="20"/>
        <v>0</v>
      </c>
      <c r="P22" s="1482">
        <f t="shared" si="20"/>
        <v>0</v>
      </c>
      <c r="Q22" s="1482">
        <f t="shared" si="20"/>
        <v>0</v>
      </c>
      <c r="R22" s="1482">
        <f t="shared" si="20"/>
        <v>0</v>
      </c>
      <c r="S22" s="1482">
        <f t="shared" si="20"/>
        <v>0</v>
      </c>
      <c r="T22" s="1482">
        <f t="shared" si="20"/>
        <v>0</v>
      </c>
      <c r="U22" s="1482">
        <f t="shared" si="20"/>
        <v>0</v>
      </c>
      <c r="V22" s="1482">
        <f t="shared" si="20"/>
        <v>0</v>
      </c>
      <c r="W22" s="1482">
        <f t="shared" si="20"/>
        <v>0</v>
      </c>
      <c r="X22" s="1482">
        <f t="shared" si="20"/>
        <v>0</v>
      </c>
      <c r="Y22" s="1482">
        <f t="shared" si="20"/>
        <v>0</v>
      </c>
      <c r="Z22" s="1482">
        <f t="shared" si="20"/>
        <v>0</v>
      </c>
      <c r="AA22" s="1482">
        <f t="shared" si="20"/>
        <v>0</v>
      </c>
      <c r="AB22" s="1482">
        <f t="shared" si="20"/>
        <v>0</v>
      </c>
      <c r="AC22" s="1482">
        <f t="shared" si="20"/>
        <v>0</v>
      </c>
      <c r="AD22" s="1482">
        <f t="shared" si="20"/>
        <v>0</v>
      </c>
      <c r="AE22" s="1482">
        <f t="shared" si="20"/>
        <v>0</v>
      </c>
      <c r="AF22" s="1482">
        <f t="shared" si="20"/>
        <v>0</v>
      </c>
      <c r="AG22" s="1482">
        <f t="shared" si="20"/>
        <v>0</v>
      </c>
      <c r="AH22" s="1482">
        <f t="shared" si="20"/>
        <v>0</v>
      </c>
      <c r="AI22" s="1482">
        <f t="shared" si="20"/>
        <v>0</v>
      </c>
      <c r="AJ22" s="1482">
        <f t="shared" si="20"/>
        <v>0</v>
      </c>
      <c r="AK22" s="1482">
        <f t="shared" si="20"/>
        <v>0</v>
      </c>
      <c r="AL22" s="1482">
        <f t="shared" si="20"/>
        <v>0</v>
      </c>
      <c r="AM22" s="1482">
        <f t="shared" si="20"/>
        <v>0</v>
      </c>
      <c r="AN22" s="1482">
        <f t="shared" si="20"/>
        <v>0</v>
      </c>
      <c r="AO22" s="1482">
        <f t="shared" si="20"/>
        <v>0</v>
      </c>
      <c r="AP22" s="1482">
        <f t="shared" si="20"/>
        <v>0</v>
      </c>
      <c r="AQ22" s="1482">
        <f t="shared" si="20"/>
        <v>0</v>
      </c>
      <c r="AR22" s="1482">
        <f t="shared" si="20"/>
        <v>0</v>
      </c>
      <c r="AS22" s="1482">
        <f t="shared" si="20"/>
        <v>0</v>
      </c>
    </row>
    <row r="23" spans="1:45" s="1427" customFormat="1">
      <c r="B23" s="1414" t="s">
        <v>1426</v>
      </c>
      <c r="C23" s="1414" t="s">
        <v>1427</v>
      </c>
      <c r="D23" s="1428"/>
      <c r="E23" s="1429"/>
      <c r="F23" s="1430">
        <f t="array" ref="F23:AS23">TRANSPOSE('Fuel Price Forecasts'!D16:D57)</f>
        <v>13.62</v>
      </c>
      <c r="G23" s="1430">
        <v>17.245306626868363</v>
      </c>
      <c r="H23" s="1430">
        <v>18.461396893172545</v>
      </c>
      <c r="I23" s="1430">
        <v>19.753228142962524</v>
      </c>
      <c r="J23" s="1430">
        <v>21.092451176876423</v>
      </c>
      <c r="K23" s="1430">
        <v>22.486209034156012</v>
      </c>
      <c r="L23" s="1430">
        <v>23.95763712792489</v>
      </c>
      <c r="M23" s="1430">
        <v>25.51765556316569</v>
      </c>
      <c r="N23" s="1430">
        <v>27.183031829697491</v>
      </c>
      <c r="O23" s="1430">
        <v>28.960845825300012</v>
      </c>
      <c r="P23" s="1430">
        <v>30.868062327125141</v>
      </c>
      <c r="Q23" s="1430">
        <v>32.900878571677964</v>
      </c>
      <c r="R23" s="1430">
        <v>35.06756593001581</v>
      </c>
      <c r="S23" s="1430">
        <v>37.376940484336998</v>
      </c>
      <c r="T23" s="1430">
        <v>39.838398899933011</v>
      </c>
      <c r="U23" s="1430">
        <v>42.461956659488095</v>
      </c>
      <c r="V23" s="1430">
        <v>45.258288815298684</v>
      </c>
      <c r="W23" s="1430">
        <v>48.238773425230178</v>
      </c>
      <c r="X23" s="1430">
        <v>51.415537849148713</v>
      </c>
      <c r="Y23" s="1430">
        <v>54.801508094204394</v>
      </c>
      <c r="Z23" s="1430">
        <v>58.410461409748223</v>
      </c>
      <c r="AA23" s="1430">
        <v>62.257082345887184</v>
      </c>
      <c r="AB23" s="1430">
        <v>66.357022503775582</v>
      </c>
      <c r="AC23" s="1430">
        <v>70.726964220761715</v>
      </c>
      <c r="AD23" s="1430">
        <v>75.38468844951997</v>
      </c>
      <c r="AE23" s="1430">
        <v>80.349147107363109</v>
      </c>
      <c r="AF23" s="1430">
        <v>85.640540190118486</v>
      </c>
      <c r="AG23" s="1430">
        <v>91.280397964338732</v>
      </c>
      <c r="AH23" s="1430">
        <v>97.291668572280258</v>
      </c>
      <c r="AI23" s="1430">
        <v>103.69881140610778</v>
      </c>
      <c r="AJ23" s="1430">
        <v>110.52789663125699</v>
      </c>
      <c r="AK23" s="1430">
        <v>117.8067112639084</v>
      </c>
      <c r="AL23" s="1430">
        <v>125.56487223419307</v>
      </c>
      <c r="AM23" s="1430">
        <v>133.83394689517584</v>
      </c>
      <c r="AN23" s="1430">
        <v>142.64758146795765</v>
      </c>
      <c r="AO23" s="1430">
        <v>152.04163794552997</v>
      </c>
      <c r="AP23" s="1430">
        <v>162.05434001243282</v>
      </c>
      <c r="AQ23" s="1430">
        <v>172.72642857395155</v>
      </c>
      <c r="AR23" s="1430">
        <v>184.10132752768914</v>
      </c>
      <c r="AS23" s="1430">
        <v>196.2253204520251</v>
      </c>
    </row>
    <row r="24" spans="1:45" s="1427" customFormat="1">
      <c r="B24" s="1414" t="s">
        <v>1434</v>
      </c>
      <c r="C24" s="1414" t="s">
        <v>1435</v>
      </c>
      <c r="D24" s="1428"/>
      <c r="E24" s="1429"/>
      <c r="F24" s="1430">
        <f t="shared" ref="F24:AS24" si="21">IF(F$1,LbsCO2*(1+HeatRateDegredation)^(F$4-StartYr),0)</f>
        <v>0</v>
      </c>
      <c r="G24" s="1430">
        <f t="shared" si="21"/>
        <v>0</v>
      </c>
      <c r="H24" s="1430">
        <f t="shared" si="21"/>
        <v>0</v>
      </c>
      <c r="I24" s="1430">
        <f t="shared" si="21"/>
        <v>0</v>
      </c>
      <c r="J24" s="1430">
        <f t="shared" si="21"/>
        <v>0</v>
      </c>
      <c r="K24" s="1430">
        <f t="shared" si="21"/>
        <v>0</v>
      </c>
      <c r="L24" s="1430">
        <f t="shared" si="21"/>
        <v>0</v>
      </c>
      <c r="M24" s="1430">
        <f t="shared" si="21"/>
        <v>0</v>
      </c>
      <c r="N24" s="1430">
        <f t="shared" si="21"/>
        <v>0</v>
      </c>
      <c r="O24" s="1430">
        <f t="shared" si="21"/>
        <v>0</v>
      </c>
      <c r="P24" s="1430">
        <f t="shared" si="21"/>
        <v>0</v>
      </c>
      <c r="Q24" s="1430">
        <f t="shared" si="21"/>
        <v>0</v>
      </c>
      <c r="R24" s="1430">
        <f t="shared" si="21"/>
        <v>0</v>
      </c>
      <c r="S24" s="1430">
        <f t="shared" si="21"/>
        <v>0</v>
      </c>
      <c r="T24" s="1430">
        <f t="shared" si="21"/>
        <v>0</v>
      </c>
      <c r="U24" s="1430">
        <f t="shared" si="21"/>
        <v>0</v>
      </c>
      <c r="V24" s="1430">
        <f t="shared" si="21"/>
        <v>0</v>
      </c>
      <c r="W24" s="1430">
        <f t="shared" si="21"/>
        <v>0</v>
      </c>
      <c r="X24" s="1430">
        <f t="shared" si="21"/>
        <v>0</v>
      </c>
      <c r="Y24" s="1430">
        <f t="shared" si="21"/>
        <v>0</v>
      </c>
      <c r="Z24" s="1430">
        <f t="shared" si="21"/>
        <v>0</v>
      </c>
      <c r="AA24" s="1430">
        <f t="shared" si="21"/>
        <v>0</v>
      </c>
      <c r="AB24" s="1430">
        <f t="shared" si="21"/>
        <v>0</v>
      </c>
      <c r="AC24" s="1430">
        <f t="shared" si="21"/>
        <v>0</v>
      </c>
      <c r="AD24" s="1430">
        <f t="shared" si="21"/>
        <v>0</v>
      </c>
      <c r="AE24" s="1430">
        <f t="shared" si="21"/>
        <v>0</v>
      </c>
      <c r="AF24" s="1430">
        <f t="shared" si="21"/>
        <v>0</v>
      </c>
      <c r="AG24" s="1430">
        <f t="shared" si="21"/>
        <v>0</v>
      </c>
      <c r="AH24" s="1430">
        <f t="shared" si="21"/>
        <v>0</v>
      </c>
      <c r="AI24" s="1430">
        <f t="shared" si="21"/>
        <v>0</v>
      </c>
      <c r="AJ24" s="1430">
        <f t="shared" si="21"/>
        <v>0</v>
      </c>
      <c r="AK24" s="1430">
        <f t="shared" si="21"/>
        <v>0</v>
      </c>
      <c r="AL24" s="1430">
        <f t="shared" si="21"/>
        <v>0</v>
      </c>
      <c r="AM24" s="1430">
        <f t="shared" si="21"/>
        <v>0</v>
      </c>
      <c r="AN24" s="1430">
        <f t="shared" si="21"/>
        <v>0</v>
      </c>
      <c r="AO24" s="1430">
        <f t="shared" si="21"/>
        <v>0</v>
      </c>
      <c r="AP24" s="1430">
        <f t="shared" si="21"/>
        <v>0</v>
      </c>
      <c r="AQ24" s="1430">
        <f t="shared" si="21"/>
        <v>0</v>
      </c>
      <c r="AR24" s="1430">
        <f t="shared" si="21"/>
        <v>0</v>
      </c>
      <c r="AS24" s="1430">
        <f t="shared" si="21"/>
        <v>0</v>
      </c>
    </row>
    <row r="25" spans="1:45" s="651" customFormat="1">
      <c r="B25" s="1013" t="s">
        <v>1425</v>
      </c>
      <c r="C25" s="647" t="s">
        <v>980</v>
      </c>
      <c r="D25" s="648">
        <f>-PMT(DiscountRate,BookLife,E25)</f>
        <v>0</v>
      </c>
      <c r="E25" s="649">
        <f>NPV(DiscountRate,F25:AS25)*(1)</f>
        <v>0</v>
      </c>
      <c r="F25" s="1167">
        <f t="shared" ref="F25:AS25" si="22">F23*F24/2000*F7/GrossMW</f>
        <v>0</v>
      </c>
      <c r="G25" s="1167">
        <f t="shared" si="22"/>
        <v>0</v>
      </c>
      <c r="H25" s="1167">
        <f t="shared" si="22"/>
        <v>0</v>
      </c>
      <c r="I25" s="1167">
        <f t="shared" si="22"/>
        <v>0</v>
      </c>
      <c r="J25" s="1167">
        <f t="shared" si="22"/>
        <v>0</v>
      </c>
      <c r="K25" s="1167">
        <f t="shared" si="22"/>
        <v>0</v>
      </c>
      <c r="L25" s="1167">
        <f t="shared" si="22"/>
        <v>0</v>
      </c>
      <c r="M25" s="1167">
        <f t="shared" si="22"/>
        <v>0</v>
      </c>
      <c r="N25" s="1167">
        <f t="shared" si="22"/>
        <v>0</v>
      </c>
      <c r="O25" s="1167">
        <f t="shared" si="22"/>
        <v>0</v>
      </c>
      <c r="P25" s="1167">
        <f t="shared" si="22"/>
        <v>0</v>
      </c>
      <c r="Q25" s="1167">
        <f t="shared" si="22"/>
        <v>0</v>
      </c>
      <c r="R25" s="1167">
        <f t="shared" si="22"/>
        <v>0</v>
      </c>
      <c r="S25" s="1167">
        <f t="shared" si="22"/>
        <v>0</v>
      </c>
      <c r="T25" s="1167">
        <f t="shared" si="22"/>
        <v>0</v>
      </c>
      <c r="U25" s="1167">
        <f t="shared" si="22"/>
        <v>0</v>
      </c>
      <c r="V25" s="1167">
        <f t="shared" si="22"/>
        <v>0</v>
      </c>
      <c r="W25" s="1167">
        <f t="shared" si="22"/>
        <v>0</v>
      </c>
      <c r="X25" s="1167">
        <f t="shared" si="22"/>
        <v>0</v>
      </c>
      <c r="Y25" s="1167">
        <f t="shared" si="22"/>
        <v>0</v>
      </c>
      <c r="Z25" s="1167">
        <f t="shared" si="22"/>
        <v>0</v>
      </c>
      <c r="AA25" s="1167">
        <f t="shared" si="22"/>
        <v>0</v>
      </c>
      <c r="AB25" s="1167">
        <f t="shared" si="22"/>
        <v>0</v>
      </c>
      <c r="AC25" s="1167">
        <f t="shared" si="22"/>
        <v>0</v>
      </c>
      <c r="AD25" s="1167">
        <f t="shared" si="22"/>
        <v>0</v>
      </c>
      <c r="AE25" s="1167">
        <f t="shared" si="22"/>
        <v>0</v>
      </c>
      <c r="AF25" s="1167">
        <f t="shared" si="22"/>
        <v>0</v>
      </c>
      <c r="AG25" s="1167">
        <f t="shared" si="22"/>
        <v>0</v>
      </c>
      <c r="AH25" s="1167">
        <f t="shared" si="22"/>
        <v>0</v>
      </c>
      <c r="AI25" s="1167">
        <f t="shared" si="22"/>
        <v>0</v>
      </c>
      <c r="AJ25" s="1167">
        <f t="shared" si="22"/>
        <v>0</v>
      </c>
      <c r="AK25" s="1167">
        <f t="shared" si="22"/>
        <v>0</v>
      </c>
      <c r="AL25" s="1167">
        <f t="shared" si="22"/>
        <v>0</v>
      </c>
      <c r="AM25" s="1167">
        <f t="shared" si="22"/>
        <v>0</v>
      </c>
      <c r="AN25" s="1167">
        <f t="shared" si="22"/>
        <v>0</v>
      </c>
      <c r="AO25" s="1167">
        <f t="shared" si="22"/>
        <v>0</v>
      </c>
      <c r="AP25" s="1167">
        <f t="shared" si="22"/>
        <v>0</v>
      </c>
      <c r="AQ25" s="1167">
        <f t="shared" si="22"/>
        <v>0</v>
      </c>
      <c r="AR25" s="1167">
        <f t="shared" si="22"/>
        <v>0</v>
      </c>
      <c r="AS25" s="1167">
        <f t="shared" si="22"/>
        <v>0</v>
      </c>
    </row>
    <row r="26" spans="1:45" s="651" customFormat="1">
      <c r="B26" s="671" t="s">
        <v>552</v>
      </c>
      <c r="C26" s="671" t="s">
        <v>980</v>
      </c>
      <c r="D26" s="654">
        <f t="shared" si="16"/>
        <v>26.054494620263569</v>
      </c>
      <c r="E26" s="672">
        <f t="shared" si="17"/>
        <v>335.38314219174151</v>
      </c>
      <c r="F26" s="1483">
        <f t="shared" ref="F26:AS26" si="23">IF(F$1,F$97*F$7/GrossMW,0)</f>
        <v>21.672322566522727</v>
      </c>
      <c r="G26" s="1483">
        <f t="shared" si="23"/>
        <v>22.054881238740805</v>
      </c>
      <c r="H26" s="1483">
        <f t="shared" si="23"/>
        <v>22.444192816063541</v>
      </c>
      <c r="I26" s="1483">
        <f t="shared" si="23"/>
        <v>22.840376500408617</v>
      </c>
      <c r="J26" s="1483">
        <f t="shared" si="23"/>
        <v>23.24355359783954</v>
      </c>
      <c r="K26" s="1483">
        <f t="shared" si="23"/>
        <v>23.653847555707941</v>
      </c>
      <c r="L26" s="1483">
        <f t="shared" si="23"/>
        <v>24.071384000451459</v>
      </c>
      <c r="M26" s="1483">
        <f t="shared" si="23"/>
        <v>24.496290776058842</v>
      </c>
      <c r="N26" s="1483">
        <f t="shared" si="23"/>
        <v>24.928697983214061</v>
      </c>
      <c r="O26" s="1483">
        <f t="shared" si="23"/>
        <v>25.368738019131353</v>
      </c>
      <c r="P26" s="1483">
        <f t="shared" si="23"/>
        <v>25.816545618093482</v>
      </c>
      <c r="Q26" s="1483">
        <f t="shared" si="23"/>
        <v>26.27225789270549</v>
      </c>
      <c r="R26" s="1483">
        <f t="shared" si="23"/>
        <v>26.736014375876788</v>
      </c>
      <c r="S26" s="1483">
        <f t="shared" si="23"/>
        <v>27.207957063544157</v>
      </c>
      <c r="T26" s="1483">
        <f t="shared" si="23"/>
        <v>27.68823045814905</v>
      </c>
      <c r="U26" s="1483">
        <f t="shared" si="23"/>
        <v>28.176981612882216</v>
      </c>
      <c r="V26" s="1483">
        <f t="shared" si="23"/>
        <v>28.674360176709442</v>
      </c>
      <c r="W26" s="1483">
        <f t="shared" si="23"/>
        <v>29.180518440191999</v>
      </c>
      <c r="X26" s="1483">
        <f t="shared" si="23"/>
        <v>29.695611382115949</v>
      </c>
      <c r="Y26" s="1483">
        <f t="shared" si="23"/>
        <v>30.219796716944561</v>
      </c>
      <c r="Z26" s="1483">
        <f t="shared" si="23"/>
        <v>30.753234943108328</v>
      </c>
      <c r="AA26" s="1483">
        <f t="shared" si="23"/>
        <v>31.296089392147366</v>
      </c>
      <c r="AB26" s="1483">
        <f t="shared" si="23"/>
        <v>31.848526278721419</v>
      </c>
      <c r="AC26" s="1483">
        <f t="shared" si="23"/>
        <v>32.410714751502404</v>
      </c>
      <c r="AD26" s="1483">
        <f t="shared" si="23"/>
        <v>32.982826944965531</v>
      </c>
      <c r="AE26" s="1483">
        <f t="shared" si="23"/>
        <v>33.565038032094492</v>
      </c>
      <c r="AF26" s="1483">
        <f t="shared" si="23"/>
        <v>34.157526278017073</v>
      </c>
      <c r="AG26" s="1483">
        <f t="shared" si="23"/>
        <v>34.760473094587503</v>
      </c>
      <c r="AH26" s="1483">
        <f t="shared" si="23"/>
        <v>35.374063095932314</v>
      </c>
      <c r="AI26" s="1483">
        <f t="shared" si="23"/>
        <v>35.998484154976644</v>
      </c>
      <c r="AJ26" s="1483">
        <f t="shared" si="23"/>
        <v>0</v>
      </c>
      <c r="AK26" s="1483">
        <f t="shared" si="23"/>
        <v>0</v>
      </c>
      <c r="AL26" s="1483">
        <f t="shared" si="23"/>
        <v>0</v>
      </c>
      <c r="AM26" s="1483">
        <f t="shared" si="23"/>
        <v>0</v>
      </c>
      <c r="AN26" s="1483">
        <f t="shared" si="23"/>
        <v>0</v>
      </c>
      <c r="AO26" s="1483">
        <f t="shared" si="23"/>
        <v>0</v>
      </c>
      <c r="AP26" s="1483">
        <f t="shared" si="23"/>
        <v>0</v>
      </c>
      <c r="AQ26" s="1483">
        <f t="shared" si="23"/>
        <v>0</v>
      </c>
      <c r="AR26" s="1483">
        <f t="shared" si="23"/>
        <v>0</v>
      </c>
      <c r="AS26" s="1483">
        <f t="shared" si="23"/>
        <v>0</v>
      </c>
    </row>
    <row r="27" spans="1:45" s="478" customFormat="1">
      <c r="B27" s="658" t="s">
        <v>1038</v>
      </c>
      <c r="C27" s="1432" t="s">
        <v>980</v>
      </c>
      <c r="D27" s="637">
        <f t="shared" si="16"/>
        <v>26.054494620263569</v>
      </c>
      <c r="E27" s="659">
        <f t="shared" si="17"/>
        <v>335.38314219174151</v>
      </c>
      <c r="F27" s="1436">
        <f>SUM(F22,F25:F26)</f>
        <v>21.672322566522727</v>
      </c>
      <c r="G27" s="1436">
        <f t="shared" ref="G27:AS27" si="24">SUM(G22,G25:G26)</f>
        <v>22.054881238740805</v>
      </c>
      <c r="H27" s="1436">
        <f t="shared" si="24"/>
        <v>22.444192816063541</v>
      </c>
      <c r="I27" s="1436">
        <f t="shared" si="24"/>
        <v>22.840376500408617</v>
      </c>
      <c r="J27" s="1436">
        <f t="shared" si="24"/>
        <v>23.24355359783954</v>
      </c>
      <c r="K27" s="1436">
        <f t="shared" si="24"/>
        <v>23.653847555707941</v>
      </c>
      <c r="L27" s="1436">
        <f t="shared" si="24"/>
        <v>24.071384000451459</v>
      </c>
      <c r="M27" s="1436">
        <f t="shared" si="24"/>
        <v>24.496290776058842</v>
      </c>
      <c r="N27" s="1436">
        <f t="shared" si="24"/>
        <v>24.928697983214061</v>
      </c>
      <c r="O27" s="1436">
        <f t="shared" si="24"/>
        <v>25.368738019131353</v>
      </c>
      <c r="P27" s="1436">
        <f t="shared" si="24"/>
        <v>25.816545618093482</v>
      </c>
      <c r="Q27" s="1436">
        <f t="shared" si="24"/>
        <v>26.27225789270549</v>
      </c>
      <c r="R27" s="1436">
        <f t="shared" si="24"/>
        <v>26.736014375876788</v>
      </c>
      <c r="S27" s="1436">
        <f t="shared" si="24"/>
        <v>27.207957063544157</v>
      </c>
      <c r="T27" s="1436">
        <f t="shared" si="24"/>
        <v>27.68823045814905</v>
      </c>
      <c r="U27" s="1436">
        <f t="shared" si="24"/>
        <v>28.176981612882216</v>
      </c>
      <c r="V27" s="1436">
        <f t="shared" si="24"/>
        <v>28.674360176709442</v>
      </c>
      <c r="W27" s="1436">
        <f t="shared" si="24"/>
        <v>29.180518440191999</v>
      </c>
      <c r="X27" s="1436">
        <f t="shared" si="24"/>
        <v>29.695611382115949</v>
      </c>
      <c r="Y27" s="1436">
        <f t="shared" si="24"/>
        <v>30.219796716944561</v>
      </c>
      <c r="Z27" s="1436">
        <f t="shared" si="24"/>
        <v>30.753234943108328</v>
      </c>
      <c r="AA27" s="1436">
        <f t="shared" si="24"/>
        <v>31.296089392147366</v>
      </c>
      <c r="AB27" s="1436">
        <f t="shared" si="24"/>
        <v>31.848526278721419</v>
      </c>
      <c r="AC27" s="1436">
        <f t="shared" si="24"/>
        <v>32.410714751502404</v>
      </c>
      <c r="AD27" s="1436">
        <f t="shared" si="24"/>
        <v>32.982826944965531</v>
      </c>
      <c r="AE27" s="1436">
        <f t="shared" si="24"/>
        <v>33.565038032094492</v>
      </c>
      <c r="AF27" s="1436">
        <f t="shared" si="24"/>
        <v>34.157526278017073</v>
      </c>
      <c r="AG27" s="1436">
        <f t="shared" si="24"/>
        <v>34.760473094587503</v>
      </c>
      <c r="AH27" s="1436">
        <f t="shared" si="24"/>
        <v>35.374063095932314</v>
      </c>
      <c r="AI27" s="1436">
        <f t="shared" si="24"/>
        <v>35.998484154976644</v>
      </c>
      <c r="AJ27" s="1436">
        <f t="shared" si="24"/>
        <v>0</v>
      </c>
      <c r="AK27" s="1436">
        <f t="shared" si="24"/>
        <v>0</v>
      </c>
      <c r="AL27" s="1436">
        <f t="shared" si="24"/>
        <v>0</v>
      </c>
      <c r="AM27" s="1436">
        <f t="shared" si="24"/>
        <v>0</v>
      </c>
      <c r="AN27" s="1436">
        <f t="shared" si="24"/>
        <v>0</v>
      </c>
      <c r="AO27" s="1436">
        <f t="shared" si="24"/>
        <v>0</v>
      </c>
      <c r="AP27" s="1436">
        <f t="shared" si="24"/>
        <v>0</v>
      </c>
      <c r="AQ27" s="1436">
        <f t="shared" si="24"/>
        <v>0</v>
      </c>
      <c r="AR27" s="1436">
        <f t="shared" si="24"/>
        <v>0</v>
      </c>
      <c r="AS27" s="1436">
        <f t="shared" si="24"/>
        <v>0</v>
      </c>
    </row>
    <row r="28" spans="1:45" s="651" customFormat="1">
      <c r="B28" s="1415"/>
      <c r="C28" s="671"/>
      <c r="D28" s="654"/>
      <c r="E28" s="672"/>
      <c r="F28" s="1168"/>
      <c r="G28" s="1168"/>
      <c r="H28" s="1168"/>
      <c r="I28" s="1168"/>
      <c r="J28" s="1168"/>
      <c r="K28" s="1168"/>
      <c r="L28" s="1168"/>
      <c r="M28" s="1168"/>
      <c r="N28" s="1168"/>
      <c r="O28" s="1168"/>
      <c r="P28" s="1168"/>
      <c r="Q28" s="1168"/>
      <c r="R28" s="1168"/>
      <c r="S28" s="1168"/>
      <c r="T28" s="1168"/>
      <c r="U28" s="1168"/>
      <c r="V28" s="1168"/>
      <c r="W28" s="1168"/>
      <c r="X28" s="1168"/>
      <c r="Y28" s="1168"/>
      <c r="Z28" s="1168"/>
      <c r="AA28" s="1168"/>
      <c r="AB28" s="1168"/>
      <c r="AC28" s="1168"/>
      <c r="AD28" s="1168"/>
      <c r="AE28" s="1168"/>
      <c r="AF28" s="1168"/>
      <c r="AG28" s="1168"/>
      <c r="AH28" s="1168"/>
      <c r="AI28" s="1168"/>
      <c r="AJ28" s="1168"/>
      <c r="AK28" s="1168"/>
      <c r="AL28" s="1168"/>
      <c r="AM28" s="1168"/>
      <c r="AN28" s="1168"/>
      <c r="AO28" s="1168"/>
      <c r="AP28" s="1168"/>
      <c r="AQ28" s="1168"/>
      <c r="AR28" s="1168"/>
      <c r="AS28" s="1168"/>
    </row>
    <row r="29" spans="1:45">
      <c r="B29" s="139"/>
      <c r="C29" s="139"/>
      <c r="D29" s="673"/>
      <c r="E29" s="674"/>
      <c r="F29" s="675"/>
      <c r="G29" s="676"/>
      <c r="H29" s="676"/>
      <c r="I29" s="676"/>
      <c r="J29" s="676"/>
      <c r="K29" s="676"/>
      <c r="L29" s="676"/>
      <c r="M29" s="676"/>
      <c r="N29" s="676"/>
      <c r="O29" s="676"/>
      <c r="P29" s="676"/>
      <c r="Q29" s="676"/>
      <c r="R29" s="676"/>
      <c r="S29" s="676"/>
      <c r="T29" s="676"/>
      <c r="U29" s="676"/>
      <c r="V29" s="676"/>
      <c r="W29" s="676"/>
      <c r="X29" s="676"/>
      <c r="Y29" s="676"/>
      <c r="Z29" s="676"/>
      <c r="AA29" s="676"/>
      <c r="AB29" s="676"/>
      <c r="AC29" s="676"/>
      <c r="AD29" s="676"/>
      <c r="AE29" s="676"/>
      <c r="AF29" s="676"/>
      <c r="AG29" s="676"/>
      <c r="AH29" s="676"/>
      <c r="AI29" s="676"/>
      <c r="AJ29" s="676"/>
      <c r="AK29" s="676"/>
      <c r="AL29" s="676"/>
      <c r="AM29" s="676"/>
      <c r="AN29" s="676"/>
      <c r="AO29" s="676"/>
      <c r="AP29" s="676"/>
      <c r="AQ29" s="676"/>
      <c r="AR29" s="676"/>
      <c r="AS29" s="676"/>
    </row>
    <row r="30" spans="1:45" s="1438" customFormat="1">
      <c r="B30" s="1439" t="s">
        <v>1039</v>
      </c>
      <c r="C30" s="1439" t="s">
        <v>980</v>
      </c>
      <c r="D30" s="1440">
        <f>-PMT(DiscountRate,BookLife,E30)</f>
        <v>62.081075253205483</v>
      </c>
      <c r="E30" s="1443">
        <f>NPV(DiscountRate,F30:AS30)*(1)</f>
        <v>799.13068330516683</v>
      </c>
      <c r="F30" s="1444">
        <f t="shared" ref="F30:AS30" si="25">F17+F27+F28</f>
        <v>56.658356433297428</v>
      </c>
      <c r="G30" s="1444">
        <f t="shared" si="25"/>
        <v>57.221810568847047</v>
      </c>
      <c r="H30" s="1444">
        <f t="shared" si="25"/>
        <v>58.022402597911075</v>
      </c>
      <c r="I30" s="1444">
        <f t="shared" si="25"/>
        <v>58.590847132068902</v>
      </c>
      <c r="J30" s="1444">
        <f t="shared" si="25"/>
        <v>59.159188679051226</v>
      </c>
      <c r="K30" s="1444">
        <f t="shared" si="25"/>
        <v>59.978608929904539</v>
      </c>
      <c r="L30" s="1444">
        <f t="shared" si="25"/>
        <v>60.5510872936377</v>
      </c>
      <c r="M30" s="1444">
        <f t="shared" si="25"/>
        <v>61.122859856906132</v>
      </c>
      <c r="N30" s="1444">
        <f t="shared" si="25"/>
        <v>61.693675702674028</v>
      </c>
      <c r="O30" s="1444">
        <f t="shared" si="25"/>
        <v>62.263274262790461</v>
      </c>
      <c r="P30" s="1444">
        <f t="shared" si="25"/>
        <v>62.83138503400788</v>
      </c>
      <c r="Q30" s="1444">
        <f t="shared" si="25"/>
        <v>63.397727286529765</v>
      </c>
      <c r="R30" s="1444">
        <f t="shared" si="25"/>
        <v>63.673221938364392</v>
      </c>
      <c r="S30" s="1444">
        <f t="shared" si="25"/>
        <v>64.229366797994189</v>
      </c>
      <c r="T30" s="1444">
        <f t="shared" si="25"/>
        <v>64.782721044616778</v>
      </c>
      <c r="U30" s="1444">
        <f t="shared" si="25"/>
        <v>65.026493709611245</v>
      </c>
      <c r="V30" s="1444">
        <f t="shared" si="25"/>
        <v>65.567144552092401</v>
      </c>
      <c r="W30" s="1444">
        <f t="shared" si="25"/>
        <v>65.785020162771431</v>
      </c>
      <c r="X30" s="1444">
        <f t="shared" si="25"/>
        <v>66.31106778348358</v>
      </c>
      <c r="Y30" s="1444">
        <f t="shared" si="25"/>
        <v>66.500586249763444</v>
      </c>
      <c r="Z30" s="1444">
        <f t="shared" si="25"/>
        <v>67.009999043428593</v>
      </c>
      <c r="AA30" s="1444">
        <f t="shared" si="25"/>
        <v>67.168544767877975</v>
      </c>
      <c r="AB30" s="1444">
        <f t="shared" si="25"/>
        <v>67.307121077424583</v>
      </c>
      <c r="AC30" s="1444">
        <f t="shared" si="25"/>
        <v>67.424873823692565</v>
      </c>
      <c r="AD30" s="1444">
        <f t="shared" si="25"/>
        <v>67.887175603362209</v>
      </c>
      <c r="AE30" s="1444">
        <f t="shared" si="25"/>
        <v>67.967938950465083</v>
      </c>
      <c r="AF30" s="1444">
        <f t="shared" si="25"/>
        <v>68.025303702786232</v>
      </c>
      <c r="AG30" s="1444">
        <f t="shared" si="25"/>
        <v>68.446980590482667</v>
      </c>
      <c r="AH30" s="1444">
        <f t="shared" si="25"/>
        <v>68.462413688555017</v>
      </c>
      <c r="AI30" s="1444">
        <f t="shared" si="25"/>
        <v>68.856009921662732</v>
      </c>
      <c r="AJ30" s="1444">
        <f t="shared" si="25"/>
        <v>0</v>
      </c>
      <c r="AK30" s="1444">
        <f t="shared" si="25"/>
        <v>0</v>
      </c>
      <c r="AL30" s="1444">
        <f t="shared" si="25"/>
        <v>0</v>
      </c>
      <c r="AM30" s="1444">
        <f t="shared" si="25"/>
        <v>0</v>
      </c>
      <c r="AN30" s="1444">
        <f t="shared" si="25"/>
        <v>0</v>
      </c>
      <c r="AO30" s="1444">
        <f t="shared" si="25"/>
        <v>0</v>
      </c>
      <c r="AP30" s="1444">
        <f t="shared" si="25"/>
        <v>0</v>
      </c>
      <c r="AQ30" s="1444">
        <f t="shared" si="25"/>
        <v>0</v>
      </c>
      <c r="AR30" s="1444">
        <f t="shared" si="25"/>
        <v>0</v>
      </c>
      <c r="AS30" s="1444">
        <f t="shared" si="25"/>
        <v>0</v>
      </c>
    </row>
    <row r="31" spans="1:45" s="1438" customFormat="1" ht="13.5" thickBot="1">
      <c r="B31" s="1445" t="s">
        <v>1391</v>
      </c>
      <c r="C31" s="1446" t="s">
        <v>980</v>
      </c>
      <c r="D31" s="1447">
        <f>-PMT(DiscountRate,BookLife,E31)</f>
        <v>119.66405666634699</v>
      </c>
      <c r="E31" s="1448">
        <f>NPV(DiscountRate,F31:AS31)*(1)</f>
        <v>1540.3602302443767</v>
      </c>
      <c r="F31" s="1449">
        <f t="shared" ref="F31:AS31" si="26">F11-F30</f>
        <v>100.65166600228375</v>
      </c>
      <c r="G31" s="1449">
        <f t="shared" si="26"/>
        <v>103.08667630366372</v>
      </c>
      <c r="H31" s="1449">
        <f t="shared" si="26"/>
        <v>104.95402873876822</v>
      </c>
      <c r="I31" s="1449">
        <f t="shared" si="26"/>
        <v>107.0255732112558</v>
      </c>
      <c r="J31" s="1449">
        <f t="shared" si="26"/>
        <v>108.84489876803713</v>
      </c>
      <c r="K31" s="1449">
        <f t="shared" si="26"/>
        <v>110.21154025574839</v>
      </c>
      <c r="L31" s="1449">
        <f t="shared" si="26"/>
        <v>111.76487692422188</v>
      </c>
      <c r="M31" s="1449">
        <f t="shared" si="26"/>
        <v>113.30099063411305</v>
      </c>
      <c r="N31" s="1449">
        <f t="shared" si="26"/>
        <v>114.8857344498314</v>
      </c>
      <c r="O31" s="1449">
        <f t="shared" si="26"/>
        <v>116.51899316764859</v>
      </c>
      <c r="P31" s="1449">
        <f t="shared" si="26"/>
        <v>118.24804406838778</v>
      </c>
      <c r="Q31" s="1449">
        <f t="shared" si="26"/>
        <v>120.00906157201604</v>
      </c>
      <c r="R31" s="1449">
        <f t="shared" si="26"/>
        <v>122.09153303378663</v>
      </c>
      <c r="S31" s="1449">
        <f t="shared" si="26"/>
        <v>123.92437462109008</v>
      </c>
      <c r="T31" s="1449">
        <f t="shared" si="26"/>
        <v>125.79144691574314</v>
      </c>
      <c r="U31" s="1449">
        <f t="shared" si="26"/>
        <v>127.99996651628972</v>
      </c>
      <c r="V31" s="1449">
        <f t="shared" si="26"/>
        <v>129.94390524747209</v>
      </c>
      <c r="W31" s="1449">
        <f t="shared" si="26"/>
        <v>132.24335414267227</v>
      </c>
      <c r="X31" s="1449">
        <f t="shared" si="26"/>
        <v>134.26780971198286</v>
      </c>
      <c r="Y31" s="1449">
        <f t="shared" si="26"/>
        <v>136.66242308854822</v>
      </c>
      <c r="Z31" s="1449">
        <f t="shared" si="26"/>
        <v>138.77122706623359</v>
      </c>
      <c r="AA31" s="1449">
        <f t="shared" si="26"/>
        <v>141.26544571593865</v>
      </c>
      <c r="AB31" s="1449">
        <f t="shared" si="26"/>
        <v>143.81465054925593</v>
      </c>
      <c r="AC31" s="1449">
        <f t="shared" si="26"/>
        <v>146.42017146646489</v>
      </c>
      <c r="AD31" s="1449">
        <f t="shared" si="26"/>
        <v>148.71711830460274</v>
      </c>
      <c r="AE31" s="1449">
        <f t="shared" si="26"/>
        <v>151.43206774242765</v>
      </c>
      <c r="AF31" s="1449">
        <f t="shared" si="26"/>
        <v>154.20737603274438</v>
      </c>
      <c r="AG31" s="1449">
        <f t="shared" si="26"/>
        <v>156.65583551400269</v>
      </c>
      <c r="AH31" s="1449">
        <f t="shared" si="26"/>
        <v>159.5485122595565</v>
      </c>
      <c r="AI31" s="1449">
        <f t="shared" si="26"/>
        <v>162.10151667611723</v>
      </c>
      <c r="AJ31" s="1449">
        <f t="shared" si="26"/>
        <v>0</v>
      </c>
      <c r="AK31" s="1449">
        <f t="shared" si="26"/>
        <v>0</v>
      </c>
      <c r="AL31" s="1449">
        <f t="shared" si="26"/>
        <v>0</v>
      </c>
      <c r="AM31" s="1449">
        <f t="shared" si="26"/>
        <v>0</v>
      </c>
      <c r="AN31" s="1449">
        <f t="shared" si="26"/>
        <v>0</v>
      </c>
      <c r="AO31" s="1449">
        <f t="shared" si="26"/>
        <v>0</v>
      </c>
      <c r="AP31" s="1449">
        <f t="shared" si="26"/>
        <v>0</v>
      </c>
      <c r="AQ31" s="1449">
        <f t="shared" si="26"/>
        <v>0</v>
      </c>
      <c r="AR31" s="1449">
        <f t="shared" si="26"/>
        <v>0</v>
      </c>
      <c r="AS31" s="1449">
        <f t="shared" si="26"/>
        <v>0</v>
      </c>
    </row>
    <row r="32" spans="1:45" s="105" customFormat="1" ht="13.5" thickTop="1">
      <c r="A32" s="661"/>
      <c r="B32" s="684" t="s">
        <v>302</v>
      </c>
      <c r="C32" s="684"/>
      <c r="D32" s="685">
        <f>-PMT(DiscountRate,BookLife,E32)</f>
        <v>0</v>
      </c>
      <c r="E32" s="686">
        <f>NPV(DiscountRate,F32:AS32)*(1)</f>
        <v>0</v>
      </c>
      <c r="F32" s="687">
        <f t="shared" ref="F32:AS32" si="27">IF(F$1,IF(OwnerType="Merchant",0,InstalledCostPerkW*F$89),0)</f>
        <v>0</v>
      </c>
      <c r="G32" s="687">
        <f t="shared" si="27"/>
        <v>0</v>
      </c>
      <c r="H32" s="687">
        <f t="shared" si="27"/>
        <v>0</v>
      </c>
      <c r="I32" s="687">
        <f t="shared" si="27"/>
        <v>0</v>
      </c>
      <c r="J32" s="687">
        <f t="shared" si="27"/>
        <v>0</v>
      </c>
      <c r="K32" s="687">
        <f t="shared" si="27"/>
        <v>0</v>
      </c>
      <c r="L32" s="687">
        <f t="shared" si="27"/>
        <v>0</v>
      </c>
      <c r="M32" s="687">
        <f t="shared" si="27"/>
        <v>0</v>
      </c>
      <c r="N32" s="687">
        <f t="shared" si="27"/>
        <v>0</v>
      </c>
      <c r="O32" s="687">
        <f t="shared" si="27"/>
        <v>0</v>
      </c>
      <c r="P32" s="687">
        <f t="shared" si="27"/>
        <v>0</v>
      </c>
      <c r="Q32" s="687">
        <f t="shared" si="27"/>
        <v>0</v>
      </c>
      <c r="R32" s="687">
        <f t="shared" si="27"/>
        <v>0</v>
      </c>
      <c r="S32" s="687">
        <f t="shared" si="27"/>
        <v>0</v>
      </c>
      <c r="T32" s="687">
        <f t="shared" si="27"/>
        <v>0</v>
      </c>
      <c r="U32" s="687">
        <f t="shared" si="27"/>
        <v>0</v>
      </c>
      <c r="V32" s="687">
        <f t="shared" si="27"/>
        <v>0</v>
      </c>
      <c r="W32" s="687">
        <f t="shared" si="27"/>
        <v>0</v>
      </c>
      <c r="X32" s="687">
        <f t="shared" si="27"/>
        <v>0</v>
      </c>
      <c r="Y32" s="687">
        <f t="shared" si="27"/>
        <v>0</v>
      </c>
      <c r="Z32" s="687">
        <f t="shared" si="27"/>
        <v>0</v>
      </c>
      <c r="AA32" s="687">
        <f t="shared" si="27"/>
        <v>0</v>
      </c>
      <c r="AB32" s="687">
        <f t="shared" si="27"/>
        <v>0</v>
      </c>
      <c r="AC32" s="687">
        <f t="shared" si="27"/>
        <v>0</v>
      </c>
      <c r="AD32" s="687">
        <f t="shared" si="27"/>
        <v>0</v>
      </c>
      <c r="AE32" s="687">
        <f t="shared" si="27"/>
        <v>0</v>
      </c>
      <c r="AF32" s="687">
        <f t="shared" si="27"/>
        <v>0</v>
      </c>
      <c r="AG32" s="687">
        <f t="shared" si="27"/>
        <v>0</v>
      </c>
      <c r="AH32" s="687">
        <f t="shared" si="27"/>
        <v>0</v>
      </c>
      <c r="AI32" s="687">
        <f t="shared" si="27"/>
        <v>0</v>
      </c>
      <c r="AJ32" s="687">
        <f t="shared" si="27"/>
        <v>0</v>
      </c>
      <c r="AK32" s="687">
        <f t="shared" si="27"/>
        <v>0</v>
      </c>
      <c r="AL32" s="687">
        <f t="shared" si="27"/>
        <v>0</v>
      </c>
      <c r="AM32" s="687">
        <f t="shared" si="27"/>
        <v>0</v>
      </c>
      <c r="AN32" s="687">
        <f t="shared" si="27"/>
        <v>0</v>
      </c>
      <c r="AO32" s="687">
        <f t="shared" si="27"/>
        <v>0</v>
      </c>
      <c r="AP32" s="687">
        <f t="shared" si="27"/>
        <v>0</v>
      </c>
      <c r="AQ32" s="687">
        <f t="shared" si="27"/>
        <v>0</v>
      </c>
      <c r="AR32" s="687">
        <f t="shared" si="27"/>
        <v>0</v>
      </c>
      <c r="AS32" s="687">
        <f t="shared" si="27"/>
        <v>0</v>
      </c>
    </row>
    <row r="33" spans="1:46" s="105" customFormat="1">
      <c r="A33" s="661"/>
      <c r="B33" s="684"/>
      <c r="C33" s="684"/>
      <c r="D33" s="685"/>
      <c r="E33" s="686"/>
      <c r="F33" s="688"/>
      <c r="G33" s="689"/>
      <c r="H33" s="689"/>
      <c r="I33" s="689"/>
      <c r="J33" s="689"/>
      <c r="K33" s="689"/>
      <c r="L33" s="689"/>
      <c r="M33" s="689"/>
      <c r="N33" s="689"/>
      <c r="O33" s="689"/>
      <c r="P33" s="689"/>
      <c r="Q33" s="689"/>
      <c r="R33" s="689"/>
      <c r="S33" s="689"/>
      <c r="T33" s="689"/>
      <c r="U33" s="689"/>
      <c r="V33" s="689"/>
      <c r="W33" s="689"/>
      <c r="X33" s="689"/>
      <c r="Y33" s="689"/>
      <c r="Z33" s="689"/>
      <c r="AA33" s="689"/>
      <c r="AB33" s="689"/>
      <c r="AC33" s="689"/>
      <c r="AD33" s="689"/>
      <c r="AE33" s="689"/>
      <c r="AF33" s="689"/>
      <c r="AG33" s="689"/>
      <c r="AH33" s="689"/>
      <c r="AI33" s="689"/>
      <c r="AJ33" s="689"/>
      <c r="AK33" s="689"/>
      <c r="AL33" s="689"/>
      <c r="AM33" s="689"/>
      <c r="AN33" s="689"/>
      <c r="AO33" s="689"/>
      <c r="AP33" s="689"/>
      <c r="AQ33" s="689"/>
      <c r="AR33" s="689"/>
      <c r="AS33" s="689"/>
    </row>
    <row r="34" spans="1:46" s="104" customFormat="1">
      <c r="A34" s="638"/>
      <c r="B34" s="279" t="s">
        <v>1780</v>
      </c>
      <c r="C34" s="639" t="s">
        <v>980</v>
      </c>
      <c r="D34" s="640">
        <f>-PMT(DiscountRate,BookLife,E34)</f>
        <v>46.655791225612951</v>
      </c>
      <c r="E34" s="641">
        <f>NPV(DiscountRate,F34:AS34)</f>
        <v>600.57069195724296</v>
      </c>
      <c r="F34" s="1467">
        <f t="shared" ref="F34:AI34" si="28">IF(OwnerType="Merchant",IF(F$4-StartYr&lt;DebtTerm,-PPMT(DebtRate,F2,DebtTerm,(InstalledCostPerkW)*Debt_Financed),0),IF(F$4-StartYr&lt;BookLife,InstalledCostPerkW*F$89*Debt_Financed,0))</f>
        <v>34.143401816143978</v>
      </c>
      <c r="G34" s="1467">
        <f t="shared" si="28"/>
        <v>36.162301165532575</v>
      </c>
      <c r="H34" s="1467">
        <f t="shared" si="28"/>
        <v>38.300578033450513</v>
      </c>
      <c r="I34" s="1467">
        <f t="shared" si="28"/>
        <v>40.565291212568447</v>
      </c>
      <c r="J34" s="1467">
        <f t="shared" si="28"/>
        <v>42.96391688196762</v>
      </c>
      <c r="K34" s="1467">
        <f t="shared" si="28"/>
        <v>45.504373287198362</v>
      </c>
      <c r="L34" s="1467">
        <f t="shared" si="28"/>
        <v>48.1950468796704</v>
      </c>
      <c r="M34" s="1467">
        <f t="shared" si="28"/>
        <v>51.044820001665322</v>
      </c>
      <c r="N34" s="1467">
        <f t="shared" si="28"/>
        <v>54.063100208363785</v>
      </c>
      <c r="O34" s="1467">
        <f t="shared" si="28"/>
        <v>57.25985132368433</v>
      </c>
      <c r="P34" s="1467">
        <f t="shared" si="28"/>
        <v>60.645626332453787</v>
      </c>
      <c r="Q34" s="1467">
        <f t="shared" si="28"/>
        <v>64.231602217491769</v>
      </c>
      <c r="R34" s="1467">
        <f t="shared" si="28"/>
        <v>68.029616856612066</v>
      </c>
      <c r="S34" s="1467">
        <f t="shared" si="28"/>
        <v>72.052208101343538</v>
      </c>
      <c r="T34" s="1467">
        <f t="shared" si="28"/>
        <v>76.31265516637599</v>
      </c>
      <c r="U34" s="1467">
        <f t="shared" si="28"/>
        <v>80.825022466363805</v>
      </c>
      <c r="V34" s="1467">
        <f t="shared" si="28"/>
        <v>85.604206044799881</v>
      </c>
      <c r="W34" s="1467">
        <f t="shared" si="28"/>
        <v>90.665982748228899</v>
      </c>
      <c r="X34" s="1467">
        <f t="shared" si="28"/>
        <v>96.027062308131676</v>
      </c>
      <c r="Y34" s="1467">
        <f t="shared" si="28"/>
        <v>101.7051425024115</v>
      </c>
      <c r="Z34" s="1467">
        <f t="shared" si="28"/>
        <v>0</v>
      </c>
      <c r="AA34" s="1467">
        <f t="shared" si="28"/>
        <v>0</v>
      </c>
      <c r="AB34" s="1467">
        <f t="shared" si="28"/>
        <v>0</v>
      </c>
      <c r="AC34" s="1467">
        <f t="shared" si="28"/>
        <v>0</v>
      </c>
      <c r="AD34" s="1467">
        <f t="shared" si="28"/>
        <v>0</v>
      </c>
      <c r="AE34" s="1467">
        <f t="shared" si="28"/>
        <v>0</v>
      </c>
      <c r="AF34" s="1467">
        <f t="shared" si="28"/>
        <v>0</v>
      </c>
      <c r="AG34" s="1467">
        <f t="shared" si="28"/>
        <v>0</v>
      </c>
      <c r="AH34" s="1467">
        <f t="shared" si="28"/>
        <v>0</v>
      </c>
      <c r="AI34" s="1467">
        <f t="shared" si="28"/>
        <v>0</v>
      </c>
      <c r="AJ34" s="1467">
        <f t="shared" ref="AJ34:AS34" si="29">IF(OwnerType="Merchant",IF(AJ$4-StartYr&lt;DebtTerm,-PPMT(DebtRate,AJ2,DebtTerm,(InstalledCostPerkW-TaxCreditEquityPV)*Debt_Financed),0),IF(AJ$4-StartYr&lt;BookLife,InstalledCostPerkW*AJ$89*Debt_Financed,0))</f>
        <v>0</v>
      </c>
      <c r="AK34" s="1467">
        <f t="shared" si="29"/>
        <v>0</v>
      </c>
      <c r="AL34" s="1467">
        <f t="shared" si="29"/>
        <v>0</v>
      </c>
      <c r="AM34" s="1467">
        <f t="shared" si="29"/>
        <v>0</v>
      </c>
      <c r="AN34" s="1467">
        <f t="shared" si="29"/>
        <v>0</v>
      </c>
      <c r="AO34" s="1467">
        <f t="shared" si="29"/>
        <v>0</v>
      </c>
      <c r="AP34" s="1467">
        <f t="shared" si="29"/>
        <v>0</v>
      </c>
      <c r="AQ34" s="1467">
        <f t="shared" si="29"/>
        <v>0</v>
      </c>
      <c r="AR34" s="1467">
        <f t="shared" si="29"/>
        <v>0</v>
      </c>
      <c r="AS34" s="1467">
        <f t="shared" si="29"/>
        <v>0</v>
      </c>
    </row>
    <row r="35" spans="1:46" s="104" customFormat="1">
      <c r="B35" s="1018" t="s">
        <v>1781</v>
      </c>
      <c r="C35" s="690" t="s">
        <v>980</v>
      </c>
      <c r="D35" s="691">
        <f>-PMT(DiscountRate,BookLife,E35)</f>
        <v>44.538662895001345</v>
      </c>
      <c r="E35" s="692">
        <f>NPV(DiscountRate,F35:AS35)</f>
        <v>573.318228906532</v>
      </c>
      <c r="F35" s="1468">
        <f>IF(OwnerType="Merchant",IF(F$4-StartYr&lt;DebtTerm,-IPMT(DebtRate,F2,DebtTerm,(InstalledCostPerkW)*Debt_Financed),0),IF(F$4-StartYr&lt;BookLife,DebtRate*Debt_Financed*Income_Rev_Req!F48,0))</f>
        <v>73.575565762435119</v>
      </c>
      <c r="G35" s="1468">
        <f>IF(OwnerType="Merchant",IF(G$4-StartYr&lt;DebtTerm,-IPMT(DebtRate,G2,DebtTerm,(InstalledCostPerkW)*Debt_Financed),0),IF(G$4-StartYr&lt;BookLife,DebtRate*Debt_Financed*Income_Rev_Req!G48,0))</f>
        <v>71.556666413046528</v>
      </c>
      <c r="H35" s="1468">
        <f>IF(OwnerType="Merchant",IF(H$4-StartYr&lt;DebtTerm,-IPMT(DebtRate,H2,DebtTerm,(InstalledCostPerkW)*Debt_Financed),0),IF(H$4-StartYr&lt;BookLife,DebtRate*Debt_Financed*Income_Rev_Req!H48,0))</f>
        <v>69.418389545128591</v>
      </c>
      <c r="I35" s="1468">
        <f>IF(OwnerType="Merchant",IF(I$4-StartYr&lt;DebtTerm,-IPMT(DebtRate,I2,DebtTerm,(InstalledCostPerkW)*Debt_Financed),0),IF(I$4-StartYr&lt;BookLife,DebtRate*Debt_Financed*Income_Rev_Req!I48,0))</f>
        <v>67.153676366010643</v>
      </c>
      <c r="J35" s="1468">
        <f>IF(OwnerType="Merchant",IF(J$4-StartYr&lt;DebtTerm,-IPMT(DebtRate,J2,DebtTerm,(InstalledCostPerkW)*Debt_Financed),0),IF(J$4-StartYr&lt;BookLife,DebtRate*Debt_Financed*Income_Rev_Req!J48,0))</f>
        <v>64.755050696611477</v>
      </c>
      <c r="K35" s="1468">
        <f>IF(OwnerType="Merchant",IF(K$4-StartYr&lt;DebtTerm,-IPMT(DebtRate,K2,DebtTerm,(InstalledCostPerkW)*Debt_Financed),0),IF(K$4-StartYr&lt;BookLife,DebtRate*Debt_Financed*Income_Rev_Req!K48,0))</f>
        <v>62.214594291380735</v>
      </c>
      <c r="L35" s="1468">
        <f>IF(OwnerType="Merchant",IF(L$4-StartYr&lt;DebtTerm,-IPMT(DebtRate,L2,DebtTerm,(InstalledCostPerkW)*Debt_Financed),0),IF(L$4-StartYr&lt;BookLife,DebtRate*Debt_Financed*Income_Rev_Req!L48,0))</f>
        <v>59.523920698908697</v>
      </c>
      <c r="M35" s="1468">
        <f>IF(OwnerType="Merchant",IF(M$4-StartYr&lt;DebtTerm,-IPMT(DebtRate,M2,DebtTerm,(InstalledCostPerkW)*Debt_Financed),0),IF(M$4-StartYr&lt;BookLife,DebtRate*Debt_Financed*Income_Rev_Req!M48,0))</f>
        <v>56.674147576913775</v>
      </c>
      <c r="N35" s="1468">
        <f>IF(OwnerType="Merchant",IF(N$4-StartYr&lt;DebtTerm,-IPMT(DebtRate,N2,DebtTerm,(InstalledCostPerkW)*Debt_Financed),0),IF(N$4-StartYr&lt;BookLife,DebtRate*Debt_Financed*Income_Rev_Req!N48,0))</f>
        <v>53.655867370215319</v>
      </c>
      <c r="O35" s="1468">
        <f>IF(OwnerType="Merchant",IF(O$4-StartYr&lt;DebtTerm,-IPMT(DebtRate,O2,DebtTerm,(InstalledCostPerkW)*Debt_Financed),0),IF(O$4-StartYr&lt;BookLife,DebtRate*Debt_Financed*Income_Rev_Req!O48,0))</f>
        <v>50.459116254894766</v>
      </c>
      <c r="P35" s="1468">
        <f>IF(OwnerType="Merchant",IF(P$4-StartYr&lt;DebtTerm,-IPMT(DebtRate,P2,DebtTerm,(InstalledCostPerkW)*Debt_Financed),0),IF(P$4-StartYr&lt;BookLife,DebtRate*Debt_Financed*Income_Rev_Req!P48,0))</f>
        <v>47.07334124612531</v>
      </c>
      <c r="Q35" s="1468">
        <f>IF(OwnerType="Merchant",IF(Q$4-StartYr&lt;DebtTerm,-IPMT(DebtRate,Q2,DebtTerm,(InstalledCostPerkW)*Debt_Financed),0),IF(Q$4-StartYr&lt;BookLife,DebtRate*Debt_Financed*Income_Rev_Req!Q48,0))</f>
        <v>43.487365361087321</v>
      </c>
      <c r="R35" s="1468">
        <f>IF(OwnerType="Merchant",IF(R$4-StartYr&lt;DebtTerm,-IPMT(DebtRate,R2,DebtTerm,(InstalledCostPerkW)*Debt_Financed),0),IF(R$4-StartYr&lt;BookLife,DebtRate*Debt_Financed*Income_Rev_Req!R48,0))</f>
        <v>39.689350721967031</v>
      </c>
      <c r="S35" s="1468">
        <f>IF(OwnerType="Merchant",IF(S$4-StartYr&lt;DebtTerm,-IPMT(DebtRate,S2,DebtTerm,(InstalledCostPerkW)*Debt_Financed),0),IF(S$4-StartYr&lt;BookLife,DebtRate*Debt_Financed*Income_Rev_Req!S48,0))</f>
        <v>35.666759477235559</v>
      </c>
      <c r="T35" s="1468">
        <f>IF(OwnerType="Merchant",IF(T$4-StartYr&lt;DebtTerm,-IPMT(DebtRate,T2,DebtTerm,(InstalledCostPerkW)*Debt_Financed),0),IF(T$4-StartYr&lt;BookLife,DebtRate*Debt_Financed*Income_Rev_Req!T48,0))</f>
        <v>31.406312412203118</v>
      </c>
      <c r="U35" s="1468">
        <f>IF(OwnerType="Merchant",IF(U$4-StartYr&lt;DebtTerm,-IPMT(DebtRate,U2,DebtTerm,(InstalledCostPerkW)*Debt_Financed),0),IF(U$4-StartYr&lt;BookLife,DebtRate*Debt_Financed*Income_Rev_Req!U48,0))</f>
        <v>26.893945112215309</v>
      </c>
      <c r="V35" s="1468">
        <f>IF(OwnerType="Merchant",IF(V$4-StartYr&lt;DebtTerm,-IPMT(DebtRate,V2,DebtTerm,(InstalledCostPerkW)*Debt_Financed),0),IF(V$4-StartYr&lt;BookLife,DebtRate*Debt_Financed*Income_Rev_Req!V48,0))</f>
        <v>22.114761533779212</v>
      </c>
      <c r="W35" s="1468">
        <f>IF(OwnerType="Merchant",IF(W$4-StartYr&lt;DebtTerm,-IPMT(DebtRate,W2,DebtTerm,(InstalledCostPerkW)*Debt_Financed),0),IF(W$4-StartYr&lt;BookLife,DebtRate*Debt_Financed*Income_Rev_Req!W48,0))</f>
        <v>17.052984830350194</v>
      </c>
      <c r="X35" s="1468">
        <f>IF(OwnerType="Merchant",IF(X$4-StartYr&lt;DebtTerm,-IPMT(DebtRate,X2,DebtTerm,(InstalledCostPerkW)*Debt_Financed),0),IF(X$4-StartYr&lt;BookLife,DebtRate*Debt_Financed*Income_Rev_Req!X48,0))</f>
        <v>11.691905270447419</v>
      </c>
      <c r="Y35" s="1468">
        <f>IF(OwnerType="Merchant",IF(Y$4-StartYr&lt;DebtTerm,-IPMT(DebtRate,Y2,DebtTerm,(InstalledCostPerkW)*Debt_Financed),0),IF(Y$4-StartYr&lt;BookLife,DebtRate*Debt_Financed*Income_Rev_Req!Y48,0))</f>
        <v>6.0138250761675929</v>
      </c>
      <c r="Z35" s="1468">
        <f>IF(OwnerType="Merchant",IF(Z$4-StartYr&lt;DebtTerm,-IPMT(DebtRate,Z2,DebtTerm,(InstalledCostPerkW)*Debt_Financed),0),IF(Z$4-StartYr&lt;BookLife,DebtRate*Debt_Financed*Income_Rev_Req!Z48,0))</f>
        <v>0</v>
      </c>
      <c r="AA35" s="1468">
        <f>IF(OwnerType="Merchant",IF(AA$4-StartYr&lt;DebtTerm,-IPMT(DebtRate,AA2,DebtTerm,(InstalledCostPerkW)*Debt_Financed),0),IF(AA$4-StartYr&lt;BookLife,DebtRate*Debt_Financed*Income_Rev_Req!AA48,0))</f>
        <v>0</v>
      </c>
      <c r="AB35" s="1468">
        <f>IF(OwnerType="Merchant",IF(AB$4-StartYr&lt;DebtTerm,-IPMT(DebtRate,AB2,DebtTerm,(InstalledCostPerkW)*Debt_Financed),0),IF(AB$4-StartYr&lt;BookLife,DebtRate*Debt_Financed*Income_Rev_Req!AB48,0))</f>
        <v>0</v>
      </c>
      <c r="AC35" s="1468">
        <f>IF(OwnerType="Merchant",IF(AC$4-StartYr&lt;DebtTerm,-IPMT(DebtRate,AC2,DebtTerm,(InstalledCostPerkW)*Debt_Financed),0),IF(AC$4-StartYr&lt;BookLife,DebtRate*Debt_Financed*Income_Rev_Req!AC48,0))</f>
        <v>0</v>
      </c>
      <c r="AD35" s="1468">
        <f>IF(OwnerType="Merchant",IF(AD$4-StartYr&lt;DebtTerm,-IPMT(DebtRate,AD2,DebtTerm,(InstalledCostPerkW)*Debt_Financed),0),IF(AD$4-StartYr&lt;BookLife,DebtRate*Debt_Financed*Income_Rev_Req!AD48,0))</f>
        <v>0</v>
      </c>
      <c r="AE35" s="1468">
        <f>IF(OwnerType="Merchant",IF(AE$4-StartYr&lt;DebtTerm,-IPMT(DebtRate,AE2,DebtTerm,(InstalledCostPerkW)*Debt_Financed),0),IF(AE$4-StartYr&lt;BookLife,DebtRate*Debt_Financed*Income_Rev_Req!AE48,0))</f>
        <v>0</v>
      </c>
      <c r="AF35" s="1468">
        <f>IF(OwnerType="Merchant",IF(AF$4-StartYr&lt;DebtTerm,-IPMT(DebtRate,AF2,DebtTerm,(InstalledCostPerkW)*Debt_Financed),0),IF(AF$4-StartYr&lt;BookLife,DebtRate*Debt_Financed*Income_Rev_Req!AF48,0))</f>
        <v>0</v>
      </c>
      <c r="AG35" s="1468">
        <f>IF(OwnerType="Merchant",IF(AG$4-StartYr&lt;DebtTerm,-IPMT(DebtRate,AG2,DebtTerm,(InstalledCostPerkW)*Debt_Financed),0),IF(AG$4-StartYr&lt;BookLife,DebtRate*Debt_Financed*Income_Rev_Req!AG48,0))</f>
        <v>0</v>
      </c>
      <c r="AH35" s="1468">
        <f>IF(OwnerType="Merchant",IF(AH$4-StartYr&lt;DebtTerm,-IPMT(DebtRate,AH2,DebtTerm,(InstalledCostPerkW)*Debt_Financed),0),IF(AH$4-StartYr&lt;BookLife,DebtRate*Debt_Financed*Income_Rev_Req!AH48,0))</f>
        <v>0</v>
      </c>
      <c r="AI35" s="1468">
        <f>IF(OwnerType="Merchant",IF(AI$4-StartYr&lt;DebtTerm,-IPMT(DebtRate,AI2,DebtTerm,(InstalledCostPerkW)*Debt_Financed),0),IF(AI$4-StartYr&lt;BookLife,DebtRate*Debt_Financed*Income_Rev_Req!AI48,0))</f>
        <v>0</v>
      </c>
      <c r="AJ35" s="1468">
        <f>IF(OwnerType="Merchant",IF(AJ$4-StartYr&lt;DebtTerm,-IPMT(DebtRate,AJ2,DebtTerm,(InstalledCostPerkW)*Debt_Financed),0),IF(AJ$4-StartYr&lt;BookLife,DebtRate*Debt_Financed*Income_Rev_Req!AJ48,0))</f>
        <v>0</v>
      </c>
      <c r="AK35" s="1468">
        <f>IF(OwnerType="Merchant",IF(AK$4-StartYr&lt;DebtTerm,-IPMT(DebtRate,AK2,DebtTerm,(InstalledCostPerkW)*Debt_Financed),0),IF(AK$4-StartYr&lt;BookLife,DebtRate*Debt_Financed*Income_Rev_Req!AK48,0))</f>
        <v>0</v>
      </c>
      <c r="AL35" s="1468">
        <f>IF(OwnerType="Merchant",IF(AL$4-StartYr&lt;DebtTerm,-IPMT(DebtRate,AL2,DebtTerm,(InstalledCostPerkW)*Debt_Financed),0),IF(AL$4-StartYr&lt;BookLife,DebtRate*Debt_Financed*Income_Rev_Req!AL48,0))</f>
        <v>0</v>
      </c>
      <c r="AM35" s="1468">
        <f>IF(OwnerType="Merchant",IF(AM$4-StartYr&lt;DebtTerm,-IPMT(DebtRate,AM2,DebtTerm,(InstalledCostPerkW)*Debt_Financed),0),IF(AM$4-StartYr&lt;BookLife,DebtRate*Debt_Financed*Income_Rev_Req!AM48,0))</f>
        <v>0</v>
      </c>
      <c r="AN35" s="1468">
        <f>IF(OwnerType="Merchant",IF(AN$4-StartYr&lt;DebtTerm,-IPMT(DebtRate,AN2,DebtTerm,(InstalledCostPerkW)*Debt_Financed),0),IF(AN$4-StartYr&lt;BookLife,DebtRate*Debt_Financed*Income_Rev_Req!AN48,0))</f>
        <v>0</v>
      </c>
      <c r="AO35" s="1468">
        <f>IF(OwnerType="Merchant",IF(AO$4-StartYr&lt;DebtTerm,-IPMT(DebtRate,AO2,DebtTerm,(InstalledCostPerkW)*Debt_Financed),0),IF(AO$4-StartYr&lt;BookLife,DebtRate*Debt_Financed*Income_Rev_Req!AO48,0))</f>
        <v>0</v>
      </c>
      <c r="AP35" s="1468">
        <f>IF(OwnerType="Merchant",IF(AP$4-StartYr&lt;DebtTerm,-IPMT(DebtRate,AP2,DebtTerm,(InstalledCostPerkW)*Debt_Financed),0),IF(AP$4-StartYr&lt;BookLife,DebtRate*Debt_Financed*Income_Rev_Req!AP48,0))</f>
        <v>0</v>
      </c>
      <c r="AQ35" s="1468">
        <f>IF(OwnerType="Merchant",IF(AQ$4-StartYr&lt;DebtTerm,-IPMT(DebtRate,AQ2,DebtTerm,(InstalledCostPerkW)*Debt_Financed),0),IF(AQ$4-StartYr&lt;BookLife,DebtRate*Debt_Financed*Income_Rev_Req!AQ48,0))</f>
        <v>0</v>
      </c>
      <c r="AR35" s="1468">
        <f>IF(OwnerType="Merchant",IF(AR$4-StartYr&lt;DebtTerm,-IPMT(DebtRate,AR2,DebtTerm,(InstalledCostPerkW)*Debt_Financed),0),IF(AR$4-StartYr&lt;BookLife,DebtRate*Debt_Financed*Income_Rev_Req!AR48,0))</f>
        <v>0</v>
      </c>
      <c r="AS35" s="1468">
        <f>IF(OwnerType="Merchant",IF(AS$4-StartYr&lt;DebtTerm,-IPMT(DebtRate,AS2,DebtTerm,(InstalledCostPerkW)*Debt_Financed),0),IF(AS$4-StartYr&lt;BookLife,DebtRate*Debt_Financed*Income_Rev_Req!AS48,0))</f>
        <v>0</v>
      </c>
    </row>
    <row r="36" spans="1:46" s="1438" customFormat="1">
      <c r="B36" s="1439" t="s">
        <v>978</v>
      </c>
      <c r="C36" s="1439" t="s">
        <v>980</v>
      </c>
      <c r="D36" s="1440">
        <f>-PMT(DiscountRate,BookLife,E36,,0)</f>
        <v>91.19445412061431</v>
      </c>
      <c r="E36" s="1441">
        <f>NPV(DiscountRate,F36:AS36)</f>
        <v>1173.8889208637752</v>
      </c>
      <c r="F36" s="1442">
        <f>SUM(F34:F35)</f>
        <v>107.7189675785791</v>
      </c>
      <c r="G36" s="1442">
        <f t="shared" ref="G36:AS36" si="30">SUM(G34:G35)</f>
        <v>107.71896757857911</v>
      </c>
      <c r="H36" s="1442">
        <f t="shared" si="30"/>
        <v>107.71896757857911</v>
      </c>
      <c r="I36" s="1442">
        <f t="shared" si="30"/>
        <v>107.71896757857908</v>
      </c>
      <c r="J36" s="1442">
        <f t="shared" si="30"/>
        <v>107.7189675785791</v>
      </c>
      <c r="K36" s="1442">
        <f t="shared" si="30"/>
        <v>107.7189675785791</v>
      </c>
      <c r="L36" s="1442">
        <f t="shared" si="30"/>
        <v>107.7189675785791</v>
      </c>
      <c r="M36" s="1442">
        <f t="shared" si="30"/>
        <v>107.7189675785791</v>
      </c>
      <c r="N36" s="1442">
        <f t="shared" si="30"/>
        <v>107.71896757857911</v>
      </c>
      <c r="O36" s="1442">
        <f t="shared" si="30"/>
        <v>107.7189675785791</v>
      </c>
      <c r="P36" s="1442">
        <f t="shared" si="30"/>
        <v>107.7189675785791</v>
      </c>
      <c r="Q36" s="1442">
        <f t="shared" si="30"/>
        <v>107.71896757857908</v>
      </c>
      <c r="R36" s="1442">
        <f t="shared" si="30"/>
        <v>107.7189675785791</v>
      </c>
      <c r="S36" s="1442">
        <f t="shared" si="30"/>
        <v>107.7189675785791</v>
      </c>
      <c r="T36" s="1442">
        <f t="shared" si="30"/>
        <v>107.71896757857911</v>
      </c>
      <c r="U36" s="1442">
        <f t="shared" si="30"/>
        <v>107.71896757857911</v>
      </c>
      <c r="V36" s="1442">
        <f t="shared" si="30"/>
        <v>107.7189675785791</v>
      </c>
      <c r="W36" s="1442">
        <f t="shared" si="30"/>
        <v>107.7189675785791</v>
      </c>
      <c r="X36" s="1442">
        <f t="shared" si="30"/>
        <v>107.7189675785791</v>
      </c>
      <c r="Y36" s="1442">
        <f t="shared" si="30"/>
        <v>107.7189675785791</v>
      </c>
      <c r="Z36" s="1442">
        <f t="shared" si="30"/>
        <v>0</v>
      </c>
      <c r="AA36" s="1442">
        <f t="shared" si="30"/>
        <v>0</v>
      </c>
      <c r="AB36" s="1442">
        <f t="shared" si="30"/>
        <v>0</v>
      </c>
      <c r="AC36" s="1442">
        <f t="shared" si="30"/>
        <v>0</v>
      </c>
      <c r="AD36" s="1442">
        <f t="shared" si="30"/>
        <v>0</v>
      </c>
      <c r="AE36" s="1442">
        <f t="shared" si="30"/>
        <v>0</v>
      </c>
      <c r="AF36" s="1442">
        <f t="shared" si="30"/>
        <v>0</v>
      </c>
      <c r="AG36" s="1442">
        <f t="shared" si="30"/>
        <v>0</v>
      </c>
      <c r="AH36" s="1442">
        <f t="shared" si="30"/>
        <v>0</v>
      </c>
      <c r="AI36" s="1442">
        <f t="shared" si="30"/>
        <v>0</v>
      </c>
      <c r="AJ36" s="1442">
        <f t="shared" si="30"/>
        <v>0</v>
      </c>
      <c r="AK36" s="1442">
        <f t="shared" si="30"/>
        <v>0</v>
      </c>
      <c r="AL36" s="1442">
        <f t="shared" si="30"/>
        <v>0</v>
      </c>
      <c r="AM36" s="1442">
        <f t="shared" si="30"/>
        <v>0</v>
      </c>
      <c r="AN36" s="1442">
        <f t="shared" si="30"/>
        <v>0</v>
      </c>
      <c r="AO36" s="1442">
        <f t="shared" si="30"/>
        <v>0</v>
      </c>
      <c r="AP36" s="1442">
        <f t="shared" si="30"/>
        <v>0</v>
      </c>
      <c r="AQ36" s="1442">
        <f t="shared" si="30"/>
        <v>0</v>
      </c>
      <c r="AR36" s="1442">
        <f t="shared" si="30"/>
        <v>0</v>
      </c>
      <c r="AS36" s="1442">
        <f t="shared" si="30"/>
        <v>0</v>
      </c>
    </row>
    <row r="37" spans="1:46" s="133" customFormat="1">
      <c r="B37" s="1380" t="s">
        <v>1779</v>
      </c>
      <c r="C37" s="3001" t="s">
        <v>1961</v>
      </c>
      <c r="D37" s="2874">
        <f>SUM(F37:AI37)/COUNT(F37:AI37)</f>
        <v>1.6095061179475287</v>
      </c>
      <c r="E37" s="2873">
        <f>MIN(F37:AS37)</f>
        <v>1.097745798409439</v>
      </c>
      <c r="F37" s="129">
        <f t="shared" ref="F37:AI37" si="31">IF(F36&gt;0,(F119-MIN(0,F49)-MIN(0,F56))/F36,"")</f>
        <v>4.0161674449866016</v>
      </c>
      <c r="G37" s="129">
        <f t="shared" si="31"/>
        <v>2.9521474520353159</v>
      </c>
      <c r="H37" s="129">
        <f t="shared" si="31"/>
        <v>2.3156406495227753</v>
      </c>
      <c r="I37" s="129">
        <f t="shared" si="31"/>
        <v>2.0658471680197708</v>
      </c>
      <c r="J37" s="129">
        <f t="shared" si="31"/>
        <v>2.1121991684443597</v>
      </c>
      <c r="K37" s="129">
        <f t="shared" si="31"/>
        <v>1.3722538770554162</v>
      </c>
      <c r="L37" s="129">
        <f t="shared" si="31"/>
        <v>1.3792447626341169</v>
      </c>
      <c r="M37" s="129">
        <f t="shared" si="31"/>
        <v>1.3856948792041528</v>
      </c>
      <c r="N37" s="129">
        <f t="shared" si="31"/>
        <v>1.3919720407236387</v>
      </c>
      <c r="O37" s="129">
        <f t="shared" si="31"/>
        <v>1.398044199363794</v>
      </c>
      <c r="P37" s="129">
        <f t="shared" si="31"/>
        <v>1.097745798409439</v>
      </c>
      <c r="Q37" s="129">
        <f t="shared" si="31"/>
        <v>1.1140940566894271</v>
      </c>
      <c r="R37" s="129">
        <f t="shared" si="31"/>
        <v>1.1334265058261257</v>
      </c>
      <c r="S37" s="129">
        <f t="shared" si="31"/>
        <v>1.1504415369622758</v>
      </c>
      <c r="T37" s="129">
        <f t="shared" si="31"/>
        <v>1.1677743459988184</v>
      </c>
      <c r="U37" s="129">
        <f t="shared" si="31"/>
        <v>1.1882769524588692</v>
      </c>
      <c r="V37" s="129">
        <f t="shared" si="31"/>
        <v>1.2063233446113406</v>
      </c>
      <c r="W37" s="129">
        <f t="shared" si="31"/>
        <v>1.2276700855511178</v>
      </c>
      <c r="X37" s="129">
        <f t="shared" si="31"/>
        <v>1.2464639490165634</v>
      </c>
      <c r="Y37" s="129">
        <f t="shared" si="31"/>
        <v>1.2686941414366544</v>
      </c>
      <c r="Z37" s="129" t="str">
        <f t="shared" si="31"/>
        <v/>
      </c>
      <c r="AA37" s="129" t="str">
        <f t="shared" si="31"/>
        <v/>
      </c>
      <c r="AB37" s="129" t="str">
        <f t="shared" si="31"/>
        <v/>
      </c>
      <c r="AC37" s="129" t="str">
        <f t="shared" si="31"/>
        <v/>
      </c>
      <c r="AD37" s="129" t="str">
        <f t="shared" si="31"/>
        <v/>
      </c>
      <c r="AE37" s="129" t="str">
        <f t="shared" si="31"/>
        <v/>
      </c>
      <c r="AF37" s="129" t="str">
        <f t="shared" si="31"/>
        <v/>
      </c>
      <c r="AG37" s="129" t="str">
        <f t="shared" si="31"/>
        <v/>
      </c>
      <c r="AH37" s="129" t="str">
        <f t="shared" si="31"/>
        <v/>
      </c>
      <c r="AI37" s="129" t="str">
        <f t="shared" si="31"/>
        <v/>
      </c>
      <c r="AJ37" s="129" t="str">
        <f t="shared" ref="AJ37:AS37" si="32">IF(AJ36&gt;0,AJ119/AJ36,"")</f>
        <v/>
      </c>
      <c r="AK37" s="129" t="str">
        <f t="shared" si="32"/>
        <v/>
      </c>
      <c r="AL37" s="129" t="str">
        <f t="shared" si="32"/>
        <v/>
      </c>
      <c r="AM37" s="129" t="str">
        <f t="shared" si="32"/>
        <v/>
      </c>
      <c r="AN37" s="129" t="str">
        <f t="shared" si="32"/>
        <v/>
      </c>
      <c r="AO37" s="129" t="str">
        <f t="shared" si="32"/>
        <v/>
      </c>
      <c r="AP37" s="129" t="str">
        <f t="shared" si="32"/>
        <v/>
      </c>
      <c r="AQ37" s="129" t="str">
        <f t="shared" si="32"/>
        <v/>
      </c>
      <c r="AR37" s="129" t="str">
        <f t="shared" si="32"/>
        <v/>
      </c>
      <c r="AS37" s="129" t="str">
        <f t="shared" si="32"/>
        <v/>
      </c>
    </row>
    <row r="38" spans="1:46" s="131" customFormat="1">
      <c r="B38" s="1250" t="s">
        <v>983</v>
      </c>
      <c r="C38" s="131" t="s">
        <v>984</v>
      </c>
      <c r="F38" s="1191" t="str">
        <f t="shared" ref="F38:AS38" si="33">IF(F$1,IF(F19&gt;0,((F11-F22)*1000*GrossMW/(F7*1000)/F20*1000),"NA"),0)</f>
        <v>NA</v>
      </c>
      <c r="G38" s="1191" t="str">
        <f t="shared" si="33"/>
        <v>NA</v>
      </c>
      <c r="H38" s="1191" t="str">
        <f t="shared" si="33"/>
        <v>NA</v>
      </c>
      <c r="I38" s="1191" t="str">
        <f t="shared" si="33"/>
        <v>NA</v>
      </c>
      <c r="J38" s="1191" t="str">
        <f t="shared" si="33"/>
        <v>NA</v>
      </c>
      <c r="K38" s="1191" t="str">
        <f t="shared" si="33"/>
        <v>NA</v>
      </c>
      <c r="L38" s="1191" t="str">
        <f t="shared" si="33"/>
        <v>NA</v>
      </c>
      <c r="M38" s="1191" t="str">
        <f t="shared" si="33"/>
        <v>NA</v>
      </c>
      <c r="N38" s="1191" t="str">
        <f t="shared" si="33"/>
        <v>NA</v>
      </c>
      <c r="O38" s="1191" t="str">
        <f t="shared" si="33"/>
        <v>NA</v>
      </c>
      <c r="P38" s="1191" t="str">
        <f t="shared" si="33"/>
        <v>NA</v>
      </c>
      <c r="Q38" s="1191" t="str">
        <f t="shared" si="33"/>
        <v>NA</v>
      </c>
      <c r="R38" s="1191" t="str">
        <f t="shared" si="33"/>
        <v>NA</v>
      </c>
      <c r="S38" s="1191" t="str">
        <f t="shared" si="33"/>
        <v>NA</v>
      </c>
      <c r="T38" s="1191" t="str">
        <f t="shared" si="33"/>
        <v>NA</v>
      </c>
      <c r="U38" s="1191" t="str">
        <f t="shared" si="33"/>
        <v>NA</v>
      </c>
      <c r="V38" s="1191" t="str">
        <f t="shared" si="33"/>
        <v>NA</v>
      </c>
      <c r="W38" s="1191" t="str">
        <f t="shared" si="33"/>
        <v>NA</v>
      </c>
      <c r="X38" s="1191" t="str">
        <f t="shared" si="33"/>
        <v>NA</v>
      </c>
      <c r="Y38" s="1191" t="str">
        <f t="shared" si="33"/>
        <v>NA</v>
      </c>
      <c r="Z38" s="1191" t="str">
        <f t="shared" si="33"/>
        <v>NA</v>
      </c>
      <c r="AA38" s="1191" t="str">
        <f t="shared" si="33"/>
        <v>NA</v>
      </c>
      <c r="AB38" s="1191" t="str">
        <f t="shared" si="33"/>
        <v>NA</v>
      </c>
      <c r="AC38" s="1191" t="str">
        <f t="shared" si="33"/>
        <v>NA</v>
      </c>
      <c r="AD38" s="1191" t="str">
        <f t="shared" si="33"/>
        <v>NA</v>
      </c>
      <c r="AE38" s="1191" t="str">
        <f t="shared" si="33"/>
        <v>NA</v>
      </c>
      <c r="AF38" s="1191" t="str">
        <f t="shared" si="33"/>
        <v>NA</v>
      </c>
      <c r="AG38" s="1191" t="str">
        <f t="shared" si="33"/>
        <v>NA</v>
      </c>
      <c r="AH38" s="1191" t="str">
        <f t="shared" si="33"/>
        <v>NA</v>
      </c>
      <c r="AI38" s="1191" t="str">
        <f t="shared" si="33"/>
        <v>NA</v>
      </c>
      <c r="AJ38" s="1191">
        <f t="shared" si="33"/>
        <v>0</v>
      </c>
      <c r="AK38" s="1191">
        <f t="shared" si="33"/>
        <v>0</v>
      </c>
      <c r="AL38" s="1191">
        <f t="shared" si="33"/>
        <v>0</v>
      </c>
      <c r="AM38" s="1191">
        <f t="shared" si="33"/>
        <v>0</v>
      </c>
      <c r="AN38" s="1191">
        <f t="shared" si="33"/>
        <v>0</v>
      </c>
      <c r="AO38" s="1191">
        <f t="shared" si="33"/>
        <v>0</v>
      </c>
      <c r="AP38" s="1191">
        <f t="shared" si="33"/>
        <v>0</v>
      </c>
      <c r="AQ38" s="1191">
        <f t="shared" si="33"/>
        <v>0</v>
      </c>
      <c r="AR38" s="1191">
        <f t="shared" si="33"/>
        <v>0</v>
      </c>
      <c r="AS38" s="1191">
        <f t="shared" si="33"/>
        <v>0</v>
      </c>
    </row>
    <row r="39" spans="1:46" s="130" customFormat="1">
      <c r="B39" s="1250" t="s">
        <v>983</v>
      </c>
      <c r="C39" s="2" t="s">
        <v>1388</v>
      </c>
      <c r="D39" s="1080">
        <f>PMT(DiscountRate,BookLife,-E39)</f>
        <v>0</v>
      </c>
      <c r="E39" s="1190">
        <f>NPV(DiscountRate,F39:AS39)</f>
        <v>0</v>
      </c>
      <c r="F39" s="2106" t="str">
        <f t="shared" ref="F39:AS39" si="34">IF(F38="NA","NA",F38*F7/1000)</f>
        <v>NA</v>
      </c>
      <c r="G39" s="2106" t="str">
        <f t="shared" si="34"/>
        <v>NA</v>
      </c>
      <c r="H39" s="2106" t="str">
        <f t="shared" si="34"/>
        <v>NA</v>
      </c>
      <c r="I39" s="2106" t="str">
        <f t="shared" si="34"/>
        <v>NA</v>
      </c>
      <c r="J39" s="2106" t="str">
        <f t="shared" si="34"/>
        <v>NA</v>
      </c>
      <c r="K39" s="2106" t="str">
        <f t="shared" si="34"/>
        <v>NA</v>
      </c>
      <c r="L39" s="2106" t="str">
        <f t="shared" si="34"/>
        <v>NA</v>
      </c>
      <c r="M39" s="2106" t="str">
        <f t="shared" si="34"/>
        <v>NA</v>
      </c>
      <c r="N39" s="2106" t="str">
        <f t="shared" si="34"/>
        <v>NA</v>
      </c>
      <c r="O39" s="2106" t="str">
        <f t="shared" si="34"/>
        <v>NA</v>
      </c>
      <c r="P39" s="2106" t="str">
        <f t="shared" si="34"/>
        <v>NA</v>
      </c>
      <c r="Q39" s="2106" t="str">
        <f t="shared" si="34"/>
        <v>NA</v>
      </c>
      <c r="R39" s="2106" t="str">
        <f t="shared" si="34"/>
        <v>NA</v>
      </c>
      <c r="S39" s="2106" t="str">
        <f t="shared" si="34"/>
        <v>NA</v>
      </c>
      <c r="T39" s="2106" t="str">
        <f t="shared" si="34"/>
        <v>NA</v>
      </c>
      <c r="U39" s="2106" t="str">
        <f t="shared" si="34"/>
        <v>NA</v>
      </c>
      <c r="V39" s="2106" t="str">
        <f t="shared" si="34"/>
        <v>NA</v>
      </c>
      <c r="W39" s="2106" t="str">
        <f t="shared" si="34"/>
        <v>NA</v>
      </c>
      <c r="X39" s="2106" t="str">
        <f t="shared" si="34"/>
        <v>NA</v>
      </c>
      <c r="Y39" s="2106" t="str">
        <f t="shared" si="34"/>
        <v>NA</v>
      </c>
      <c r="Z39" s="2106" t="str">
        <f t="shared" si="34"/>
        <v>NA</v>
      </c>
      <c r="AA39" s="2106" t="str">
        <f t="shared" si="34"/>
        <v>NA</v>
      </c>
      <c r="AB39" s="2106" t="str">
        <f t="shared" si="34"/>
        <v>NA</v>
      </c>
      <c r="AC39" s="2106" t="str">
        <f t="shared" si="34"/>
        <v>NA</v>
      </c>
      <c r="AD39" s="2106" t="str">
        <f t="shared" si="34"/>
        <v>NA</v>
      </c>
      <c r="AE39" s="2106" t="str">
        <f t="shared" si="34"/>
        <v>NA</v>
      </c>
      <c r="AF39" s="2106" t="str">
        <f t="shared" si="34"/>
        <v>NA</v>
      </c>
      <c r="AG39" s="2106" t="str">
        <f t="shared" si="34"/>
        <v>NA</v>
      </c>
      <c r="AH39" s="2106" t="str">
        <f t="shared" si="34"/>
        <v>NA</v>
      </c>
      <c r="AI39" s="2106" t="str">
        <f t="shared" si="34"/>
        <v>NA</v>
      </c>
      <c r="AJ39" s="2106">
        <f t="shared" si="34"/>
        <v>0</v>
      </c>
      <c r="AK39" s="2106">
        <f t="shared" si="34"/>
        <v>0</v>
      </c>
      <c r="AL39" s="2106">
        <f t="shared" si="34"/>
        <v>0</v>
      </c>
      <c r="AM39" s="2106">
        <f t="shared" si="34"/>
        <v>0</v>
      </c>
      <c r="AN39" s="2106">
        <f t="shared" si="34"/>
        <v>0</v>
      </c>
      <c r="AO39" s="2106">
        <f t="shared" si="34"/>
        <v>0</v>
      </c>
      <c r="AP39" s="2106">
        <f t="shared" si="34"/>
        <v>0</v>
      </c>
      <c r="AQ39" s="2106">
        <f t="shared" si="34"/>
        <v>0</v>
      </c>
      <c r="AR39" s="2106">
        <f t="shared" si="34"/>
        <v>0</v>
      </c>
      <c r="AS39" s="2106">
        <f t="shared" si="34"/>
        <v>0</v>
      </c>
    </row>
    <row r="40" spans="1:46" s="130" customFormat="1">
      <c r="B40" s="1013" t="s">
        <v>1414</v>
      </c>
      <c r="D40" s="698"/>
      <c r="E40" s="699"/>
      <c r="F40" s="700">
        <f>InstalledCostPerkW</f>
        <v>2073.8363425907637</v>
      </c>
      <c r="G40" s="701">
        <f t="shared" ref="G40:AT40" si="35">IF(F$1,$F$40-F41,"")</f>
        <v>2004.7084645044049</v>
      </c>
      <c r="H40" s="701">
        <f t="shared" si="35"/>
        <v>1935.5805864180461</v>
      </c>
      <c r="I40" s="701">
        <f t="shared" si="35"/>
        <v>1866.4527083316873</v>
      </c>
      <c r="J40" s="701">
        <f t="shared" si="35"/>
        <v>1797.3248302453285</v>
      </c>
      <c r="K40" s="701">
        <f t="shared" si="35"/>
        <v>1728.1969521589699</v>
      </c>
      <c r="L40" s="701">
        <f t="shared" si="35"/>
        <v>1659.0690740726109</v>
      </c>
      <c r="M40" s="701">
        <f t="shared" si="35"/>
        <v>1589.9411959862523</v>
      </c>
      <c r="N40" s="701">
        <f t="shared" si="35"/>
        <v>1520.8133178998933</v>
      </c>
      <c r="O40" s="701">
        <f t="shared" si="35"/>
        <v>1451.6854398135347</v>
      </c>
      <c r="P40" s="701">
        <f t="shared" si="35"/>
        <v>1382.5575617271759</v>
      </c>
      <c r="Q40" s="701">
        <f t="shared" si="35"/>
        <v>1313.4296836408171</v>
      </c>
      <c r="R40" s="701">
        <f t="shared" si="35"/>
        <v>1244.3018055544583</v>
      </c>
      <c r="S40" s="701">
        <f t="shared" si="35"/>
        <v>1175.1739274680995</v>
      </c>
      <c r="T40" s="701">
        <f t="shared" si="35"/>
        <v>1106.0460493817409</v>
      </c>
      <c r="U40" s="701">
        <f t="shared" si="35"/>
        <v>1036.9181712953821</v>
      </c>
      <c r="V40" s="701">
        <f t="shared" si="35"/>
        <v>967.79029320902305</v>
      </c>
      <c r="W40" s="701">
        <f t="shared" si="35"/>
        <v>898.66241512266424</v>
      </c>
      <c r="X40" s="701">
        <f t="shared" si="35"/>
        <v>829.53453703630544</v>
      </c>
      <c r="Y40" s="701">
        <f t="shared" si="35"/>
        <v>760.40665894994686</v>
      </c>
      <c r="Z40" s="701">
        <f t="shared" si="35"/>
        <v>691.27878086358805</v>
      </c>
      <c r="AA40" s="701">
        <f t="shared" si="35"/>
        <v>622.15090277722925</v>
      </c>
      <c r="AB40" s="701">
        <f t="shared" si="35"/>
        <v>553.02302469087044</v>
      </c>
      <c r="AC40" s="701">
        <f t="shared" si="35"/>
        <v>483.89514660451164</v>
      </c>
      <c r="AD40" s="701">
        <f t="shared" si="35"/>
        <v>414.76726851815283</v>
      </c>
      <c r="AE40" s="701">
        <f t="shared" si="35"/>
        <v>345.63939043179403</v>
      </c>
      <c r="AF40" s="701">
        <f t="shared" si="35"/>
        <v>276.51151234543522</v>
      </c>
      <c r="AG40" s="701">
        <f t="shared" si="35"/>
        <v>207.38363425907664</v>
      </c>
      <c r="AH40" s="701">
        <f t="shared" si="35"/>
        <v>138.25575617271784</v>
      </c>
      <c r="AI40" s="701">
        <f t="shared" si="35"/>
        <v>69.127878086359033</v>
      </c>
      <c r="AJ40" s="701">
        <f t="shared" si="35"/>
        <v>4.5474735088646412E-13</v>
      </c>
      <c r="AK40" s="701" t="str">
        <f t="shared" si="35"/>
        <v/>
      </c>
      <c r="AL40" s="701" t="str">
        <f t="shared" si="35"/>
        <v/>
      </c>
      <c r="AM40" s="701" t="str">
        <f t="shared" si="35"/>
        <v/>
      </c>
      <c r="AN40" s="701" t="str">
        <f t="shared" si="35"/>
        <v/>
      </c>
      <c r="AO40" s="701" t="str">
        <f t="shared" si="35"/>
        <v/>
      </c>
      <c r="AP40" s="701" t="str">
        <f t="shared" si="35"/>
        <v/>
      </c>
      <c r="AQ40" s="701" t="str">
        <f t="shared" si="35"/>
        <v/>
      </c>
      <c r="AR40" s="701" t="str">
        <f t="shared" si="35"/>
        <v/>
      </c>
      <c r="AS40" s="701" t="str">
        <f t="shared" si="35"/>
        <v/>
      </c>
      <c r="AT40" s="701" t="str">
        <f t="shared" si="35"/>
        <v/>
      </c>
    </row>
    <row r="41" spans="1:46" s="130" customFormat="1">
      <c r="B41" s="670" t="s">
        <v>557</v>
      </c>
      <c r="D41" s="698">
        <f>-PMT(DiscountRate,BookLife,E41)</f>
        <v>757.56401400800542</v>
      </c>
      <c r="E41" s="699">
        <f>NPV(DiscountRate,F41:AS41)*(1)</f>
        <v>9751.6456616199412</v>
      </c>
      <c r="F41" s="702">
        <f>IF(F$1,$F$40*SUM($F$89:F89),"")</f>
        <v>69.127878086358791</v>
      </c>
      <c r="G41" s="703">
        <f>IF(G$1,$F$40*SUM($F$89:G89),"")</f>
        <v>138.25575617271758</v>
      </c>
      <c r="H41" s="703">
        <f>IF(H$1,$F$40*SUM($F$89:H89),"")</f>
        <v>207.38363425907639</v>
      </c>
      <c r="I41" s="703">
        <f>IF(I$1,$F$40*SUM($F$89:I89),"")</f>
        <v>276.51151234543516</v>
      </c>
      <c r="J41" s="703">
        <f>IF(J$1,$F$40*SUM($F$89:J89),"")</f>
        <v>345.63939043179391</v>
      </c>
      <c r="K41" s="703">
        <f>IF(K$1,$F$40*SUM($F$89:K89),"")</f>
        <v>414.76726851815272</v>
      </c>
      <c r="L41" s="703">
        <f>IF(L$1,$F$40*SUM($F$89:L89),"")</f>
        <v>483.89514660451147</v>
      </c>
      <c r="M41" s="703">
        <f>IF(M$1,$F$40*SUM($F$89:M89),"")</f>
        <v>553.02302469087033</v>
      </c>
      <c r="N41" s="703">
        <f>IF(N$1,$F$40*SUM($F$89:N89),"")</f>
        <v>622.15090277722913</v>
      </c>
      <c r="O41" s="703">
        <f>IF(O$1,$F$40*SUM($F$89:O89),"")</f>
        <v>691.27878086358783</v>
      </c>
      <c r="P41" s="703">
        <f>IF(P$1,$F$40*SUM($F$89:P89),"")</f>
        <v>760.40665894994663</v>
      </c>
      <c r="Q41" s="703">
        <f>IF(Q$1,$F$40*SUM($F$89:Q89),"")</f>
        <v>829.53453703630544</v>
      </c>
      <c r="R41" s="703">
        <f>IF(R$1,$F$40*SUM($F$89:R89),"")</f>
        <v>898.66241512266424</v>
      </c>
      <c r="S41" s="703">
        <f>IF(S$1,$F$40*SUM($F$89:S89),"")</f>
        <v>967.79029320902293</v>
      </c>
      <c r="T41" s="703">
        <f>IF(T$1,$F$40*SUM($F$89:T89),"")</f>
        <v>1036.9181712953816</v>
      </c>
      <c r="U41" s="703">
        <f>IF(U$1,$F$40*SUM($F$89:U89),"")</f>
        <v>1106.0460493817407</v>
      </c>
      <c r="V41" s="703">
        <f>IF(V$1,$F$40*SUM($F$89:V89),"")</f>
        <v>1175.1739274680995</v>
      </c>
      <c r="W41" s="703">
        <f>IF(W$1,$F$40*SUM($F$89:W89),"")</f>
        <v>1244.3018055544583</v>
      </c>
      <c r="X41" s="703">
        <f>IF(X$1,$F$40*SUM($F$89:X89),"")</f>
        <v>1313.4296836408168</v>
      </c>
      <c r="Y41" s="703">
        <f>IF(Y$1,$F$40*SUM($F$89:Y89),"")</f>
        <v>1382.5575617271757</v>
      </c>
      <c r="Z41" s="703">
        <f>IF(Z$1,$F$40*SUM($F$89:Z89),"")</f>
        <v>1451.6854398135345</v>
      </c>
      <c r="AA41" s="703">
        <f>IF(AA$1,$F$40*SUM($F$89:AA89),"")</f>
        <v>1520.8133178998933</v>
      </c>
      <c r="AB41" s="703">
        <f>IF(AB$1,$F$40*SUM($F$89:AB89),"")</f>
        <v>1589.9411959862521</v>
      </c>
      <c r="AC41" s="703">
        <f>IF(AC$1,$F$40*SUM($F$89:AC89),"")</f>
        <v>1659.0690740726109</v>
      </c>
      <c r="AD41" s="703">
        <f>IF(AD$1,$F$40*SUM($F$89:AD89),"")</f>
        <v>1728.1969521589697</v>
      </c>
      <c r="AE41" s="703">
        <f>IF(AE$1,$F$40*SUM($F$89:AE89),"")</f>
        <v>1797.3248302453285</v>
      </c>
      <c r="AF41" s="703">
        <f>IF(AF$1,$F$40*SUM($F$89:AF89),"")</f>
        <v>1866.4527083316871</v>
      </c>
      <c r="AG41" s="703">
        <f>IF(AG$1,$F$40*SUM($F$89:AG89),"")</f>
        <v>1935.5805864180459</v>
      </c>
      <c r="AH41" s="703">
        <f>IF(AH$1,$F$40*SUM($F$89:AH89),"")</f>
        <v>2004.7084645044047</v>
      </c>
      <c r="AI41" s="703">
        <f>IF(AI$1,$F$40*SUM($F$89:AI89),"")</f>
        <v>2073.8363425907633</v>
      </c>
      <c r="AJ41" s="703" t="str">
        <f>IF(AJ$1,$F$40*SUM($F$89:AJ89),"")</f>
        <v/>
      </c>
      <c r="AK41" s="703" t="str">
        <f>IF(AK$1,$F$40*SUM($F$89:AK89),"")</f>
        <v/>
      </c>
      <c r="AL41" s="703" t="str">
        <f>IF(AL$1,$F$40*SUM($F$89:AL89),"")</f>
        <v/>
      </c>
      <c r="AM41" s="703" t="str">
        <f>IF(AM$1,$F$40*SUM($F$89:AM89),"")</f>
        <v/>
      </c>
      <c r="AN41" s="703" t="str">
        <f>IF(AN$1,$F$40*SUM($F$89:AN89),"")</f>
        <v/>
      </c>
      <c r="AO41" s="703" t="str">
        <f>IF(AO$1,$F$40*SUM($F$89:AO89),"")</f>
        <v/>
      </c>
      <c r="AP41" s="703" t="str">
        <f>IF(AP$1,$F$40*SUM($F$89:AP89),"")</f>
        <v/>
      </c>
      <c r="AQ41" s="703" t="str">
        <f>IF(AQ$1,$F$40*SUM($F$89:AQ89),"")</f>
        <v/>
      </c>
      <c r="AR41" s="703" t="str">
        <f>IF(AR$1,$F$40*SUM($F$89:AR89),"")</f>
        <v/>
      </c>
      <c r="AS41" s="703" t="str">
        <f>IF(AS$1,$F$40*SUM($F$89:AS89),"")</f>
        <v/>
      </c>
    </row>
    <row r="42" spans="1:46" s="1258" customFormat="1" ht="13.5" thickBot="1">
      <c r="B42" s="1257"/>
      <c r="D42" s="1259"/>
      <c r="E42" s="1163"/>
      <c r="F42" s="1259"/>
      <c r="G42" s="1260"/>
      <c r="H42" s="1259"/>
      <c r="I42" s="1260"/>
      <c r="J42" s="1260"/>
      <c r="K42" s="1260"/>
      <c r="L42" s="1260"/>
      <c r="M42" s="1260"/>
      <c r="N42" s="1260"/>
      <c r="O42" s="1260"/>
      <c r="P42" s="1260"/>
      <c r="Q42" s="1260"/>
      <c r="R42" s="1260"/>
      <c r="S42" s="1260"/>
      <c r="T42" s="1260"/>
      <c r="U42" s="1260"/>
      <c r="V42" s="1260"/>
      <c r="W42" s="1260"/>
      <c r="X42" s="1260"/>
      <c r="Y42" s="1260"/>
      <c r="Z42" s="1260"/>
      <c r="AA42" s="1260"/>
      <c r="AB42" s="1260"/>
      <c r="AC42" s="1260"/>
      <c r="AD42" s="1260"/>
      <c r="AE42" s="1260"/>
      <c r="AF42" s="1260"/>
      <c r="AG42" s="1260"/>
      <c r="AH42" s="1260"/>
      <c r="AI42" s="1260"/>
      <c r="AJ42" s="1260"/>
      <c r="AK42" s="1260"/>
      <c r="AL42" s="1260"/>
      <c r="AM42" s="1260"/>
      <c r="AN42" s="1260"/>
      <c r="AO42" s="1260"/>
      <c r="AP42" s="1260"/>
      <c r="AQ42" s="1260"/>
      <c r="AR42" s="1260"/>
      <c r="AS42" s="1260"/>
    </row>
    <row r="43" spans="1:46" ht="13.5" thickTop="1">
      <c r="B43" s="994" t="s">
        <v>145</v>
      </c>
      <c r="C43" s="995"/>
      <c r="D43" s="995"/>
      <c r="E43" s="995"/>
      <c r="F43" s="996"/>
      <c r="G43" s="995"/>
      <c r="H43" s="995"/>
      <c r="I43" s="995"/>
      <c r="J43" s="995"/>
      <c r="K43" s="995"/>
      <c r="L43" s="995"/>
      <c r="M43" s="995"/>
      <c r="N43" s="995"/>
      <c r="O43" s="995"/>
      <c r="P43" s="995"/>
      <c r="Q43" s="995"/>
      <c r="R43" s="995"/>
      <c r="S43" s="996"/>
      <c r="T43" s="996"/>
      <c r="U43" s="995"/>
      <c r="V43" s="995"/>
      <c r="W43" s="995"/>
      <c r="X43" s="995"/>
      <c r="Y43" s="995"/>
      <c r="Z43" s="995"/>
      <c r="AA43" s="995"/>
      <c r="AB43" s="995"/>
      <c r="AC43" s="995"/>
      <c r="AD43" s="995"/>
      <c r="AE43" s="995"/>
      <c r="AF43" s="995"/>
      <c r="AG43" s="995"/>
      <c r="AH43" s="995"/>
      <c r="AI43" s="995"/>
      <c r="AJ43" s="995"/>
      <c r="AK43" s="995"/>
      <c r="AL43" s="995"/>
      <c r="AM43" s="995"/>
      <c r="AN43" s="995"/>
      <c r="AO43" s="995"/>
      <c r="AP43" s="995"/>
      <c r="AQ43" s="995"/>
      <c r="AR43" s="995"/>
      <c r="AS43" s="995"/>
    </row>
    <row r="44" spans="1:46" s="1180" customFormat="1">
      <c r="B44" s="1178" t="s">
        <v>584</v>
      </c>
      <c r="C44" s="1178" t="s">
        <v>980</v>
      </c>
      <c r="D44" s="1001">
        <f>-PMT(DiscountRate,BookLife,E44)</f>
        <v>119.66405666634699</v>
      </c>
      <c r="E44" s="1028">
        <f>NPV(DiscountRate,F44:AS44)*(1)</f>
        <v>1540.3602302443767</v>
      </c>
      <c r="F44" s="1179">
        <f t="shared" ref="F44:AS44" si="36">F31</f>
        <v>100.65166600228375</v>
      </c>
      <c r="G44" s="1179">
        <f t="shared" si="36"/>
        <v>103.08667630366372</v>
      </c>
      <c r="H44" s="1179">
        <f t="shared" si="36"/>
        <v>104.95402873876822</v>
      </c>
      <c r="I44" s="1179">
        <f t="shared" si="36"/>
        <v>107.0255732112558</v>
      </c>
      <c r="J44" s="1179">
        <f t="shared" si="36"/>
        <v>108.84489876803713</v>
      </c>
      <c r="K44" s="1179">
        <f t="shared" si="36"/>
        <v>110.21154025574839</v>
      </c>
      <c r="L44" s="1179">
        <f t="shared" si="36"/>
        <v>111.76487692422188</v>
      </c>
      <c r="M44" s="1179">
        <f t="shared" si="36"/>
        <v>113.30099063411305</v>
      </c>
      <c r="N44" s="1179">
        <f t="shared" si="36"/>
        <v>114.8857344498314</v>
      </c>
      <c r="O44" s="1179">
        <f t="shared" si="36"/>
        <v>116.51899316764859</v>
      </c>
      <c r="P44" s="1179">
        <f t="shared" si="36"/>
        <v>118.24804406838778</v>
      </c>
      <c r="Q44" s="1179">
        <f t="shared" si="36"/>
        <v>120.00906157201604</v>
      </c>
      <c r="R44" s="1179">
        <f t="shared" si="36"/>
        <v>122.09153303378663</v>
      </c>
      <c r="S44" s="1179">
        <f t="shared" si="36"/>
        <v>123.92437462109008</v>
      </c>
      <c r="T44" s="1179">
        <f t="shared" si="36"/>
        <v>125.79144691574314</v>
      </c>
      <c r="U44" s="1179">
        <f t="shared" si="36"/>
        <v>127.99996651628972</v>
      </c>
      <c r="V44" s="1179">
        <f t="shared" si="36"/>
        <v>129.94390524747209</v>
      </c>
      <c r="W44" s="1179">
        <f t="shared" si="36"/>
        <v>132.24335414267227</v>
      </c>
      <c r="X44" s="1179">
        <f t="shared" si="36"/>
        <v>134.26780971198286</v>
      </c>
      <c r="Y44" s="1179">
        <f t="shared" si="36"/>
        <v>136.66242308854822</v>
      </c>
      <c r="Z44" s="1179">
        <f t="shared" si="36"/>
        <v>138.77122706623359</v>
      </c>
      <c r="AA44" s="1179">
        <f t="shared" si="36"/>
        <v>141.26544571593865</v>
      </c>
      <c r="AB44" s="1179">
        <f t="shared" si="36"/>
        <v>143.81465054925593</v>
      </c>
      <c r="AC44" s="1179">
        <f t="shared" si="36"/>
        <v>146.42017146646489</v>
      </c>
      <c r="AD44" s="1179">
        <f t="shared" si="36"/>
        <v>148.71711830460274</v>
      </c>
      <c r="AE44" s="1179">
        <f t="shared" si="36"/>
        <v>151.43206774242765</v>
      </c>
      <c r="AF44" s="1179">
        <f t="shared" si="36"/>
        <v>154.20737603274438</v>
      </c>
      <c r="AG44" s="1179">
        <f t="shared" si="36"/>
        <v>156.65583551400269</v>
      </c>
      <c r="AH44" s="1179">
        <f t="shared" si="36"/>
        <v>159.5485122595565</v>
      </c>
      <c r="AI44" s="1179">
        <f t="shared" si="36"/>
        <v>162.10151667611723</v>
      </c>
      <c r="AJ44" s="1179">
        <f t="shared" si="36"/>
        <v>0</v>
      </c>
      <c r="AK44" s="1179">
        <f t="shared" si="36"/>
        <v>0</v>
      </c>
      <c r="AL44" s="1179">
        <f t="shared" si="36"/>
        <v>0</v>
      </c>
      <c r="AM44" s="1179">
        <f t="shared" si="36"/>
        <v>0</v>
      </c>
      <c r="AN44" s="1179">
        <f t="shared" si="36"/>
        <v>0</v>
      </c>
      <c r="AO44" s="1179">
        <f t="shared" si="36"/>
        <v>0</v>
      </c>
      <c r="AP44" s="1179">
        <f t="shared" si="36"/>
        <v>0</v>
      </c>
      <c r="AQ44" s="1179">
        <f t="shared" si="36"/>
        <v>0</v>
      </c>
      <c r="AR44" s="1179">
        <f t="shared" si="36"/>
        <v>0</v>
      </c>
      <c r="AS44" s="1179">
        <f t="shared" si="36"/>
        <v>0</v>
      </c>
    </row>
    <row r="45" spans="1:46">
      <c r="B45" s="1374"/>
      <c r="D45" s="1148"/>
    </row>
    <row r="46" spans="1:46" s="1176" customFormat="1">
      <c r="B46" s="1261"/>
      <c r="C46" s="1171"/>
      <c r="D46" s="1172"/>
      <c r="E46" s="1173"/>
      <c r="F46" s="1175"/>
      <c r="G46" s="1175"/>
      <c r="H46" s="1175"/>
      <c r="I46" s="1175"/>
      <c r="J46" s="1175"/>
      <c r="K46" s="1175"/>
      <c r="L46" s="1175"/>
      <c r="M46" s="1175"/>
      <c r="N46" s="1175"/>
      <c r="O46" s="1175"/>
      <c r="P46" s="1175"/>
      <c r="Q46" s="1175"/>
      <c r="R46" s="1175"/>
      <c r="S46" s="1175"/>
      <c r="T46" s="1175"/>
      <c r="U46" s="1175"/>
      <c r="V46" s="1175"/>
      <c r="W46" s="1175"/>
      <c r="X46" s="1175"/>
      <c r="Y46" s="1175"/>
      <c r="Z46" s="1175"/>
      <c r="AA46" s="1175"/>
      <c r="AB46" s="1175"/>
      <c r="AC46" s="1175"/>
      <c r="AD46" s="1175"/>
      <c r="AE46" s="1175"/>
      <c r="AF46" s="1175"/>
      <c r="AG46" s="1175"/>
      <c r="AH46" s="1175"/>
      <c r="AI46" s="1175"/>
      <c r="AJ46" s="1175"/>
      <c r="AK46" s="1175"/>
      <c r="AL46" s="1175"/>
      <c r="AM46" s="1175"/>
      <c r="AN46" s="1175"/>
      <c r="AO46" s="1175"/>
      <c r="AP46" s="1175"/>
      <c r="AQ46" s="1175"/>
      <c r="AR46" s="1175"/>
      <c r="AS46" s="1175"/>
    </row>
    <row r="47" spans="1:46" s="651" customFormat="1">
      <c r="B47" s="1013" t="s">
        <v>10</v>
      </c>
      <c r="C47" s="647" t="s">
        <v>980</v>
      </c>
      <c r="D47" s="648">
        <f>-PMT(DiscountRate,BookLife,E47)</f>
        <v>6.0327549527214325E-3</v>
      </c>
      <c r="E47" s="649">
        <f>NPV(DiscountRate,F47:AS47)*(1)</f>
        <v>7.7655864817386247E-2</v>
      </c>
      <c r="F47" s="3235">
        <f t="shared" ref="F47:AS47" si="37">IF(OwnerType="POU",-F$51-F$52,(StateTaxRate*(F$44-(F$35+F$94))-MAX(F$51,F$52)))</f>
        <v>-6.772829373048558</v>
      </c>
      <c r="G47" s="3235">
        <f t="shared" si="37"/>
        <v>-5.9207859282080575</v>
      </c>
      <c r="H47" s="3235">
        <f t="shared" si="37"/>
        <v>-5.1312863576939431</v>
      </c>
      <c r="I47" s="3235">
        <f t="shared" si="37"/>
        <v>-4.3343293381714316</v>
      </c>
      <c r="J47" s="3235">
        <f t="shared" si="37"/>
        <v>-3.5685121988125208</v>
      </c>
      <c r="K47" s="3235">
        <f t="shared" si="37"/>
        <v>-2.8498220066601188</v>
      </c>
      <c r="L47" s="3235">
        <f t="shared" si="37"/>
        <v>-2.1200138980970245</v>
      </c>
      <c r="M47" s="3235">
        <f t="shared" si="37"/>
        <v>-1.3953957807375585</v>
      </c>
      <c r="N47" s="3235">
        <f t="shared" si="37"/>
        <v>-0.66842802180621352</v>
      </c>
      <c r="O47" s="3235">
        <f t="shared" si="37"/>
        <v>6.260226102537679E-2</v>
      </c>
      <c r="P47" s="3235">
        <f t="shared" si="37"/>
        <v>0.80360741432904526</v>
      </c>
      <c r="Q47" s="3235">
        <f t="shared" si="37"/>
        <v>1.2762816298871404</v>
      </c>
      <c r="R47" s="3235">
        <f t="shared" si="37"/>
        <v>1.7961166012058953</v>
      </c>
      <c r="S47" s="3235">
        <f t="shared" si="37"/>
        <v>2.3137368635577822</v>
      </c>
      <c r="T47" s="3235">
        <f t="shared" si="37"/>
        <v>2.8554095749539798</v>
      </c>
      <c r="U47" s="3235">
        <f t="shared" si="37"/>
        <v>3.4495359769612204</v>
      </c>
      <c r="V47" s="3235">
        <f t="shared" si="37"/>
        <v>4.0438599891314926</v>
      </c>
      <c r="W47" s="3235">
        <f t="shared" si="37"/>
        <v>4.6945923320503145</v>
      </c>
      <c r="X47" s="3235">
        <f t="shared" si="37"/>
        <v>5.3474736374727758</v>
      </c>
      <c r="Y47" s="3235">
        <f t="shared" si="37"/>
        <v>6.061099749135491</v>
      </c>
      <c r="Z47" s="3235">
        <f t="shared" si="37"/>
        <v>6.7791401574960926</v>
      </c>
      <c r="AA47" s="3235">
        <f t="shared" si="37"/>
        <v>6.9996290861300201</v>
      </c>
      <c r="AB47" s="3235">
        <f t="shared" si="37"/>
        <v>7.2249787933952669</v>
      </c>
      <c r="AC47" s="3235">
        <f t="shared" si="37"/>
        <v>7.4553068424765394</v>
      </c>
      <c r="AD47" s="3235">
        <f t="shared" si="37"/>
        <v>7.6583569429679246</v>
      </c>
      <c r="AE47" s="3235">
        <f t="shared" si="37"/>
        <v>7.8983584732716468</v>
      </c>
      <c r="AF47" s="3235">
        <f t="shared" si="37"/>
        <v>8.1436957261356451</v>
      </c>
      <c r="AG47" s="3235">
        <f t="shared" si="37"/>
        <v>8.36013954427888</v>
      </c>
      <c r="AH47" s="3235">
        <f t="shared" si="37"/>
        <v>8.6158521685858371</v>
      </c>
      <c r="AI47" s="3235">
        <f t="shared" si="37"/>
        <v>8.8415377590098068</v>
      </c>
      <c r="AJ47" s="1181">
        <f t="shared" si="37"/>
        <v>0</v>
      </c>
      <c r="AK47" s="1181">
        <f t="shared" si="37"/>
        <v>0</v>
      </c>
      <c r="AL47" s="1181">
        <f t="shared" si="37"/>
        <v>0</v>
      </c>
      <c r="AM47" s="1181">
        <f t="shared" si="37"/>
        <v>0</v>
      </c>
      <c r="AN47" s="1181">
        <f t="shared" si="37"/>
        <v>0</v>
      </c>
      <c r="AO47" s="1181">
        <f t="shared" si="37"/>
        <v>0</v>
      </c>
      <c r="AP47" s="1181">
        <f t="shared" si="37"/>
        <v>0</v>
      </c>
      <c r="AQ47" s="1181">
        <f t="shared" si="37"/>
        <v>0</v>
      </c>
      <c r="AR47" s="1181">
        <f t="shared" si="37"/>
        <v>0</v>
      </c>
      <c r="AS47" s="1181">
        <f t="shared" si="37"/>
        <v>0</v>
      </c>
    </row>
    <row r="48" spans="1:46" s="651" customFormat="1">
      <c r="B48" s="1013" t="s">
        <v>11</v>
      </c>
      <c r="C48" s="647"/>
      <c r="D48" s="648"/>
      <c r="E48" s="649"/>
      <c r="F48" s="3235">
        <f>IF(F$1,MIN(0,SUM($F47:F47)),0)</f>
        <v>-6.772829373048558</v>
      </c>
      <c r="G48" s="3235">
        <f>IF(G$1,MIN(0,SUM($F47:G47)),0)</f>
        <v>-12.693615301256616</v>
      </c>
      <c r="H48" s="3235">
        <f>IF(H$1,MIN(0,SUM($F47:H47)),0)</f>
        <v>-17.824901658950559</v>
      </c>
      <c r="I48" s="3235">
        <f>IF(I$1,MIN(0,SUM($F47:I47)),0)</f>
        <v>-22.159230997121991</v>
      </c>
      <c r="J48" s="3235">
        <f>IF(J$1,MIN(0,SUM($F47:J47)),0)</f>
        <v>-25.727743195934512</v>
      </c>
      <c r="K48" s="3235">
        <f>IF(K$1,MIN(0,SUM($F47:K47)),0)</f>
        <v>-28.577565202594631</v>
      </c>
      <c r="L48" s="3235">
        <f>IF(L$1,MIN(0,SUM($F47:L47)),0)</f>
        <v>-30.697579100691655</v>
      </c>
      <c r="M48" s="3235">
        <f>IF(M$1,MIN(0,SUM($F47:M47)),0)</f>
        <v>-32.092974881429214</v>
      </c>
      <c r="N48" s="3235">
        <f>IF(N$1,MIN(0,SUM($F47:N47)),0)</f>
        <v>-32.761402903235428</v>
      </c>
      <c r="O48" s="3235">
        <f>IF(O$1,MIN(0,SUM($F47:O47)),0)</f>
        <v>-32.698800642210053</v>
      </c>
      <c r="P48" s="3235">
        <f>IF(P$1,MIN(0,SUM($F47:P47)),0)</f>
        <v>-31.895193227881009</v>
      </c>
      <c r="Q48" s="3235">
        <f>IF(Q$1,MIN(0,SUM($F47:Q47)),0)</f>
        <v>-30.618911597993868</v>
      </c>
      <c r="R48" s="3235">
        <f>IF(R$1,MIN(0,SUM($F47:R47)),0)</f>
        <v>-28.822794996787973</v>
      </c>
      <c r="S48" s="3235">
        <f>IF(S$1,MIN(0,SUM($F47:S47)),0)</f>
        <v>-26.509058133230191</v>
      </c>
      <c r="T48" s="3235">
        <f>IF(T$1,MIN(0,SUM($F47:T47)),0)</f>
        <v>-23.65364855827621</v>
      </c>
      <c r="U48" s="3235">
        <f>IF(U$1,MIN(0,SUM($F47:U47)),0)</f>
        <v>-20.204112581314988</v>
      </c>
      <c r="V48" s="3235">
        <f>IF(V$1,MIN(0,SUM($F47:V47)),0)</f>
        <v>-16.160252592183497</v>
      </c>
      <c r="W48" s="3235">
        <f>IF(W$1,MIN(0,SUM($F47:W47)),0)</f>
        <v>-11.465660260133182</v>
      </c>
      <c r="X48" s="3235">
        <f>IF(X$1,MIN(0,SUM($F47:X47)),0)</f>
        <v>-6.1181866226604065</v>
      </c>
      <c r="Y48" s="3235">
        <f t="shared" ref="Y48:AS48" si="38">IF(Y$1,MIN(0,SUM(F47:Y47)),0)</f>
        <v>-5.7086873524915482E-2</v>
      </c>
      <c r="Z48" s="3235">
        <f t="shared" si="38"/>
        <v>0</v>
      </c>
      <c r="AA48" s="3235">
        <f t="shared" si="38"/>
        <v>0</v>
      </c>
      <c r="AB48" s="3235">
        <f t="shared" si="38"/>
        <v>0</v>
      </c>
      <c r="AC48" s="3235">
        <f t="shared" si="38"/>
        <v>0</v>
      </c>
      <c r="AD48" s="3235">
        <f t="shared" si="38"/>
        <v>0</v>
      </c>
      <c r="AE48" s="3235">
        <f t="shared" si="38"/>
        <v>0</v>
      </c>
      <c r="AF48" s="3235">
        <f t="shared" si="38"/>
        <v>0</v>
      </c>
      <c r="AG48" s="3235">
        <f t="shared" si="38"/>
        <v>0</v>
      </c>
      <c r="AH48" s="3235">
        <f t="shared" si="38"/>
        <v>0</v>
      </c>
      <c r="AI48" s="3235">
        <f t="shared" si="38"/>
        <v>0</v>
      </c>
      <c r="AJ48" s="1181">
        <f t="shared" si="38"/>
        <v>0</v>
      </c>
      <c r="AK48" s="1181">
        <f t="shared" si="38"/>
        <v>0</v>
      </c>
      <c r="AL48" s="1181">
        <f t="shared" si="38"/>
        <v>0</v>
      </c>
      <c r="AM48" s="1181">
        <f t="shared" si="38"/>
        <v>0</v>
      </c>
      <c r="AN48" s="1181">
        <f t="shared" si="38"/>
        <v>0</v>
      </c>
      <c r="AO48" s="1181">
        <f t="shared" si="38"/>
        <v>0</v>
      </c>
      <c r="AP48" s="1181">
        <f t="shared" si="38"/>
        <v>0</v>
      </c>
      <c r="AQ48" s="1181">
        <f t="shared" si="38"/>
        <v>0</v>
      </c>
      <c r="AR48" s="1181">
        <f t="shared" si="38"/>
        <v>0</v>
      </c>
      <c r="AS48" s="1181">
        <f t="shared" si="38"/>
        <v>0</v>
      </c>
    </row>
    <row r="49" spans="2:86" s="165" customFormat="1">
      <c r="B49" s="533" t="s">
        <v>976</v>
      </c>
      <c r="C49" s="533" t="s">
        <v>980</v>
      </c>
      <c r="D49" s="294">
        <f>-PMT(DiscountRate,BookLife,E49)</f>
        <v>1.1765333321447686</v>
      </c>
      <c r="E49" s="145">
        <f>NPV(DiscountRate,F49:AS49)*(1)</f>
        <v>15.144774503557063</v>
      </c>
      <c r="F49" s="3236">
        <f>IF(F$1,IF(F48&gt;0,F47,IF(F47+E48&gt;0,F47+E48,0)))</f>
        <v>0</v>
      </c>
      <c r="G49" s="3236">
        <f t="shared" ref="G49:AI49" si="39">IF(G$1,IF(G48&gt;0,G47,IF(G47+F48&gt;0,G47+F48,0)))</f>
        <v>0</v>
      </c>
      <c r="H49" s="3236">
        <f t="shared" si="39"/>
        <v>0</v>
      </c>
      <c r="I49" s="3236">
        <f t="shared" si="39"/>
        <v>0</v>
      </c>
      <c r="J49" s="3236">
        <f t="shared" si="39"/>
        <v>0</v>
      </c>
      <c r="K49" s="3236">
        <f t="shared" si="39"/>
        <v>0</v>
      </c>
      <c r="L49" s="3236">
        <f t="shared" si="39"/>
        <v>0</v>
      </c>
      <c r="M49" s="3236">
        <f t="shared" si="39"/>
        <v>0</v>
      </c>
      <c r="N49" s="3236">
        <f t="shared" si="39"/>
        <v>0</v>
      </c>
      <c r="O49" s="3236">
        <f t="shared" si="39"/>
        <v>0</v>
      </c>
      <c r="P49" s="3236">
        <f t="shared" si="39"/>
        <v>0</v>
      </c>
      <c r="Q49" s="3236">
        <f t="shared" si="39"/>
        <v>0</v>
      </c>
      <c r="R49" s="3236">
        <f t="shared" si="39"/>
        <v>0</v>
      </c>
      <c r="S49" s="3236">
        <f t="shared" si="39"/>
        <v>0</v>
      </c>
      <c r="T49" s="3236">
        <f t="shared" si="39"/>
        <v>0</v>
      </c>
      <c r="U49" s="3236">
        <f t="shared" si="39"/>
        <v>0</v>
      </c>
      <c r="V49" s="3236">
        <f t="shared" si="39"/>
        <v>0</v>
      </c>
      <c r="W49" s="3236">
        <f t="shared" si="39"/>
        <v>0</v>
      </c>
      <c r="X49" s="3236">
        <f t="shared" si="39"/>
        <v>0</v>
      </c>
      <c r="Y49" s="3236">
        <f t="shared" si="39"/>
        <v>0</v>
      </c>
      <c r="Z49" s="3236">
        <f t="shared" si="39"/>
        <v>6.7220532839711771</v>
      </c>
      <c r="AA49" s="3236">
        <f t="shared" si="39"/>
        <v>6.9996290861300201</v>
      </c>
      <c r="AB49" s="3236">
        <f t="shared" si="39"/>
        <v>7.2249787933952669</v>
      </c>
      <c r="AC49" s="3236">
        <f t="shared" si="39"/>
        <v>7.4553068424765394</v>
      </c>
      <c r="AD49" s="3236">
        <f t="shared" si="39"/>
        <v>7.6583569429679246</v>
      </c>
      <c r="AE49" s="3236">
        <f t="shared" si="39"/>
        <v>7.8983584732716468</v>
      </c>
      <c r="AF49" s="3236">
        <f t="shared" si="39"/>
        <v>8.1436957261356451</v>
      </c>
      <c r="AG49" s="3236">
        <f t="shared" si="39"/>
        <v>8.36013954427888</v>
      </c>
      <c r="AH49" s="3236">
        <f t="shared" si="39"/>
        <v>8.6158521685858371</v>
      </c>
      <c r="AI49" s="3236">
        <f t="shared" si="39"/>
        <v>8.8415377590098068</v>
      </c>
      <c r="AJ49" s="1792">
        <f t="shared" ref="AJ49:AS49" si="40">IF(AND(AJ$1,TaxLossTreatment=TaxMinZero),IF(AJ48&gt;0,AJ47,IF(AJ47+AI48&gt;0,AJ47+AI48,0)),AJ47)</f>
        <v>0</v>
      </c>
      <c r="AK49" s="1792">
        <f t="shared" si="40"/>
        <v>0</v>
      </c>
      <c r="AL49" s="1792">
        <f t="shared" si="40"/>
        <v>0</v>
      </c>
      <c r="AM49" s="1792">
        <f t="shared" si="40"/>
        <v>0</v>
      </c>
      <c r="AN49" s="1792">
        <f t="shared" si="40"/>
        <v>0</v>
      </c>
      <c r="AO49" s="1792">
        <f t="shared" si="40"/>
        <v>0</v>
      </c>
      <c r="AP49" s="1792">
        <f t="shared" si="40"/>
        <v>0</v>
      </c>
      <c r="AQ49" s="1792">
        <f t="shared" si="40"/>
        <v>0</v>
      </c>
      <c r="AR49" s="1792">
        <f t="shared" si="40"/>
        <v>0</v>
      </c>
      <c r="AS49" s="1792">
        <f t="shared" si="40"/>
        <v>0</v>
      </c>
    </row>
    <row r="50" spans="2:86" s="651" customFormat="1">
      <c r="B50" s="1414" t="s">
        <v>1393</v>
      </c>
      <c r="C50" s="1414" t="s">
        <v>143</v>
      </c>
      <c r="D50" s="1428">
        <f>-PMT(DiscountRate,BookLife,E50)</f>
        <v>9.501373155037351</v>
      </c>
      <c r="E50" s="1429">
        <f>NPV(DiscountRate,F50:AS50)*(1)</f>
        <v>122.30520800024836</v>
      </c>
      <c r="F50" s="3237">
        <f>SalesTaxRate*InstantCost*SalesTaxProportion</f>
        <v>130.42531177337534</v>
      </c>
      <c r="G50" s="3235">
        <v>0</v>
      </c>
      <c r="H50" s="3235">
        <v>0</v>
      </c>
      <c r="I50" s="3235">
        <v>0</v>
      </c>
      <c r="J50" s="3235">
        <v>0</v>
      </c>
      <c r="K50" s="3235">
        <v>0</v>
      </c>
      <c r="L50" s="3235">
        <v>0</v>
      </c>
      <c r="M50" s="3235">
        <v>0</v>
      </c>
      <c r="N50" s="3235">
        <v>0</v>
      </c>
      <c r="O50" s="3235">
        <v>0</v>
      </c>
      <c r="P50" s="3235">
        <v>0</v>
      </c>
      <c r="Q50" s="3235">
        <v>0</v>
      </c>
      <c r="R50" s="3235">
        <v>0</v>
      </c>
      <c r="S50" s="3235">
        <v>0</v>
      </c>
      <c r="T50" s="3235">
        <v>0</v>
      </c>
      <c r="U50" s="3235">
        <v>0</v>
      </c>
      <c r="V50" s="3235">
        <v>0</v>
      </c>
      <c r="W50" s="3235">
        <v>0</v>
      </c>
      <c r="X50" s="3235">
        <v>0</v>
      </c>
      <c r="Y50" s="3235">
        <v>0</v>
      </c>
      <c r="Z50" s="3235">
        <v>0</v>
      </c>
      <c r="AA50" s="3235">
        <v>0</v>
      </c>
      <c r="AB50" s="3235">
        <v>0</v>
      </c>
      <c r="AC50" s="3235">
        <v>0</v>
      </c>
      <c r="AD50" s="3235">
        <v>0</v>
      </c>
      <c r="AE50" s="3235">
        <v>0</v>
      </c>
      <c r="AF50" s="3235">
        <v>0</v>
      </c>
      <c r="AG50" s="3235">
        <v>0</v>
      </c>
      <c r="AH50" s="3235">
        <v>0</v>
      </c>
      <c r="AI50" s="3235">
        <v>0</v>
      </c>
      <c r="AJ50" s="1181">
        <v>0</v>
      </c>
      <c r="AK50" s="1181">
        <v>0</v>
      </c>
      <c r="AL50" s="1181">
        <v>0</v>
      </c>
      <c r="AM50" s="1181">
        <v>0</v>
      </c>
      <c r="AN50" s="1181">
        <v>0</v>
      </c>
      <c r="AO50" s="1181">
        <v>0</v>
      </c>
      <c r="AP50" s="1181">
        <v>0</v>
      </c>
      <c r="AQ50" s="1181">
        <v>0</v>
      </c>
      <c r="AR50" s="1181">
        <v>0</v>
      </c>
      <c r="AS50" s="1181">
        <v>0</v>
      </c>
    </row>
    <row r="51" spans="2:86" s="997" customFormat="1">
      <c r="B51" s="1090" t="s">
        <v>544</v>
      </c>
      <c r="C51" s="1090" t="s">
        <v>980</v>
      </c>
      <c r="D51" s="1001">
        <f>-PMT(DiscountRate,BookLife,E51)</f>
        <v>0</v>
      </c>
      <c r="E51" s="1028">
        <f>NPV(DiscountRate,F51:AS51)*(1)</f>
        <v>0</v>
      </c>
      <c r="F51" s="3238">
        <f t="shared" ref="F51:AS51" si="41">IF(F$1,IF(F$2&lt;=CSIDuration,CSI_PBI*AnnualNetGWh*10^6/(GrossMW*1000),0),0)</f>
        <v>0</v>
      </c>
      <c r="G51" s="3238">
        <f t="shared" si="41"/>
        <v>0</v>
      </c>
      <c r="H51" s="3238">
        <f t="shared" si="41"/>
        <v>0</v>
      </c>
      <c r="I51" s="3238">
        <f t="shared" si="41"/>
        <v>0</v>
      </c>
      <c r="J51" s="3238">
        <f t="shared" si="41"/>
        <v>0</v>
      </c>
      <c r="K51" s="3238">
        <f t="shared" si="41"/>
        <v>0</v>
      </c>
      <c r="L51" s="3238">
        <f t="shared" si="41"/>
        <v>0</v>
      </c>
      <c r="M51" s="3238">
        <f t="shared" si="41"/>
        <v>0</v>
      </c>
      <c r="N51" s="3238">
        <f t="shared" si="41"/>
        <v>0</v>
      </c>
      <c r="O51" s="3238">
        <f t="shared" si="41"/>
        <v>0</v>
      </c>
      <c r="P51" s="3238">
        <f t="shared" si="41"/>
        <v>0</v>
      </c>
      <c r="Q51" s="3238">
        <f t="shared" si="41"/>
        <v>0</v>
      </c>
      <c r="R51" s="3238">
        <f t="shared" si="41"/>
        <v>0</v>
      </c>
      <c r="S51" s="3238">
        <f t="shared" si="41"/>
        <v>0</v>
      </c>
      <c r="T51" s="3238">
        <f t="shared" si="41"/>
        <v>0</v>
      </c>
      <c r="U51" s="3238">
        <f t="shared" si="41"/>
        <v>0</v>
      </c>
      <c r="V51" s="3238">
        <f t="shared" si="41"/>
        <v>0</v>
      </c>
      <c r="W51" s="3238">
        <f t="shared" si="41"/>
        <v>0</v>
      </c>
      <c r="X51" s="3238">
        <f t="shared" si="41"/>
        <v>0</v>
      </c>
      <c r="Y51" s="3238">
        <f t="shared" si="41"/>
        <v>0</v>
      </c>
      <c r="Z51" s="3238">
        <f t="shared" si="41"/>
        <v>0</v>
      </c>
      <c r="AA51" s="3238">
        <f t="shared" si="41"/>
        <v>0</v>
      </c>
      <c r="AB51" s="3238">
        <f t="shared" si="41"/>
        <v>0</v>
      </c>
      <c r="AC51" s="3238">
        <f t="shared" si="41"/>
        <v>0</v>
      </c>
      <c r="AD51" s="3238">
        <f t="shared" si="41"/>
        <v>0</v>
      </c>
      <c r="AE51" s="3238">
        <f t="shared" si="41"/>
        <v>0</v>
      </c>
      <c r="AF51" s="3238">
        <f t="shared" si="41"/>
        <v>0</v>
      </c>
      <c r="AG51" s="3238">
        <f t="shared" si="41"/>
        <v>0</v>
      </c>
      <c r="AH51" s="3238">
        <f t="shared" si="41"/>
        <v>0</v>
      </c>
      <c r="AI51" s="3238">
        <f t="shared" si="41"/>
        <v>0</v>
      </c>
      <c r="AJ51" s="1170">
        <f t="shared" si="41"/>
        <v>0</v>
      </c>
      <c r="AK51" s="1170">
        <f t="shared" si="41"/>
        <v>0</v>
      </c>
      <c r="AL51" s="1170">
        <f t="shared" si="41"/>
        <v>0</v>
      </c>
      <c r="AM51" s="1170">
        <f t="shared" si="41"/>
        <v>0</v>
      </c>
      <c r="AN51" s="1170">
        <f t="shared" si="41"/>
        <v>0</v>
      </c>
      <c r="AO51" s="1170">
        <f t="shared" si="41"/>
        <v>0</v>
      </c>
      <c r="AP51" s="1170">
        <f t="shared" si="41"/>
        <v>0</v>
      </c>
      <c r="AQ51" s="1170">
        <f t="shared" si="41"/>
        <v>0</v>
      </c>
      <c r="AR51" s="1170">
        <f t="shared" si="41"/>
        <v>0</v>
      </c>
      <c r="AS51" s="1170">
        <f t="shared" si="41"/>
        <v>0</v>
      </c>
    </row>
    <row r="52" spans="2:86" s="1029" customFormat="1">
      <c r="B52" s="1091" t="s">
        <v>110</v>
      </c>
      <c r="C52" s="1091" t="s">
        <v>143</v>
      </c>
      <c r="D52" s="1001">
        <f>-PMT(DiscountRate,BookLife,E52)</f>
        <v>0</v>
      </c>
      <c r="E52" s="1028">
        <f>NPV(DiscountRate,F52:AS52)*(1)</f>
        <v>0</v>
      </c>
      <c r="F52" s="3238">
        <f t="shared" ref="F52:AS52" si="42">IF(F$1,MIN(SGIPRebate),0)</f>
        <v>0</v>
      </c>
      <c r="G52" s="3238">
        <f t="shared" si="42"/>
        <v>0</v>
      </c>
      <c r="H52" s="3238">
        <f t="shared" si="42"/>
        <v>0</v>
      </c>
      <c r="I52" s="3238">
        <f t="shared" si="42"/>
        <v>0</v>
      </c>
      <c r="J52" s="3238">
        <f t="shared" si="42"/>
        <v>0</v>
      </c>
      <c r="K52" s="3238">
        <f t="shared" si="42"/>
        <v>0</v>
      </c>
      <c r="L52" s="3238">
        <f t="shared" si="42"/>
        <v>0</v>
      </c>
      <c r="M52" s="3238">
        <f t="shared" si="42"/>
        <v>0</v>
      </c>
      <c r="N52" s="3238">
        <f t="shared" si="42"/>
        <v>0</v>
      </c>
      <c r="O52" s="3238">
        <f t="shared" si="42"/>
        <v>0</v>
      </c>
      <c r="P52" s="3238">
        <f t="shared" si="42"/>
        <v>0</v>
      </c>
      <c r="Q52" s="3238">
        <f t="shared" si="42"/>
        <v>0</v>
      </c>
      <c r="R52" s="3238">
        <f t="shared" si="42"/>
        <v>0</v>
      </c>
      <c r="S52" s="3238">
        <f t="shared" si="42"/>
        <v>0</v>
      </c>
      <c r="T52" s="3238">
        <f t="shared" si="42"/>
        <v>0</v>
      </c>
      <c r="U52" s="3238">
        <f t="shared" si="42"/>
        <v>0</v>
      </c>
      <c r="V52" s="3238">
        <f t="shared" si="42"/>
        <v>0</v>
      </c>
      <c r="W52" s="3238">
        <f t="shared" si="42"/>
        <v>0</v>
      </c>
      <c r="X52" s="3238">
        <f t="shared" si="42"/>
        <v>0</v>
      </c>
      <c r="Y52" s="3238">
        <f t="shared" si="42"/>
        <v>0</v>
      </c>
      <c r="Z52" s="3238">
        <f t="shared" si="42"/>
        <v>0</v>
      </c>
      <c r="AA52" s="3238">
        <f t="shared" si="42"/>
        <v>0</v>
      </c>
      <c r="AB52" s="3238">
        <f t="shared" si="42"/>
        <v>0</v>
      </c>
      <c r="AC52" s="3238">
        <f t="shared" si="42"/>
        <v>0</v>
      </c>
      <c r="AD52" s="3238">
        <f t="shared" si="42"/>
        <v>0</v>
      </c>
      <c r="AE52" s="3238">
        <f t="shared" si="42"/>
        <v>0</v>
      </c>
      <c r="AF52" s="3238">
        <f t="shared" si="42"/>
        <v>0</v>
      </c>
      <c r="AG52" s="3238">
        <f t="shared" si="42"/>
        <v>0</v>
      </c>
      <c r="AH52" s="3238">
        <f t="shared" si="42"/>
        <v>0</v>
      </c>
      <c r="AI52" s="3238">
        <f t="shared" si="42"/>
        <v>0</v>
      </c>
      <c r="AJ52" s="1170">
        <f t="shared" si="42"/>
        <v>0</v>
      </c>
      <c r="AK52" s="1170">
        <f t="shared" si="42"/>
        <v>0</v>
      </c>
      <c r="AL52" s="1170">
        <f t="shared" si="42"/>
        <v>0</v>
      </c>
      <c r="AM52" s="1170">
        <f t="shared" si="42"/>
        <v>0</v>
      </c>
      <c r="AN52" s="1170">
        <f t="shared" si="42"/>
        <v>0</v>
      </c>
      <c r="AO52" s="1170">
        <f t="shared" si="42"/>
        <v>0</v>
      </c>
      <c r="AP52" s="1170">
        <f t="shared" si="42"/>
        <v>0</v>
      </c>
      <c r="AQ52" s="1170">
        <f t="shared" si="42"/>
        <v>0</v>
      </c>
      <c r="AR52" s="1170">
        <f t="shared" si="42"/>
        <v>0</v>
      </c>
      <c r="AS52" s="1170">
        <f t="shared" si="42"/>
        <v>0</v>
      </c>
    </row>
    <row r="53" spans="2:86" s="1177" customFormat="1">
      <c r="B53" s="1193"/>
      <c r="C53" s="1171"/>
      <c r="D53" s="1172"/>
      <c r="E53" s="1173"/>
      <c r="F53" s="3239"/>
      <c r="G53" s="3239"/>
      <c r="H53" s="3239"/>
      <c r="I53" s="3239"/>
      <c r="J53" s="3239"/>
      <c r="K53" s="3239"/>
      <c r="L53" s="3239"/>
      <c r="M53" s="3239"/>
      <c r="N53" s="3239"/>
      <c r="O53" s="3239"/>
      <c r="P53" s="3239"/>
      <c r="Q53" s="3239"/>
      <c r="R53" s="3239"/>
      <c r="S53" s="3239"/>
      <c r="T53" s="3239"/>
      <c r="U53" s="3239"/>
      <c r="V53" s="3239"/>
      <c r="W53" s="3239"/>
      <c r="X53" s="3239"/>
      <c r="Y53" s="3239"/>
      <c r="Z53" s="3239"/>
      <c r="AA53" s="3239"/>
      <c r="AB53" s="3239"/>
      <c r="AC53" s="3239"/>
      <c r="AD53" s="3239"/>
      <c r="AE53" s="3239"/>
      <c r="AF53" s="3239"/>
      <c r="AG53" s="3239"/>
      <c r="AH53" s="3239"/>
      <c r="AI53" s="3239"/>
      <c r="AJ53" s="1174"/>
      <c r="AK53" s="1174"/>
      <c r="AL53" s="1174"/>
      <c r="AM53" s="1174"/>
      <c r="AN53" s="1174"/>
      <c r="AO53" s="1174"/>
      <c r="AP53" s="1174"/>
      <c r="AQ53" s="1174"/>
      <c r="AR53" s="1174"/>
      <c r="AS53" s="1174"/>
      <c r="AT53" s="1174"/>
    </row>
    <row r="54" spans="2:86" s="651" customFormat="1">
      <c r="B54" s="1013" t="s">
        <v>9</v>
      </c>
      <c r="C54" s="647" t="s">
        <v>980</v>
      </c>
      <c r="D54" s="648">
        <f>-PMT(DiscountRate,BookLife,E54)</f>
        <v>-52.825836183898929</v>
      </c>
      <c r="E54" s="649">
        <f>NPV(DiscountRate,F54:AS54)*(1)</f>
        <v>-679.99380477267505</v>
      </c>
      <c r="F54" s="3236">
        <f t="shared" ref="F54:AS54" si="43">IF(OwnerType="POU",-F$65,(FedTaxRate*(F$44-(F$49+F$35+F$59+F$60+F$92))-F64))</f>
        <v>-331.96574479437282</v>
      </c>
      <c r="G54" s="3236">
        <f t="shared" si="43"/>
        <v>-214.91559936931344</v>
      </c>
      <c r="H54" s="3236">
        <f t="shared" si="43"/>
        <v>-144.48439131081551</v>
      </c>
      <c r="I54" s="3236">
        <f t="shared" si="43"/>
        <v>-115.50535090296529</v>
      </c>
      <c r="J54" s="3236">
        <f t="shared" si="43"/>
        <v>-118.67901497712259</v>
      </c>
      <c r="K54" s="3236">
        <f t="shared" si="43"/>
        <v>-37.606230636363449</v>
      </c>
      <c r="L54" s="3236">
        <f t="shared" si="43"/>
        <v>-36.805944944887592</v>
      </c>
      <c r="M54" s="3236">
        <f t="shared" si="43"/>
        <v>-35.964631132682157</v>
      </c>
      <c r="N54" s="3236">
        <f t="shared" si="43"/>
        <v>-35.05605667516685</v>
      </c>
      <c r="O54" s="3236">
        <f t="shared" si="43"/>
        <v>-34.07688461704052</v>
      </c>
      <c r="P54" s="3236">
        <f t="shared" si="43"/>
        <v>24.865605601321548</v>
      </c>
      <c r="Q54" s="3236">
        <f t="shared" si="43"/>
        <v>26.736249410902317</v>
      </c>
      <c r="R54" s="3236">
        <f t="shared" si="43"/>
        <v>28.793601479777813</v>
      </c>
      <c r="S54" s="3236">
        <f t="shared" si="43"/>
        <v>30.842170464088991</v>
      </c>
      <c r="T54" s="3236">
        <f t="shared" si="43"/>
        <v>32.985955037710831</v>
      </c>
      <c r="U54" s="3236">
        <f t="shared" si="43"/>
        <v>35.337403295860916</v>
      </c>
      <c r="V54" s="3236">
        <f t="shared" si="43"/>
        <v>37.689618728440792</v>
      </c>
      <c r="W54" s="3236">
        <f t="shared" si="43"/>
        <v>40.265154824784226</v>
      </c>
      <c r="X54" s="3236">
        <f t="shared" si="43"/>
        <v>42.849183496059354</v>
      </c>
      <c r="Y54" s="3236">
        <f t="shared" si="43"/>
        <v>45.673701582924522</v>
      </c>
      <c r="Z54" s="3236">
        <f t="shared" si="43"/>
        <v>46.162962117352201</v>
      </c>
      <c r="AA54" s="3236">
        <f t="shared" si="43"/>
        <v>46.937829518745268</v>
      </c>
      <c r="AB54" s="3236">
        <f t="shared" si="43"/>
        <v>47.750204314195564</v>
      </c>
      <c r="AC54" s="3236">
        <f t="shared" si="43"/>
        <v>48.580530117574277</v>
      </c>
      <c r="AD54" s="3236">
        <f t="shared" si="43"/>
        <v>49.312384769841266</v>
      </c>
      <c r="AE54" s="3236">
        <f t="shared" si="43"/>
        <v>50.177589517115976</v>
      </c>
      <c r="AF54" s="3236">
        <f t="shared" si="43"/>
        <v>51.062034230958638</v>
      </c>
      <c r="AG54" s="3236">
        <f t="shared" si="43"/>
        <v>51.842176114864479</v>
      </c>
      <c r="AH54" s="3236">
        <f t="shared" si="43"/>
        <v>52.76403118453851</v>
      </c>
      <c r="AI54" s="3236">
        <f t="shared" si="43"/>
        <v>53.577491294938213</v>
      </c>
      <c r="AJ54" s="1792">
        <f t="shared" si="43"/>
        <v>0</v>
      </c>
      <c r="AK54" s="1792">
        <f t="shared" si="43"/>
        <v>0</v>
      </c>
      <c r="AL54" s="1792">
        <f t="shared" si="43"/>
        <v>0</v>
      </c>
      <c r="AM54" s="1792">
        <f t="shared" si="43"/>
        <v>0</v>
      </c>
      <c r="AN54" s="1792">
        <f t="shared" si="43"/>
        <v>0</v>
      </c>
      <c r="AO54" s="1792">
        <f t="shared" si="43"/>
        <v>0</v>
      </c>
      <c r="AP54" s="1792">
        <f t="shared" si="43"/>
        <v>0</v>
      </c>
      <c r="AQ54" s="1792">
        <f t="shared" si="43"/>
        <v>0</v>
      </c>
      <c r="AR54" s="1792">
        <f t="shared" si="43"/>
        <v>0</v>
      </c>
      <c r="AS54" s="1792">
        <f t="shared" si="43"/>
        <v>0</v>
      </c>
    </row>
    <row r="55" spans="2:86" s="651" customFormat="1">
      <c r="B55" s="1013" t="s">
        <v>11</v>
      </c>
      <c r="C55" s="647"/>
      <c r="D55" s="648"/>
      <c r="E55" s="649"/>
      <c r="F55" s="3240">
        <f>IF(F$1,IF(TaxLossTreatment="Tax Equity Financing",0,MIN(0,SUM($F54:F54))),0)</f>
        <v>0</v>
      </c>
      <c r="G55" s="3240">
        <f>IF(G$1,IF(TaxLossTreatment="Tax Equity Financing",0,MIN(0,SUM($F54:G54))),0)</f>
        <v>0</v>
      </c>
      <c r="H55" s="3240">
        <f>IF(H$1,IF(TaxLossTreatment="Tax Equity Financing",0,MIN(0,SUM($F54:H54))),0)</f>
        <v>0</v>
      </c>
      <c r="I55" s="3240">
        <f>IF(I$1,IF(TaxLossTreatment="Tax Equity Financing",0,MIN(0,SUM($F54:I54))),0)</f>
        <v>0</v>
      </c>
      <c r="J55" s="3240">
        <f>IF(J$1,IF(TaxLossTreatment="Tax Equity Financing",0,MIN(0,SUM($F54:J54))),0)</f>
        <v>0</v>
      </c>
      <c r="K55" s="3240">
        <f>IF(K$1,IF(TaxLossTreatment="Tax Equity Financing",0,MIN(0,SUM($F54:K54))),0)</f>
        <v>0</v>
      </c>
      <c r="L55" s="3240">
        <f>IF(L$1,IF(TaxLossTreatment="Tax Equity Financing",0,MIN(0,SUM($F54:L54))),0)</f>
        <v>0</v>
      </c>
      <c r="M55" s="3240">
        <f>IF(M$1,IF(TaxLossTreatment="Tax Equity Financing",0,MIN(0,SUM($F54:M54))),0)</f>
        <v>0</v>
      </c>
      <c r="N55" s="3240">
        <f>IF(N$1,IF(TaxLossTreatment="Tax Equity Financing",0,MIN(0,SUM($F54:N54))),0)</f>
        <v>0</v>
      </c>
      <c r="O55" s="3240">
        <f>IF(O$1,IF(TaxLossTreatment="Tax Equity Financing",0,MIN(0,SUM($F54:O54))),0)</f>
        <v>0</v>
      </c>
      <c r="P55" s="3240">
        <f>IF(P$1,IF(TaxLossTreatment="Tax Equity Financing",0,MIN(0,SUM($F54:P54))),0)</f>
        <v>0</v>
      </c>
      <c r="Q55" s="3240">
        <f>IF(Q$1,IF(TaxLossTreatment="Tax Equity Financing",0,MIN(0,SUM($F54:Q54))),0)</f>
        <v>0</v>
      </c>
      <c r="R55" s="3240">
        <f>IF(R$1,IF(TaxLossTreatment="Tax Equity Financing",0,MIN(0,SUM($F54:R54))),0)</f>
        <v>0</v>
      </c>
      <c r="S55" s="3240">
        <f>IF(S$1,IF(TaxLossTreatment="Tax Equity Financing",0,MIN(0,SUM($F54:S54))),0)</f>
        <v>0</v>
      </c>
      <c r="T55" s="3240">
        <f>IF(T$1,IF(TaxLossTreatment="Tax Equity Financing",0,MIN(0,SUM($F54:T54))),0)</f>
        <v>0</v>
      </c>
      <c r="U55" s="3240">
        <f>IF(U$1,IF(TaxLossTreatment="Tax Equity Financing",0,MIN(0,SUM($F54:U54))),0)</f>
        <v>0</v>
      </c>
      <c r="V55" s="3240">
        <f>IF(V$1,IF(TaxLossTreatment="Tax Equity Financing",0,MIN(0,SUM($F54:V54))),0)</f>
        <v>0</v>
      </c>
      <c r="W55" s="3240">
        <f>IF(W$1,IF(TaxLossTreatment="Tax Equity Financing",0,MIN(0,SUM($F54:W54))),0)</f>
        <v>0</v>
      </c>
      <c r="X55" s="3240">
        <f>IF(X$1,IF(TaxLossTreatment="Tax Equity Financing",0,MIN(0,SUM($F54:X54))),0)</f>
        <v>0</v>
      </c>
      <c r="Y55" s="3240">
        <f>IF(Y$1,IF(TaxLossTreatment="Tax Equity Financing",0,MIN(0,SUM($F54:Y54))),0)</f>
        <v>0</v>
      </c>
      <c r="Z55" s="3247">
        <f t="shared" ref="Z55:AS55" si="44">IF(Z$1,IF(TaxLossTreatment="Tax Equity Financing",0,MIN(0,SUM(G54:Z54))),0)</f>
        <v>0</v>
      </c>
      <c r="AA55" s="3247">
        <f t="shared" si="44"/>
        <v>0</v>
      </c>
      <c r="AB55" s="3247">
        <f t="shared" si="44"/>
        <v>0</v>
      </c>
      <c r="AC55" s="3247">
        <f t="shared" si="44"/>
        <v>0</v>
      </c>
      <c r="AD55" s="3247">
        <f t="shared" si="44"/>
        <v>0</v>
      </c>
      <c r="AE55" s="3247">
        <f t="shared" si="44"/>
        <v>0</v>
      </c>
      <c r="AF55" s="3247">
        <f t="shared" si="44"/>
        <v>0</v>
      </c>
      <c r="AG55" s="3247">
        <f t="shared" si="44"/>
        <v>0</v>
      </c>
      <c r="AH55" s="3247">
        <f t="shared" si="44"/>
        <v>0</v>
      </c>
      <c r="AI55" s="3247">
        <f t="shared" si="44"/>
        <v>0</v>
      </c>
      <c r="AJ55" s="3247">
        <f t="shared" si="44"/>
        <v>0</v>
      </c>
      <c r="AK55" s="3247">
        <f t="shared" si="44"/>
        <v>0</v>
      </c>
      <c r="AL55" s="3247">
        <f t="shared" si="44"/>
        <v>0</v>
      </c>
      <c r="AM55" s="3247">
        <f t="shared" si="44"/>
        <v>0</v>
      </c>
      <c r="AN55" s="3247">
        <f t="shared" si="44"/>
        <v>0</v>
      </c>
      <c r="AO55" s="3247">
        <f t="shared" si="44"/>
        <v>0</v>
      </c>
      <c r="AP55" s="3247">
        <f t="shared" si="44"/>
        <v>0</v>
      </c>
      <c r="AQ55" s="3247">
        <f t="shared" si="44"/>
        <v>0</v>
      </c>
      <c r="AR55" s="3247">
        <f t="shared" si="44"/>
        <v>0</v>
      </c>
      <c r="AS55" s="3247">
        <f t="shared" si="44"/>
        <v>0</v>
      </c>
    </row>
    <row r="56" spans="2:86" s="165" customFormat="1">
      <c r="B56" s="533" t="s">
        <v>977</v>
      </c>
      <c r="C56" s="533" t="s">
        <v>980</v>
      </c>
      <c r="D56" s="294">
        <f>-PMT(DiscountRate,BookLife,E56)</f>
        <v>-52.825836183898929</v>
      </c>
      <c r="E56" s="145">
        <f>NPV(DiscountRate,F56:AS56)*(1)</f>
        <v>-679.99380477267505</v>
      </c>
      <c r="F56" s="3236">
        <f>IF(AND(F$1,TaxLossTreatment=TaxMinZero),IF(F55&gt;0,F54,IF(F54+E55&gt;0,F54+E55,0)),F54)</f>
        <v>-331.96574479437282</v>
      </c>
      <c r="G56" s="3236">
        <f t="shared" ref="G56:AS56" si="45">IF(AND(G$1,TaxLossTreatment=TaxMinZero),IF(G55&gt;0,G54,IF(G54+F55&gt;0,G54+F55,0)),G54)</f>
        <v>-214.91559936931344</v>
      </c>
      <c r="H56" s="3236">
        <f t="shared" si="45"/>
        <v>-144.48439131081551</v>
      </c>
      <c r="I56" s="3236">
        <f t="shared" si="45"/>
        <v>-115.50535090296529</v>
      </c>
      <c r="J56" s="3236">
        <f t="shared" si="45"/>
        <v>-118.67901497712259</v>
      </c>
      <c r="K56" s="3236">
        <f t="shared" si="45"/>
        <v>-37.606230636363449</v>
      </c>
      <c r="L56" s="3236">
        <f t="shared" si="45"/>
        <v>-36.805944944887592</v>
      </c>
      <c r="M56" s="3236">
        <f t="shared" si="45"/>
        <v>-35.964631132682157</v>
      </c>
      <c r="N56" s="3236">
        <f t="shared" si="45"/>
        <v>-35.05605667516685</v>
      </c>
      <c r="O56" s="3236">
        <f t="shared" si="45"/>
        <v>-34.07688461704052</v>
      </c>
      <c r="P56" s="3236">
        <f t="shared" si="45"/>
        <v>24.865605601321548</v>
      </c>
      <c r="Q56" s="3236">
        <f t="shared" si="45"/>
        <v>26.736249410902317</v>
      </c>
      <c r="R56" s="3236">
        <f t="shared" si="45"/>
        <v>28.793601479777813</v>
      </c>
      <c r="S56" s="3236">
        <f t="shared" si="45"/>
        <v>30.842170464088991</v>
      </c>
      <c r="T56" s="3236">
        <f t="shared" si="45"/>
        <v>32.985955037710831</v>
      </c>
      <c r="U56" s="3236">
        <f t="shared" si="45"/>
        <v>35.337403295860916</v>
      </c>
      <c r="V56" s="3236">
        <f t="shared" si="45"/>
        <v>37.689618728440792</v>
      </c>
      <c r="W56" s="3236">
        <f t="shared" si="45"/>
        <v>40.265154824784226</v>
      </c>
      <c r="X56" s="3236">
        <f t="shared" si="45"/>
        <v>42.849183496059354</v>
      </c>
      <c r="Y56" s="3236">
        <f t="shared" si="45"/>
        <v>45.673701582924522</v>
      </c>
      <c r="Z56" s="3236">
        <f t="shared" si="45"/>
        <v>46.162962117352201</v>
      </c>
      <c r="AA56" s="3236">
        <f t="shared" si="45"/>
        <v>46.937829518745268</v>
      </c>
      <c r="AB56" s="3236">
        <f t="shared" si="45"/>
        <v>47.750204314195564</v>
      </c>
      <c r="AC56" s="3236">
        <f t="shared" si="45"/>
        <v>48.580530117574277</v>
      </c>
      <c r="AD56" s="3236">
        <f t="shared" si="45"/>
        <v>49.312384769841266</v>
      </c>
      <c r="AE56" s="3236">
        <f t="shared" si="45"/>
        <v>50.177589517115976</v>
      </c>
      <c r="AF56" s="3236">
        <f t="shared" si="45"/>
        <v>51.062034230958638</v>
      </c>
      <c r="AG56" s="3236">
        <f t="shared" si="45"/>
        <v>51.842176114864479</v>
      </c>
      <c r="AH56" s="3236">
        <f t="shared" si="45"/>
        <v>52.76403118453851</v>
      </c>
      <c r="AI56" s="3236">
        <f t="shared" si="45"/>
        <v>53.577491294938213</v>
      </c>
      <c r="AJ56" s="1792">
        <f t="shared" si="45"/>
        <v>0</v>
      </c>
      <c r="AK56" s="1792">
        <f t="shared" si="45"/>
        <v>0</v>
      </c>
      <c r="AL56" s="1792">
        <f t="shared" si="45"/>
        <v>0</v>
      </c>
      <c r="AM56" s="1792">
        <f t="shared" si="45"/>
        <v>0</v>
      </c>
      <c r="AN56" s="1792">
        <f t="shared" si="45"/>
        <v>0</v>
      </c>
      <c r="AO56" s="1792">
        <f t="shared" si="45"/>
        <v>0</v>
      </c>
      <c r="AP56" s="1792">
        <f t="shared" si="45"/>
        <v>0</v>
      </c>
      <c r="AQ56" s="1792">
        <f t="shared" si="45"/>
        <v>0</v>
      </c>
      <c r="AR56" s="1792">
        <f t="shared" si="45"/>
        <v>0</v>
      </c>
      <c r="AS56" s="1792">
        <f t="shared" si="45"/>
        <v>0</v>
      </c>
    </row>
    <row r="57" spans="2:86" s="705" customFormat="1">
      <c r="B57" s="706" t="s">
        <v>263</v>
      </c>
      <c r="C57" s="706"/>
      <c r="D57" s="706"/>
      <c r="E57" s="706"/>
      <c r="F57" s="707">
        <f t="shared" ref="F57:AS57" si="46">IF(F4-$F4&lt;BookLife,HLOOKUP(F$4,$F$136:$CH$137,2),0)</f>
        <v>0.09</v>
      </c>
      <c r="G57" s="707">
        <f t="shared" si="46"/>
        <v>0.09</v>
      </c>
      <c r="H57" s="707">
        <f t="shared" si="46"/>
        <v>0.09</v>
      </c>
      <c r="I57" s="707">
        <f t="shared" si="46"/>
        <v>0.09</v>
      </c>
      <c r="J57" s="707">
        <f t="shared" si="46"/>
        <v>0.09</v>
      </c>
      <c r="K57" s="707">
        <f t="shared" si="46"/>
        <v>0.09</v>
      </c>
      <c r="L57" s="707">
        <f t="shared" si="46"/>
        <v>0.09</v>
      </c>
      <c r="M57" s="707">
        <f t="shared" si="46"/>
        <v>0.09</v>
      </c>
      <c r="N57" s="707">
        <f t="shared" si="46"/>
        <v>0.09</v>
      </c>
      <c r="O57" s="707">
        <f t="shared" si="46"/>
        <v>0.09</v>
      </c>
      <c r="P57" s="707">
        <f t="shared" si="46"/>
        <v>0.09</v>
      </c>
      <c r="Q57" s="707">
        <f t="shared" si="46"/>
        <v>0.09</v>
      </c>
      <c r="R57" s="707">
        <f t="shared" si="46"/>
        <v>0.09</v>
      </c>
      <c r="S57" s="707">
        <f t="shared" si="46"/>
        <v>0.09</v>
      </c>
      <c r="T57" s="707">
        <f t="shared" si="46"/>
        <v>0.09</v>
      </c>
      <c r="U57" s="707">
        <f t="shared" si="46"/>
        <v>0.09</v>
      </c>
      <c r="V57" s="707">
        <f t="shared" si="46"/>
        <v>0.09</v>
      </c>
      <c r="W57" s="707">
        <f t="shared" si="46"/>
        <v>0.09</v>
      </c>
      <c r="X57" s="707">
        <f t="shared" si="46"/>
        <v>0.09</v>
      </c>
      <c r="Y57" s="707">
        <f t="shared" si="46"/>
        <v>0.09</v>
      </c>
      <c r="Z57" s="707">
        <f t="shared" si="46"/>
        <v>0.09</v>
      </c>
      <c r="AA57" s="707">
        <f t="shared" si="46"/>
        <v>0.09</v>
      </c>
      <c r="AB57" s="707">
        <f t="shared" si="46"/>
        <v>0.09</v>
      </c>
      <c r="AC57" s="707">
        <f t="shared" si="46"/>
        <v>0.09</v>
      </c>
      <c r="AD57" s="707">
        <f t="shared" si="46"/>
        <v>0.09</v>
      </c>
      <c r="AE57" s="707">
        <f t="shared" si="46"/>
        <v>0.09</v>
      </c>
      <c r="AF57" s="707">
        <f t="shared" si="46"/>
        <v>0.09</v>
      </c>
      <c r="AG57" s="707">
        <f t="shared" si="46"/>
        <v>0.09</v>
      </c>
      <c r="AH57" s="707">
        <f t="shared" si="46"/>
        <v>0.09</v>
      </c>
      <c r="AI57" s="707">
        <f t="shared" si="46"/>
        <v>0.09</v>
      </c>
      <c r="AJ57" s="707">
        <f t="shared" si="46"/>
        <v>0</v>
      </c>
      <c r="AK57" s="707">
        <f t="shared" si="46"/>
        <v>0</v>
      </c>
      <c r="AL57" s="707">
        <f t="shared" si="46"/>
        <v>0</v>
      </c>
      <c r="AM57" s="707">
        <f t="shared" si="46"/>
        <v>0</v>
      </c>
      <c r="AN57" s="707">
        <f t="shared" si="46"/>
        <v>0</v>
      </c>
      <c r="AO57" s="707">
        <f t="shared" si="46"/>
        <v>0</v>
      </c>
      <c r="AP57" s="707">
        <f t="shared" si="46"/>
        <v>0</v>
      </c>
      <c r="AQ57" s="707">
        <f t="shared" si="46"/>
        <v>0</v>
      </c>
      <c r="AR57" s="707">
        <f t="shared" si="46"/>
        <v>0</v>
      </c>
      <c r="AS57" s="707">
        <f t="shared" si="46"/>
        <v>0</v>
      </c>
      <c r="AT57" s="707"/>
      <c r="AU57" s="707"/>
      <c r="AV57" s="707"/>
      <c r="AW57" s="707"/>
      <c r="AX57" s="707"/>
      <c r="AY57" s="707"/>
      <c r="AZ57" s="707"/>
      <c r="BA57" s="707"/>
      <c r="BB57" s="707"/>
      <c r="BC57" s="707"/>
      <c r="BD57" s="707"/>
      <c r="BE57" s="707"/>
      <c r="BF57" s="707"/>
      <c r="BG57" s="707"/>
      <c r="BH57" s="707"/>
      <c r="BI57" s="707"/>
      <c r="BJ57" s="707"/>
      <c r="BK57" s="707"/>
      <c r="BL57" s="707"/>
      <c r="BM57" s="707"/>
      <c r="BN57" s="707"/>
      <c r="BO57" s="707"/>
      <c r="BP57" s="707"/>
      <c r="BQ57" s="707"/>
      <c r="BR57" s="707"/>
      <c r="BS57" s="707"/>
      <c r="BT57" s="707"/>
      <c r="BU57" s="707"/>
      <c r="BV57" s="707"/>
      <c r="BW57" s="707"/>
      <c r="BX57" s="707"/>
      <c r="BY57" s="707"/>
      <c r="BZ57" s="707"/>
      <c r="CA57" s="707"/>
      <c r="CB57" s="707"/>
      <c r="CC57" s="707"/>
      <c r="CD57" s="707"/>
      <c r="CE57" s="707"/>
      <c r="CF57" s="707"/>
      <c r="CG57" s="707"/>
      <c r="CH57" s="707"/>
    </row>
    <row r="58" spans="2:86" s="865" customFormat="1" ht="11.25">
      <c r="B58" s="862" t="s">
        <v>266</v>
      </c>
      <c r="C58" s="862"/>
      <c r="D58" s="862"/>
      <c r="E58" s="862"/>
      <c r="F58" s="863">
        <f>IF(F$1,IF('O&amp;M Costs'!$C$15=0,0.224*(F13+F26)*0.5*GrossMW*1000,W2_Wages*((1+HistInflationRate)*(1+LaborEscalation))^(StartYr-BaseYr)*((1+InflationRate)*(1+LaborEscalation))^(F$4-StartYr))*0.5,0)</f>
        <v>121365.00637252728</v>
      </c>
      <c r="G58" s="863">
        <f>IF(G$1,IF('O&amp;M Costs'!$C$15=0,0.224*(G13+G26)*0.5*GrossMW*1000,W2_Wages*((1+HistInflationRate)*(1+LaborEscalation))^(StartYr-BaseYr)*((1+InflationRate)*(1+LaborEscalation))^(G$4-StartYr))*0.5,0)</f>
        <v>123507.33493694852</v>
      </c>
      <c r="H58" s="863">
        <f>IF(H$1,IF('O&amp;M Costs'!$C$15=0,0.224*(H13+H26)*0.5*GrossMW*1000,W2_Wages*((1+HistInflationRate)*(1+LaborEscalation))^(StartYr-BaseYr)*((1+InflationRate)*(1+LaborEscalation))^(H$4-StartYr))*0.5,0)</f>
        <v>125687.47976995583</v>
      </c>
      <c r="I58" s="863">
        <f>IF(I$1,IF('O&amp;M Costs'!$C$15=0,0.224*(I13+I26)*0.5*GrossMW*1000,W2_Wages*((1+HistInflationRate)*(1+LaborEscalation))^(StartYr-BaseYr)*((1+InflationRate)*(1+LaborEscalation))^(I$4-StartYr))*0.5,0)</f>
        <v>127906.10840228827</v>
      </c>
      <c r="J58" s="863">
        <f>IF(J$1,IF('O&amp;M Costs'!$C$15=0,0.224*(J13+J26)*0.5*GrossMW*1000,W2_Wages*((1+HistInflationRate)*(1+LaborEscalation))^(StartYr-BaseYr)*((1+InflationRate)*(1+LaborEscalation))^(J$4-StartYr))*0.5,0)</f>
        <v>130163.90014790141</v>
      </c>
      <c r="K58" s="863">
        <f>IF(K$1,IF('O&amp;M Costs'!$C$15=0,0.224*(K13+K26)*0.5*GrossMW*1000,W2_Wages*((1+HistInflationRate)*(1+LaborEscalation))^(StartYr-BaseYr)*((1+InflationRate)*(1+LaborEscalation))^(K$4-StartYr))*0.5,0)</f>
        <v>132461.54631196446</v>
      </c>
      <c r="L58" s="863">
        <f>IF(L$1,IF('O&amp;M Costs'!$C$15=0,0.224*(L13+L26)*0.5*GrossMW*1000,W2_Wages*((1+HistInflationRate)*(1+LaborEscalation))^(StartYr-BaseYr)*((1+InflationRate)*(1+LaborEscalation))^(L$4-StartYr))*0.5,0)</f>
        <v>134799.75040252818</v>
      </c>
      <c r="M58" s="863">
        <f>IF(M$1,IF('O&amp;M Costs'!$C$15=0,0.224*(M13+M26)*0.5*GrossMW*1000,W2_Wages*((1+HistInflationRate)*(1+LaborEscalation))^(StartYr-BaseYr)*((1+InflationRate)*(1+LaborEscalation))^(M$4-StartYr))*0.5,0)</f>
        <v>137179.22834592953</v>
      </c>
      <c r="N58" s="863">
        <f>IF(N$1,IF('O&amp;M Costs'!$C$15=0,0.224*(N13+N26)*0.5*GrossMW*1000,W2_Wages*((1+HistInflationRate)*(1+LaborEscalation))^(StartYr-BaseYr)*((1+InflationRate)*(1+LaborEscalation))^(N$4-StartYr))*0.5,0)</f>
        <v>139600.70870599875</v>
      </c>
      <c r="O58" s="863">
        <f>IF(O$1,IF('O&amp;M Costs'!$C$15=0,0.224*(O13+O26)*0.5*GrossMW*1000,W2_Wages*((1+HistInflationRate)*(1+LaborEscalation))^(StartYr-BaseYr)*((1+InflationRate)*(1+LaborEscalation))^(O$4-StartYr))*0.5,0)</f>
        <v>142064.93290713558</v>
      </c>
      <c r="P58" s="863">
        <f>IF(P$1,IF('O&amp;M Costs'!$C$15=0,0.224*(P13+P26)*0.5*GrossMW*1000,W2_Wages*((1+HistInflationRate)*(1+LaborEscalation))^(StartYr-BaseYr)*((1+InflationRate)*(1+LaborEscalation))^(P$4-StartYr))*0.5,0)</f>
        <v>144572.65546132351</v>
      </c>
      <c r="Q58" s="863">
        <f>IF(Q$1,IF('O&amp;M Costs'!$C$15=0,0.224*(Q13+Q26)*0.5*GrossMW*1000,W2_Wages*((1+HistInflationRate)*(1+LaborEscalation))^(StartYr-BaseYr)*((1+InflationRate)*(1+LaborEscalation))^(Q$4-StartYr))*0.5,0)</f>
        <v>147124.64419915073</v>
      </c>
      <c r="R58" s="863">
        <f>IF(R$1,IF('O&amp;M Costs'!$C$15=0,0.224*(R13+R26)*0.5*GrossMW*1000,W2_Wages*((1+HistInflationRate)*(1+LaborEscalation))^(StartYr-BaseYr)*((1+InflationRate)*(1+LaborEscalation))^(R$4-StartYr))*0.5,0)</f>
        <v>149721.68050491001</v>
      </c>
      <c r="S58" s="863">
        <f>IF(S$1,IF('O&amp;M Costs'!$C$15=0,0.224*(S13+S26)*0.5*GrossMW*1000,W2_Wages*((1+HistInflationRate)*(1+LaborEscalation))^(StartYr-BaseYr)*((1+InflationRate)*(1+LaborEscalation))^(S$4-StartYr))*0.5,0)</f>
        <v>152364.55955584729</v>
      </c>
      <c r="T58" s="863">
        <f>IF(T$1,IF('O&amp;M Costs'!$C$15=0,0.224*(T13+T26)*0.5*GrossMW*1000,W2_Wages*((1+HistInflationRate)*(1+LaborEscalation))^(StartYr-BaseYr)*((1+InflationRate)*(1+LaborEscalation))^(T$4-StartYr))*0.5,0)</f>
        <v>155054.09056563469</v>
      </c>
      <c r="U58" s="863">
        <f>IF(U$1,IF('O&amp;M Costs'!$C$15=0,0.224*(U13+U26)*0.5*GrossMW*1000,W2_Wages*((1+HistInflationRate)*(1+LaborEscalation))^(StartYr-BaseYr)*((1+InflationRate)*(1+LaborEscalation))^(U$4-StartYr))*0.5,0)</f>
        <v>157791.09703214042</v>
      </c>
      <c r="V58" s="863">
        <f>IF(V$1,IF('O&amp;M Costs'!$C$15=0,0.224*(V13+V26)*0.5*GrossMW*1000,W2_Wages*((1+HistInflationRate)*(1+LaborEscalation))^(StartYr-BaseYr)*((1+InflationRate)*(1+LaborEscalation))^(V$4-StartYr))*0.5,0)</f>
        <v>160576.4169895729</v>
      </c>
      <c r="W58" s="863">
        <f>IF(W$1,IF('O&amp;M Costs'!$C$15=0,0.224*(W13+W26)*0.5*GrossMW*1000,W2_Wages*((1+HistInflationRate)*(1+LaborEscalation))^(StartYr-BaseYr)*((1+InflationRate)*(1+LaborEscalation))^(W$4-StartYr))*0.5,0)</f>
        <v>163410.90326507521</v>
      </c>
      <c r="X58" s="863">
        <f>IF(X$1,IF('O&amp;M Costs'!$C$15=0,0.224*(X13+X26)*0.5*GrossMW*1000,W2_Wages*((1+HistInflationRate)*(1+LaborEscalation))^(StartYr-BaseYr)*((1+InflationRate)*(1+LaborEscalation))^(X$4-StartYr))*0.5,0)</f>
        <v>166295.42373984933</v>
      </c>
      <c r="Y58" s="863">
        <f>IF(Y$1,IF('O&amp;M Costs'!$C$15=0,0.224*(Y13+Y26)*0.5*GrossMW*1000,W2_Wages*((1+HistInflationRate)*(1+LaborEscalation))^(StartYr-BaseYr)*((1+InflationRate)*(1+LaborEscalation))^(Y$4-StartYr))*0.5,0)</f>
        <v>169230.86161488952</v>
      </c>
      <c r="Z58" s="863">
        <f>IF(Z$1,IF('O&amp;M Costs'!$C$15=0,0.224*(Z13+Z26)*0.5*GrossMW*1000,W2_Wages*((1+HistInflationRate)*(1+LaborEscalation))^(StartYr-BaseYr)*((1+InflationRate)*(1+LaborEscalation))^(Z$4-StartYr))*0.5,0)</f>
        <v>172218.11568140663</v>
      </c>
      <c r="AA58" s="863">
        <f>IF(AA$1,IF('O&amp;M Costs'!$C$15=0,0.224*(AA13+AA26)*0.5*GrossMW*1000,W2_Wages*((1+HistInflationRate)*(1+LaborEscalation))^(StartYr-BaseYr)*((1+InflationRate)*(1+LaborEscalation))^(AA$4-StartYr))*0.5,0)</f>
        <v>175258.10059602527</v>
      </c>
      <c r="AB58" s="863">
        <f>IF(AB$1,IF('O&amp;M Costs'!$C$15=0,0.224*(AB13+AB26)*0.5*GrossMW*1000,W2_Wages*((1+HistInflationRate)*(1+LaborEscalation))^(StartYr-BaseYr)*((1+InflationRate)*(1+LaborEscalation))^(AB$4-StartYr))*0.5,0)</f>
        <v>178351.74716083994</v>
      </c>
      <c r="AC58" s="863">
        <f>IF(AC$1,IF('O&amp;M Costs'!$C$15=0,0.224*(AC13+AC26)*0.5*GrossMW*1000,W2_Wages*((1+HistInflationRate)*(1+LaborEscalation))^(StartYr-BaseYr)*((1+InflationRate)*(1+LaborEscalation))^(AC$4-StartYr))*0.5,0)</f>
        <v>181500.00260841346</v>
      </c>
      <c r="AD58" s="863">
        <f>IF(AD$1,IF('O&amp;M Costs'!$C$15=0,0.224*(AD13+AD26)*0.5*GrossMW*1000,W2_Wages*((1+HistInflationRate)*(1+LaborEscalation))^(StartYr-BaseYr)*((1+InflationRate)*(1+LaborEscalation))^(AD$4-StartYr))*0.5,0)</f>
        <v>184703.83089180698</v>
      </c>
      <c r="AE58" s="863">
        <f>IF(AE$1,IF('O&amp;M Costs'!$C$15=0,0.224*(AE13+AE26)*0.5*GrossMW*1000,W2_Wages*((1+HistInflationRate)*(1+LaborEscalation))^(StartYr-BaseYr)*((1+InflationRate)*(1+LaborEscalation))^(AE$4-StartYr))*0.5,0)</f>
        <v>187964.21297972914</v>
      </c>
      <c r="AF58" s="863">
        <f>IF(AF$1,IF('O&amp;M Costs'!$C$15=0,0.224*(AF13+AF26)*0.5*GrossMW*1000,W2_Wages*((1+HistInflationRate)*(1+LaborEscalation))^(StartYr-BaseYr)*((1+InflationRate)*(1+LaborEscalation))^(AF$4-StartYr))*0.5,0)</f>
        <v>191282.14715689563</v>
      </c>
      <c r="AG58" s="863">
        <f>IF(AG$1,IF('O&amp;M Costs'!$C$15=0,0.224*(AG13+AG26)*0.5*GrossMW*1000,W2_Wages*((1+HistInflationRate)*(1+LaborEscalation))^(StartYr-BaseYr)*((1+InflationRate)*(1+LaborEscalation))^(AG$4-StartYr))*0.5,0)</f>
        <v>194658.64932969</v>
      </c>
      <c r="AH58" s="863">
        <f>IF(AH$1,IF('O&amp;M Costs'!$C$15=0,0.224*(AH13+AH26)*0.5*GrossMW*1000,W2_Wages*((1+HistInflationRate)*(1+LaborEscalation))^(StartYr-BaseYr)*((1+InflationRate)*(1+LaborEscalation))^(AH$4-StartYr))*0.5,0)</f>
        <v>198094.75333722096</v>
      </c>
      <c r="AI58" s="863">
        <f>IF(AI$1,IF('O&amp;M Costs'!$C$15=0,0.224*(AI13+AI26)*0.5*GrossMW*1000,W2_Wages*((1+HistInflationRate)*(1+LaborEscalation))^(StartYr-BaseYr)*((1+InflationRate)*(1+LaborEscalation))^(AI$4-StartYr))*0.5,0)</f>
        <v>201591.51126786924</v>
      </c>
      <c r="AJ58" s="863">
        <f>IF(AJ$1,IF('O&amp;M Costs'!$C$15=0,0.224*(AJ13+AJ26)*0.5*GrossMW*1000,W2_Wages*((1+HistInflationRate)*(1+LaborEscalation))^(StartYr-BaseYr)*((1+InflationRate)*(1+LaborEscalation))^(AJ$4-StartYr))*0.5,0)</f>
        <v>0</v>
      </c>
      <c r="AK58" s="863">
        <f>IF(AK$1,IF('O&amp;M Costs'!$C$15=0,0.224*(AK13+AK26)*0.5*GrossMW*1000,W2_Wages*((1+HistInflationRate)*(1+LaborEscalation))^(StartYr-BaseYr)*((1+InflationRate)*(1+LaborEscalation))^(AK$4-StartYr))*0.5,0)</f>
        <v>0</v>
      </c>
      <c r="AL58" s="863">
        <f>IF(AL$1,IF('O&amp;M Costs'!$C$15=0,0.224*(AL13+AL26)*0.5*GrossMW*1000,W2_Wages*((1+HistInflationRate)*(1+LaborEscalation))^(StartYr-BaseYr)*((1+InflationRate)*(1+LaborEscalation))^(AL$4-StartYr))*0.5,0)</f>
        <v>0</v>
      </c>
      <c r="AM58" s="863">
        <f>IF(AM$1,IF('O&amp;M Costs'!$C$15=0,0.224*(AM13+AM26)*0.5*GrossMW*1000,W2_Wages*((1+HistInflationRate)*(1+LaborEscalation))^(StartYr-BaseYr)*((1+InflationRate)*(1+LaborEscalation))^(AM$4-StartYr))*0.5,0)</f>
        <v>0</v>
      </c>
      <c r="AN58" s="863">
        <f>IF(AN$1,IF('O&amp;M Costs'!$C$15=0,0.224*(AN13+AN26)*0.5*GrossMW*1000,W2_Wages*((1+HistInflationRate)*(1+LaborEscalation))^(StartYr-BaseYr)*((1+InflationRate)*(1+LaborEscalation))^(AN$4-StartYr))*0.5,0)</f>
        <v>0</v>
      </c>
      <c r="AO58" s="863">
        <f>IF(AO$1,IF('O&amp;M Costs'!$C$15=0,0.224*(AO13+AO26)*0.5*GrossMW*1000,W2_Wages*((1+HistInflationRate)*(1+LaborEscalation))^(StartYr-BaseYr)*((1+InflationRate)*(1+LaborEscalation))^(AO$4-StartYr))*0.5,0)</f>
        <v>0</v>
      </c>
      <c r="AP58" s="863">
        <f>IF(AP$1,IF('O&amp;M Costs'!$C$15=0,0.224*(AP13+AP26)*0.5*GrossMW*1000,W2_Wages*((1+HistInflationRate)*(1+LaborEscalation))^(StartYr-BaseYr)*((1+InflationRate)*(1+LaborEscalation))^(AP$4-StartYr))*0.5,0)</f>
        <v>0</v>
      </c>
      <c r="AQ58" s="863">
        <f>IF(AQ$1,IF('O&amp;M Costs'!$C$15=0,0.224*(AQ13+AQ26)*0.5*GrossMW*1000,W2_Wages*((1+HistInflationRate)*(1+LaborEscalation))^(StartYr-BaseYr)*((1+InflationRate)*(1+LaborEscalation))^(AQ$4-StartYr))*0.5,0)</f>
        <v>0</v>
      </c>
      <c r="AR58" s="863">
        <f>IF(AR$1,IF('O&amp;M Costs'!$C$15=0,0.224*(AR13+AR26)*0.5*GrossMW*1000,W2_Wages*((1+HistInflationRate)*(1+LaborEscalation))^(StartYr-BaseYr)*((1+InflationRate)*(1+LaborEscalation))^(AR$4-StartYr))*0.5,0)</f>
        <v>0</v>
      </c>
      <c r="AS58" s="863">
        <f>IF(AS$1,IF('O&amp;M Costs'!$C$15=0,0.224*(AS13+AS26)*0.5*GrossMW*1000,W2_Wages*((1+HistInflationRate)*(1+LaborEscalation))^(StartYr-BaseYr)*((1+InflationRate)*(1+LaborEscalation))^(AS$4-StartYr))*0.5,0)</f>
        <v>0</v>
      </c>
      <c r="AT58" s="864"/>
      <c r="AU58" s="864"/>
      <c r="AV58" s="864"/>
      <c r="AW58" s="864"/>
      <c r="AX58" s="864"/>
      <c r="AY58" s="864"/>
      <c r="AZ58" s="864"/>
      <c r="BA58" s="864"/>
      <c r="BB58" s="864"/>
      <c r="BC58" s="864"/>
      <c r="BD58" s="864"/>
      <c r="BE58" s="864"/>
      <c r="BF58" s="864"/>
      <c r="BG58" s="864"/>
      <c r="BH58" s="864"/>
      <c r="BI58" s="864"/>
      <c r="BJ58" s="864"/>
      <c r="BK58" s="864"/>
      <c r="BL58" s="864"/>
      <c r="BM58" s="864"/>
      <c r="BN58" s="864"/>
      <c r="BO58" s="864"/>
      <c r="BP58" s="864"/>
      <c r="BQ58" s="864"/>
      <c r="BR58" s="864"/>
      <c r="BS58" s="864"/>
      <c r="BT58" s="864"/>
      <c r="BU58" s="864"/>
      <c r="BV58" s="864"/>
      <c r="BW58" s="864"/>
      <c r="BX58" s="864"/>
      <c r="BY58" s="864"/>
      <c r="BZ58" s="864"/>
      <c r="CA58" s="864"/>
      <c r="CB58" s="864"/>
      <c r="CC58" s="864"/>
      <c r="CD58" s="864"/>
      <c r="CE58" s="864"/>
      <c r="CF58" s="864"/>
      <c r="CG58" s="864"/>
      <c r="CH58" s="864"/>
    </row>
    <row r="59" spans="2:86" s="651" customFormat="1">
      <c r="B59" s="1183" t="s">
        <v>262</v>
      </c>
      <c r="C59" s="647" t="s">
        <v>980</v>
      </c>
      <c r="D59" s="648">
        <f t="shared" ref="D59:D66" si="47">-PMT(DiscountRate,BookLife,E59)</f>
        <v>0.13131465288612837</v>
      </c>
      <c r="E59" s="649">
        <f t="shared" ref="E59:E66" si="48">NPV(DiscountRate,F59:AS59)*(1)</f>
        <v>1.6903310366463768</v>
      </c>
      <c r="F59" s="1184">
        <f t="shared" ref="F59:AS59" si="49">IF(OwnerType="POU",0,F57*F58/GrossMW/1000)</f>
        <v>0.10922850573527454</v>
      </c>
      <c r="G59" s="1184">
        <f t="shared" si="49"/>
        <v>0.11115660144325366</v>
      </c>
      <c r="H59" s="1184">
        <f t="shared" si="49"/>
        <v>0.11311873179296025</v>
      </c>
      <c r="I59" s="1184">
        <f t="shared" si="49"/>
        <v>0.11511549756205945</v>
      </c>
      <c r="J59" s="1184">
        <f t="shared" si="49"/>
        <v>0.11714751013311127</v>
      </c>
      <c r="K59" s="1184">
        <f t="shared" si="49"/>
        <v>0.119215391680768</v>
      </c>
      <c r="L59" s="1184">
        <f t="shared" si="49"/>
        <v>0.12131977536227537</v>
      </c>
      <c r="M59" s="1184">
        <f t="shared" si="49"/>
        <v>0.12346130551133658</v>
      </c>
      <c r="N59" s="1184">
        <f t="shared" si="49"/>
        <v>0.12564063783539886</v>
      </c>
      <c r="O59" s="1184">
        <f t="shared" si="49"/>
        <v>0.12785843961642201</v>
      </c>
      <c r="P59" s="1184">
        <f t="shared" si="49"/>
        <v>0.13011538991519114</v>
      </c>
      <c r="Q59" s="1184">
        <f t="shared" si="49"/>
        <v>0.13241217977923567</v>
      </c>
      <c r="R59" s="1184">
        <f t="shared" si="49"/>
        <v>0.13474951245441902</v>
      </c>
      <c r="S59" s="1184">
        <f t="shared" si="49"/>
        <v>0.13712810360026254</v>
      </c>
      <c r="T59" s="1184">
        <f t="shared" si="49"/>
        <v>0.13954868150907121</v>
      </c>
      <c r="U59" s="1184">
        <f t="shared" si="49"/>
        <v>0.14201198732892639</v>
      </c>
      <c r="V59" s="1184">
        <f t="shared" si="49"/>
        <v>0.14451877529061563</v>
      </c>
      <c r="W59" s="1184">
        <f t="shared" si="49"/>
        <v>0.14706981293856769</v>
      </c>
      <c r="X59" s="1184">
        <f t="shared" si="49"/>
        <v>0.14966588136586437</v>
      </c>
      <c r="Y59" s="1184">
        <f t="shared" si="49"/>
        <v>0.15230777545340057</v>
      </c>
      <c r="Z59" s="1184">
        <f t="shared" si="49"/>
        <v>0.15499630411326595</v>
      </c>
      <c r="AA59" s="1184">
        <f t="shared" si="49"/>
        <v>0.15773229053642274</v>
      </c>
      <c r="AB59" s="1184">
        <f t="shared" si="49"/>
        <v>0.16051657244475592</v>
      </c>
      <c r="AC59" s="1184">
        <f t="shared" si="49"/>
        <v>0.16335000234757208</v>
      </c>
      <c r="AD59" s="1184">
        <f t="shared" si="49"/>
        <v>0.16623344780262631</v>
      </c>
      <c r="AE59" s="1184">
        <f t="shared" si="49"/>
        <v>0.16916779168175619</v>
      </c>
      <c r="AF59" s="1184">
        <f t="shared" si="49"/>
        <v>0.17215393244120605</v>
      </c>
      <c r="AG59" s="1184">
        <f t="shared" si="49"/>
        <v>0.17519278439672101</v>
      </c>
      <c r="AH59" s="1184">
        <f t="shared" si="49"/>
        <v>0.17828527800349886</v>
      </c>
      <c r="AI59" s="1184">
        <f t="shared" si="49"/>
        <v>0.1814323601410823</v>
      </c>
      <c r="AJ59" s="1184">
        <f t="shared" si="49"/>
        <v>0</v>
      </c>
      <c r="AK59" s="1184">
        <f t="shared" si="49"/>
        <v>0</v>
      </c>
      <c r="AL59" s="1184">
        <f t="shared" si="49"/>
        <v>0</v>
      </c>
      <c r="AM59" s="1184">
        <f t="shared" si="49"/>
        <v>0</v>
      </c>
      <c r="AN59" s="1184">
        <f t="shared" si="49"/>
        <v>0</v>
      </c>
      <c r="AO59" s="1184">
        <f t="shared" si="49"/>
        <v>0</v>
      </c>
      <c r="AP59" s="1184">
        <f t="shared" si="49"/>
        <v>0</v>
      </c>
      <c r="AQ59" s="1184">
        <f t="shared" si="49"/>
        <v>0</v>
      </c>
      <c r="AR59" s="1184">
        <f t="shared" si="49"/>
        <v>0</v>
      </c>
      <c r="AS59" s="1184">
        <f t="shared" si="49"/>
        <v>0</v>
      </c>
    </row>
    <row r="60" spans="2:86" s="2086" customFormat="1">
      <c r="B60" s="2091" t="s">
        <v>67</v>
      </c>
      <c r="C60" s="2086" t="s">
        <v>980</v>
      </c>
      <c r="D60" s="649">
        <f t="shared" si="47"/>
        <v>0</v>
      </c>
      <c r="E60" s="649">
        <f t="shared" si="48"/>
        <v>0</v>
      </c>
      <c r="F60" s="2087">
        <f t="shared" ref="F60:AS60" si="50">IF(F$1,IF(AND(ApplyGeothermalDepletion="Y",EligibleGeothermalDepletion="Y"),MIN(GeothermalDepletionLimit*F$100,GeothermalDepletionPct*F44),0),0)</f>
        <v>0</v>
      </c>
      <c r="G60" s="2087">
        <f t="shared" si="50"/>
        <v>0</v>
      </c>
      <c r="H60" s="2087">
        <f t="shared" si="50"/>
        <v>0</v>
      </c>
      <c r="I60" s="2087">
        <f t="shared" si="50"/>
        <v>0</v>
      </c>
      <c r="J60" s="2087">
        <f t="shared" si="50"/>
        <v>0</v>
      </c>
      <c r="K60" s="2087">
        <f t="shared" si="50"/>
        <v>0</v>
      </c>
      <c r="L60" s="2087">
        <f t="shared" si="50"/>
        <v>0</v>
      </c>
      <c r="M60" s="2087">
        <f t="shared" si="50"/>
        <v>0</v>
      </c>
      <c r="N60" s="2087">
        <f t="shared" si="50"/>
        <v>0</v>
      </c>
      <c r="O60" s="2087">
        <f t="shared" si="50"/>
        <v>0</v>
      </c>
      <c r="P60" s="2087">
        <f t="shared" si="50"/>
        <v>0</v>
      </c>
      <c r="Q60" s="2087">
        <f t="shared" si="50"/>
        <v>0</v>
      </c>
      <c r="R60" s="2087">
        <f t="shared" si="50"/>
        <v>0</v>
      </c>
      <c r="S60" s="2087">
        <f t="shared" si="50"/>
        <v>0</v>
      </c>
      <c r="T60" s="2087">
        <f t="shared" si="50"/>
        <v>0</v>
      </c>
      <c r="U60" s="2087">
        <f t="shared" si="50"/>
        <v>0</v>
      </c>
      <c r="V60" s="2087">
        <f t="shared" si="50"/>
        <v>0</v>
      </c>
      <c r="W60" s="2087">
        <f t="shared" si="50"/>
        <v>0</v>
      </c>
      <c r="X60" s="2087">
        <f t="shared" si="50"/>
        <v>0</v>
      </c>
      <c r="Y60" s="2087">
        <f t="shared" si="50"/>
        <v>0</v>
      </c>
      <c r="Z60" s="2087">
        <f t="shared" si="50"/>
        <v>0</v>
      </c>
      <c r="AA60" s="2087">
        <f t="shared" si="50"/>
        <v>0</v>
      </c>
      <c r="AB60" s="2087">
        <f t="shared" si="50"/>
        <v>0</v>
      </c>
      <c r="AC60" s="2087">
        <f t="shared" si="50"/>
        <v>0</v>
      </c>
      <c r="AD60" s="2087">
        <f t="shared" si="50"/>
        <v>0</v>
      </c>
      <c r="AE60" s="2087">
        <f t="shared" si="50"/>
        <v>0</v>
      </c>
      <c r="AF60" s="2087">
        <f t="shared" si="50"/>
        <v>0</v>
      </c>
      <c r="AG60" s="2087">
        <f t="shared" si="50"/>
        <v>0</v>
      </c>
      <c r="AH60" s="2087">
        <f t="shared" si="50"/>
        <v>0</v>
      </c>
      <c r="AI60" s="2087">
        <f t="shared" si="50"/>
        <v>0</v>
      </c>
      <c r="AJ60" s="2087">
        <f t="shared" si="50"/>
        <v>0</v>
      </c>
      <c r="AK60" s="2087">
        <f t="shared" si="50"/>
        <v>0</v>
      </c>
      <c r="AL60" s="2087">
        <f t="shared" si="50"/>
        <v>0</v>
      </c>
      <c r="AM60" s="2087">
        <f t="shared" si="50"/>
        <v>0</v>
      </c>
      <c r="AN60" s="2087">
        <f t="shared" si="50"/>
        <v>0</v>
      </c>
      <c r="AO60" s="2087">
        <f t="shared" si="50"/>
        <v>0</v>
      </c>
      <c r="AP60" s="2087">
        <f t="shared" si="50"/>
        <v>0</v>
      </c>
      <c r="AQ60" s="2087">
        <f t="shared" si="50"/>
        <v>0</v>
      </c>
      <c r="AR60" s="2087">
        <f t="shared" si="50"/>
        <v>0</v>
      </c>
      <c r="AS60" s="2087">
        <f t="shared" si="50"/>
        <v>0</v>
      </c>
      <c r="AU60" s="2088">
        <f>E60*FedTaxRate</f>
        <v>0</v>
      </c>
      <c r="AV60" s="2088" t="s">
        <v>68</v>
      </c>
    </row>
    <row r="61" spans="2:86" s="2104" customFormat="1">
      <c r="B61" s="2099" t="s">
        <v>51</v>
      </c>
      <c r="C61" s="2100" t="s">
        <v>143</v>
      </c>
      <c r="D61" s="2101">
        <f t="shared" si="47"/>
        <v>33.992373521988377</v>
      </c>
      <c r="E61" s="2102">
        <f t="shared" si="48"/>
        <v>437.56247083346767</v>
      </c>
      <c r="F61" s="2103">
        <f t="shared" ref="F61:Y61" si="51">IF(F$1,IF(AND(ApplyBETC="Y",EligibleBETC="Y"),IF(F$2=1,BETCPct*(PctSubjectITC*InstalledCostPerkW-F52),0),0),0)</f>
        <v>466.61317708292182</v>
      </c>
      <c r="G61" s="2103">
        <f t="shared" si="51"/>
        <v>0</v>
      </c>
      <c r="H61" s="2103">
        <f t="shared" si="51"/>
        <v>0</v>
      </c>
      <c r="I61" s="2103">
        <f t="shared" si="51"/>
        <v>0</v>
      </c>
      <c r="J61" s="2103">
        <f t="shared" si="51"/>
        <v>0</v>
      </c>
      <c r="K61" s="2103">
        <f t="shared" si="51"/>
        <v>0</v>
      </c>
      <c r="L61" s="2103">
        <f t="shared" si="51"/>
        <v>0</v>
      </c>
      <c r="M61" s="2103">
        <f t="shared" si="51"/>
        <v>0</v>
      </c>
      <c r="N61" s="2103">
        <f t="shared" si="51"/>
        <v>0</v>
      </c>
      <c r="O61" s="2103">
        <f t="shared" si="51"/>
        <v>0</v>
      </c>
      <c r="P61" s="2103">
        <f t="shared" si="51"/>
        <v>0</v>
      </c>
      <c r="Q61" s="2103">
        <f t="shared" si="51"/>
        <v>0</v>
      </c>
      <c r="R61" s="2103">
        <f t="shared" si="51"/>
        <v>0</v>
      </c>
      <c r="S61" s="2103">
        <f t="shared" si="51"/>
        <v>0</v>
      </c>
      <c r="T61" s="2103">
        <f t="shared" si="51"/>
        <v>0</v>
      </c>
      <c r="U61" s="2103">
        <f t="shared" si="51"/>
        <v>0</v>
      </c>
      <c r="V61" s="2103">
        <f t="shared" si="51"/>
        <v>0</v>
      </c>
      <c r="W61" s="2103">
        <f t="shared" si="51"/>
        <v>0</v>
      </c>
      <c r="X61" s="2103">
        <f t="shared" si="51"/>
        <v>0</v>
      </c>
      <c r="Y61" s="2103">
        <f t="shared" si="51"/>
        <v>0</v>
      </c>
      <c r="Z61" s="2103">
        <f t="shared" ref="Z61:AS61" si="52">IF(Z$1,IF(AND(ApplyBETC="Y",EligibleBETC="Y"),IF(Z$2=1,BETCPct*(InstalledCostPerkW-Z52),0),0),0)</f>
        <v>0</v>
      </c>
      <c r="AA61" s="2103">
        <f t="shared" si="52"/>
        <v>0</v>
      </c>
      <c r="AB61" s="2103">
        <f t="shared" si="52"/>
        <v>0</v>
      </c>
      <c r="AC61" s="2103">
        <f t="shared" si="52"/>
        <v>0</v>
      </c>
      <c r="AD61" s="2103">
        <f t="shared" si="52"/>
        <v>0</v>
      </c>
      <c r="AE61" s="2103">
        <f t="shared" si="52"/>
        <v>0</v>
      </c>
      <c r="AF61" s="2103">
        <f t="shared" si="52"/>
        <v>0</v>
      </c>
      <c r="AG61" s="2103">
        <f t="shared" si="52"/>
        <v>0</v>
      </c>
      <c r="AH61" s="2103">
        <f t="shared" si="52"/>
        <v>0</v>
      </c>
      <c r="AI61" s="2103">
        <f t="shared" si="52"/>
        <v>0</v>
      </c>
      <c r="AJ61" s="2103">
        <f t="shared" si="52"/>
        <v>0</v>
      </c>
      <c r="AK61" s="2103">
        <f t="shared" si="52"/>
        <v>0</v>
      </c>
      <c r="AL61" s="2103">
        <f t="shared" si="52"/>
        <v>0</v>
      </c>
      <c r="AM61" s="2103">
        <f t="shared" si="52"/>
        <v>0</v>
      </c>
      <c r="AN61" s="2103">
        <f t="shared" si="52"/>
        <v>0</v>
      </c>
      <c r="AO61" s="2103">
        <f t="shared" si="52"/>
        <v>0</v>
      </c>
      <c r="AP61" s="2103">
        <f t="shared" si="52"/>
        <v>0</v>
      </c>
      <c r="AQ61" s="2103">
        <f t="shared" si="52"/>
        <v>0</v>
      </c>
      <c r="AR61" s="2103">
        <f t="shared" si="52"/>
        <v>0</v>
      </c>
      <c r="AS61" s="2103">
        <f t="shared" si="52"/>
        <v>0</v>
      </c>
      <c r="AU61" s="2502">
        <f>E61+E62*FedTaxRate</f>
        <v>404.53985597307303</v>
      </c>
      <c r="AV61" s="2503" t="s">
        <v>69</v>
      </c>
    </row>
    <row r="62" spans="2:86" s="2104" customFormat="1">
      <c r="B62" s="2099" t="s">
        <v>1513</v>
      </c>
      <c r="C62" s="2100" t="s">
        <v>980</v>
      </c>
      <c r="D62" s="2101">
        <f>-PMT(DiscountRate,BookLife,E62)</f>
        <v>-7.3296770425824258</v>
      </c>
      <c r="E62" s="2102">
        <f>NPV(DiscountRate,F62:AS62)*(1)</f>
        <v>-94.350328172556104</v>
      </c>
      <c r="F62" s="2103">
        <f>IF(F1,F91*InstalledCostPerkW*(-BETCDepreciation)*FedTaxRate,0)</f>
        <v>-43.550563194406038</v>
      </c>
      <c r="G62" s="2103">
        <f>IF(G1,G91*InstalledCostPerkW*(-BETCDepreciation)*FedTaxRate,0)</f>
        <v>-26.130337916643622</v>
      </c>
      <c r="H62" s="2103">
        <f>IF(H1,H91*InstalledCostPerkW*(-BETCDepreciation)*FedTaxRate,0)</f>
        <v>-15.678202749986172</v>
      </c>
      <c r="I62" s="2103">
        <f>IF(I1,I91*InstalledCostPerkW*(-BETCDepreciation)*FedTaxRate,0)</f>
        <v>-11.460019629156561</v>
      </c>
      <c r="J62" s="2103">
        <f>IF(J1,J91*InstalledCostPerkW*(-BETCDepreciation)*FedTaxRate,0)</f>
        <v>-12.057284495822712</v>
      </c>
      <c r="K62" s="2103">
        <f t="shared" ref="K62:AI62" si="53">IF(K1,K91*InstalledCostPerkW*(-BETCDepreciation),0)</f>
        <v>0</v>
      </c>
      <c r="L62" s="2103">
        <f t="shared" si="53"/>
        <v>0</v>
      </c>
      <c r="M62" s="2103">
        <f t="shared" si="53"/>
        <v>0</v>
      </c>
      <c r="N62" s="2103">
        <f t="shared" si="53"/>
        <v>0</v>
      </c>
      <c r="O62" s="2103">
        <f t="shared" si="53"/>
        <v>0</v>
      </c>
      <c r="P62" s="2103">
        <f t="shared" si="53"/>
        <v>0</v>
      </c>
      <c r="Q62" s="2103">
        <f t="shared" si="53"/>
        <v>0</v>
      </c>
      <c r="R62" s="2103">
        <f t="shared" si="53"/>
        <v>0</v>
      </c>
      <c r="S62" s="2103">
        <f t="shared" si="53"/>
        <v>0</v>
      </c>
      <c r="T62" s="2103">
        <f t="shared" si="53"/>
        <v>0</v>
      </c>
      <c r="U62" s="2103">
        <f t="shared" si="53"/>
        <v>0</v>
      </c>
      <c r="V62" s="2103">
        <f t="shared" si="53"/>
        <v>0</v>
      </c>
      <c r="W62" s="2103">
        <f t="shared" si="53"/>
        <v>0</v>
      </c>
      <c r="X62" s="2103">
        <f t="shared" si="53"/>
        <v>0</v>
      </c>
      <c r="Y62" s="2103">
        <f t="shared" si="53"/>
        <v>0</v>
      </c>
      <c r="Z62" s="2103">
        <f t="shared" si="53"/>
        <v>0</v>
      </c>
      <c r="AA62" s="2103">
        <f t="shared" si="53"/>
        <v>0</v>
      </c>
      <c r="AB62" s="2103">
        <f t="shared" si="53"/>
        <v>0</v>
      </c>
      <c r="AC62" s="2103">
        <f t="shared" si="53"/>
        <v>0</v>
      </c>
      <c r="AD62" s="2103">
        <f t="shared" si="53"/>
        <v>0</v>
      </c>
      <c r="AE62" s="2103">
        <f t="shared" si="53"/>
        <v>0</v>
      </c>
      <c r="AF62" s="2103">
        <f t="shared" si="53"/>
        <v>0</v>
      </c>
      <c r="AG62" s="2103">
        <f t="shared" si="53"/>
        <v>0</v>
      </c>
      <c r="AH62" s="2103">
        <f t="shared" si="53"/>
        <v>0</v>
      </c>
      <c r="AI62" s="2103">
        <f t="shared" si="53"/>
        <v>0</v>
      </c>
      <c r="AJ62" s="2103"/>
      <c r="AK62" s="2103"/>
      <c r="AL62" s="2103"/>
      <c r="AM62" s="2103"/>
      <c r="AN62" s="2103"/>
      <c r="AO62" s="2103"/>
      <c r="AP62" s="2103"/>
      <c r="AQ62" s="2103"/>
      <c r="AR62" s="2103"/>
      <c r="AS62" s="2103"/>
      <c r="AU62" s="2089"/>
      <c r="AV62" s="2105"/>
    </row>
    <row r="63" spans="2:86" s="2098" customFormat="1">
      <c r="B63" s="2094" t="s">
        <v>650</v>
      </c>
      <c r="C63" s="2094" t="s">
        <v>980</v>
      </c>
      <c r="D63" s="2095">
        <f t="shared" si="47"/>
        <v>29.797463591892917</v>
      </c>
      <c r="E63" s="2096">
        <f t="shared" si="48"/>
        <v>383.56403048480882</v>
      </c>
      <c r="F63" s="2097">
        <f t="shared" ref="F63:O63" si="54">IF(F$1,IF(AND(F$2&lt;=REPTCDuration,EligibleREPTC="Y",ApplyREPTC="Y"),REPTCStartYr*(1+InflationRate)^(F$4-StartYr)*F7*10^6/(GrossMW*1000),0),0)</f>
        <v>51.067061938605534</v>
      </c>
      <c r="G63" s="2097">
        <f t="shared" si="54"/>
        <v>51.709945242900133</v>
      </c>
      <c r="H63" s="2097">
        <f t="shared" si="54"/>
        <v>52.360921805887365</v>
      </c>
      <c r="I63" s="2097">
        <f t="shared" si="54"/>
        <v>53.020093513610625</v>
      </c>
      <c r="J63" s="2097">
        <f t="shared" si="54"/>
        <v>53.687563534756897</v>
      </c>
      <c r="K63" s="2097">
        <f t="shared" si="54"/>
        <v>54.363436336803858</v>
      </c>
      <c r="L63" s="2097">
        <f t="shared" si="54"/>
        <v>55.047817702370409</v>
      </c>
      <c r="M63" s="2097">
        <f t="shared" si="54"/>
        <v>55.74081474577293</v>
      </c>
      <c r="N63" s="2097">
        <f t="shared" si="54"/>
        <v>56.44253592979009</v>
      </c>
      <c r="O63" s="2097">
        <f t="shared" si="54"/>
        <v>57.153091082638603</v>
      </c>
      <c r="P63" s="2097">
        <f t="shared" ref="P63:AS63" si="55">IF(P$1,IF(AND(P$2&lt;=REPTCDuration,EligibleREPTC="Y",ApplyREPTC="Y"),REPTCStartYr*(1+InflationRate)^(P$4-StartYr)*AnnualNetGWh*10^6/(GrossMW*1000),0),0)</f>
        <v>0</v>
      </c>
      <c r="Q63" s="2097">
        <f t="shared" si="55"/>
        <v>0</v>
      </c>
      <c r="R63" s="2097">
        <f t="shared" si="55"/>
        <v>0</v>
      </c>
      <c r="S63" s="2097">
        <f t="shared" si="55"/>
        <v>0</v>
      </c>
      <c r="T63" s="2097">
        <f t="shared" si="55"/>
        <v>0</v>
      </c>
      <c r="U63" s="2097">
        <f t="shared" si="55"/>
        <v>0</v>
      </c>
      <c r="V63" s="2097">
        <f t="shared" si="55"/>
        <v>0</v>
      </c>
      <c r="W63" s="2097">
        <f t="shared" si="55"/>
        <v>0</v>
      </c>
      <c r="X63" s="2097">
        <f t="shared" si="55"/>
        <v>0</v>
      </c>
      <c r="Y63" s="2097">
        <f t="shared" si="55"/>
        <v>0</v>
      </c>
      <c r="Z63" s="2097">
        <f t="shared" si="55"/>
        <v>0</v>
      </c>
      <c r="AA63" s="2097">
        <f t="shared" si="55"/>
        <v>0</v>
      </c>
      <c r="AB63" s="2097">
        <f t="shared" si="55"/>
        <v>0</v>
      </c>
      <c r="AC63" s="2097">
        <f t="shared" si="55"/>
        <v>0</v>
      </c>
      <c r="AD63" s="2097">
        <f t="shared" si="55"/>
        <v>0</v>
      </c>
      <c r="AE63" s="2097">
        <f t="shared" si="55"/>
        <v>0</v>
      </c>
      <c r="AF63" s="2097">
        <f t="shared" si="55"/>
        <v>0</v>
      </c>
      <c r="AG63" s="2097">
        <f t="shared" si="55"/>
        <v>0</v>
      </c>
      <c r="AH63" s="2097">
        <f t="shared" si="55"/>
        <v>0</v>
      </c>
      <c r="AI63" s="2097">
        <f t="shared" si="55"/>
        <v>0</v>
      </c>
      <c r="AJ63" s="2097">
        <f t="shared" si="55"/>
        <v>0</v>
      </c>
      <c r="AK63" s="2097">
        <f t="shared" si="55"/>
        <v>0</v>
      </c>
      <c r="AL63" s="2097">
        <f t="shared" si="55"/>
        <v>0</v>
      </c>
      <c r="AM63" s="2097">
        <f t="shared" si="55"/>
        <v>0</v>
      </c>
      <c r="AN63" s="2097">
        <f t="shared" si="55"/>
        <v>0</v>
      </c>
      <c r="AO63" s="2097">
        <f t="shared" si="55"/>
        <v>0</v>
      </c>
      <c r="AP63" s="2097">
        <f t="shared" si="55"/>
        <v>0</v>
      </c>
      <c r="AQ63" s="2097">
        <f t="shared" si="55"/>
        <v>0</v>
      </c>
      <c r="AR63" s="2097">
        <f t="shared" si="55"/>
        <v>0</v>
      </c>
      <c r="AS63" s="2097">
        <f t="shared" si="55"/>
        <v>0</v>
      </c>
      <c r="AU63" s="2242">
        <f>E63</f>
        <v>383.56403048480882</v>
      </c>
      <c r="AV63" s="2105" t="s">
        <v>70</v>
      </c>
    </row>
    <row r="64" spans="2:86" s="1427" customFormat="1">
      <c r="B64" s="1414" t="str">
        <f>TaxCredit</f>
        <v>REPTC (Tax Credit)</v>
      </c>
      <c r="C64" s="2086" t="s">
        <v>980</v>
      </c>
      <c r="D64" s="1428">
        <f t="shared" si="47"/>
        <v>29.797463591892917</v>
      </c>
      <c r="E64" s="1429">
        <f t="shared" si="48"/>
        <v>383.56403048480882</v>
      </c>
      <c r="F64" s="1450">
        <f>INDEX(F60:F63,MATCH($B64,$B60:$B63,0),1)</f>
        <v>51.067061938605534</v>
      </c>
      <c r="G64" s="1450">
        <f t="shared" ref="G64:AI64" si="56">INDEX(G60:G63,MATCH($B64,$B60:$B63,0),1)</f>
        <v>51.709945242900133</v>
      </c>
      <c r="H64" s="1450">
        <f t="shared" si="56"/>
        <v>52.360921805887365</v>
      </c>
      <c r="I64" s="1450">
        <f t="shared" si="56"/>
        <v>53.020093513610625</v>
      </c>
      <c r="J64" s="1450">
        <f t="shared" si="56"/>
        <v>53.687563534756897</v>
      </c>
      <c r="K64" s="1450">
        <f t="shared" si="56"/>
        <v>54.363436336803858</v>
      </c>
      <c r="L64" s="1450">
        <f t="shared" si="56"/>
        <v>55.047817702370409</v>
      </c>
      <c r="M64" s="1450">
        <f t="shared" si="56"/>
        <v>55.74081474577293</v>
      </c>
      <c r="N64" s="1450">
        <f t="shared" si="56"/>
        <v>56.44253592979009</v>
      </c>
      <c r="O64" s="1450">
        <f t="shared" si="56"/>
        <v>57.153091082638603</v>
      </c>
      <c r="P64" s="1450">
        <f t="shared" si="56"/>
        <v>0</v>
      </c>
      <c r="Q64" s="1450">
        <f t="shared" si="56"/>
        <v>0</v>
      </c>
      <c r="R64" s="1450">
        <f t="shared" si="56"/>
        <v>0</v>
      </c>
      <c r="S64" s="1450">
        <f t="shared" si="56"/>
        <v>0</v>
      </c>
      <c r="T64" s="1450">
        <f t="shared" si="56"/>
        <v>0</v>
      </c>
      <c r="U64" s="1450">
        <f t="shared" si="56"/>
        <v>0</v>
      </c>
      <c r="V64" s="1450">
        <f t="shared" si="56"/>
        <v>0</v>
      </c>
      <c r="W64" s="1450">
        <f t="shared" si="56"/>
        <v>0</v>
      </c>
      <c r="X64" s="1450">
        <f t="shared" si="56"/>
        <v>0</v>
      </c>
      <c r="Y64" s="1450">
        <f t="shared" si="56"/>
        <v>0</v>
      </c>
      <c r="Z64" s="1450">
        <f t="shared" si="56"/>
        <v>0</v>
      </c>
      <c r="AA64" s="1450">
        <f t="shared" si="56"/>
        <v>0</v>
      </c>
      <c r="AB64" s="1450">
        <f t="shared" si="56"/>
        <v>0</v>
      </c>
      <c r="AC64" s="1450">
        <f t="shared" si="56"/>
        <v>0</v>
      </c>
      <c r="AD64" s="1450">
        <f t="shared" si="56"/>
        <v>0</v>
      </c>
      <c r="AE64" s="1450">
        <f t="shared" si="56"/>
        <v>0</v>
      </c>
      <c r="AF64" s="1450">
        <f t="shared" si="56"/>
        <v>0</v>
      </c>
      <c r="AG64" s="1450">
        <f t="shared" si="56"/>
        <v>0</v>
      </c>
      <c r="AH64" s="1450">
        <f t="shared" si="56"/>
        <v>0</v>
      </c>
      <c r="AI64" s="1450">
        <f t="shared" si="56"/>
        <v>0</v>
      </c>
      <c r="AJ64" s="2090">
        <f t="shared" ref="AJ64:AS64" si="57">INDEX(AJ60:AJ63,MATCH($B64,$B60:$B63),1)</f>
        <v>0</v>
      </c>
      <c r="AK64" s="2090">
        <f t="shared" si="57"/>
        <v>0</v>
      </c>
      <c r="AL64" s="2090">
        <f t="shared" si="57"/>
        <v>0</v>
      </c>
      <c r="AM64" s="2090">
        <f t="shared" si="57"/>
        <v>0</v>
      </c>
      <c r="AN64" s="2090">
        <f t="shared" si="57"/>
        <v>0</v>
      </c>
      <c r="AO64" s="2090">
        <f t="shared" si="57"/>
        <v>0</v>
      </c>
      <c r="AP64" s="2090">
        <f t="shared" si="57"/>
        <v>0</v>
      </c>
      <c r="AQ64" s="2090">
        <f t="shared" si="57"/>
        <v>0</v>
      </c>
      <c r="AR64" s="2090">
        <f t="shared" si="57"/>
        <v>0</v>
      </c>
      <c r="AS64" s="2090">
        <f t="shared" si="57"/>
        <v>0</v>
      </c>
    </row>
    <row r="65" spans="1:45" s="267" customFormat="1">
      <c r="B65" s="1026" t="s">
        <v>130</v>
      </c>
      <c r="C65" s="980" t="s">
        <v>980</v>
      </c>
      <c r="D65" s="980">
        <f t="shared" si="47"/>
        <v>0</v>
      </c>
      <c r="E65" s="981">
        <f t="shared" si="48"/>
        <v>0</v>
      </c>
      <c r="F65" s="1185">
        <f>IF(F$1,IF(AND(F$2&lt;=REPIDuration,EligibleREPI="Y",REPITier&gt;=1),AnnualNetGWh*10^6*REPIStartYr/(GrossMW*1000)*(1+InflationRate)^(F$4-StartYr),0),0)</f>
        <v>0</v>
      </c>
      <c r="G65" s="1185">
        <f t="shared" ref="G65:AS65" si="58">IF(G$1,IF(AND(G$2&lt;=REPIDuration,EligibleREPI="Y",REPITier&gt;=1),AnnualNetGWh*10^6*REPIStartYr/(GrossMW*1000)*(1+InflationRate)^(G$4-StartYr),0),0)</f>
        <v>0</v>
      </c>
      <c r="H65" s="1185">
        <f t="shared" si="58"/>
        <v>0</v>
      </c>
      <c r="I65" s="1185">
        <f t="shared" si="58"/>
        <v>0</v>
      </c>
      <c r="J65" s="1185">
        <f t="shared" si="58"/>
        <v>0</v>
      </c>
      <c r="K65" s="1185">
        <f t="shared" si="58"/>
        <v>0</v>
      </c>
      <c r="L65" s="1185">
        <f t="shared" si="58"/>
        <v>0</v>
      </c>
      <c r="M65" s="1185">
        <f t="shared" si="58"/>
        <v>0</v>
      </c>
      <c r="N65" s="1185">
        <f t="shared" si="58"/>
        <v>0</v>
      </c>
      <c r="O65" s="1185">
        <f t="shared" si="58"/>
        <v>0</v>
      </c>
      <c r="P65" s="1185">
        <f t="shared" si="58"/>
        <v>0</v>
      </c>
      <c r="Q65" s="1185">
        <f t="shared" si="58"/>
        <v>0</v>
      </c>
      <c r="R65" s="1185">
        <f t="shared" si="58"/>
        <v>0</v>
      </c>
      <c r="S65" s="1185">
        <f t="shared" si="58"/>
        <v>0</v>
      </c>
      <c r="T65" s="1185">
        <f t="shared" si="58"/>
        <v>0</v>
      </c>
      <c r="U65" s="1185">
        <f t="shared" si="58"/>
        <v>0</v>
      </c>
      <c r="V65" s="1185">
        <f t="shared" si="58"/>
        <v>0</v>
      </c>
      <c r="W65" s="1185">
        <f t="shared" si="58"/>
        <v>0</v>
      </c>
      <c r="X65" s="1185">
        <f t="shared" si="58"/>
        <v>0</v>
      </c>
      <c r="Y65" s="1185">
        <f t="shared" si="58"/>
        <v>0</v>
      </c>
      <c r="Z65" s="1185">
        <f t="shared" si="58"/>
        <v>0</v>
      </c>
      <c r="AA65" s="1185">
        <f t="shared" si="58"/>
        <v>0</v>
      </c>
      <c r="AB65" s="1185">
        <f t="shared" si="58"/>
        <v>0</v>
      </c>
      <c r="AC65" s="1185">
        <f t="shared" si="58"/>
        <v>0</v>
      </c>
      <c r="AD65" s="1185">
        <f t="shared" si="58"/>
        <v>0</v>
      </c>
      <c r="AE65" s="1185">
        <f t="shared" si="58"/>
        <v>0</v>
      </c>
      <c r="AF65" s="1185">
        <f t="shared" si="58"/>
        <v>0</v>
      </c>
      <c r="AG65" s="1185">
        <f t="shared" si="58"/>
        <v>0</v>
      </c>
      <c r="AH65" s="1185">
        <f t="shared" si="58"/>
        <v>0</v>
      </c>
      <c r="AI65" s="1185">
        <f t="shared" si="58"/>
        <v>0</v>
      </c>
      <c r="AJ65" s="1185">
        <f t="shared" si="58"/>
        <v>0</v>
      </c>
      <c r="AK65" s="1185">
        <f t="shared" si="58"/>
        <v>0</v>
      </c>
      <c r="AL65" s="1185">
        <f t="shared" si="58"/>
        <v>0</v>
      </c>
      <c r="AM65" s="1185">
        <f t="shared" si="58"/>
        <v>0</v>
      </c>
      <c r="AN65" s="1185">
        <f t="shared" si="58"/>
        <v>0</v>
      </c>
      <c r="AO65" s="1185">
        <f t="shared" si="58"/>
        <v>0</v>
      </c>
      <c r="AP65" s="1185">
        <f t="shared" si="58"/>
        <v>0</v>
      </c>
      <c r="AQ65" s="1185">
        <f t="shared" si="58"/>
        <v>0</v>
      </c>
      <c r="AR65" s="1185">
        <f t="shared" si="58"/>
        <v>0</v>
      </c>
      <c r="AS65" s="1185">
        <f t="shared" si="58"/>
        <v>0</v>
      </c>
    </row>
    <row r="66" spans="1:45" s="140" customFormat="1" ht="13.5" thickBot="1">
      <c r="B66" s="106" t="s">
        <v>1138</v>
      </c>
      <c r="C66" s="1187" t="s">
        <v>980</v>
      </c>
      <c r="D66" s="1790">
        <f t="shared" si="47"/>
        <v>-51.649302851754157</v>
      </c>
      <c r="E66" s="2492">
        <f t="shared" si="48"/>
        <v>-664.84903026911797</v>
      </c>
      <c r="F66" s="1790">
        <f t="shared" ref="F66:AS66" si="59">F49+F56</f>
        <v>-331.96574479437282</v>
      </c>
      <c r="G66" s="1790">
        <f t="shared" si="59"/>
        <v>-214.91559936931344</v>
      </c>
      <c r="H66" s="1790">
        <f t="shared" si="59"/>
        <v>-144.48439131081551</v>
      </c>
      <c r="I66" s="1790">
        <f t="shared" si="59"/>
        <v>-115.50535090296529</v>
      </c>
      <c r="J66" s="1790">
        <f t="shared" si="59"/>
        <v>-118.67901497712259</v>
      </c>
      <c r="K66" s="1790">
        <f t="shared" si="59"/>
        <v>-37.606230636363449</v>
      </c>
      <c r="L66" s="1790">
        <f t="shared" si="59"/>
        <v>-36.805944944887592</v>
      </c>
      <c r="M66" s="1790">
        <f t="shared" si="59"/>
        <v>-35.964631132682157</v>
      </c>
      <c r="N66" s="1790">
        <f t="shared" si="59"/>
        <v>-35.05605667516685</v>
      </c>
      <c r="O66" s="1790">
        <f t="shared" si="59"/>
        <v>-34.07688461704052</v>
      </c>
      <c r="P66" s="1790">
        <f t="shared" si="59"/>
        <v>24.865605601321548</v>
      </c>
      <c r="Q66" s="1790">
        <f t="shared" si="59"/>
        <v>26.736249410902317</v>
      </c>
      <c r="R66" s="1790">
        <f t="shared" si="59"/>
        <v>28.793601479777813</v>
      </c>
      <c r="S66" s="1790">
        <f t="shared" si="59"/>
        <v>30.842170464088991</v>
      </c>
      <c r="T66" s="1790">
        <f t="shared" si="59"/>
        <v>32.985955037710831</v>
      </c>
      <c r="U66" s="1790">
        <f t="shared" si="59"/>
        <v>35.337403295860916</v>
      </c>
      <c r="V66" s="1790">
        <f t="shared" si="59"/>
        <v>37.689618728440792</v>
      </c>
      <c r="W66" s="1790">
        <f t="shared" si="59"/>
        <v>40.265154824784226</v>
      </c>
      <c r="X66" s="1790">
        <f t="shared" si="59"/>
        <v>42.849183496059354</v>
      </c>
      <c r="Y66" s="1790">
        <f t="shared" si="59"/>
        <v>45.673701582924522</v>
      </c>
      <c r="Z66" s="1790">
        <f t="shared" si="59"/>
        <v>52.885015401323379</v>
      </c>
      <c r="AA66" s="1790">
        <f t="shared" si="59"/>
        <v>53.937458604875289</v>
      </c>
      <c r="AB66" s="1790">
        <f t="shared" si="59"/>
        <v>54.97518310759083</v>
      </c>
      <c r="AC66" s="1790">
        <f t="shared" si="59"/>
        <v>56.035836960050815</v>
      </c>
      <c r="AD66" s="1790">
        <f t="shared" si="59"/>
        <v>56.970741712809193</v>
      </c>
      <c r="AE66" s="1790">
        <f t="shared" si="59"/>
        <v>58.075947990387625</v>
      </c>
      <c r="AF66" s="1790">
        <f t="shared" si="59"/>
        <v>59.205729957094285</v>
      </c>
      <c r="AG66" s="1790">
        <f t="shared" si="59"/>
        <v>60.202315659143359</v>
      </c>
      <c r="AH66" s="1790">
        <f t="shared" si="59"/>
        <v>61.379883353124349</v>
      </c>
      <c r="AI66" s="1790">
        <f t="shared" si="59"/>
        <v>62.419029053948023</v>
      </c>
      <c r="AJ66" s="1790">
        <f t="shared" si="59"/>
        <v>0</v>
      </c>
      <c r="AK66" s="1790">
        <f t="shared" si="59"/>
        <v>0</v>
      </c>
      <c r="AL66" s="1790">
        <f t="shared" si="59"/>
        <v>0</v>
      </c>
      <c r="AM66" s="1790">
        <f t="shared" si="59"/>
        <v>0</v>
      </c>
      <c r="AN66" s="1790">
        <f t="shared" si="59"/>
        <v>0</v>
      </c>
      <c r="AO66" s="1790">
        <f t="shared" si="59"/>
        <v>0</v>
      </c>
      <c r="AP66" s="1790">
        <f t="shared" si="59"/>
        <v>0</v>
      </c>
      <c r="AQ66" s="1790">
        <f t="shared" si="59"/>
        <v>0</v>
      </c>
      <c r="AR66" s="1790">
        <f t="shared" si="59"/>
        <v>0</v>
      </c>
      <c r="AS66" s="1790">
        <f t="shared" si="59"/>
        <v>0</v>
      </c>
    </row>
    <row r="67" spans="1:45" s="44" customFormat="1">
      <c r="A67" s="121"/>
      <c r="B67" s="2504" t="s">
        <v>1650</v>
      </c>
      <c r="C67" s="2454">
        <f>+D46+D53-D65</f>
        <v>0</v>
      </c>
      <c r="D67" s="3227">
        <f>-PMT(DiscountRate,BookLife,E67)</f>
        <v>-51.649302851754157</v>
      </c>
      <c r="E67" s="3228">
        <f>NPV(DiscountRate,F67:AS67)*(1)</f>
        <v>-664.84903026911797</v>
      </c>
      <c r="F67" s="3229">
        <f>F49+F70</f>
        <v>-331.96574479437282</v>
      </c>
      <c r="G67" s="3229">
        <f t="shared" ref="G67:AI67" si="60">G49+G70</f>
        <v>-214.91559936931344</v>
      </c>
      <c r="H67" s="3229">
        <f t="shared" si="60"/>
        <v>-144.48439131081551</v>
      </c>
      <c r="I67" s="3229">
        <f t="shared" si="60"/>
        <v>-115.50535090296529</v>
      </c>
      <c r="J67" s="3229">
        <f t="shared" si="60"/>
        <v>-118.67901497712259</v>
      </c>
      <c r="K67" s="3229">
        <f t="shared" si="60"/>
        <v>-37.606230636363449</v>
      </c>
      <c r="L67" s="3229">
        <f t="shared" si="60"/>
        <v>-36.805944944887592</v>
      </c>
      <c r="M67" s="3229">
        <f t="shared" si="60"/>
        <v>-35.964631132682157</v>
      </c>
      <c r="N67" s="3229">
        <f t="shared" si="60"/>
        <v>-35.05605667516685</v>
      </c>
      <c r="O67" s="3229">
        <f t="shared" si="60"/>
        <v>-34.07688461704052</v>
      </c>
      <c r="P67" s="3229">
        <f t="shared" si="60"/>
        <v>24.865605601321548</v>
      </c>
      <c r="Q67" s="3229">
        <f t="shared" si="60"/>
        <v>26.736249410902317</v>
      </c>
      <c r="R67" s="3229">
        <f t="shared" si="60"/>
        <v>28.793601479777813</v>
      </c>
      <c r="S67" s="3229">
        <f t="shared" si="60"/>
        <v>30.842170464088991</v>
      </c>
      <c r="T67" s="3229">
        <f t="shared" si="60"/>
        <v>32.985955037710831</v>
      </c>
      <c r="U67" s="3229">
        <f t="shared" si="60"/>
        <v>35.337403295860916</v>
      </c>
      <c r="V67" s="3229">
        <f t="shared" si="60"/>
        <v>37.689618728440792</v>
      </c>
      <c r="W67" s="3229">
        <f t="shared" si="60"/>
        <v>40.265154824784226</v>
      </c>
      <c r="X67" s="3229">
        <f t="shared" si="60"/>
        <v>42.849183496059354</v>
      </c>
      <c r="Y67" s="3229">
        <f t="shared" si="60"/>
        <v>45.673701582924522</v>
      </c>
      <c r="Z67" s="3229">
        <f t="shared" si="60"/>
        <v>52.885015401323379</v>
      </c>
      <c r="AA67" s="3229">
        <f t="shared" si="60"/>
        <v>53.937458604875289</v>
      </c>
      <c r="AB67" s="3229">
        <f t="shared" si="60"/>
        <v>54.97518310759083</v>
      </c>
      <c r="AC67" s="3229">
        <f t="shared" si="60"/>
        <v>56.035836960050815</v>
      </c>
      <c r="AD67" s="3229">
        <f t="shared" si="60"/>
        <v>56.970741712809193</v>
      </c>
      <c r="AE67" s="3229">
        <f t="shared" si="60"/>
        <v>58.075947990387625</v>
      </c>
      <c r="AF67" s="3229">
        <f t="shared" si="60"/>
        <v>59.205729957094285</v>
      </c>
      <c r="AG67" s="3229">
        <f t="shared" si="60"/>
        <v>60.202315659143359</v>
      </c>
      <c r="AH67" s="3229">
        <f t="shared" si="60"/>
        <v>61.379883353124349</v>
      </c>
      <c r="AI67" s="3229">
        <f t="shared" si="60"/>
        <v>62.419029053948023</v>
      </c>
      <c r="AJ67" s="3230"/>
      <c r="AK67" s="3230"/>
      <c r="AL67" s="3230"/>
      <c r="AM67" s="3230"/>
      <c r="AN67" s="3230"/>
      <c r="AO67" s="3230"/>
      <c r="AP67" s="3230"/>
      <c r="AQ67" s="3230"/>
      <c r="AR67" s="3230"/>
      <c r="AS67" s="3230"/>
    </row>
    <row r="68" spans="1:45" s="2334" customFormat="1">
      <c r="A68" s="12"/>
      <c r="B68" s="70" t="s">
        <v>9</v>
      </c>
      <c r="D68" s="39"/>
      <c r="E68" s="3231"/>
      <c r="F68" s="39">
        <f t="shared" ref="F68:AI68" si="61">IF(OwnerType="POU",-F$65,(FedTaxRate*(F$44-(F$49+F$35+F$59+F$60+F$71))-F63))</f>
        <v>-331.96574479437282</v>
      </c>
      <c r="G68" s="39">
        <f t="shared" si="61"/>
        <v>-214.91559936931344</v>
      </c>
      <c r="H68" s="39">
        <f t="shared" si="61"/>
        <v>-144.48439131081551</v>
      </c>
      <c r="I68" s="39">
        <f t="shared" si="61"/>
        <v>-115.50535090296529</v>
      </c>
      <c r="J68" s="39">
        <f t="shared" si="61"/>
        <v>-118.67901497712259</v>
      </c>
      <c r="K68" s="39">
        <f t="shared" si="61"/>
        <v>-37.606230636363449</v>
      </c>
      <c r="L68" s="39">
        <f t="shared" si="61"/>
        <v>-36.805944944887592</v>
      </c>
      <c r="M68" s="39">
        <f t="shared" si="61"/>
        <v>-35.964631132682157</v>
      </c>
      <c r="N68" s="39">
        <f t="shared" si="61"/>
        <v>-35.05605667516685</v>
      </c>
      <c r="O68" s="39">
        <f t="shared" si="61"/>
        <v>-34.07688461704052</v>
      </c>
      <c r="P68" s="39">
        <f t="shared" si="61"/>
        <v>24.865605601321548</v>
      </c>
      <c r="Q68" s="39">
        <f t="shared" si="61"/>
        <v>26.736249410902317</v>
      </c>
      <c r="R68" s="39">
        <f t="shared" si="61"/>
        <v>28.793601479777813</v>
      </c>
      <c r="S68" s="39">
        <f t="shared" si="61"/>
        <v>30.842170464088991</v>
      </c>
      <c r="T68" s="39">
        <f t="shared" si="61"/>
        <v>32.985955037710831</v>
      </c>
      <c r="U68" s="39">
        <f t="shared" si="61"/>
        <v>35.337403295860916</v>
      </c>
      <c r="V68" s="39">
        <f t="shared" si="61"/>
        <v>37.689618728440792</v>
      </c>
      <c r="W68" s="39">
        <f t="shared" si="61"/>
        <v>40.265154824784226</v>
      </c>
      <c r="X68" s="39">
        <f t="shared" si="61"/>
        <v>42.849183496059354</v>
      </c>
      <c r="Y68" s="39">
        <f t="shared" si="61"/>
        <v>45.673701582924522</v>
      </c>
      <c r="Z68" s="39">
        <f t="shared" si="61"/>
        <v>46.162962117352201</v>
      </c>
      <c r="AA68" s="39">
        <f t="shared" si="61"/>
        <v>46.937829518745268</v>
      </c>
      <c r="AB68" s="39">
        <f t="shared" si="61"/>
        <v>47.750204314195564</v>
      </c>
      <c r="AC68" s="39">
        <f t="shared" si="61"/>
        <v>48.580530117574277</v>
      </c>
      <c r="AD68" s="39">
        <f t="shared" si="61"/>
        <v>49.312384769841266</v>
      </c>
      <c r="AE68" s="39">
        <f t="shared" si="61"/>
        <v>50.177589517115976</v>
      </c>
      <c r="AF68" s="39">
        <f t="shared" si="61"/>
        <v>51.062034230958638</v>
      </c>
      <c r="AG68" s="39">
        <f t="shared" si="61"/>
        <v>51.842176114864479</v>
      </c>
      <c r="AH68" s="39">
        <f t="shared" si="61"/>
        <v>52.76403118453851</v>
      </c>
      <c r="AI68" s="39">
        <f t="shared" si="61"/>
        <v>53.577491294938213</v>
      </c>
      <c r="AJ68" s="38"/>
      <c r="AK68" s="38"/>
      <c r="AL68" s="38"/>
      <c r="AM68" s="38"/>
      <c r="AN68" s="38"/>
      <c r="AO68" s="38"/>
      <c r="AP68" s="38"/>
      <c r="AQ68" s="38"/>
      <c r="AR68" s="38"/>
      <c r="AS68" s="38"/>
    </row>
    <row r="69" spans="1:45" s="2334" customFormat="1">
      <c r="A69" s="12"/>
      <c r="B69" s="70" t="s">
        <v>1632</v>
      </c>
      <c r="D69" s="39"/>
      <c r="E69" s="38"/>
      <c r="F69" s="39">
        <f>IF(F$1,MIN(0,SUM($F68:F68)),0)</f>
        <v>-331.96574479437282</v>
      </c>
      <c r="G69" s="39">
        <f>IF(G$1,MIN(0,SUM($F68:G68)),0)</f>
        <v>-546.88134416368621</v>
      </c>
      <c r="H69" s="39">
        <f>IF(H$1,MIN(0,SUM($F68:H68)),0)</f>
        <v>-691.36573547450166</v>
      </c>
      <c r="I69" s="39">
        <f>IF(I$1,MIN(0,SUM($F68:I68)),0)</f>
        <v>-806.87108637746701</v>
      </c>
      <c r="J69" s="39">
        <f>IF(J$1,MIN(0,SUM($F68:J68)),0)</f>
        <v>-925.55010135458963</v>
      </c>
      <c r="K69" s="39">
        <f>IF(K$1,MIN(0,SUM($F68:K68)),0)</f>
        <v>-963.15633199095305</v>
      </c>
      <c r="L69" s="39">
        <f>IF(L$1,MIN(0,SUM($F68:L68)),0)</f>
        <v>-999.96227693584069</v>
      </c>
      <c r="M69" s="39">
        <f>IF(M$1,MIN(0,SUM($F68:M68)),0)</f>
        <v>-1035.9269080685228</v>
      </c>
      <c r="N69" s="39">
        <f>IF(N$1,MIN(0,SUM($F68:N68)),0)</f>
        <v>-1070.9829647436898</v>
      </c>
      <c r="O69" s="39">
        <f>IF(O$1,MIN(0,SUM($F68:O68)),0)</f>
        <v>-1105.0598493607304</v>
      </c>
      <c r="P69" s="39">
        <f>IF(P$1,MIN(0,SUM($F68:P68)),0)</f>
        <v>-1080.1942437594089</v>
      </c>
      <c r="Q69" s="39">
        <f>IF(Q$1,MIN(0,SUM($F68:Q68)),0)</f>
        <v>-1053.4579943485066</v>
      </c>
      <c r="R69" s="39">
        <f>IF(R$1,MIN(0,SUM($F68:R68)),0)</f>
        <v>-1024.6643928687288</v>
      </c>
      <c r="S69" s="39">
        <f>IF(S$1,MIN(0,SUM($F68:S68)),0)</f>
        <v>-993.82222240463977</v>
      </c>
      <c r="T69" s="39">
        <f>IF(T$1,MIN(0,SUM($F68:T68)),0)</f>
        <v>-960.83626736692895</v>
      </c>
      <c r="U69" s="39">
        <f>IF(U$1,MIN(0,SUM($F68:U68)),0)</f>
        <v>-925.49886407106806</v>
      </c>
      <c r="V69" s="39">
        <f>IF(V$1,MIN(0,SUM($F68:V68)),0)</f>
        <v>-887.80924534262726</v>
      </c>
      <c r="W69" s="39">
        <f>IF(W$1,MIN(0,SUM($F68:W68)),0)</f>
        <v>-847.54409051784307</v>
      </c>
      <c r="X69" s="39">
        <f>IF(X$1,MIN(0,SUM($F68:X68)),0)</f>
        <v>-804.69490702178371</v>
      </c>
      <c r="Y69" s="39">
        <f>IF(Y$1,MIN(0,SUM($F68:Y68)),0)</f>
        <v>-759.02120543885917</v>
      </c>
      <c r="Z69" s="39">
        <f>IF(Z$1,MIN(0,SUM($F68:Z68)),0)</f>
        <v>-712.85824332150696</v>
      </c>
      <c r="AA69" s="39">
        <f>IF(AA$1,MIN(0,SUM($F68:AA68)),0)</f>
        <v>-665.92041380276169</v>
      </c>
      <c r="AB69" s="39">
        <f>IF(AB$1,MIN(0,SUM($F68:AB68)),0)</f>
        <v>-618.17020948856612</v>
      </c>
      <c r="AC69" s="39">
        <f>IF(AC$1,MIN(0,SUM($F68:AC68)),0)</f>
        <v>-569.5896793709918</v>
      </c>
      <c r="AD69" s="39">
        <f>IF(AD$1,MIN(0,SUM($F68:AD68)),0)</f>
        <v>-520.27729460115052</v>
      </c>
      <c r="AE69" s="39">
        <f>IF(AE$1,MIN(0,SUM($F68:AE68)),0)</f>
        <v>-470.09970508403455</v>
      </c>
      <c r="AF69" s="39">
        <f>IF(AF$1,MIN(0,SUM($F68:AF68)),0)</f>
        <v>-419.03767085307589</v>
      </c>
      <c r="AG69" s="39">
        <f>IF(AG$1,MIN(0,SUM($F68:AG68)),0)</f>
        <v>-367.19549473821144</v>
      </c>
      <c r="AH69" s="39">
        <f>IF(AH$1,MIN(0,SUM($F68:AH68)),0)</f>
        <v>-314.43146355367293</v>
      </c>
      <c r="AI69" s="39">
        <f>IF(AI$1,MIN(0,SUM($F68:AI68)),0)</f>
        <v>-260.8539722587347</v>
      </c>
      <c r="AJ69" s="38"/>
      <c r="AK69" s="38"/>
      <c r="AL69" s="38"/>
      <c r="AM69" s="38"/>
      <c r="AN69" s="38"/>
      <c r="AO69" s="38"/>
      <c r="AP69" s="38"/>
      <c r="AQ69" s="38"/>
      <c r="AR69" s="38"/>
      <c r="AS69" s="38"/>
    </row>
    <row r="70" spans="1:45" s="2334" customFormat="1">
      <c r="B70" s="70" t="s">
        <v>977</v>
      </c>
      <c r="D70" s="39"/>
      <c r="E70" s="38"/>
      <c r="F70" s="39">
        <f>IF(AND(F$1,TaxLossTreatment=TaxMinZero),IF(F69&gt;0,F68,IF(F68+E69&gt;0,F68+E69,0)),F68)</f>
        <v>-331.96574479437282</v>
      </c>
      <c r="G70" s="39">
        <f t="shared" ref="G70:AI70" si="62">IF(AND(G$1,TaxLossTreatment=TaxMinZero),IF(G69&gt;0,G68,IF(G68+F69&gt;0,G68+F69,0)),G68)</f>
        <v>-214.91559936931344</v>
      </c>
      <c r="H70" s="39">
        <f t="shared" si="62"/>
        <v>-144.48439131081551</v>
      </c>
      <c r="I70" s="39">
        <f t="shared" si="62"/>
        <v>-115.50535090296529</v>
      </c>
      <c r="J70" s="39">
        <f t="shared" si="62"/>
        <v>-118.67901497712259</v>
      </c>
      <c r="K70" s="39">
        <f t="shared" si="62"/>
        <v>-37.606230636363449</v>
      </c>
      <c r="L70" s="39">
        <f t="shared" si="62"/>
        <v>-36.805944944887592</v>
      </c>
      <c r="M70" s="39">
        <f t="shared" si="62"/>
        <v>-35.964631132682157</v>
      </c>
      <c r="N70" s="39">
        <f t="shared" si="62"/>
        <v>-35.05605667516685</v>
      </c>
      <c r="O70" s="39">
        <f t="shared" si="62"/>
        <v>-34.07688461704052</v>
      </c>
      <c r="P70" s="39">
        <f t="shared" si="62"/>
        <v>24.865605601321548</v>
      </c>
      <c r="Q70" s="39">
        <f t="shared" si="62"/>
        <v>26.736249410902317</v>
      </c>
      <c r="R70" s="39">
        <f t="shared" si="62"/>
        <v>28.793601479777813</v>
      </c>
      <c r="S70" s="39">
        <f t="shared" si="62"/>
        <v>30.842170464088991</v>
      </c>
      <c r="T70" s="39">
        <f t="shared" si="62"/>
        <v>32.985955037710831</v>
      </c>
      <c r="U70" s="39">
        <f t="shared" si="62"/>
        <v>35.337403295860916</v>
      </c>
      <c r="V70" s="39">
        <f t="shared" si="62"/>
        <v>37.689618728440792</v>
      </c>
      <c r="W70" s="39">
        <f t="shared" si="62"/>
        <v>40.265154824784226</v>
      </c>
      <c r="X70" s="39">
        <f t="shared" si="62"/>
        <v>42.849183496059354</v>
      </c>
      <c r="Y70" s="39">
        <f t="shared" si="62"/>
        <v>45.673701582924522</v>
      </c>
      <c r="Z70" s="39">
        <f t="shared" si="62"/>
        <v>46.162962117352201</v>
      </c>
      <c r="AA70" s="39">
        <f t="shared" si="62"/>
        <v>46.937829518745268</v>
      </c>
      <c r="AB70" s="39">
        <f t="shared" si="62"/>
        <v>47.750204314195564</v>
      </c>
      <c r="AC70" s="39">
        <f t="shared" si="62"/>
        <v>48.580530117574277</v>
      </c>
      <c r="AD70" s="39">
        <f t="shared" si="62"/>
        <v>49.312384769841266</v>
      </c>
      <c r="AE70" s="39">
        <f t="shared" si="62"/>
        <v>50.177589517115976</v>
      </c>
      <c r="AF70" s="39">
        <f t="shared" si="62"/>
        <v>51.062034230958638</v>
      </c>
      <c r="AG70" s="39">
        <f t="shared" si="62"/>
        <v>51.842176114864479</v>
      </c>
      <c r="AH70" s="39">
        <f t="shared" si="62"/>
        <v>52.76403118453851</v>
      </c>
      <c r="AI70" s="39">
        <f t="shared" si="62"/>
        <v>53.577491294938213</v>
      </c>
      <c r="AJ70" s="38"/>
      <c r="AK70" s="38"/>
      <c r="AL70" s="38"/>
      <c r="AM70" s="38"/>
      <c r="AN70" s="38"/>
      <c r="AO70" s="38"/>
      <c r="AP70" s="38"/>
      <c r="AQ70" s="38"/>
      <c r="AR70" s="38"/>
      <c r="AS70" s="38"/>
    </row>
    <row r="71" spans="1:45" s="43" customFormat="1" ht="13.5" thickBot="1">
      <c r="A71" s="36"/>
      <c r="B71" s="2505" t="s">
        <v>1633</v>
      </c>
      <c r="D71" s="3232">
        <f>-PMT(DiscountRate,BookLife,E71)</f>
        <v>139.61289604918906</v>
      </c>
      <c r="E71" s="1410">
        <f>NPV(DiscountRate,F71:AS71)*(1)</f>
        <v>1797.1491080486874</v>
      </c>
      <c r="F71" s="3232">
        <f t="shared" ref="F71:AI71" si="63">IF(F1,F91*InstalledCostPerkW,0)</f>
        <v>829.53453703630555</v>
      </c>
      <c r="G71" s="3232">
        <f t="shared" si="63"/>
        <v>497.72072222178326</v>
      </c>
      <c r="H71" s="3232">
        <f t="shared" si="63"/>
        <v>298.63243333306997</v>
      </c>
      <c r="I71" s="3232">
        <f t="shared" si="63"/>
        <v>218.28608817441071</v>
      </c>
      <c r="J71" s="3232">
        <f t="shared" si="63"/>
        <v>229.66256182519453</v>
      </c>
      <c r="K71" s="3232">
        <f t="shared" si="63"/>
        <v>0</v>
      </c>
      <c r="L71" s="3232">
        <f t="shared" si="63"/>
        <v>0</v>
      </c>
      <c r="M71" s="3232">
        <f t="shared" si="63"/>
        <v>0</v>
      </c>
      <c r="N71" s="3232">
        <f t="shared" si="63"/>
        <v>0</v>
      </c>
      <c r="O71" s="3232">
        <f t="shared" si="63"/>
        <v>0</v>
      </c>
      <c r="P71" s="3232">
        <f t="shared" si="63"/>
        <v>0</v>
      </c>
      <c r="Q71" s="3232">
        <f t="shared" si="63"/>
        <v>0</v>
      </c>
      <c r="R71" s="3232">
        <f t="shared" si="63"/>
        <v>0</v>
      </c>
      <c r="S71" s="3232">
        <f t="shared" si="63"/>
        <v>0</v>
      </c>
      <c r="T71" s="3232">
        <f t="shared" si="63"/>
        <v>0</v>
      </c>
      <c r="U71" s="3232">
        <f t="shared" si="63"/>
        <v>0</v>
      </c>
      <c r="V71" s="3232">
        <f t="shared" si="63"/>
        <v>0</v>
      </c>
      <c r="W71" s="3232">
        <f t="shared" si="63"/>
        <v>0</v>
      </c>
      <c r="X71" s="3232">
        <f t="shared" si="63"/>
        <v>0</v>
      </c>
      <c r="Y71" s="3232">
        <f t="shared" si="63"/>
        <v>0</v>
      </c>
      <c r="Z71" s="3232">
        <f t="shared" si="63"/>
        <v>0</v>
      </c>
      <c r="AA71" s="3232">
        <f t="shared" si="63"/>
        <v>0</v>
      </c>
      <c r="AB71" s="3232">
        <f t="shared" si="63"/>
        <v>0</v>
      </c>
      <c r="AC71" s="3232">
        <f t="shared" si="63"/>
        <v>0</v>
      </c>
      <c r="AD71" s="3232">
        <f t="shared" si="63"/>
        <v>0</v>
      </c>
      <c r="AE71" s="3232">
        <f t="shared" si="63"/>
        <v>0</v>
      </c>
      <c r="AF71" s="3232">
        <f t="shared" si="63"/>
        <v>0</v>
      </c>
      <c r="AG71" s="3232">
        <f t="shared" si="63"/>
        <v>0</v>
      </c>
      <c r="AH71" s="3232">
        <f t="shared" si="63"/>
        <v>0</v>
      </c>
      <c r="AI71" s="3232">
        <f t="shared" si="63"/>
        <v>0</v>
      </c>
      <c r="AJ71" s="3233"/>
      <c r="AK71" s="3233"/>
      <c r="AL71" s="3233"/>
      <c r="AM71" s="3233"/>
      <c r="AN71" s="3233"/>
      <c r="AO71" s="3233"/>
      <c r="AP71" s="3233"/>
      <c r="AQ71" s="3233"/>
      <c r="AR71" s="3233"/>
      <c r="AS71" s="3233"/>
    </row>
    <row r="72" spans="1:45" s="2334" customFormat="1">
      <c r="A72" s="12"/>
      <c r="B72" s="2501" t="s">
        <v>1651</v>
      </c>
      <c r="D72" s="39">
        <f>-PMT(DiscountRate,BookLife,E72)</f>
        <v>-48.514535739267195</v>
      </c>
      <c r="E72" s="3228">
        <f>NPV(DiscountRate,F72:AS72)*(1)</f>
        <v>-624.49714244522079</v>
      </c>
      <c r="F72" s="341">
        <f>F49+F75</f>
        <v>-703.961296744283</v>
      </c>
      <c r="G72" s="341">
        <f t="shared" ref="G72:AI72" si="64">G49+G75</f>
        <v>-137.07531620976962</v>
      </c>
      <c r="H72" s="341">
        <f t="shared" si="64"/>
        <v>-76.445266754941969</v>
      </c>
      <c r="I72" s="341">
        <f t="shared" si="64"/>
        <v>-51.025237760198095</v>
      </c>
      <c r="J72" s="341">
        <f t="shared" si="64"/>
        <v>-52.934166946542987</v>
      </c>
      <c r="K72" s="341">
        <f t="shared" si="64"/>
        <v>16.757205700440409</v>
      </c>
      <c r="L72" s="341">
        <f t="shared" si="64"/>
        <v>18.241872757482817</v>
      </c>
      <c r="M72" s="341">
        <f t="shared" si="64"/>
        <v>19.776183613090776</v>
      </c>
      <c r="N72" s="341">
        <f t="shared" si="64"/>
        <v>21.386479254623239</v>
      </c>
      <c r="O72" s="341">
        <f t="shared" si="64"/>
        <v>23.076206465598084</v>
      </c>
      <c r="P72" s="341">
        <f t="shared" si="64"/>
        <v>24.865605601321548</v>
      </c>
      <c r="Q72" s="341">
        <f t="shared" si="64"/>
        <v>26.736249410902317</v>
      </c>
      <c r="R72" s="341">
        <f t="shared" si="64"/>
        <v>28.793601479777813</v>
      </c>
      <c r="S72" s="341">
        <f t="shared" si="64"/>
        <v>30.842170464088991</v>
      </c>
      <c r="T72" s="341">
        <f t="shared" si="64"/>
        <v>32.985955037710831</v>
      </c>
      <c r="U72" s="341">
        <f t="shared" si="64"/>
        <v>35.337403295860916</v>
      </c>
      <c r="V72" s="341">
        <f t="shared" si="64"/>
        <v>37.689618728440792</v>
      </c>
      <c r="W72" s="341">
        <f t="shared" si="64"/>
        <v>40.265154824784226</v>
      </c>
      <c r="X72" s="341">
        <f t="shared" si="64"/>
        <v>42.849183496059354</v>
      </c>
      <c r="Y72" s="341">
        <f t="shared" si="64"/>
        <v>45.673701582924522</v>
      </c>
      <c r="Z72" s="341">
        <f t="shared" si="64"/>
        <v>52.885015401323379</v>
      </c>
      <c r="AA72" s="341">
        <f t="shared" si="64"/>
        <v>53.937458604875289</v>
      </c>
      <c r="AB72" s="341">
        <f t="shared" si="64"/>
        <v>54.97518310759083</v>
      </c>
      <c r="AC72" s="341">
        <f t="shared" si="64"/>
        <v>56.035836960050815</v>
      </c>
      <c r="AD72" s="341">
        <f t="shared" si="64"/>
        <v>56.970741712809193</v>
      </c>
      <c r="AE72" s="341">
        <f t="shared" si="64"/>
        <v>58.075947990387625</v>
      </c>
      <c r="AF72" s="341">
        <f t="shared" si="64"/>
        <v>59.205729957094285</v>
      </c>
      <c r="AG72" s="341">
        <f t="shared" si="64"/>
        <v>60.202315659143359</v>
      </c>
      <c r="AH72" s="341">
        <f t="shared" si="64"/>
        <v>61.379883353124349</v>
      </c>
      <c r="AI72" s="341">
        <f t="shared" si="64"/>
        <v>62.419029053948023</v>
      </c>
      <c r="AJ72" s="38"/>
      <c r="AK72" s="38"/>
      <c r="AL72" s="38"/>
      <c r="AM72" s="38"/>
      <c r="AN72" s="38"/>
      <c r="AO72" s="38"/>
      <c r="AP72" s="38"/>
      <c r="AQ72" s="38"/>
      <c r="AR72" s="38"/>
      <c r="AS72" s="38"/>
    </row>
    <row r="73" spans="1:45" s="2334" customFormat="1">
      <c r="A73" s="12"/>
      <c r="B73" s="70" t="s">
        <v>9</v>
      </c>
      <c r="D73" s="39"/>
      <c r="E73" s="1410"/>
      <c r="F73" s="39">
        <f t="shared" ref="F73:AI73" si="65">IF(OwnerType="POU",-F$65,(FedTaxRate*(F$44-(F$49+F$35+F$59+F$60+F$76))-F61))</f>
        <v>-703.961296744283</v>
      </c>
      <c r="G73" s="39">
        <f t="shared" si="65"/>
        <v>-137.07531620976962</v>
      </c>
      <c r="H73" s="39">
        <f t="shared" si="65"/>
        <v>-76.445266754941969</v>
      </c>
      <c r="I73" s="39">
        <f t="shared" si="65"/>
        <v>-51.025237760198095</v>
      </c>
      <c r="J73" s="39">
        <f t="shared" si="65"/>
        <v>-52.934166946542987</v>
      </c>
      <c r="K73" s="39">
        <f t="shared" si="65"/>
        <v>16.757205700440409</v>
      </c>
      <c r="L73" s="39">
        <f t="shared" si="65"/>
        <v>18.241872757482817</v>
      </c>
      <c r="M73" s="39">
        <f t="shared" si="65"/>
        <v>19.776183613090776</v>
      </c>
      <c r="N73" s="39">
        <f t="shared" si="65"/>
        <v>21.386479254623239</v>
      </c>
      <c r="O73" s="39">
        <f t="shared" si="65"/>
        <v>23.076206465598084</v>
      </c>
      <c r="P73" s="39">
        <f t="shared" si="65"/>
        <v>24.865605601321548</v>
      </c>
      <c r="Q73" s="39">
        <f t="shared" si="65"/>
        <v>26.736249410902317</v>
      </c>
      <c r="R73" s="39">
        <f t="shared" si="65"/>
        <v>28.793601479777813</v>
      </c>
      <c r="S73" s="39">
        <f t="shared" si="65"/>
        <v>30.842170464088991</v>
      </c>
      <c r="T73" s="39">
        <f t="shared" si="65"/>
        <v>32.985955037710831</v>
      </c>
      <c r="U73" s="39">
        <f t="shared" si="65"/>
        <v>35.337403295860916</v>
      </c>
      <c r="V73" s="39">
        <f t="shared" si="65"/>
        <v>37.689618728440792</v>
      </c>
      <c r="W73" s="39">
        <f t="shared" si="65"/>
        <v>40.265154824784226</v>
      </c>
      <c r="X73" s="39">
        <f t="shared" si="65"/>
        <v>42.849183496059354</v>
      </c>
      <c r="Y73" s="39">
        <f t="shared" si="65"/>
        <v>45.673701582924522</v>
      </c>
      <c r="Z73" s="39">
        <f t="shared" si="65"/>
        <v>46.162962117352201</v>
      </c>
      <c r="AA73" s="39">
        <f t="shared" si="65"/>
        <v>46.937829518745268</v>
      </c>
      <c r="AB73" s="39">
        <f t="shared" si="65"/>
        <v>47.750204314195564</v>
      </c>
      <c r="AC73" s="39">
        <f t="shared" si="65"/>
        <v>48.580530117574277</v>
      </c>
      <c r="AD73" s="39">
        <f t="shared" si="65"/>
        <v>49.312384769841266</v>
      </c>
      <c r="AE73" s="39">
        <f t="shared" si="65"/>
        <v>50.177589517115976</v>
      </c>
      <c r="AF73" s="39">
        <f t="shared" si="65"/>
        <v>51.062034230958638</v>
      </c>
      <c r="AG73" s="39">
        <f t="shared" si="65"/>
        <v>51.842176114864479</v>
      </c>
      <c r="AH73" s="39">
        <f t="shared" si="65"/>
        <v>52.76403118453851</v>
      </c>
      <c r="AI73" s="39">
        <f t="shared" si="65"/>
        <v>53.577491294938213</v>
      </c>
      <c r="AJ73" s="38"/>
      <c r="AK73" s="38"/>
      <c r="AL73" s="38"/>
      <c r="AM73" s="38"/>
      <c r="AN73" s="38"/>
      <c r="AO73" s="38"/>
      <c r="AP73" s="38"/>
      <c r="AQ73" s="38"/>
      <c r="AR73" s="38"/>
      <c r="AS73" s="38"/>
    </row>
    <row r="74" spans="1:45" s="2334" customFormat="1">
      <c r="A74" s="12"/>
      <c r="B74" s="70" t="s">
        <v>1632</v>
      </c>
      <c r="D74" s="39"/>
      <c r="E74" s="1410"/>
      <c r="F74" s="39">
        <f>IF(F$1,MIN(0,SUM($F73:F73)),0)</f>
        <v>-703.961296744283</v>
      </c>
      <c r="G74" s="39">
        <f>IF(G$1,MIN(0,SUM($F73:G73)),0)</f>
        <v>-841.03661295405266</v>
      </c>
      <c r="H74" s="39">
        <f>IF(H$1,MIN(0,SUM($F73:H73)),0)</f>
        <v>-917.4818797089946</v>
      </c>
      <c r="I74" s="39">
        <f>IF(I$1,MIN(0,SUM($F73:I73)),0)</f>
        <v>-968.50711746919274</v>
      </c>
      <c r="J74" s="39">
        <f>IF(J$1,MIN(0,SUM($F73:J73)),0)</f>
        <v>-1021.4412844157357</v>
      </c>
      <c r="K74" s="39">
        <f>IF(K$1,MIN(0,SUM($F73:K73)),0)</f>
        <v>-1004.6840787152953</v>
      </c>
      <c r="L74" s="39">
        <f>IF(L$1,MIN(0,SUM($F73:L73)),0)</f>
        <v>-986.44220595781246</v>
      </c>
      <c r="M74" s="39">
        <f>IF(M$1,MIN(0,SUM($F73:M73)),0)</f>
        <v>-966.66602234472168</v>
      </c>
      <c r="N74" s="39">
        <f>IF(N$1,MIN(0,SUM($F73:N73)),0)</f>
        <v>-945.2795430900984</v>
      </c>
      <c r="O74" s="39">
        <f>IF(O$1,MIN(0,SUM($F73:O73)),0)</f>
        <v>-922.20333662450037</v>
      </c>
      <c r="P74" s="39">
        <f>IF(P$1,MIN(0,SUM($F73:P73)),0)</f>
        <v>-897.33773102317878</v>
      </c>
      <c r="Q74" s="39">
        <f>IF(Q$1,MIN(0,SUM($F73:Q73)),0)</f>
        <v>-870.60148161227642</v>
      </c>
      <c r="R74" s="39">
        <f>IF(R$1,MIN(0,SUM($F73:R73)),0)</f>
        <v>-841.80788013249855</v>
      </c>
      <c r="S74" s="39">
        <f>IF(S$1,MIN(0,SUM($F73:S73)),0)</f>
        <v>-810.96570966840954</v>
      </c>
      <c r="T74" s="39">
        <f>IF(T$1,MIN(0,SUM($F73:T73)),0)</f>
        <v>-777.97975463069872</v>
      </c>
      <c r="U74" s="39">
        <f>IF(U$1,MIN(0,SUM($F73:U73)),0)</f>
        <v>-742.64235133483783</v>
      </c>
      <c r="V74" s="39">
        <f>IF(V$1,MIN(0,SUM($F73:V73)),0)</f>
        <v>-704.95273260639703</v>
      </c>
      <c r="W74" s="39">
        <f>IF(W$1,MIN(0,SUM($F73:W73)),0)</f>
        <v>-664.68757778161284</v>
      </c>
      <c r="X74" s="39">
        <f>IF(X$1,MIN(0,SUM($F73:X73)),0)</f>
        <v>-621.83839428555348</v>
      </c>
      <c r="Y74" s="39">
        <f>IF(Y$1,MIN(0,SUM($F73:Y73)),0)</f>
        <v>-576.16469270262894</v>
      </c>
      <c r="Z74" s="39">
        <f>IF(Z$1,MIN(0,SUM($F73:Z73)),0)</f>
        <v>-530.00173058527673</v>
      </c>
      <c r="AA74" s="39">
        <f>IF(AA$1,MIN(0,SUM($F73:AA73)),0)</f>
        <v>-483.06390106653146</v>
      </c>
      <c r="AB74" s="39">
        <f>IF(AB$1,MIN(0,SUM($F73:AB73)),0)</f>
        <v>-435.31369675233589</v>
      </c>
      <c r="AC74" s="39">
        <f>IF(AC$1,MIN(0,SUM($F73:AC73)),0)</f>
        <v>-386.73316663476163</v>
      </c>
      <c r="AD74" s="39">
        <f>IF(AD$1,MIN(0,SUM($F73:AD73)),0)</f>
        <v>-337.42078186492034</v>
      </c>
      <c r="AE74" s="39">
        <f>IF(AE$1,MIN(0,SUM($F73:AE73)),0)</f>
        <v>-287.24319234780438</v>
      </c>
      <c r="AF74" s="39">
        <f>IF(AF$1,MIN(0,SUM($F73:AF73)),0)</f>
        <v>-236.18115811684575</v>
      </c>
      <c r="AG74" s="39">
        <f>IF(AG$1,MIN(0,SUM($F73:AG73)),0)</f>
        <v>-184.33898200198126</v>
      </c>
      <c r="AH74" s="39">
        <f>IF(AH$1,MIN(0,SUM($F73:AH73)),0)</f>
        <v>-131.57495081744275</v>
      </c>
      <c r="AI74" s="39">
        <f>IF(AI$1,MIN(0,SUM($F73:AI73)),0)</f>
        <v>-77.997459522504542</v>
      </c>
      <c r="AJ74" s="38"/>
      <c r="AK74" s="38"/>
      <c r="AL74" s="38"/>
      <c r="AM74" s="38"/>
      <c r="AN74" s="38"/>
      <c r="AO74" s="38"/>
      <c r="AP74" s="38"/>
      <c r="AQ74" s="38"/>
      <c r="AR74" s="38"/>
      <c r="AS74" s="38"/>
    </row>
    <row r="75" spans="1:45" s="2334" customFormat="1">
      <c r="B75" s="70" t="s">
        <v>977</v>
      </c>
      <c r="D75" s="39"/>
      <c r="E75" s="1410"/>
      <c r="F75" s="39">
        <f t="shared" ref="F75:AI75" si="66">IF(AND(F$1,TaxLossTreatment=TaxMinZero),IF(F74&gt;0,F73,IF(F73+E74&gt;0,F73+E74,0)),F73)</f>
        <v>-703.961296744283</v>
      </c>
      <c r="G75" s="39">
        <f t="shared" si="66"/>
        <v>-137.07531620976962</v>
      </c>
      <c r="H75" s="39">
        <f t="shared" si="66"/>
        <v>-76.445266754941969</v>
      </c>
      <c r="I75" s="39">
        <f t="shared" si="66"/>
        <v>-51.025237760198095</v>
      </c>
      <c r="J75" s="39">
        <f t="shared" si="66"/>
        <v>-52.934166946542987</v>
      </c>
      <c r="K75" s="39">
        <f t="shared" si="66"/>
        <v>16.757205700440409</v>
      </c>
      <c r="L75" s="39">
        <f t="shared" si="66"/>
        <v>18.241872757482817</v>
      </c>
      <c r="M75" s="39">
        <f t="shared" si="66"/>
        <v>19.776183613090776</v>
      </c>
      <c r="N75" s="39">
        <f t="shared" si="66"/>
        <v>21.386479254623239</v>
      </c>
      <c r="O75" s="39">
        <f t="shared" si="66"/>
        <v>23.076206465598084</v>
      </c>
      <c r="P75" s="39">
        <f t="shared" si="66"/>
        <v>24.865605601321548</v>
      </c>
      <c r="Q75" s="39">
        <f t="shared" si="66"/>
        <v>26.736249410902317</v>
      </c>
      <c r="R75" s="39">
        <f t="shared" si="66"/>
        <v>28.793601479777813</v>
      </c>
      <c r="S75" s="39">
        <f t="shared" si="66"/>
        <v>30.842170464088991</v>
      </c>
      <c r="T75" s="39">
        <f t="shared" si="66"/>
        <v>32.985955037710831</v>
      </c>
      <c r="U75" s="39">
        <f t="shared" si="66"/>
        <v>35.337403295860916</v>
      </c>
      <c r="V75" s="39">
        <f t="shared" si="66"/>
        <v>37.689618728440792</v>
      </c>
      <c r="W75" s="39">
        <f t="shared" si="66"/>
        <v>40.265154824784226</v>
      </c>
      <c r="X75" s="39">
        <f t="shared" si="66"/>
        <v>42.849183496059354</v>
      </c>
      <c r="Y75" s="39">
        <f t="shared" si="66"/>
        <v>45.673701582924522</v>
      </c>
      <c r="Z75" s="39">
        <f t="shared" si="66"/>
        <v>46.162962117352201</v>
      </c>
      <c r="AA75" s="39">
        <f t="shared" si="66"/>
        <v>46.937829518745268</v>
      </c>
      <c r="AB75" s="39">
        <f t="shared" si="66"/>
        <v>47.750204314195564</v>
      </c>
      <c r="AC75" s="39">
        <f t="shared" si="66"/>
        <v>48.580530117574277</v>
      </c>
      <c r="AD75" s="39">
        <f t="shared" si="66"/>
        <v>49.312384769841266</v>
      </c>
      <c r="AE75" s="39">
        <f t="shared" si="66"/>
        <v>50.177589517115976</v>
      </c>
      <c r="AF75" s="39">
        <f t="shared" si="66"/>
        <v>51.062034230958638</v>
      </c>
      <c r="AG75" s="39">
        <f t="shared" si="66"/>
        <v>51.842176114864479</v>
      </c>
      <c r="AH75" s="39">
        <f t="shared" si="66"/>
        <v>52.76403118453851</v>
      </c>
      <c r="AI75" s="39">
        <f t="shared" si="66"/>
        <v>53.577491294938213</v>
      </c>
      <c r="AJ75" s="38"/>
      <c r="AK75" s="38"/>
      <c r="AL75" s="38"/>
      <c r="AM75" s="38"/>
      <c r="AN75" s="38"/>
      <c r="AO75" s="38"/>
      <c r="AP75" s="38"/>
      <c r="AQ75" s="38"/>
      <c r="AR75" s="38"/>
      <c r="AS75" s="38"/>
    </row>
    <row r="76" spans="1:45" s="43" customFormat="1" ht="13.5" thickBot="1">
      <c r="B76" s="2505" t="s">
        <v>1635</v>
      </c>
      <c r="D76" s="3232">
        <f>-PMT(DiscountRate,BookLife,E76)</f>
        <v>118.67096164181071</v>
      </c>
      <c r="E76" s="3234">
        <f>NPV(DiscountRate,F76:AS76)*(1)</f>
        <v>1527.5767418413843</v>
      </c>
      <c r="F76" s="527">
        <f t="shared" ref="F76:AI76" si="67">IF(F1,F91*InstalledCostPerkW*(1-BETCDepreciation),0)</f>
        <v>705.10435648085968</v>
      </c>
      <c r="G76" s="527">
        <f t="shared" si="67"/>
        <v>423.06261388851578</v>
      </c>
      <c r="H76" s="527">
        <f t="shared" si="67"/>
        <v>253.83756833310946</v>
      </c>
      <c r="I76" s="527">
        <f t="shared" si="67"/>
        <v>185.54317494824909</v>
      </c>
      <c r="J76" s="527">
        <f t="shared" si="67"/>
        <v>195.21317755141536</v>
      </c>
      <c r="K76" s="527">
        <f t="shared" si="67"/>
        <v>0</v>
      </c>
      <c r="L76" s="527">
        <f t="shared" si="67"/>
        <v>0</v>
      </c>
      <c r="M76" s="527">
        <f t="shared" si="67"/>
        <v>0</v>
      </c>
      <c r="N76" s="527">
        <f t="shared" si="67"/>
        <v>0</v>
      </c>
      <c r="O76" s="527">
        <f t="shared" si="67"/>
        <v>0</v>
      </c>
      <c r="P76" s="527">
        <f t="shared" si="67"/>
        <v>0</v>
      </c>
      <c r="Q76" s="527">
        <f t="shared" si="67"/>
        <v>0</v>
      </c>
      <c r="R76" s="527">
        <f t="shared" si="67"/>
        <v>0</v>
      </c>
      <c r="S76" s="527">
        <f t="shared" si="67"/>
        <v>0</v>
      </c>
      <c r="T76" s="527">
        <f t="shared" si="67"/>
        <v>0</v>
      </c>
      <c r="U76" s="527">
        <f t="shared" si="67"/>
        <v>0</v>
      </c>
      <c r="V76" s="527">
        <f t="shared" si="67"/>
        <v>0</v>
      </c>
      <c r="W76" s="527">
        <f t="shared" si="67"/>
        <v>0</v>
      </c>
      <c r="X76" s="527">
        <f t="shared" si="67"/>
        <v>0</v>
      </c>
      <c r="Y76" s="527">
        <f t="shared" si="67"/>
        <v>0</v>
      </c>
      <c r="Z76" s="527">
        <f t="shared" si="67"/>
        <v>0</v>
      </c>
      <c r="AA76" s="527">
        <f t="shared" si="67"/>
        <v>0</v>
      </c>
      <c r="AB76" s="527">
        <f t="shared" si="67"/>
        <v>0</v>
      </c>
      <c r="AC76" s="527">
        <f t="shared" si="67"/>
        <v>0</v>
      </c>
      <c r="AD76" s="527">
        <f t="shared" si="67"/>
        <v>0</v>
      </c>
      <c r="AE76" s="527">
        <f t="shared" si="67"/>
        <v>0</v>
      </c>
      <c r="AF76" s="527">
        <f t="shared" si="67"/>
        <v>0</v>
      </c>
      <c r="AG76" s="527">
        <f t="shared" si="67"/>
        <v>0</v>
      </c>
      <c r="AH76" s="527">
        <f t="shared" si="67"/>
        <v>0</v>
      </c>
      <c r="AI76" s="527">
        <f t="shared" si="67"/>
        <v>0</v>
      </c>
      <c r="AJ76" s="3233"/>
      <c r="AK76" s="3233"/>
      <c r="AL76" s="3233"/>
      <c r="AM76" s="3233"/>
      <c r="AN76" s="3233"/>
      <c r="AO76" s="3233"/>
      <c r="AP76" s="3233"/>
      <c r="AQ76" s="3233"/>
      <c r="AR76" s="3233"/>
      <c r="AS76" s="3233"/>
    </row>
    <row r="77" spans="1:45" s="2334" customFormat="1">
      <c r="B77" s="2501" t="str">
        <f>IF(F$1,IF(E63&gt;SUM(E61:E62),B63,B61))</f>
        <v>REPTC (Tax Credit)</v>
      </c>
      <c r="D77" s="630"/>
      <c r="E77" s="314"/>
      <c r="F77" s="2460"/>
      <c r="G77" s="630"/>
      <c r="H77" s="630"/>
      <c r="I77" s="630"/>
      <c r="J77" s="630"/>
      <c r="K77" s="630"/>
      <c r="L77" s="630"/>
      <c r="M77" s="630"/>
      <c r="N77" s="630"/>
      <c r="O77" s="630"/>
      <c r="P77" s="630"/>
      <c r="Q77" s="630"/>
      <c r="R77" s="630"/>
      <c r="S77" s="630"/>
      <c r="T77" s="630"/>
      <c r="U77" s="630"/>
      <c r="V77" s="630"/>
      <c r="W77" s="630"/>
      <c r="X77" s="630"/>
      <c r="Y77" s="630"/>
      <c r="Z77" s="630"/>
      <c r="AA77" s="630"/>
      <c r="AB77" s="630"/>
      <c r="AC77" s="630"/>
      <c r="AD77" s="630"/>
      <c r="AE77" s="630"/>
      <c r="AF77" s="630"/>
      <c r="AG77" s="630"/>
      <c r="AH77" s="630"/>
      <c r="AI77" s="630"/>
    </row>
    <row r="78" spans="1:45" s="2335" customFormat="1">
      <c r="B78" s="2756"/>
      <c r="D78" s="630"/>
      <c r="E78" s="279"/>
      <c r="F78" s="2460"/>
      <c r="G78" s="630"/>
      <c r="H78" s="630"/>
      <c r="I78" s="630"/>
      <c r="J78" s="630"/>
      <c r="K78" s="630"/>
      <c r="L78" s="630"/>
      <c r="M78" s="630"/>
      <c r="N78" s="630"/>
      <c r="O78" s="630"/>
      <c r="P78" s="630"/>
      <c r="Q78" s="630"/>
      <c r="R78" s="630"/>
      <c r="S78" s="630"/>
      <c r="T78" s="630"/>
      <c r="U78" s="630"/>
      <c r="V78" s="630"/>
      <c r="W78" s="630"/>
      <c r="X78" s="630"/>
      <c r="Y78" s="630"/>
      <c r="Z78" s="630"/>
      <c r="AA78" s="630"/>
      <c r="AB78" s="630"/>
      <c r="AC78" s="630"/>
      <c r="AD78" s="630"/>
      <c r="AE78" s="630"/>
      <c r="AF78" s="630"/>
      <c r="AG78" s="630"/>
      <c r="AH78" s="630"/>
      <c r="AI78" s="630"/>
    </row>
    <row r="79" spans="1:45" s="2330" customFormat="1">
      <c r="B79" s="1014" t="s">
        <v>979</v>
      </c>
      <c r="C79" s="1014" t="s">
        <v>980</v>
      </c>
      <c r="D79" s="1015">
        <f>-PMT(DiscountRate,BookLife,E79)</f>
        <v>171.31335951810115</v>
      </c>
      <c r="E79" s="1016">
        <f>NPV(DiscountRate,F79:AS79)*(1)</f>
        <v>2205.2092605134949</v>
      </c>
      <c r="F79" s="4390">
        <f>F44-F66</f>
        <v>432.6174107966566</v>
      </c>
      <c r="G79" s="4390">
        <f t="shared" ref="G79:AS79" si="68">G44-G66</f>
        <v>318.00227567297713</v>
      </c>
      <c r="H79" s="4390">
        <f t="shared" si="68"/>
        <v>249.43842004958373</v>
      </c>
      <c r="I79" s="4390">
        <f t="shared" si="68"/>
        <v>222.53092411422108</v>
      </c>
      <c r="J79" s="4390">
        <f t="shared" si="68"/>
        <v>227.52391374515972</v>
      </c>
      <c r="K79" s="4390">
        <f t="shared" si="68"/>
        <v>147.81777089211184</v>
      </c>
      <c r="L79" s="4390">
        <f t="shared" si="68"/>
        <v>148.57082186910947</v>
      </c>
      <c r="M79" s="4390">
        <f t="shared" si="68"/>
        <v>149.26562176679522</v>
      </c>
      <c r="N79" s="4390">
        <f t="shared" si="68"/>
        <v>149.94179112499825</v>
      </c>
      <c r="O79" s="4390">
        <f t="shared" si="68"/>
        <v>150.59587778468909</v>
      </c>
      <c r="P79" s="4390">
        <f t="shared" si="68"/>
        <v>93.382438467066237</v>
      </c>
      <c r="Q79" s="4390">
        <f t="shared" si="68"/>
        <v>93.27281216111372</v>
      </c>
      <c r="R79" s="4390">
        <f t="shared" si="68"/>
        <v>93.297931554008812</v>
      </c>
      <c r="S79" s="4390">
        <f t="shared" si="68"/>
        <v>93.082204157001087</v>
      </c>
      <c r="T79" s="4390">
        <f t="shared" si="68"/>
        <v>92.805491878032313</v>
      </c>
      <c r="U79" s="4390">
        <f t="shared" si="68"/>
        <v>92.662563220428808</v>
      </c>
      <c r="V79" s="4390">
        <f t="shared" si="68"/>
        <v>92.254286519031297</v>
      </c>
      <c r="W79" s="4390">
        <f t="shared" si="68"/>
        <v>91.978199317888055</v>
      </c>
      <c r="X79" s="4390">
        <f t="shared" si="68"/>
        <v>91.41862621592351</v>
      </c>
      <c r="Y79" s="4390">
        <f t="shared" si="68"/>
        <v>90.988721505623701</v>
      </c>
      <c r="Z79" s="4390">
        <f t="shared" si="68"/>
        <v>85.886211664910206</v>
      </c>
      <c r="AA79" s="4390">
        <f t="shared" si="68"/>
        <v>87.327987111063365</v>
      </c>
      <c r="AB79" s="4390">
        <f t="shared" si="68"/>
        <v>88.839467441665107</v>
      </c>
      <c r="AC79" s="4390">
        <f t="shared" si="68"/>
        <v>90.384334506414078</v>
      </c>
      <c r="AD79" s="4390">
        <f t="shared" si="68"/>
        <v>91.746376591793535</v>
      </c>
      <c r="AE79" s="4390">
        <f t="shared" si="68"/>
        <v>93.35611975204003</v>
      </c>
      <c r="AF79" s="4390">
        <f t="shared" si="68"/>
        <v>95.001646075650086</v>
      </c>
      <c r="AG79" s="4390">
        <f t="shared" si="68"/>
        <v>96.453519854859337</v>
      </c>
      <c r="AH79" s="4390">
        <f t="shared" si="68"/>
        <v>98.168628906432161</v>
      </c>
      <c r="AI79" s="4390">
        <f t="shared" si="68"/>
        <v>99.682487622169205</v>
      </c>
      <c r="AJ79" s="4390">
        <f t="shared" si="68"/>
        <v>0</v>
      </c>
      <c r="AK79" s="4390">
        <f t="shared" si="68"/>
        <v>0</v>
      </c>
      <c r="AL79" s="4390">
        <f t="shared" si="68"/>
        <v>0</v>
      </c>
      <c r="AM79" s="4390">
        <f t="shared" si="68"/>
        <v>0</v>
      </c>
      <c r="AN79" s="4390">
        <f t="shared" si="68"/>
        <v>0</v>
      </c>
      <c r="AO79" s="4390">
        <f t="shared" si="68"/>
        <v>0</v>
      </c>
      <c r="AP79" s="4390">
        <f t="shared" si="68"/>
        <v>0</v>
      </c>
      <c r="AQ79" s="4390">
        <f t="shared" si="68"/>
        <v>0</v>
      </c>
      <c r="AR79" s="4390">
        <f t="shared" si="68"/>
        <v>0</v>
      </c>
      <c r="AS79" s="4390">
        <f t="shared" si="68"/>
        <v>0</v>
      </c>
    </row>
    <row r="80" spans="1:45" s="2330" customFormat="1">
      <c r="B80" s="1014" t="s">
        <v>71</v>
      </c>
      <c r="C80" s="1013"/>
      <c r="D80" s="1015">
        <f>-PMT(DiscountRate,BookLife,E80)</f>
        <v>80.118905397486827</v>
      </c>
      <c r="E80" s="4391">
        <f>NPV(DiscountRate,F80:AS80)</f>
        <v>1031.3203396497192</v>
      </c>
      <c r="F80" s="4390">
        <f>F79-(F36)</f>
        <v>324.89844321807749</v>
      </c>
      <c r="G80" s="4390">
        <f t="shared" ref="G80:AS80" si="69">G79-(G36)</f>
        <v>210.28330809439802</v>
      </c>
      <c r="H80" s="4390">
        <f t="shared" si="69"/>
        <v>141.71945247100462</v>
      </c>
      <c r="I80" s="4390">
        <f t="shared" si="69"/>
        <v>114.811956535642</v>
      </c>
      <c r="J80" s="4390">
        <f t="shared" si="69"/>
        <v>119.80494616658062</v>
      </c>
      <c r="K80" s="4390">
        <f t="shared" si="69"/>
        <v>40.098803313532741</v>
      </c>
      <c r="L80" s="4390">
        <f t="shared" si="69"/>
        <v>40.851854290530369</v>
      </c>
      <c r="M80" s="4390">
        <f t="shared" si="69"/>
        <v>41.546654188216124</v>
      </c>
      <c r="N80" s="4390">
        <f t="shared" si="69"/>
        <v>42.222823546419136</v>
      </c>
      <c r="O80" s="4390">
        <f t="shared" si="69"/>
        <v>42.876910206109997</v>
      </c>
      <c r="P80" s="4390">
        <f t="shared" si="69"/>
        <v>-14.33652911151286</v>
      </c>
      <c r="Q80" s="4390">
        <f t="shared" si="69"/>
        <v>-14.446155417465363</v>
      </c>
      <c r="R80" s="4390">
        <f t="shared" si="69"/>
        <v>-14.421036024570284</v>
      </c>
      <c r="S80" s="4390">
        <f t="shared" si="69"/>
        <v>-14.63676342157801</v>
      </c>
      <c r="T80" s="4390">
        <f t="shared" si="69"/>
        <v>-14.913475700546797</v>
      </c>
      <c r="U80" s="4390">
        <f t="shared" si="69"/>
        <v>-15.056404358150303</v>
      </c>
      <c r="V80" s="4390">
        <f t="shared" si="69"/>
        <v>-15.4646810595478</v>
      </c>
      <c r="W80" s="4390">
        <f t="shared" si="69"/>
        <v>-15.740768260691041</v>
      </c>
      <c r="X80" s="4390">
        <f t="shared" si="69"/>
        <v>-16.300341362655587</v>
      </c>
      <c r="Y80" s="4390">
        <f t="shared" si="69"/>
        <v>-16.730246072955396</v>
      </c>
      <c r="Z80" s="4390">
        <f t="shared" si="69"/>
        <v>85.886211664910206</v>
      </c>
      <c r="AA80" s="4390">
        <f t="shared" si="69"/>
        <v>87.327987111063365</v>
      </c>
      <c r="AB80" s="4390">
        <f t="shared" si="69"/>
        <v>88.839467441665107</v>
      </c>
      <c r="AC80" s="4390">
        <f t="shared" si="69"/>
        <v>90.384334506414078</v>
      </c>
      <c r="AD80" s="4390">
        <f t="shared" si="69"/>
        <v>91.746376591793535</v>
      </c>
      <c r="AE80" s="4390">
        <f t="shared" si="69"/>
        <v>93.35611975204003</v>
      </c>
      <c r="AF80" s="4390">
        <f t="shared" si="69"/>
        <v>95.001646075650086</v>
      </c>
      <c r="AG80" s="4390">
        <f t="shared" si="69"/>
        <v>96.453519854859337</v>
      </c>
      <c r="AH80" s="4390">
        <f t="shared" si="69"/>
        <v>98.168628906432161</v>
      </c>
      <c r="AI80" s="4390">
        <f t="shared" si="69"/>
        <v>99.682487622169205</v>
      </c>
      <c r="AJ80" s="4390">
        <f t="shared" si="69"/>
        <v>0</v>
      </c>
      <c r="AK80" s="4390">
        <f t="shared" si="69"/>
        <v>0</v>
      </c>
      <c r="AL80" s="4390">
        <f t="shared" si="69"/>
        <v>0</v>
      </c>
      <c r="AM80" s="4390">
        <f t="shared" si="69"/>
        <v>0</v>
      </c>
      <c r="AN80" s="4390">
        <f t="shared" si="69"/>
        <v>0</v>
      </c>
      <c r="AO80" s="4390">
        <f t="shared" si="69"/>
        <v>0</v>
      </c>
      <c r="AP80" s="4390">
        <f t="shared" si="69"/>
        <v>0</v>
      </c>
      <c r="AQ80" s="4390">
        <f t="shared" si="69"/>
        <v>0</v>
      </c>
      <c r="AR80" s="4390">
        <f t="shared" si="69"/>
        <v>0</v>
      </c>
      <c r="AS80" s="4390">
        <f t="shared" si="69"/>
        <v>0</v>
      </c>
    </row>
    <row r="81" spans="1:47" s="2330" customFormat="1">
      <c r="B81" s="1380"/>
      <c r="C81" s="1014"/>
      <c r="D81" s="1428"/>
      <c r="E81" s="4392"/>
      <c r="F81" s="4390"/>
      <c r="G81" s="4390"/>
      <c r="H81" s="4390"/>
      <c r="I81" s="4390"/>
      <c r="J81" s="4390"/>
      <c r="K81" s="4390"/>
      <c r="L81" s="4390"/>
      <c r="M81" s="4390"/>
      <c r="N81" s="4390"/>
      <c r="O81" s="4390"/>
      <c r="P81" s="4390"/>
      <c r="Q81" s="4390"/>
      <c r="R81" s="4390"/>
      <c r="S81" s="4390"/>
      <c r="T81" s="4390"/>
      <c r="U81" s="4390"/>
      <c r="V81" s="4390"/>
      <c r="W81" s="4390"/>
      <c r="X81" s="4390"/>
      <c r="Y81" s="4390"/>
      <c r="Z81" s="4390"/>
      <c r="AA81" s="4390"/>
      <c r="AB81" s="4390"/>
      <c r="AC81" s="4390"/>
      <c r="AD81" s="4390"/>
      <c r="AE81" s="4390"/>
      <c r="AF81" s="4390"/>
      <c r="AG81" s="4390"/>
      <c r="AH81" s="4390"/>
      <c r="AI81" s="4390"/>
      <c r="AJ81" s="4390"/>
      <c r="AK81" s="4390"/>
      <c r="AL81" s="4390"/>
      <c r="AM81" s="4390"/>
      <c r="AN81" s="4390"/>
      <c r="AO81" s="4390"/>
      <c r="AP81" s="4390"/>
      <c r="AQ81" s="4390"/>
      <c r="AR81" s="4390"/>
      <c r="AS81" s="4390"/>
    </row>
    <row r="82" spans="1:47" s="802" customFormat="1">
      <c r="B82" s="1377"/>
      <c r="C82" s="1023"/>
      <c r="D82" s="1451"/>
      <c r="E82" s="1375"/>
      <c r="F82" s="1030"/>
      <c r="G82" s="1030"/>
      <c r="H82" s="1030"/>
      <c r="I82" s="1030"/>
      <c r="J82" s="1030"/>
      <c r="K82" s="1030"/>
      <c r="L82" s="1030"/>
      <c r="M82" s="1030"/>
      <c r="N82" s="1030"/>
      <c r="O82" s="1030"/>
      <c r="P82" s="1030"/>
      <c r="Q82" s="1030"/>
      <c r="R82" s="1030"/>
      <c r="S82" s="1030"/>
      <c r="T82" s="1030"/>
      <c r="U82" s="1030"/>
      <c r="V82" s="1030"/>
      <c r="W82" s="1030"/>
      <c r="X82" s="1030"/>
      <c r="Y82" s="1030"/>
      <c r="Z82" s="1030"/>
      <c r="AA82" s="1030"/>
      <c r="AB82" s="1030"/>
      <c r="AC82" s="1030"/>
      <c r="AD82" s="1030"/>
      <c r="AE82" s="1030"/>
      <c r="AF82" s="1030"/>
      <c r="AG82" s="1030"/>
      <c r="AH82" s="1030"/>
      <c r="AI82" s="1030"/>
      <c r="AJ82" s="1030"/>
      <c r="AK82" s="1030"/>
      <c r="AL82" s="1030"/>
      <c r="AM82" s="1030"/>
      <c r="AN82" s="1030"/>
      <c r="AO82" s="1030"/>
      <c r="AP82" s="1030"/>
      <c r="AQ82" s="1030"/>
      <c r="AR82" s="1030"/>
      <c r="AS82" s="1030"/>
    </row>
    <row r="83" spans="1:47" s="802" customFormat="1" ht="14.25">
      <c r="B83" s="4406" t="s">
        <v>2071</v>
      </c>
      <c r="C83" s="4407"/>
      <c r="D83" s="4408"/>
      <c r="E83" s="4409"/>
      <c r="F83" s="4410"/>
      <c r="G83" s="4410"/>
      <c r="H83" s="4410"/>
      <c r="I83" s="4410"/>
      <c r="J83" s="4410"/>
      <c r="K83" s="4410"/>
      <c r="L83" s="4410"/>
      <c r="M83" s="4410"/>
      <c r="N83" s="4410"/>
      <c r="O83" s="4410"/>
      <c r="P83" s="4410"/>
      <c r="Q83" s="4410"/>
      <c r="R83" s="4410"/>
      <c r="S83" s="4410"/>
      <c r="T83" s="4410"/>
      <c r="U83" s="4410"/>
      <c r="V83" s="4410"/>
      <c r="W83" s="4410"/>
      <c r="X83" s="4410"/>
      <c r="Y83" s="4410"/>
      <c r="Z83" s="4410"/>
      <c r="AA83" s="4410"/>
      <c r="AB83" s="4410"/>
      <c r="AC83" s="4410"/>
      <c r="AD83" s="4410"/>
      <c r="AE83" s="4410"/>
      <c r="AF83" s="4410"/>
      <c r="AG83" s="4410"/>
      <c r="AH83" s="4410"/>
      <c r="AI83" s="4410"/>
      <c r="AJ83" s="4410"/>
      <c r="AK83" s="4410"/>
      <c r="AL83" s="4410"/>
      <c r="AM83" s="4410"/>
      <c r="AN83" s="4410"/>
      <c r="AO83" s="4410"/>
      <c r="AP83" s="4410"/>
      <c r="AQ83" s="4410"/>
      <c r="AR83" s="4410"/>
      <c r="AS83" s="4410"/>
      <c r="AT83" s="4411"/>
      <c r="AU83" s="4411"/>
    </row>
    <row r="84" spans="1:47" s="802" customFormat="1">
      <c r="B84" s="4393" t="s">
        <v>979</v>
      </c>
      <c r="C84" s="4393" t="s">
        <v>980</v>
      </c>
      <c r="D84" s="4395">
        <f>-PMT(DiscountRate,BookLife,E84)</f>
        <v>171.31335951810115</v>
      </c>
      <c r="E84" s="4396">
        <f>NPV(DiscountRate,F84:AS84)*(1)</f>
        <v>2205.2092605134949</v>
      </c>
      <c r="F84" s="4394">
        <f>F79</f>
        <v>432.6174107966566</v>
      </c>
      <c r="G84" s="4394">
        <f t="shared" ref="G84:AS84" si="70">G79</f>
        <v>318.00227567297713</v>
      </c>
      <c r="H84" s="4394">
        <f t="shared" si="70"/>
        <v>249.43842004958373</v>
      </c>
      <c r="I84" s="4394">
        <f t="shared" si="70"/>
        <v>222.53092411422108</v>
      </c>
      <c r="J84" s="4394">
        <f t="shared" si="70"/>
        <v>227.52391374515972</v>
      </c>
      <c r="K84" s="4394">
        <f t="shared" si="70"/>
        <v>147.81777089211184</v>
      </c>
      <c r="L84" s="4394">
        <f t="shared" si="70"/>
        <v>148.57082186910947</v>
      </c>
      <c r="M84" s="4394">
        <f t="shared" si="70"/>
        <v>149.26562176679522</v>
      </c>
      <c r="N84" s="4394">
        <f t="shared" si="70"/>
        <v>149.94179112499825</v>
      </c>
      <c r="O84" s="4394">
        <f t="shared" si="70"/>
        <v>150.59587778468909</v>
      </c>
      <c r="P84" s="4394">
        <f t="shared" si="70"/>
        <v>93.382438467066237</v>
      </c>
      <c r="Q84" s="4394">
        <f t="shared" si="70"/>
        <v>93.27281216111372</v>
      </c>
      <c r="R84" s="4394">
        <f t="shared" si="70"/>
        <v>93.297931554008812</v>
      </c>
      <c r="S84" s="4394">
        <f t="shared" si="70"/>
        <v>93.082204157001087</v>
      </c>
      <c r="T84" s="4394">
        <f t="shared" si="70"/>
        <v>92.805491878032313</v>
      </c>
      <c r="U84" s="4394">
        <f t="shared" si="70"/>
        <v>92.662563220428808</v>
      </c>
      <c r="V84" s="4394">
        <f t="shared" si="70"/>
        <v>92.254286519031297</v>
      </c>
      <c r="W84" s="4394">
        <f t="shared" si="70"/>
        <v>91.978199317888055</v>
      </c>
      <c r="X84" s="4394">
        <f t="shared" si="70"/>
        <v>91.41862621592351</v>
      </c>
      <c r="Y84" s="4394">
        <f t="shared" si="70"/>
        <v>90.988721505623701</v>
      </c>
      <c r="Z84" s="4394">
        <f t="shared" si="70"/>
        <v>85.886211664910206</v>
      </c>
      <c r="AA84" s="4394">
        <f t="shared" si="70"/>
        <v>87.327987111063365</v>
      </c>
      <c r="AB84" s="4394">
        <f t="shared" si="70"/>
        <v>88.839467441665107</v>
      </c>
      <c r="AC84" s="4394">
        <f t="shared" si="70"/>
        <v>90.384334506414078</v>
      </c>
      <c r="AD84" s="4394">
        <f t="shared" si="70"/>
        <v>91.746376591793535</v>
      </c>
      <c r="AE84" s="4394">
        <f t="shared" si="70"/>
        <v>93.35611975204003</v>
      </c>
      <c r="AF84" s="4394">
        <f t="shared" si="70"/>
        <v>95.001646075650086</v>
      </c>
      <c r="AG84" s="4394">
        <f t="shared" si="70"/>
        <v>96.453519854859337</v>
      </c>
      <c r="AH84" s="4394">
        <f t="shared" si="70"/>
        <v>98.168628906432161</v>
      </c>
      <c r="AI84" s="4394">
        <f t="shared" si="70"/>
        <v>99.682487622169205</v>
      </c>
      <c r="AJ84" s="4394">
        <f t="shared" si="70"/>
        <v>0</v>
      </c>
      <c r="AK84" s="4394">
        <f t="shared" si="70"/>
        <v>0</v>
      </c>
      <c r="AL84" s="4394">
        <f t="shared" si="70"/>
        <v>0</v>
      </c>
      <c r="AM84" s="4394">
        <f t="shared" si="70"/>
        <v>0</v>
      </c>
      <c r="AN84" s="4394">
        <f t="shared" si="70"/>
        <v>0</v>
      </c>
      <c r="AO84" s="4394">
        <f t="shared" si="70"/>
        <v>0</v>
      </c>
      <c r="AP84" s="4394">
        <f t="shared" si="70"/>
        <v>0</v>
      </c>
      <c r="AQ84" s="4394">
        <f t="shared" si="70"/>
        <v>0</v>
      </c>
      <c r="AR84" s="4394">
        <f t="shared" si="70"/>
        <v>0</v>
      </c>
      <c r="AS84" s="4394">
        <f t="shared" si="70"/>
        <v>0</v>
      </c>
      <c r="AT84" s="992"/>
      <c r="AU84" s="992"/>
    </row>
    <row r="85" spans="1:47" s="1376" customFormat="1">
      <c r="B85" s="4397" t="s">
        <v>71</v>
      </c>
      <c r="C85" s="4398"/>
      <c r="D85" s="4399">
        <f>InstalledCostPerkW*(1-Debt_Financed)</f>
        <v>829.53453703630555</v>
      </c>
      <c r="E85" s="4400">
        <f>-NPV(AvgEquityRate,F85:AS85)</f>
        <v>-829.54403775996866</v>
      </c>
      <c r="F85" s="4394">
        <f>F80</f>
        <v>324.89844321807749</v>
      </c>
      <c r="G85" s="4394">
        <f t="shared" ref="G85:AS85" si="71">G80</f>
        <v>210.28330809439802</v>
      </c>
      <c r="H85" s="4394">
        <f t="shared" si="71"/>
        <v>141.71945247100462</v>
      </c>
      <c r="I85" s="4394">
        <f t="shared" si="71"/>
        <v>114.811956535642</v>
      </c>
      <c r="J85" s="4394">
        <f t="shared" si="71"/>
        <v>119.80494616658062</v>
      </c>
      <c r="K85" s="4394">
        <f t="shared" si="71"/>
        <v>40.098803313532741</v>
      </c>
      <c r="L85" s="4394">
        <f t="shared" si="71"/>
        <v>40.851854290530369</v>
      </c>
      <c r="M85" s="4394">
        <f t="shared" si="71"/>
        <v>41.546654188216124</v>
      </c>
      <c r="N85" s="4394">
        <f t="shared" si="71"/>
        <v>42.222823546419136</v>
      </c>
      <c r="O85" s="4394">
        <f t="shared" si="71"/>
        <v>42.876910206109997</v>
      </c>
      <c r="P85" s="4394">
        <f t="shared" si="71"/>
        <v>-14.33652911151286</v>
      </c>
      <c r="Q85" s="4394">
        <f t="shared" si="71"/>
        <v>-14.446155417465363</v>
      </c>
      <c r="R85" s="4394">
        <f t="shared" si="71"/>
        <v>-14.421036024570284</v>
      </c>
      <c r="S85" s="4394">
        <f t="shared" si="71"/>
        <v>-14.63676342157801</v>
      </c>
      <c r="T85" s="4394">
        <f t="shared" si="71"/>
        <v>-14.913475700546797</v>
      </c>
      <c r="U85" s="4394">
        <f t="shared" si="71"/>
        <v>-15.056404358150303</v>
      </c>
      <c r="V85" s="4394">
        <f t="shared" si="71"/>
        <v>-15.4646810595478</v>
      </c>
      <c r="W85" s="4394">
        <f t="shared" si="71"/>
        <v>-15.740768260691041</v>
      </c>
      <c r="X85" s="4394">
        <f t="shared" si="71"/>
        <v>-16.300341362655587</v>
      </c>
      <c r="Y85" s="4394">
        <f t="shared" si="71"/>
        <v>-16.730246072955396</v>
      </c>
      <c r="Z85" s="4394">
        <f t="shared" si="71"/>
        <v>85.886211664910206</v>
      </c>
      <c r="AA85" s="4394">
        <f t="shared" si="71"/>
        <v>87.327987111063365</v>
      </c>
      <c r="AB85" s="4394">
        <f t="shared" si="71"/>
        <v>88.839467441665107</v>
      </c>
      <c r="AC85" s="4394">
        <f t="shared" si="71"/>
        <v>90.384334506414078</v>
      </c>
      <c r="AD85" s="4394">
        <f t="shared" si="71"/>
        <v>91.746376591793535</v>
      </c>
      <c r="AE85" s="4394">
        <f t="shared" si="71"/>
        <v>93.35611975204003</v>
      </c>
      <c r="AF85" s="4394">
        <f t="shared" si="71"/>
        <v>95.001646075650086</v>
      </c>
      <c r="AG85" s="4394">
        <f t="shared" si="71"/>
        <v>96.453519854859337</v>
      </c>
      <c r="AH85" s="4394">
        <f t="shared" si="71"/>
        <v>98.168628906432161</v>
      </c>
      <c r="AI85" s="4394">
        <f t="shared" si="71"/>
        <v>99.682487622169205</v>
      </c>
      <c r="AJ85" s="4394">
        <f t="shared" si="71"/>
        <v>0</v>
      </c>
      <c r="AK85" s="4394">
        <f t="shared" si="71"/>
        <v>0</v>
      </c>
      <c r="AL85" s="4394">
        <f t="shared" si="71"/>
        <v>0</v>
      </c>
      <c r="AM85" s="4394">
        <f t="shared" si="71"/>
        <v>0</v>
      </c>
      <c r="AN85" s="4394">
        <f t="shared" si="71"/>
        <v>0</v>
      </c>
      <c r="AO85" s="4394">
        <f t="shared" si="71"/>
        <v>0</v>
      </c>
      <c r="AP85" s="4394">
        <f t="shared" si="71"/>
        <v>0</v>
      </c>
      <c r="AQ85" s="4394">
        <f t="shared" si="71"/>
        <v>0</v>
      </c>
      <c r="AR85" s="4394">
        <f t="shared" si="71"/>
        <v>0</v>
      </c>
      <c r="AS85" s="4394">
        <f t="shared" si="71"/>
        <v>0</v>
      </c>
      <c r="AT85" s="4412"/>
      <c r="AU85" s="4412"/>
    </row>
    <row r="86" spans="1:47" s="802" customFormat="1">
      <c r="B86" s="4401" t="s">
        <v>1413</v>
      </c>
      <c r="C86" s="4402"/>
      <c r="D86" s="4403">
        <f>PMT(E86,BookLife,E85)</f>
        <v>97.993770662743628</v>
      </c>
      <c r="E86" s="4404">
        <f>IRR(E85:AS85)</f>
        <v>0.11342499999999944</v>
      </c>
      <c r="F86" s="4405"/>
      <c r="G86" s="4405"/>
      <c r="H86" s="4405"/>
      <c r="I86" s="4405"/>
      <c r="J86" s="4405"/>
      <c r="K86" s="4405"/>
      <c r="L86" s="4405"/>
      <c r="M86" s="4405"/>
      <c r="N86" s="4405"/>
      <c r="O86" s="4405"/>
      <c r="P86" s="4405"/>
      <c r="Q86" s="4405"/>
      <c r="R86" s="4405"/>
      <c r="S86" s="4405"/>
      <c r="T86" s="4405"/>
      <c r="U86" s="4405"/>
      <c r="V86" s="4405"/>
      <c r="W86" s="4405"/>
      <c r="X86" s="4405"/>
      <c r="Y86" s="4405"/>
      <c r="Z86" s="4405"/>
      <c r="AA86" s="4405"/>
      <c r="AB86" s="4405"/>
      <c r="AC86" s="4405"/>
      <c r="AD86" s="4405"/>
      <c r="AE86" s="4405"/>
      <c r="AF86" s="4405"/>
      <c r="AG86" s="4405"/>
      <c r="AH86" s="4405"/>
      <c r="AI86" s="4405"/>
      <c r="AJ86" s="4405"/>
      <c r="AK86" s="4405"/>
      <c r="AL86" s="4405"/>
      <c r="AM86" s="4405"/>
      <c r="AN86" s="4405"/>
      <c r="AO86" s="4405"/>
      <c r="AP86" s="4405"/>
      <c r="AQ86" s="4405"/>
      <c r="AR86" s="4405"/>
      <c r="AS86" s="4405"/>
      <c r="AT86" s="4413"/>
      <c r="AU86" s="4413"/>
    </row>
    <row r="87" spans="1:47" s="802" customFormat="1">
      <c r="B87" s="1377"/>
      <c r="C87" s="1023"/>
      <c r="D87" s="1451"/>
      <c r="E87" s="1375"/>
      <c r="F87" s="1030"/>
      <c r="G87" s="1030"/>
      <c r="H87" s="1030"/>
      <c r="I87" s="1030"/>
      <c r="J87" s="1030"/>
      <c r="K87" s="1030"/>
      <c r="L87" s="1030"/>
      <c r="M87" s="1030"/>
      <c r="N87" s="1030"/>
      <c r="O87" s="1030"/>
      <c r="P87" s="1030"/>
      <c r="Q87" s="1030"/>
      <c r="R87" s="1030"/>
      <c r="S87" s="1030"/>
      <c r="T87" s="1030"/>
      <c r="U87" s="1030"/>
      <c r="V87" s="1030"/>
      <c r="W87" s="1030"/>
      <c r="X87" s="1030"/>
      <c r="Y87" s="1030"/>
      <c r="Z87" s="1030"/>
      <c r="AA87" s="1030"/>
      <c r="AB87" s="1030"/>
      <c r="AC87" s="1030"/>
      <c r="AD87" s="1030"/>
      <c r="AE87" s="1030"/>
      <c r="AF87" s="1030"/>
      <c r="AG87" s="1030"/>
      <c r="AH87" s="1030"/>
      <c r="AI87" s="1030"/>
      <c r="AJ87" s="1030"/>
      <c r="AK87" s="1030"/>
      <c r="AL87" s="1030"/>
      <c r="AM87" s="1030"/>
      <c r="AN87" s="1030"/>
      <c r="AO87" s="1030"/>
      <c r="AP87" s="1030"/>
      <c r="AQ87" s="1030"/>
      <c r="AR87" s="1030"/>
      <c r="AS87" s="1030"/>
    </row>
    <row r="88" spans="1:47">
      <c r="B88" s="141"/>
      <c r="D88" s="1459"/>
      <c r="E88" s="709"/>
      <c r="F88" s="642"/>
    </row>
    <row r="89" spans="1:47" s="133" customFormat="1">
      <c r="B89" s="132" t="s">
        <v>989</v>
      </c>
      <c r="D89" s="131"/>
      <c r="E89" s="710">
        <f>SUM(F89:AS89)</f>
        <v>0.99999999999999989</v>
      </c>
      <c r="F89" s="696">
        <f t="shared" ref="F89:AS89" si="72">IF(F2&lt;=BookLife,1/BookLife,"")</f>
        <v>3.3333333333333333E-2</v>
      </c>
      <c r="G89" s="711">
        <f t="shared" si="72"/>
        <v>3.3333333333333333E-2</v>
      </c>
      <c r="H89" s="711">
        <f t="shared" si="72"/>
        <v>3.3333333333333333E-2</v>
      </c>
      <c r="I89" s="711">
        <f t="shared" si="72"/>
        <v>3.3333333333333333E-2</v>
      </c>
      <c r="J89" s="711">
        <f t="shared" si="72"/>
        <v>3.3333333333333333E-2</v>
      </c>
      <c r="K89" s="711">
        <f t="shared" si="72"/>
        <v>3.3333333333333333E-2</v>
      </c>
      <c r="L89" s="711">
        <f t="shared" si="72"/>
        <v>3.3333333333333333E-2</v>
      </c>
      <c r="M89" s="711">
        <f t="shared" si="72"/>
        <v>3.3333333333333333E-2</v>
      </c>
      <c r="N89" s="711">
        <f t="shared" si="72"/>
        <v>3.3333333333333333E-2</v>
      </c>
      <c r="O89" s="711">
        <f t="shared" si="72"/>
        <v>3.3333333333333333E-2</v>
      </c>
      <c r="P89" s="711">
        <f t="shared" si="72"/>
        <v>3.3333333333333333E-2</v>
      </c>
      <c r="Q89" s="711">
        <f t="shared" si="72"/>
        <v>3.3333333333333333E-2</v>
      </c>
      <c r="R89" s="711">
        <f t="shared" si="72"/>
        <v>3.3333333333333333E-2</v>
      </c>
      <c r="S89" s="711">
        <f t="shared" si="72"/>
        <v>3.3333333333333333E-2</v>
      </c>
      <c r="T89" s="711">
        <f t="shared" si="72"/>
        <v>3.3333333333333333E-2</v>
      </c>
      <c r="U89" s="711">
        <f t="shared" si="72"/>
        <v>3.3333333333333333E-2</v>
      </c>
      <c r="V89" s="711">
        <f t="shared" si="72"/>
        <v>3.3333333333333333E-2</v>
      </c>
      <c r="W89" s="711">
        <f t="shared" si="72"/>
        <v>3.3333333333333333E-2</v>
      </c>
      <c r="X89" s="711">
        <f t="shared" si="72"/>
        <v>3.3333333333333333E-2</v>
      </c>
      <c r="Y89" s="711">
        <f t="shared" si="72"/>
        <v>3.3333333333333333E-2</v>
      </c>
      <c r="Z89" s="711">
        <f t="shared" si="72"/>
        <v>3.3333333333333333E-2</v>
      </c>
      <c r="AA89" s="711">
        <f t="shared" si="72"/>
        <v>3.3333333333333333E-2</v>
      </c>
      <c r="AB89" s="711">
        <f t="shared" si="72"/>
        <v>3.3333333333333333E-2</v>
      </c>
      <c r="AC89" s="711">
        <f t="shared" si="72"/>
        <v>3.3333333333333333E-2</v>
      </c>
      <c r="AD89" s="711">
        <f t="shared" si="72"/>
        <v>3.3333333333333333E-2</v>
      </c>
      <c r="AE89" s="711">
        <f t="shared" si="72"/>
        <v>3.3333333333333333E-2</v>
      </c>
      <c r="AF89" s="711">
        <f t="shared" si="72"/>
        <v>3.3333333333333333E-2</v>
      </c>
      <c r="AG89" s="711">
        <f t="shared" si="72"/>
        <v>3.3333333333333333E-2</v>
      </c>
      <c r="AH89" s="711">
        <f t="shared" si="72"/>
        <v>3.3333333333333333E-2</v>
      </c>
      <c r="AI89" s="711">
        <f t="shared" si="72"/>
        <v>3.3333333333333333E-2</v>
      </c>
      <c r="AJ89" s="711" t="str">
        <f t="shared" si="72"/>
        <v/>
      </c>
      <c r="AK89" s="711" t="str">
        <f t="shared" si="72"/>
        <v/>
      </c>
      <c r="AL89" s="711" t="str">
        <f t="shared" si="72"/>
        <v/>
      </c>
      <c r="AM89" s="711" t="str">
        <f t="shared" si="72"/>
        <v/>
      </c>
      <c r="AN89" s="711" t="str">
        <f t="shared" si="72"/>
        <v/>
      </c>
      <c r="AO89" s="711" t="str">
        <f t="shared" si="72"/>
        <v/>
      </c>
      <c r="AP89" s="711" t="str">
        <f t="shared" si="72"/>
        <v/>
      </c>
      <c r="AQ89" s="711" t="str">
        <f t="shared" si="72"/>
        <v/>
      </c>
      <c r="AR89" s="711" t="str">
        <f t="shared" si="72"/>
        <v/>
      </c>
      <c r="AS89" s="711" t="str">
        <f t="shared" si="72"/>
        <v/>
      </c>
    </row>
    <row r="90" spans="1:47" s="130" customFormat="1">
      <c r="B90" s="712" t="s">
        <v>302</v>
      </c>
      <c r="D90" s="698">
        <f>-PMT(DiscountRate,BookLife,E90)</f>
        <v>69.127878086358777</v>
      </c>
      <c r="E90" s="699">
        <f>NPV(DiscountRate,F90:AS90)*(1)</f>
        <v>889.83974947720958</v>
      </c>
      <c r="F90" s="704">
        <f t="shared" ref="F90:AS90" si="73">IF(F1,F89*InstalledCostPerkW,0)</f>
        <v>69.127878086358791</v>
      </c>
      <c r="G90" s="697">
        <f t="shared" si="73"/>
        <v>69.127878086358791</v>
      </c>
      <c r="H90" s="697">
        <f t="shared" si="73"/>
        <v>69.127878086358791</v>
      </c>
      <c r="I90" s="697">
        <f t="shared" si="73"/>
        <v>69.127878086358791</v>
      </c>
      <c r="J90" s="697">
        <f t="shared" si="73"/>
        <v>69.127878086358791</v>
      </c>
      <c r="K90" s="697">
        <f t="shared" si="73"/>
        <v>69.127878086358791</v>
      </c>
      <c r="L90" s="697">
        <f t="shared" si="73"/>
        <v>69.127878086358791</v>
      </c>
      <c r="M90" s="697">
        <f t="shared" si="73"/>
        <v>69.127878086358791</v>
      </c>
      <c r="N90" s="697">
        <f t="shared" si="73"/>
        <v>69.127878086358791</v>
      </c>
      <c r="O90" s="697">
        <f t="shared" si="73"/>
        <v>69.127878086358791</v>
      </c>
      <c r="P90" s="697">
        <f t="shared" si="73"/>
        <v>69.127878086358791</v>
      </c>
      <c r="Q90" s="697">
        <f t="shared" si="73"/>
        <v>69.127878086358791</v>
      </c>
      <c r="R90" s="697">
        <f t="shared" si="73"/>
        <v>69.127878086358791</v>
      </c>
      <c r="S90" s="697">
        <f t="shared" si="73"/>
        <v>69.127878086358791</v>
      </c>
      <c r="T90" s="697">
        <f t="shared" si="73"/>
        <v>69.127878086358791</v>
      </c>
      <c r="U90" s="697">
        <f t="shared" si="73"/>
        <v>69.127878086358791</v>
      </c>
      <c r="V90" s="697">
        <f t="shared" si="73"/>
        <v>69.127878086358791</v>
      </c>
      <c r="W90" s="697">
        <f t="shared" si="73"/>
        <v>69.127878086358791</v>
      </c>
      <c r="X90" s="697">
        <f t="shared" si="73"/>
        <v>69.127878086358791</v>
      </c>
      <c r="Y90" s="697">
        <f t="shared" si="73"/>
        <v>69.127878086358791</v>
      </c>
      <c r="Z90" s="697">
        <f t="shared" si="73"/>
        <v>69.127878086358791</v>
      </c>
      <c r="AA90" s="697">
        <f t="shared" si="73"/>
        <v>69.127878086358791</v>
      </c>
      <c r="AB90" s="697">
        <f t="shared" si="73"/>
        <v>69.127878086358791</v>
      </c>
      <c r="AC90" s="697">
        <f t="shared" si="73"/>
        <v>69.127878086358791</v>
      </c>
      <c r="AD90" s="697">
        <f t="shared" si="73"/>
        <v>69.127878086358791</v>
      </c>
      <c r="AE90" s="697">
        <f t="shared" si="73"/>
        <v>69.127878086358791</v>
      </c>
      <c r="AF90" s="697">
        <f t="shared" si="73"/>
        <v>69.127878086358791</v>
      </c>
      <c r="AG90" s="697">
        <f t="shared" si="73"/>
        <v>69.127878086358791</v>
      </c>
      <c r="AH90" s="697">
        <f t="shared" si="73"/>
        <v>69.127878086358791</v>
      </c>
      <c r="AI90" s="697">
        <f t="shared" si="73"/>
        <v>69.127878086358791</v>
      </c>
      <c r="AJ90" s="697">
        <f t="shared" si="73"/>
        <v>0</v>
      </c>
      <c r="AK90" s="697">
        <f t="shared" si="73"/>
        <v>0</v>
      </c>
      <c r="AL90" s="697">
        <f t="shared" si="73"/>
        <v>0</v>
      </c>
      <c r="AM90" s="697">
        <f t="shared" si="73"/>
        <v>0</v>
      </c>
      <c r="AN90" s="697">
        <f t="shared" si="73"/>
        <v>0</v>
      </c>
      <c r="AO90" s="697">
        <f t="shared" si="73"/>
        <v>0</v>
      </c>
      <c r="AP90" s="697">
        <f t="shared" si="73"/>
        <v>0</v>
      </c>
      <c r="AQ90" s="697">
        <f t="shared" si="73"/>
        <v>0</v>
      </c>
      <c r="AR90" s="697">
        <f t="shared" si="73"/>
        <v>0</v>
      </c>
      <c r="AS90" s="697">
        <f t="shared" si="73"/>
        <v>0</v>
      </c>
    </row>
    <row r="91" spans="1:47" s="133" customFormat="1">
      <c r="B91" s="669" t="s">
        <v>992</v>
      </c>
      <c r="D91" s="131"/>
      <c r="E91" s="710">
        <f>SUM(F91:AS91)</f>
        <v>1</v>
      </c>
      <c r="F91" s="710">
        <f>VLOOKUP(FedTaxLife,$D$121:$AS$126,(2+(F$4-$F$4)+1),1)</f>
        <v>0.4</v>
      </c>
      <c r="G91" s="713">
        <f t="shared" ref="G91:AS91" si="74">VLOOKUP(FedTaxLife,$D$121:$AS$126,(2+(G$4-$F$4)+1))</f>
        <v>0.24</v>
      </c>
      <c r="H91" s="713">
        <f t="shared" si="74"/>
        <v>0.14399999999999999</v>
      </c>
      <c r="I91" s="713">
        <f t="shared" si="74"/>
        <v>0.10525714285714287</v>
      </c>
      <c r="J91" s="713">
        <f t="shared" si="74"/>
        <v>0.11074285714285725</v>
      </c>
      <c r="K91" s="713">
        <f t="shared" si="74"/>
        <v>0</v>
      </c>
      <c r="L91" s="713">
        <f t="shared" si="74"/>
        <v>0</v>
      </c>
      <c r="M91" s="713">
        <f t="shared" si="74"/>
        <v>0</v>
      </c>
      <c r="N91" s="713">
        <f t="shared" si="74"/>
        <v>0</v>
      </c>
      <c r="O91" s="713">
        <f t="shared" si="74"/>
        <v>0</v>
      </c>
      <c r="P91" s="713">
        <f t="shared" si="74"/>
        <v>0</v>
      </c>
      <c r="Q91" s="713">
        <f t="shared" si="74"/>
        <v>0</v>
      </c>
      <c r="R91" s="713">
        <f t="shared" si="74"/>
        <v>0</v>
      </c>
      <c r="S91" s="713">
        <f t="shared" si="74"/>
        <v>0</v>
      </c>
      <c r="T91" s="713">
        <f t="shared" si="74"/>
        <v>0</v>
      </c>
      <c r="U91" s="713">
        <f t="shared" si="74"/>
        <v>0</v>
      </c>
      <c r="V91" s="713">
        <f t="shared" si="74"/>
        <v>0</v>
      </c>
      <c r="W91" s="713">
        <f t="shared" si="74"/>
        <v>0</v>
      </c>
      <c r="X91" s="713">
        <f t="shared" si="74"/>
        <v>0</v>
      </c>
      <c r="Y91" s="713">
        <f t="shared" si="74"/>
        <v>0</v>
      </c>
      <c r="Z91" s="713">
        <f t="shared" si="74"/>
        <v>0</v>
      </c>
      <c r="AA91" s="713">
        <f t="shared" si="74"/>
        <v>0</v>
      </c>
      <c r="AB91" s="713">
        <f t="shared" si="74"/>
        <v>0</v>
      </c>
      <c r="AC91" s="713">
        <f t="shared" si="74"/>
        <v>0</v>
      </c>
      <c r="AD91" s="713">
        <f t="shared" si="74"/>
        <v>0</v>
      </c>
      <c r="AE91" s="713">
        <f t="shared" si="74"/>
        <v>0</v>
      </c>
      <c r="AF91" s="713">
        <f t="shared" si="74"/>
        <v>0</v>
      </c>
      <c r="AG91" s="713">
        <f t="shared" si="74"/>
        <v>0</v>
      </c>
      <c r="AH91" s="713">
        <f t="shared" si="74"/>
        <v>0</v>
      </c>
      <c r="AI91" s="713">
        <f t="shared" si="74"/>
        <v>0</v>
      </c>
      <c r="AJ91" s="713">
        <f t="shared" si="74"/>
        <v>0</v>
      </c>
      <c r="AK91" s="713">
        <f t="shared" si="74"/>
        <v>0</v>
      </c>
      <c r="AL91" s="713">
        <f t="shared" si="74"/>
        <v>0</v>
      </c>
      <c r="AM91" s="713">
        <f t="shared" si="74"/>
        <v>0</v>
      </c>
      <c r="AN91" s="713">
        <f t="shared" si="74"/>
        <v>0</v>
      </c>
      <c r="AO91" s="713">
        <f t="shared" si="74"/>
        <v>0</v>
      </c>
      <c r="AP91" s="713">
        <f t="shared" si="74"/>
        <v>0</v>
      </c>
      <c r="AQ91" s="713">
        <f t="shared" si="74"/>
        <v>0</v>
      </c>
      <c r="AR91" s="713">
        <f t="shared" si="74"/>
        <v>0</v>
      </c>
      <c r="AS91" s="713">
        <f t="shared" si="74"/>
        <v>0</v>
      </c>
    </row>
    <row r="92" spans="1:47" s="2528" customFormat="1">
      <c r="B92" s="2529" t="s">
        <v>993</v>
      </c>
      <c r="D92" s="2530">
        <f>-PMT(DiscountRate,BookLife,E92)</f>
        <v>139.61289604918906</v>
      </c>
      <c r="E92" s="2531">
        <f>NPV(DiscountRate,F92:AS92)*(1)</f>
        <v>1797.1491080486874</v>
      </c>
      <c r="F92" s="2532">
        <f t="shared" ref="F92:AI92" si="75">IF(F1,F91*InstalledCostPerkW*IF($B$64="BEITC (Tax Credit)",(1-BETCDepreciation),1),0)</f>
        <v>829.53453703630555</v>
      </c>
      <c r="G92" s="2532">
        <f t="shared" si="75"/>
        <v>497.72072222178326</v>
      </c>
      <c r="H92" s="2532">
        <f t="shared" si="75"/>
        <v>298.63243333306997</v>
      </c>
      <c r="I92" s="2532">
        <f t="shared" si="75"/>
        <v>218.28608817441071</v>
      </c>
      <c r="J92" s="2532">
        <f t="shared" si="75"/>
        <v>229.66256182519453</v>
      </c>
      <c r="K92" s="2532">
        <f t="shared" si="75"/>
        <v>0</v>
      </c>
      <c r="L92" s="2532">
        <f t="shared" si="75"/>
        <v>0</v>
      </c>
      <c r="M92" s="2532">
        <f t="shared" si="75"/>
        <v>0</v>
      </c>
      <c r="N92" s="2532">
        <f t="shared" si="75"/>
        <v>0</v>
      </c>
      <c r="O92" s="2532">
        <f t="shared" si="75"/>
        <v>0</v>
      </c>
      <c r="P92" s="2532">
        <f t="shared" si="75"/>
        <v>0</v>
      </c>
      <c r="Q92" s="2532">
        <f t="shared" si="75"/>
        <v>0</v>
      </c>
      <c r="R92" s="2532">
        <f t="shared" si="75"/>
        <v>0</v>
      </c>
      <c r="S92" s="2532">
        <f t="shared" si="75"/>
        <v>0</v>
      </c>
      <c r="T92" s="2532">
        <f t="shared" si="75"/>
        <v>0</v>
      </c>
      <c r="U92" s="2532">
        <f t="shared" si="75"/>
        <v>0</v>
      </c>
      <c r="V92" s="2532">
        <f t="shared" si="75"/>
        <v>0</v>
      </c>
      <c r="W92" s="2532">
        <f t="shared" si="75"/>
        <v>0</v>
      </c>
      <c r="X92" s="2532">
        <f t="shared" si="75"/>
        <v>0</v>
      </c>
      <c r="Y92" s="2532">
        <f t="shared" si="75"/>
        <v>0</v>
      </c>
      <c r="Z92" s="2532">
        <f t="shared" si="75"/>
        <v>0</v>
      </c>
      <c r="AA92" s="2532">
        <f t="shared" si="75"/>
        <v>0</v>
      </c>
      <c r="AB92" s="2532">
        <f t="shared" si="75"/>
        <v>0</v>
      </c>
      <c r="AC92" s="2532">
        <f t="shared" si="75"/>
        <v>0</v>
      </c>
      <c r="AD92" s="2532">
        <f t="shared" si="75"/>
        <v>0</v>
      </c>
      <c r="AE92" s="2532">
        <f t="shared" si="75"/>
        <v>0</v>
      </c>
      <c r="AF92" s="2532">
        <f t="shared" si="75"/>
        <v>0</v>
      </c>
      <c r="AG92" s="2532">
        <f t="shared" si="75"/>
        <v>0</v>
      </c>
      <c r="AH92" s="2532">
        <f t="shared" si="75"/>
        <v>0</v>
      </c>
      <c r="AI92" s="2532">
        <f t="shared" si="75"/>
        <v>0</v>
      </c>
      <c r="AJ92" s="2532">
        <f>IF(AJ1,AJ91*InstalledCostPerkW,0)</f>
        <v>0</v>
      </c>
      <c r="AK92" s="2532"/>
      <c r="AL92" s="2532">
        <f t="shared" ref="AL92:AS92" si="76">IF(AL1,AL91*InstalledCostPerkW,0)</f>
        <v>0</v>
      </c>
      <c r="AM92" s="2532">
        <f t="shared" si="76"/>
        <v>0</v>
      </c>
      <c r="AN92" s="2532">
        <f t="shared" si="76"/>
        <v>0</v>
      </c>
      <c r="AO92" s="2532">
        <f t="shared" si="76"/>
        <v>0</v>
      </c>
      <c r="AP92" s="2532">
        <f t="shared" si="76"/>
        <v>0</v>
      </c>
      <c r="AQ92" s="2532">
        <f t="shared" si="76"/>
        <v>0</v>
      </c>
      <c r="AR92" s="2532">
        <f t="shared" si="76"/>
        <v>0</v>
      </c>
      <c r="AS92" s="2532">
        <f t="shared" si="76"/>
        <v>0</v>
      </c>
    </row>
    <row r="93" spans="1:47" s="133" customFormat="1">
      <c r="B93" s="131" t="s">
        <v>994</v>
      </c>
      <c r="C93" s="714"/>
      <c r="D93" s="669"/>
      <c r="E93" s="710">
        <f>SUM(F93:AS93)</f>
        <v>0.99999999999999922</v>
      </c>
      <c r="F93" s="696">
        <f t="shared" ref="F93:AS93" si="77">F139</f>
        <v>0.05</v>
      </c>
      <c r="G93" s="711">
        <f t="shared" si="77"/>
        <v>4.7500000000000001E-2</v>
      </c>
      <c r="H93" s="711">
        <f t="shared" si="77"/>
        <v>4.5124999999999998E-2</v>
      </c>
      <c r="I93" s="711">
        <f t="shared" si="77"/>
        <v>4.2868750000000004E-2</v>
      </c>
      <c r="J93" s="711">
        <f t="shared" si="77"/>
        <v>4.0725312499999999E-2</v>
      </c>
      <c r="K93" s="711">
        <f t="shared" si="77"/>
        <v>3.8689046875000001E-2</v>
      </c>
      <c r="L93" s="711">
        <f t="shared" si="77"/>
        <v>3.6754594531250004E-2</v>
      </c>
      <c r="M93" s="711">
        <f t="shared" si="77"/>
        <v>3.4916864804687503E-2</v>
      </c>
      <c r="N93" s="711">
        <f t="shared" si="77"/>
        <v>3.3171021564453132E-2</v>
      </c>
      <c r="O93" s="711">
        <f t="shared" si="77"/>
        <v>3.1512470486230473E-2</v>
      </c>
      <c r="P93" s="711">
        <f t="shared" si="77"/>
        <v>2.9936846961918947E-2</v>
      </c>
      <c r="Q93" s="711">
        <f t="shared" si="77"/>
        <v>2.9936846961918947E-2</v>
      </c>
      <c r="R93" s="711">
        <f t="shared" si="77"/>
        <v>2.9936846961918947E-2</v>
      </c>
      <c r="S93" s="711">
        <f t="shared" si="77"/>
        <v>2.9936846961918947E-2</v>
      </c>
      <c r="T93" s="711">
        <f t="shared" si="77"/>
        <v>2.9936846961918947E-2</v>
      </c>
      <c r="U93" s="711">
        <f t="shared" si="77"/>
        <v>2.9936846961918947E-2</v>
      </c>
      <c r="V93" s="711">
        <f t="shared" si="77"/>
        <v>2.9936846961918947E-2</v>
      </c>
      <c r="W93" s="711">
        <f t="shared" si="77"/>
        <v>2.9936846961918947E-2</v>
      </c>
      <c r="X93" s="711">
        <f t="shared" si="77"/>
        <v>2.9936846961918947E-2</v>
      </c>
      <c r="Y93" s="711">
        <f t="shared" si="77"/>
        <v>2.9936846961918947E-2</v>
      </c>
      <c r="Z93" s="711">
        <f t="shared" si="77"/>
        <v>2.9936846961918947E-2</v>
      </c>
      <c r="AA93" s="711">
        <f t="shared" si="77"/>
        <v>2.9936846961918947E-2</v>
      </c>
      <c r="AB93" s="711">
        <f t="shared" si="77"/>
        <v>2.9936846961918947E-2</v>
      </c>
      <c r="AC93" s="711">
        <f t="shared" si="77"/>
        <v>2.9936846961918947E-2</v>
      </c>
      <c r="AD93" s="711">
        <f t="shared" si="77"/>
        <v>2.9936846961918947E-2</v>
      </c>
      <c r="AE93" s="711">
        <f t="shared" si="77"/>
        <v>2.9936846961918947E-2</v>
      </c>
      <c r="AF93" s="711">
        <f t="shared" si="77"/>
        <v>2.9936846961918947E-2</v>
      </c>
      <c r="AG93" s="711">
        <f t="shared" si="77"/>
        <v>2.9936846961918947E-2</v>
      </c>
      <c r="AH93" s="711">
        <f t="shared" si="77"/>
        <v>2.9936846961918947E-2</v>
      </c>
      <c r="AI93" s="711">
        <f t="shared" si="77"/>
        <v>2.9936846961918947E-2</v>
      </c>
      <c r="AJ93" s="711">
        <f t="shared" si="77"/>
        <v>0</v>
      </c>
      <c r="AK93" s="711">
        <f t="shared" si="77"/>
        <v>0</v>
      </c>
      <c r="AL93" s="711">
        <f t="shared" si="77"/>
        <v>0</v>
      </c>
      <c r="AM93" s="711">
        <f t="shared" si="77"/>
        <v>0</v>
      </c>
      <c r="AN93" s="711">
        <f t="shared" si="77"/>
        <v>0</v>
      </c>
      <c r="AO93" s="711">
        <f t="shared" si="77"/>
        <v>0</v>
      </c>
      <c r="AP93" s="711">
        <f t="shared" si="77"/>
        <v>0</v>
      </c>
      <c r="AQ93" s="711">
        <f t="shared" si="77"/>
        <v>0</v>
      </c>
      <c r="AR93" s="711">
        <f t="shared" si="77"/>
        <v>0</v>
      </c>
      <c r="AS93" s="711">
        <f t="shared" si="77"/>
        <v>0</v>
      </c>
      <c r="AT93" s="715"/>
    </row>
    <row r="94" spans="1:47" s="2533" customFormat="1">
      <c r="B94" s="2533" t="s">
        <v>554</v>
      </c>
      <c r="C94" s="2534"/>
      <c r="D94" s="2535">
        <f>-PMT(DiscountRate,BookLife,E94)</f>
        <v>75.05714993703883</v>
      </c>
      <c r="E94" s="2536">
        <f>NPV(DiscountRate,F94:AS94)*(1)</f>
        <v>966.16354132859794</v>
      </c>
      <c r="F94" s="2537">
        <f t="shared" ref="F94:AS94" si="78">IF(F1,F93*InstalledCostPerkW,0)</f>
        <v>103.69181712953819</v>
      </c>
      <c r="G94" s="2537">
        <f t="shared" si="78"/>
        <v>98.507226273061278</v>
      </c>
      <c r="H94" s="2537">
        <f t="shared" si="78"/>
        <v>93.581864959408207</v>
      </c>
      <c r="I94" s="2537">
        <f t="shared" si="78"/>
        <v>88.902771711437808</v>
      </c>
      <c r="J94" s="2537">
        <f t="shared" si="78"/>
        <v>84.457633125865911</v>
      </c>
      <c r="K94" s="2537">
        <f t="shared" si="78"/>
        <v>80.234751469572615</v>
      </c>
      <c r="L94" s="2537">
        <f t="shared" si="78"/>
        <v>76.223013896093988</v>
      </c>
      <c r="M94" s="2537">
        <f t="shared" si="78"/>
        <v>72.411863201289293</v>
      </c>
      <c r="N94" s="2537">
        <f t="shared" si="78"/>
        <v>68.791270041224834</v>
      </c>
      <c r="O94" s="2537">
        <f t="shared" si="78"/>
        <v>65.351706539163587</v>
      </c>
      <c r="P94" s="2538">
        <f t="shared" si="78"/>
        <v>62.084121212205403</v>
      </c>
      <c r="Q94" s="2538">
        <f t="shared" si="78"/>
        <v>62.084121212205403</v>
      </c>
      <c r="R94" s="2538">
        <f t="shared" si="78"/>
        <v>62.084121212205403</v>
      </c>
      <c r="S94" s="2538">
        <f t="shared" si="78"/>
        <v>62.084121212205403</v>
      </c>
      <c r="T94" s="2538">
        <f t="shared" si="78"/>
        <v>62.084121212205403</v>
      </c>
      <c r="U94" s="2538">
        <f t="shared" si="78"/>
        <v>62.084121212205403</v>
      </c>
      <c r="V94" s="2538">
        <f t="shared" si="78"/>
        <v>62.084121212205403</v>
      </c>
      <c r="W94" s="2538">
        <f t="shared" si="78"/>
        <v>62.084121212205403</v>
      </c>
      <c r="X94" s="2538">
        <f t="shared" si="78"/>
        <v>62.084121212205403</v>
      </c>
      <c r="Y94" s="2538">
        <f t="shared" si="78"/>
        <v>62.084121212205403</v>
      </c>
      <c r="Z94" s="2538">
        <f t="shared" si="78"/>
        <v>62.084121212205403</v>
      </c>
      <c r="AA94" s="2538">
        <f t="shared" si="78"/>
        <v>62.084121212205403</v>
      </c>
      <c r="AB94" s="2538">
        <f t="shared" si="78"/>
        <v>62.084121212205403</v>
      </c>
      <c r="AC94" s="2538">
        <f t="shared" si="78"/>
        <v>62.084121212205403</v>
      </c>
      <c r="AD94" s="2538">
        <f t="shared" si="78"/>
        <v>62.084121212205403</v>
      </c>
      <c r="AE94" s="2538">
        <f t="shared" si="78"/>
        <v>62.084121212205403</v>
      </c>
      <c r="AF94" s="2538">
        <f t="shared" si="78"/>
        <v>62.084121212205403</v>
      </c>
      <c r="AG94" s="2538">
        <f t="shared" si="78"/>
        <v>62.084121212205403</v>
      </c>
      <c r="AH94" s="2538">
        <f t="shared" si="78"/>
        <v>62.084121212205403</v>
      </c>
      <c r="AI94" s="2538">
        <f t="shared" si="78"/>
        <v>62.084121212205403</v>
      </c>
      <c r="AJ94" s="2538">
        <f t="shared" si="78"/>
        <v>0</v>
      </c>
      <c r="AK94" s="2538">
        <f t="shared" si="78"/>
        <v>0</v>
      </c>
      <c r="AL94" s="2538">
        <f t="shared" si="78"/>
        <v>0</v>
      </c>
      <c r="AM94" s="2538">
        <f t="shared" si="78"/>
        <v>0</v>
      </c>
      <c r="AN94" s="2538">
        <f t="shared" si="78"/>
        <v>0</v>
      </c>
      <c r="AO94" s="2538">
        <f t="shared" si="78"/>
        <v>0</v>
      </c>
      <c r="AP94" s="2538">
        <f t="shared" si="78"/>
        <v>0</v>
      </c>
      <c r="AQ94" s="2538">
        <f t="shared" si="78"/>
        <v>0</v>
      </c>
      <c r="AR94" s="2538">
        <f t="shared" si="78"/>
        <v>0</v>
      </c>
      <c r="AS94" s="2538">
        <f t="shared" si="78"/>
        <v>0</v>
      </c>
      <c r="AT94" s="2539"/>
    </row>
    <row r="95" spans="1:47" s="130" customFormat="1">
      <c r="B95" s="652"/>
      <c r="F95" s="716"/>
      <c r="G95" s="717"/>
      <c r="H95" s="717"/>
      <c r="I95" s="717"/>
      <c r="J95" s="717"/>
      <c r="K95" s="717"/>
      <c r="L95" s="717"/>
      <c r="M95" s="717"/>
      <c r="N95" s="717"/>
      <c r="O95" s="717"/>
      <c r="P95" s="717"/>
      <c r="Q95" s="717"/>
      <c r="R95" s="717"/>
      <c r="S95" s="717"/>
      <c r="T95" s="717"/>
      <c r="U95" s="717"/>
      <c r="V95" s="717"/>
      <c r="W95" s="717"/>
      <c r="X95" s="717"/>
      <c r="Y95" s="717"/>
      <c r="Z95" s="717"/>
      <c r="AA95" s="717"/>
      <c r="AB95" s="717"/>
      <c r="AC95" s="717"/>
      <c r="AD95" s="717"/>
      <c r="AE95" s="717"/>
      <c r="AF95" s="717"/>
      <c r="AG95" s="717"/>
      <c r="AH95" s="717"/>
      <c r="AI95" s="717"/>
      <c r="AJ95" s="717"/>
      <c r="AK95" s="717"/>
      <c r="AL95" s="717"/>
      <c r="AM95" s="717"/>
      <c r="AN95" s="717"/>
      <c r="AO95" s="717"/>
      <c r="AP95" s="717"/>
      <c r="AQ95" s="717"/>
      <c r="AR95" s="717"/>
      <c r="AS95" s="717"/>
    </row>
    <row r="96" spans="1:47" s="130" customFormat="1">
      <c r="A96" s="708"/>
      <c r="B96" s="670" t="s">
        <v>641</v>
      </c>
      <c r="C96" s="670" t="s">
        <v>980</v>
      </c>
      <c r="D96" s="1251">
        <f>-PMT(DiscountRate,BookLife,E96)</f>
        <v>46.655791225612951</v>
      </c>
      <c r="E96" s="703">
        <f>NPV(DiscountRate,F96:AS96)*(1)</f>
        <v>600.57069195724296</v>
      </c>
      <c r="F96" s="650">
        <f t="shared" ref="F96:AS96" si="79">IF(F$4-StartYr&lt;DebtTerm,-PPMT(DebtRate,F$4+1-StartYr,DebtTerm,InstalledCostPerkW*DebtRatio),0)</f>
        <v>34.143401816143978</v>
      </c>
      <c r="G96" s="718">
        <f t="shared" si="79"/>
        <v>36.162301165532575</v>
      </c>
      <c r="H96" s="718">
        <f t="shared" si="79"/>
        <v>38.300578033450513</v>
      </c>
      <c r="I96" s="718">
        <f t="shared" si="79"/>
        <v>40.565291212568447</v>
      </c>
      <c r="J96" s="718">
        <f t="shared" si="79"/>
        <v>42.96391688196762</v>
      </c>
      <c r="K96" s="718">
        <f t="shared" si="79"/>
        <v>45.504373287198362</v>
      </c>
      <c r="L96" s="718">
        <f t="shared" si="79"/>
        <v>48.1950468796704</v>
      </c>
      <c r="M96" s="718">
        <f t="shared" si="79"/>
        <v>51.044820001665322</v>
      </c>
      <c r="N96" s="718">
        <f t="shared" si="79"/>
        <v>54.063100208363785</v>
      </c>
      <c r="O96" s="718">
        <f t="shared" si="79"/>
        <v>57.25985132368433</v>
      </c>
      <c r="P96" s="718">
        <f t="shared" si="79"/>
        <v>60.645626332453787</v>
      </c>
      <c r="Q96" s="718">
        <f t="shared" si="79"/>
        <v>64.231602217491769</v>
      </c>
      <c r="R96" s="718">
        <f t="shared" si="79"/>
        <v>68.029616856612066</v>
      </c>
      <c r="S96" s="718">
        <f t="shared" si="79"/>
        <v>72.052208101343538</v>
      </c>
      <c r="T96" s="718">
        <f t="shared" si="79"/>
        <v>76.31265516637599</v>
      </c>
      <c r="U96" s="718">
        <f t="shared" si="79"/>
        <v>80.825022466363805</v>
      </c>
      <c r="V96" s="718">
        <f t="shared" si="79"/>
        <v>85.604206044799881</v>
      </c>
      <c r="W96" s="718">
        <f t="shared" si="79"/>
        <v>90.665982748228899</v>
      </c>
      <c r="X96" s="718">
        <f t="shared" si="79"/>
        <v>96.027062308131676</v>
      </c>
      <c r="Y96" s="718">
        <f t="shared" si="79"/>
        <v>101.7051425024115</v>
      </c>
      <c r="Z96" s="718">
        <f t="shared" si="79"/>
        <v>0</v>
      </c>
      <c r="AA96" s="718">
        <f t="shared" si="79"/>
        <v>0</v>
      </c>
      <c r="AB96" s="718">
        <f t="shared" si="79"/>
        <v>0</v>
      </c>
      <c r="AC96" s="718">
        <f t="shared" si="79"/>
        <v>0</v>
      </c>
      <c r="AD96" s="718">
        <f t="shared" si="79"/>
        <v>0</v>
      </c>
      <c r="AE96" s="718">
        <f t="shared" si="79"/>
        <v>0</v>
      </c>
      <c r="AF96" s="718">
        <f t="shared" si="79"/>
        <v>0</v>
      </c>
      <c r="AG96" s="718">
        <f t="shared" si="79"/>
        <v>0</v>
      </c>
      <c r="AH96" s="718">
        <f t="shared" si="79"/>
        <v>0</v>
      </c>
      <c r="AI96" s="718">
        <f t="shared" si="79"/>
        <v>0</v>
      </c>
      <c r="AJ96" s="718">
        <f t="shared" si="79"/>
        <v>0</v>
      </c>
      <c r="AK96" s="718">
        <f t="shared" si="79"/>
        <v>0</v>
      </c>
      <c r="AL96" s="718">
        <f t="shared" si="79"/>
        <v>0</v>
      </c>
      <c r="AM96" s="718">
        <f t="shared" si="79"/>
        <v>0</v>
      </c>
      <c r="AN96" s="718">
        <f t="shared" si="79"/>
        <v>0</v>
      </c>
      <c r="AO96" s="718">
        <f t="shared" si="79"/>
        <v>0</v>
      </c>
      <c r="AP96" s="718">
        <f t="shared" si="79"/>
        <v>0</v>
      </c>
      <c r="AQ96" s="718">
        <f t="shared" si="79"/>
        <v>0</v>
      </c>
      <c r="AR96" s="718">
        <f t="shared" si="79"/>
        <v>0</v>
      </c>
      <c r="AS96" s="718">
        <f t="shared" si="79"/>
        <v>0</v>
      </c>
    </row>
    <row r="97" spans="1:47" s="131" customFormat="1" ht="12" customHeight="1">
      <c r="B97" s="132" t="s">
        <v>164</v>
      </c>
      <c r="C97" s="66" t="s">
        <v>955</v>
      </c>
      <c r="D97" s="1251">
        <f>-PMT(DiscountRate,BookLife,E97)</f>
        <v>11.831224366931542</v>
      </c>
      <c r="E97" s="703">
        <f>NPV(DiscountRate,F97:AS97)*(1)</f>
        <v>152.29591907228703</v>
      </c>
      <c r="F97" s="719">
        <f t="shared" ref="F97:AS97" si="80">IF(F$1,TotalVariableOMPerMWh*((1+HistInflationRate)*(1+OMEscalation))^(StartYr-BaseYr)*((1+InflationRate)*(1+OMEscalation))^(F$4-StartYr),0)</f>
        <v>9.5154208669312972</v>
      </c>
      <c r="G97" s="719">
        <f t="shared" si="80"/>
        <v>9.7125241366621822</v>
      </c>
      <c r="H97" s="719">
        <f t="shared" si="80"/>
        <v>9.9137102209613257</v>
      </c>
      <c r="I97" s="719">
        <f t="shared" si="80"/>
        <v>10.119063691610927</v>
      </c>
      <c r="J97" s="719">
        <f t="shared" si="80"/>
        <v>10.328670872220567</v>
      </c>
      <c r="K97" s="719">
        <f t="shared" si="80"/>
        <v>10.542619874514711</v>
      </c>
      <c r="L97" s="719">
        <f t="shared" si="80"/>
        <v>10.761000635371884</v>
      </c>
      <c r="M97" s="719">
        <f t="shared" si="80"/>
        <v>10.983904954631067</v>
      </c>
      <c r="N97" s="719">
        <f t="shared" si="80"/>
        <v>11.211426533681228</v>
      </c>
      <c r="O97" s="719">
        <f t="shared" si="80"/>
        <v>11.443661014850196</v>
      </c>
      <c r="P97" s="719">
        <f t="shared" si="80"/>
        <v>11.680706021609447</v>
      </c>
      <c r="Q97" s="719">
        <f t="shared" si="80"/>
        <v>11.922661199611674</v>
      </c>
      <c r="R97" s="719">
        <f t="shared" si="80"/>
        <v>12.169628258578443</v>
      </c>
      <c r="S97" s="719">
        <f t="shared" si="80"/>
        <v>12.421711015055484</v>
      </c>
      <c r="T97" s="719">
        <f t="shared" si="80"/>
        <v>12.679015436053648</v>
      </c>
      <c r="U97" s="719">
        <f t="shared" si="80"/>
        <v>12.941649683593818</v>
      </c>
      <c r="V97" s="719">
        <f t="shared" si="80"/>
        <v>13.209724160174556</v>
      </c>
      <c r="W97" s="719">
        <f t="shared" si="80"/>
        <v>13.483351555181537</v>
      </c>
      <c r="X97" s="719">
        <f t="shared" si="80"/>
        <v>13.762646892258347</v>
      </c>
      <c r="Y97" s="719">
        <f t="shared" si="80"/>
        <v>14.047727577658504</v>
      </c>
      <c r="Z97" s="719">
        <f t="shared" si="80"/>
        <v>14.338713449599048</v>
      </c>
      <c r="AA97" s="719">
        <f t="shared" si="80"/>
        <v>14.635726828636441</v>
      </c>
      <c r="AB97" s="719">
        <f t="shared" si="80"/>
        <v>14.93889256908599</v>
      </c>
      <c r="AC97" s="719">
        <f t="shared" si="80"/>
        <v>15.248338111506319</v>
      </c>
      <c r="AD97" s="719">
        <f t="shared" si="80"/>
        <v>15.564193536271073</v>
      </c>
      <c r="AE97" s="719">
        <f t="shared" si="80"/>
        <v>15.886591618250256</v>
      </c>
      <c r="AF97" s="719">
        <f t="shared" si="80"/>
        <v>16.215667882624281</v>
      </c>
      <c r="AG97" s="719">
        <f t="shared" si="80"/>
        <v>16.551560661854143</v>
      </c>
      <c r="AH97" s="719">
        <f t="shared" si="80"/>
        <v>16.894411153831665</v>
      </c>
      <c r="AI97" s="719">
        <f t="shared" si="80"/>
        <v>17.244363481234295</v>
      </c>
      <c r="AJ97" s="719">
        <f t="shared" si="80"/>
        <v>0</v>
      </c>
      <c r="AK97" s="719">
        <f t="shared" si="80"/>
        <v>0</v>
      </c>
      <c r="AL97" s="719">
        <f t="shared" si="80"/>
        <v>0</v>
      </c>
      <c r="AM97" s="719">
        <f t="shared" si="80"/>
        <v>0</v>
      </c>
      <c r="AN97" s="719">
        <f t="shared" si="80"/>
        <v>0</v>
      </c>
      <c r="AO97" s="719">
        <f t="shared" si="80"/>
        <v>0</v>
      </c>
      <c r="AP97" s="719">
        <f t="shared" si="80"/>
        <v>0</v>
      </c>
      <c r="AQ97" s="719">
        <f t="shared" si="80"/>
        <v>0</v>
      </c>
      <c r="AR97" s="719">
        <f t="shared" si="80"/>
        <v>0</v>
      </c>
      <c r="AS97" s="719">
        <f t="shared" si="80"/>
        <v>0</v>
      </c>
    </row>
    <row r="98" spans="1:47" s="131" customFormat="1" ht="12" customHeight="1">
      <c r="B98" s="1414" t="s">
        <v>1423</v>
      </c>
      <c r="C98" s="66" t="s">
        <v>955</v>
      </c>
      <c r="D98" s="1410">
        <f>-PMT(DiscountRate,BookLife,E98)</f>
        <v>0</v>
      </c>
      <c r="E98" s="702">
        <f>NPV(DiscountRate,F98:AS98)*(1)</f>
        <v>0</v>
      </c>
      <c r="F98" s="719">
        <f t="shared" ref="F98:AS98" si="81">IF(F$1,Transmission_Service*((1+HistInflationRate)*(1+TransEscalation))^(StartYr-BaseYr)*((1+InflationRate)*(1+TransEscalation))^(F$4-StartYr),0)</f>
        <v>0</v>
      </c>
      <c r="G98" s="719">
        <f t="shared" si="81"/>
        <v>0</v>
      </c>
      <c r="H98" s="719">
        <f t="shared" si="81"/>
        <v>0</v>
      </c>
      <c r="I98" s="719">
        <f>IF(I$1,Transmission_Service*((1+HistInflationRate)*(1+TransEscalation))^(StartYr-BaseYr)*((1+InflationRate)*(1+TransEscalation))^(I$4-StartYr),0)</f>
        <v>0</v>
      </c>
      <c r="J98" s="719">
        <f t="shared" si="81"/>
        <v>0</v>
      </c>
      <c r="K98" s="719">
        <f t="shared" si="81"/>
        <v>0</v>
      </c>
      <c r="L98" s="719">
        <f t="shared" si="81"/>
        <v>0</v>
      </c>
      <c r="M98" s="719">
        <f t="shared" si="81"/>
        <v>0</v>
      </c>
      <c r="N98" s="719">
        <f t="shared" si="81"/>
        <v>0</v>
      </c>
      <c r="O98" s="719">
        <f t="shared" si="81"/>
        <v>0</v>
      </c>
      <c r="P98" s="719">
        <f t="shared" si="81"/>
        <v>0</v>
      </c>
      <c r="Q98" s="719">
        <f t="shared" si="81"/>
        <v>0</v>
      </c>
      <c r="R98" s="719">
        <f t="shared" si="81"/>
        <v>0</v>
      </c>
      <c r="S98" s="719">
        <f t="shared" si="81"/>
        <v>0</v>
      </c>
      <c r="T98" s="719">
        <f t="shared" si="81"/>
        <v>0</v>
      </c>
      <c r="U98" s="719">
        <f t="shared" si="81"/>
        <v>0</v>
      </c>
      <c r="V98" s="719">
        <f t="shared" si="81"/>
        <v>0</v>
      </c>
      <c r="W98" s="719">
        <f t="shared" si="81"/>
        <v>0</v>
      </c>
      <c r="X98" s="719">
        <f t="shared" si="81"/>
        <v>0</v>
      </c>
      <c r="Y98" s="719">
        <f t="shared" si="81"/>
        <v>0</v>
      </c>
      <c r="Z98" s="719">
        <f t="shared" si="81"/>
        <v>0</v>
      </c>
      <c r="AA98" s="719">
        <f t="shared" si="81"/>
        <v>0</v>
      </c>
      <c r="AB98" s="719">
        <f t="shared" si="81"/>
        <v>0</v>
      </c>
      <c r="AC98" s="719">
        <f t="shared" si="81"/>
        <v>0</v>
      </c>
      <c r="AD98" s="719">
        <f t="shared" si="81"/>
        <v>0</v>
      </c>
      <c r="AE98" s="719">
        <f t="shared" si="81"/>
        <v>0</v>
      </c>
      <c r="AF98" s="719">
        <f t="shared" si="81"/>
        <v>0</v>
      </c>
      <c r="AG98" s="719">
        <f t="shared" si="81"/>
        <v>0</v>
      </c>
      <c r="AH98" s="719">
        <f t="shared" si="81"/>
        <v>0</v>
      </c>
      <c r="AI98" s="719">
        <f t="shared" si="81"/>
        <v>0</v>
      </c>
      <c r="AJ98" s="719">
        <f t="shared" si="81"/>
        <v>0</v>
      </c>
      <c r="AK98" s="719">
        <f t="shared" si="81"/>
        <v>0</v>
      </c>
      <c r="AL98" s="719">
        <f t="shared" si="81"/>
        <v>0</v>
      </c>
      <c r="AM98" s="719">
        <f t="shared" si="81"/>
        <v>0</v>
      </c>
      <c r="AN98" s="719">
        <f t="shared" si="81"/>
        <v>0</v>
      </c>
      <c r="AO98" s="719">
        <f t="shared" si="81"/>
        <v>0</v>
      </c>
      <c r="AP98" s="719">
        <f t="shared" si="81"/>
        <v>0</v>
      </c>
      <c r="AQ98" s="719">
        <f t="shared" si="81"/>
        <v>0</v>
      </c>
      <c r="AR98" s="719">
        <f t="shared" si="81"/>
        <v>0</v>
      </c>
      <c r="AS98" s="719">
        <f t="shared" si="81"/>
        <v>0</v>
      </c>
    </row>
    <row r="99" spans="1:47" s="130" customFormat="1">
      <c r="B99" s="118" t="s">
        <v>572</v>
      </c>
      <c r="F99" s="651"/>
      <c r="S99" s="651"/>
      <c r="T99" s="651"/>
    </row>
    <row r="100" spans="1:47" s="133" customFormat="1">
      <c r="B100" s="1380" t="s">
        <v>1416</v>
      </c>
      <c r="C100" s="134"/>
      <c r="D100" s="668">
        <f>-PMT(DiscountRate,BookLife,E100)</f>
        <v>64.700936660170981</v>
      </c>
      <c r="E100" s="135">
        <f>NPV(DiscountRate,F100:AS100)*(1)</f>
        <v>832.85451343816817</v>
      </c>
      <c r="F100" s="129">
        <f t="shared" ref="F100:AS100" si="82">IF(F$1,IF(OwnerType="POU",0,TotalTaxRate*AvgEquityRate/(1-TotalTaxRate)*(PctEquity)*InstalledCostPerkW),0)</f>
        <v>64.700936660170967</v>
      </c>
      <c r="G100" s="129">
        <f t="shared" si="82"/>
        <v>64.700936660170967</v>
      </c>
      <c r="H100" s="129">
        <f t="shared" si="82"/>
        <v>64.700936660170967</v>
      </c>
      <c r="I100" s="129">
        <f t="shared" si="82"/>
        <v>64.700936660170967</v>
      </c>
      <c r="J100" s="129">
        <f t="shared" si="82"/>
        <v>64.700936660170967</v>
      </c>
      <c r="K100" s="129">
        <f t="shared" si="82"/>
        <v>64.700936660170967</v>
      </c>
      <c r="L100" s="129">
        <f t="shared" si="82"/>
        <v>64.700936660170967</v>
      </c>
      <c r="M100" s="129">
        <f t="shared" si="82"/>
        <v>64.700936660170967</v>
      </c>
      <c r="N100" s="129">
        <f t="shared" si="82"/>
        <v>64.700936660170967</v>
      </c>
      <c r="O100" s="129">
        <f t="shared" si="82"/>
        <v>64.700936660170967</v>
      </c>
      <c r="P100" s="129">
        <f t="shared" si="82"/>
        <v>64.700936660170967</v>
      </c>
      <c r="Q100" s="129">
        <f t="shared" si="82"/>
        <v>64.700936660170967</v>
      </c>
      <c r="R100" s="129">
        <f t="shared" si="82"/>
        <v>64.700936660170967</v>
      </c>
      <c r="S100" s="129">
        <f t="shared" si="82"/>
        <v>64.700936660170967</v>
      </c>
      <c r="T100" s="129">
        <f t="shared" si="82"/>
        <v>64.700936660170967</v>
      </c>
      <c r="U100" s="129">
        <f t="shared" si="82"/>
        <v>64.700936660170967</v>
      </c>
      <c r="V100" s="129">
        <f t="shared" si="82"/>
        <v>64.700936660170967</v>
      </c>
      <c r="W100" s="129">
        <f t="shared" si="82"/>
        <v>64.700936660170967</v>
      </c>
      <c r="X100" s="129">
        <f t="shared" si="82"/>
        <v>64.700936660170967</v>
      </c>
      <c r="Y100" s="129">
        <f t="shared" si="82"/>
        <v>64.700936660170967</v>
      </c>
      <c r="Z100" s="129">
        <f t="shared" si="82"/>
        <v>64.700936660170967</v>
      </c>
      <c r="AA100" s="129">
        <f t="shared" si="82"/>
        <v>64.700936660170967</v>
      </c>
      <c r="AB100" s="129">
        <f t="shared" si="82"/>
        <v>64.700936660170967</v>
      </c>
      <c r="AC100" s="129">
        <f t="shared" si="82"/>
        <v>64.700936660170967</v>
      </c>
      <c r="AD100" s="129">
        <f t="shared" si="82"/>
        <v>64.700936660170967</v>
      </c>
      <c r="AE100" s="129">
        <f t="shared" si="82"/>
        <v>64.700936660170967</v>
      </c>
      <c r="AF100" s="129">
        <f t="shared" si="82"/>
        <v>64.700936660170967</v>
      </c>
      <c r="AG100" s="129">
        <f t="shared" si="82"/>
        <v>64.700936660170967</v>
      </c>
      <c r="AH100" s="129">
        <f t="shared" si="82"/>
        <v>64.700936660170967</v>
      </c>
      <c r="AI100" s="129">
        <f t="shared" si="82"/>
        <v>64.700936660170967</v>
      </c>
      <c r="AJ100" s="129">
        <f t="shared" si="82"/>
        <v>0</v>
      </c>
      <c r="AK100" s="129">
        <f t="shared" si="82"/>
        <v>0</v>
      </c>
      <c r="AL100" s="129">
        <f t="shared" si="82"/>
        <v>0</v>
      </c>
      <c r="AM100" s="129">
        <f t="shared" si="82"/>
        <v>0</v>
      </c>
      <c r="AN100" s="129">
        <f t="shared" si="82"/>
        <v>0</v>
      </c>
      <c r="AO100" s="129">
        <f t="shared" si="82"/>
        <v>0</v>
      </c>
      <c r="AP100" s="129">
        <f t="shared" si="82"/>
        <v>0</v>
      </c>
      <c r="AQ100" s="129">
        <f t="shared" si="82"/>
        <v>0</v>
      </c>
      <c r="AR100" s="129">
        <f t="shared" si="82"/>
        <v>0</v>
      </c>
      <c r="AS100" s="129">
        <f t="shared" si="82"/>
        <v>0</v>
      </c>
    </row>
    <row r="101" spans="1:47" s="651" customFormat="1">
      <c r="B101" s="1414" t="s">
        <v>1661</v>
      </c>
      <c r="C101" s="2336"/>
      <c r="D101" s="3241">
        <f>-PMT(DiscountRate,BookLife,E101)</f>
        <v>-65.795350262874322</v>
      </c>
      <c r="E101" s="1429">
        <f>NPV(DiscountRate,F101:AS101)*(1)</f>
        <v>-846.9422122510465</v>
      </c>
      <c r="F101" s="303">
        <f t="shared" ref="F101:AI101" si="83">F44-F92-F35-F59-F49</f>
        <v>-802.56766530219215</v>
      </c>
      <c r="G101" s="303">
        <f t="shared" si="83"/>
        <v>-466.30186893260935</v>
      </c>
      <c r="H101" s="303">
        <f t="shared" si="83"/>
        <v>-263.20991287122331</v>
      </c>
      <c r="I101" s="303">
        <f t="shared" si="83"/>
        <v>-178.52930682672761</v>
      </c>
      <c r="J101" s="303">
        <f t="shared" si="83"/>
        <v>-185.689861263902</v>
      </c>
      <c r="K101" s="303">
        <f t="shared" si="83"/>
        <v>47.877730572686886</v>
      </c>
      <c r="L101" s="303">
        <f t="shared" si="83"/>
        <v>52.11963644995091</v>
      </c>
      <c r="M101" s="303">
        <f t="shared" si="83"/>
        <v>56.50338175168794</v>
      </c>
      <c r="N101" s="303">
        <f t="shared" si="83"/>
        <v>61.104226441780689</v>
      </c>
      <c r="O101" s="303">
        <f t="shared" si="83"/>
        <v>65.932018473137404</v>
      </c>
      <c r="P101" s="303">
        <f t="shared" si="83"/>
        <v>71.044587432347285</v>
      </c>
      <c r="Q101" s="303">
        <f t="shared" si="83"/>
        <v>76.389284031149487</v>
      </c>
      <c r="R101" s="303">
        <f t="shared" si="83"/>
        <v>82.267432799365181</v>
      </c>
      <c r="S101" s="303">
        <f t="shared" si="83"/>
        <v>88.120487040254261</v>
      </c>
      <c r="T101" s="303">
        <f t="shared" si="83"/>
        <v>94.245585822030947</v>
      </c>
      <c r="U101" s="303">
        <f t="shared" si="83"/>
        <v>100.96400941674548</v>
      </c>
      <c r="V101" s="303">
        <f t="shared" si="83"/>
        <v>107.68462493840225</v>
      </c>
      <c r="W101" s="303">
        <f t="shared" si="83"/>
        <v>115.04329949938351</v>
      </c>
      <c r="X101" s="303">
        <f t="shared" si="83"/>
        <v>122.42623856016958</v>
      </c>
      <c r="Y101" s="303">
        <f t="shared" si="83"/>
        <v>130.49629023692722</v>
      </c>
      <c r="Z101" s="303">
        <f t="shared" si="83"/>
        <v>131.89417747814915</v>
      </c>
      <c r="AA101" s="303">
        <f t="shared" si="83"/>
        <v>134.10808433927221</v>
      </c>
      <c r="AB101" s="303">
        <f t="shared" si="83"/>
        <v>136.4291551834159</v>
      </c>
      <c r="AC101" s="303">
        <f t="shared" si="83"/>
        <v>138.80151462164076</v>
      </c>
      <c r="AD101" s="303">
        <f t="shared" si="83"/>
        <v>140.8925279138322</v>
      </c>
      <c r="AE101" s="303">
        <f t="shared" si="83"/>
        <v>143.36454147747423</v>
      </c>
      <c r="AF101" s="303">
        <f t="shared" si="83"/>
        <v>145.89152637416754</v>
      </c>
      <c r="AG101" s="303">
        <f t="shared" si="83"/>
        <v>148.1205031853271</v>
      </c>
      <c r="AH101" s="303">
        <f t="shared" si="83"/>
        <v>150.75437481296717</v>
      </c>
      <c r="AI101" s="303">
        <f t="shared" si="83"/>
        <v>153.07854655696633</v>
      </c>
    </row>
    <row r="102" spans="1:47" s="651" customFormat="1">
      <c r="B102" s="1414" t="s">
        <v>1660</v>
      </c>
      <c r="C102" s="2336"/>
      <c r="D102" s="3241">
        <f>-PMT(DiscountRate,BookLife,E102)</f>
        <v>73.817545786314753</v>
      </c>
      <c r="E102" s="1429">
        <f>NPV(DiscountRate,F102:AS102)*(1)</f>
        <v>950.20689579764132</v>
      </c>
      <c r="F102" s="303">
        <f t="shared" ref="F102:AI102" si="84">F44-F32-F35-F59-F49</f>
        <v>26.966871734113354</v>
      </c>
      <c r="G102" s="303">
        <f t="shared" si="84"/>
        <v>31.418853289173942</v>
      </c>
      <c r="H102" s="303">
        <f t="shared" si="84"/>
        <v>35.422520461846666</v>
      </c>
      <c r="I102" s="303">
        <f t="shared" si="84"/>
        <v>39.756781347683102</v>
      </c>
      <c r="J102" s="303">
        <f t="shared" si="84"/>
        <v>43.972700561292541</v>
      </c>
      <c r="K102" s="303">
        <f t="shared" si="84"/>
        <v>47.877730572686886</v>
      </c>
      <c r="L102" s="303">
        <f t="shared" si="84"/>
        <v>52.11963644995091</v>
      </c>
      <c r="M102" s="303">
        <f t="shared" si="84"/>
        <v>56.50338175168794</v>
      </c>
      <c r="N102" s="303">
        <f t="shared" si="84"/>
        <v>61.104226441780689</v>
      </c>
      <c r="O102" s="303">
        <f t="shared" si="84"/>
        <v>65.932018473137404</v>
      </c>
      <c r="P102" s="303">
        <f t="shared" si="84"/>
        <v>71.044587432347285</v>
      </c>
      <c r="Q102" s="303">
        <f t="shared" si="84"/>
        <v>76.389284031149487</v>
      </c>
      <c r="R102" s="303">
        <f t="shared" si="84"/>
        <v>82.267432799365181</v>
      </c>
      <c r="S102" s="303">
        <f t="shared" si="84"/>
        <v>88.120487040254261</v>
      </c>
      <c r="T102" s="303">
        <f t="shared" si="84"/>
        <v>94.245585822030947</v>
      </c>
      <c r="U102" s="303">
        <f t="shared" si="84"/>
        <v>100.96400941674548</v>
      </c>
      <c r="V102" s="303">
        <f t="shared" si="84"/>
        <v>107.68462493840225</v>
      </c>
      <c r="W102" s="303">
        <f t="shared" si="84"/>
        <v>115.04329949938351</v>
      </c>
      <c r="X102" s="303">
        <f t="shared" si="84"/>
        <v>122.42623856016958</v>
      </c>
      <c r="Y102" s="303">
        <f t="shared" si="84"/>
        <v>130.49629023692722</v>
      </c>
      <c r="Z102" s="303">
        <f t="shared" si="84"/>
        <v>131.89417747814915</v>
      </c>
      <c r="AA102" s="303">
        <f t="shared" si="84"/>
        <v>134.10808433927221</v>
      </c>
      <c r="AB102" s="303">
        <f t="shared" si="84"/>
        <v>136.4291551834159</v>
      </c>
      <c r="AC102" s="303">
        <f t="shared" si="84"/>
        <v>138.80151462164076</v>
      </c>
      <c r="AD102" s="303">
        <f t="shared" si="84"/>
        <v>140.8925279138322</v>
      </c>
      <c r="AE102" s="303">
        <f t="shared" si="84"/>
        <v>143.36454147747423</v>
      </c>
      <c r="AF102" s="303">
        <f t="shared" si="84"/>
        <v>145.89152637416754</v>
      </c>
      <c r="AG102" s="303">
        <f t="shared" si="84"/>
        <v>148.1205031853271</v>
      </c>
      <c r="AH102" s="303">
        <f t="shared" si="84"/>
        <v>150.75437481296717</v>
      </c>
      <c r="AI102" s="303">
        <f t="shared" si="84"/>
        <v>153.07854655696633</v>
      </c>
    </row>
    <row r="103" spans="1:47" s="165" customFormat="1">
      <c r="B103" s="165" t="s">
        <v>901</v>
      </c>
      <c r="D103" s="3481">
        <f>-PMT(DiscountRate,BookLife,E103)</f>
        <v>68.212496731603622</v>
      </c>
      <c r="E103" s="3482">
        <f>NPV(DiscountRate,F103:AS103)*(1)</f>
        <v>878.0566203267116</v>
      </c>
      <c r="F103" s="3483">
        <f>Income_Rev_Req!F6-'Income_Cash Flow'!F6</f>
        <v>-154.33059855914547</v>
      </c>
      <c r="G103" s="3483">
        <f>Income_Rev_Req!G6-'Income_Cash Flow'!G6</f>
        <v>10.237595308591068</v>
      </c>
      <c r="H103" s="3483">
        <f>Income_Rev_Req!H6-'Income_Cash Flow'!H6</f>
        <v>79.87415737396708</v>
      </c>
      <c r="I103" s="3483">
        <f>Income_Rev_Req!I6-'Income_Cash Flow'!I6</f>
        <v>104.35813832205542</v>
      </c>
      <c r="J103" s="3483">
        <f>Income_Rev_Req!J6-'Income_Cash Flow'!J6</f>
        <v>94.386914234547191</v>
      </c>
      <c r="K103" s="3483">
        <f>Income_Rev_Req!K6-'Income_Cash Flow'!K6</f>
        <v>176.23247994323364</v>
      </c>
      <c r="L103" s="3483">
        <f>Income_Rev_Req!L6-'Income_Cash Flow'!L6</f>
        <v>170.93560739615964</v>
      </c>
      <c r="M103" s="3483">
        <f>Income_Rev_Req!M6-'Income_Cash Flow'!M6</f>
        <v>165.71300514466262</v>
      </c>
      <c r="N103" s="3483">
        <f>Income_Rev_Req!N6-'Income_Cash Flow'!N6</f>
        <v>160.50431665427766</v>
      </c>
      <c r="O103" s="3483">
        <f>Income_Rev_Req!O6-'Income_Cash Flow'!O6</f>
        <v>155.31537254246797</v>
      </c>
      <c r="P103" s="3483">
        <f>Income_Rev_Req!P6-'Income_Cash Flow'!P6</f>
        <v>150.10484807554192</v>
      </c>
      <c r="Q103" s="3483">
        <f>Income_Rev_Req!Q6-'Income_Cash Flow'!Q6</f>
        <v>144.6417554013008</v>
      </c>
      <c r="R103" s="3483">
        <f>Income_Rev_Req!R6-'Income_Cash Flow'!R6</f>
        <v>138.95916532859889</v>
      </c>
      <c r="S103" s="3483">
        <f>Income_Rev_Req!S6-'Income_Cash Flow'!S6</f>
        <v>133.63419102706803</v>
      </c>
      <c r="T103" s="3483">
        <f>Income_Rev_Req!T6-'Income_Cash Flow'!T6</f>
        <v>128.38935777800864</v>
      </c>
      <c r="U103" s="3483">
        <f>Income_Rev_Req!U6-'Income_Cash Flow'!U6</f>
        <v>122.92421245367836</v>
      </c>
      <c r="V103" s="3483">
        <f>Income_Rev_Req!V6-'Income_Cash Flow'!V6</f>
        <v>117.85194663596764</v>
      </c>
      <c r="W103" s="3483">
        <f>Income_Rev_Req!W6-'Income_Cash Flow'!W6</f>
        <v>112.56005628237284</v>
      </c>
      <c r="X103" s="3483">
        <f>Income_Rev_Req!X6-'Income_Cash Flow'!X6</f>
        <v>107.68708050467359</v>
      </c>
      <c r="Y103" s="3483">
        <f>Income_Rev_Req!Y6-'Income_Cash Flow'!Y6</f>
        <v>102.5963789503578</v>
      </c>
      <c r="Z103" s="3483">
        <f>Income_Rev_Req!Z6-'Income_Cash Flow'!Z6</f>
        <v>-61.569452210083</v>
      </c>
      <c r="AA103" s="3483">
        <f>Income_Rev_Req!AA6-'Income_Cash Flow'!AA6</f>
        <v>-69.490455932547036</v>
      </c>
      <c r="AB103" s="3483">
        <f>Income_Rev_Req!AB6-'Income_Cash Flow'!AB6</f>
        <v>-77.466464381207544</v>
      </c>
      <c r="AC103" s="3483">
        <f>Income_Rev_Req!AC6-'Income_Cash Flow'!AC6</f>
        <v>-85.498807783656702</v>
      </c>
      <c r="AD103" s="3483">
        <f>Income_Rev_Req!AD6-'Income_Cash Flow'!AD6</f>
        <v>-93.222596310022098</v>
      </c>
      <c r="AE103" s="3483">
        <f>Income_Rev_Req!AE6-'Income_Cash Flow'!AE6</f>
        <v>-101.36440697803204</v>
      </c>
      <c r="AF103" s="3483">
        <f>Income_Rev_Req!AF6-'Income_Cash Flow'!AF6</f>
        <v>-109.56659638544484</v>
      </c>
      <c r="AG103" s="3483">
        <f>Income_Rev_Req!AG6-'Income_Cash Flow'!AG6</f>
        <v>-117.44195722175296</v>
      </c>
      <c r="AH103" s="3483">
        <f>Income_Rev_Req!AH6-'Income_Cash Flow'!AH6</f>
        <v>-125.76155591754957</v>
      </c>
      <c r="AI103" s="3483">
        <f>Income_Rev_Req!AI6-'Income_Cash Flow'!AI6</f>
        <v>-133.74150324309136</v>
      </c>
      <c r="AJ103" s="3484">
        <f>Income_Rev_Req!AJ6-'Income_Cash Flow'!AJ6</f>
        <v>0</v>
      </c>
      <c r="AK103" s="3484">
        <f>Income_Rev_Req!AK6-'Income_Cash Flow'!AK6</f>
        <v>0</v>
      </c>
      <c r="AL103" s="3484">
        <f>Income_Rev_Req!AL6-'Income_Cash Flow'!AL6</f>
        <v>0</v>
      </c>
      <c r="AM103" s="3484">
        <f>Income_Rev_Req!AM6-'Income_Cash Flow'!AM6</f>
        <v>0</v>
      </c>
      <c r="AN103" s="3484">
        <f>Income_Rev_Req!AN6-'Income_Cash Flow'!AN6</f>
        <v>0</v>
      </c>
      <c r="AO103" s="3484">
        <f>Income_Rev_Req!AO6-'Income_Cash Flow'!AO6</f>
        <v>0</v>
      </c>
      <c r="AP103" s="3484">
        <f>Income_Rev_Req!AP6-'Income_Cash Flow'!AP6</f>
        <v>0</v>
      </c>
      <c r="AQ103" s="3484">
        <f>Income_Rev_Req!AQ6-'Income_Cash Flow'!AQ6</f>
        <v>0</v>
      </c>
      <c r="AR103" s="3484">
        <f>Income_Rev_Req!AR6-'Income_Cash Flow'!AR6</f>
        <v>0</v>
      </c>
      <c r="AS103" s="3484">
        <f>Income_Rev_Req!AS6-'Income_Cash Flow'!AS6</f>
        <v>0</v>
      </c>
    </row>
    <row r="104" spans="1:47" ht="13.5" thickBot="1">
      <c r="B104" s="2"/>
    </row>
    <row r="105" spans="1:47" s="103" customFormat="1">
      <c r="B105" s="1416" t="s">
        <v>1141</v>
      </c>
      <c r="C105" s="1484" t="s">
        <v>980</v>
      </c>
      <c r="D105" s="1485">
        <f>-PMT(DiscountRate,BookLife,E105)</f>
        <v>171.31335951810115</v>
      </c>
      <c r="E105" s="695">
        <f>NPV(DiscountRate,F105:AS105)*(1)</f>
        <v>2205.2092605134949</v>
      </c>
      <c r="F105" s="1490">
        <f t="shared" ref="F105:AS105" si="85">F79</f>
        <v>432.6174107966566</v>
      </c>
      <c r="G105" s="1490">
        <f t="shared" si="85"/>
        <v>318.00227567297713</v>
      </c>
      <c r="H105" s="1490">
        <f t="shared" si="85"/>
        <v>249.43842004958373</v>
      </c>
      <c r="I105" s="1490">
        <f t="shared" si="85"/>
        <v>222.53092411422108</v>
      </c>
      <c r="J105" s="1490">
        <f t="shared" si="85"/>
        <v>227.52391374515972</v>
      </c>
      <c r="K105" s="1490">
        <f t="shared" si="85"/>
        <v>147.81777089211184</v>
      </c>
      <c r="L105" s="1490">
        <f t="shared" si="85"/>
        <v>148.57082186910947</v>
      </c>
      <c r="M105" s="1490">
        <f t="shared" si="85"/>
        <v>149.26562176679522</v>
      </c>
      <c r="N105" s="1490">
        <f t="shared" si="85"/>
        <v>149.94179112499825</v>
      </c>
      <c r="O105" s="1490">
        <f t="shared" si="85"/>
        <v>150.59587778468909</v>
      </c>
      <c r="P105" s="1490">
        <f t="shared" si="85"/>
        <v>93.382438467066237</v>
      </c>
      <c r="Q105" s="1490">
        <f t="shared" si="85"/>
        <v>93.27281216111372</v>
      </c>
      <c r="R105" s="1490">
        <f t="shared" si="85"/>
        <v>93.297931554008812</v>
      </c>
      <c r="S105" s="1490">
        <f t="shared" si="85"/>
        <v>93.082204157001087</v>
      </c>
      <c r="T105" s="1490">
        <f t="shared" si="85"/>
        <v>92.805491878032313</v>
      </c>
      <c r="U105" s="1490">
        <f t="shared" si="85"/>
        <v>92.662563220428808</v>
      </c>
      <c r="V105" s="1490">
        <f t="shared" si="85"/>
        <v>92.254286519031297</v>
      </c>
      <c r="W105" s="1490">
        <f t="shared" si="85"/>
        <v>91.978199317888055</v>
      </c>
      <c r="X105" s="1490">
        <f t="shared" si="85"/>
        <v>91.41862621592351</v>
      </c>
      <c r="Y105" s="1490">
        <f t="shared" si="85"/>
        <v>90.988721505623701</v>
      </c>
      <c r="Z105" s="1490">
        <f t="shared" si="85"/>
        <v>85.886211664910206</v>
      </c>
      <c r="AA105" s="1490">
        <f t="shared" si="85"/>
        <v>87.327987111063365</v>
      </c>
      <c r="AB105" s="1490">
        <f t="shared" si="85"/>
        <v>88.839467441665107</v>
      </c>
      <c r="AC105" s="1490">
        <f t="shared" si="85"/>
        <v>90.384334506414078</v>
      </c>
      <c r="AD105" s="1490">
        <f t="shared" si="85"/>
        <v>91.746376591793535</v>
      </c>
      <c r="AE105" s="1490">
        <f t="shared" si="85"/>
        <v>93.35611975204003</v>
      </c>
      <c r="AF105" s="1490">
        <f t="shared" si="85"/>
        <v>95.001646075650086</v>
      </c>
      <c r="AG105" s="1490">
        <f t="shared" si="85"/>
        <v>96.453519854859337</v>
      </c>
      <c r="AH105" s="1490">
        <f t="shared" si="85"/>
        <v>98.168628906432161</v>
      </c>
      <c r="AI105" s="1490">
        <f t="shared" si="85"/>
        <v>99.682487622169205</v>
      </c>
      <c r="AJ105" s="1490">
        <f t="shared" si="85"/>
        <v>0</v>
      </c>
      <c r="AK105" s="1490">
        <f t="shared" si="85"/>
        <v>0</v>
      </c>
      <c r="AL105" s="1490">
        <f t="shared" si="85"/>
        <v>0</v>
      </c>
      <c r="AM105" s="1490">
        <f t="shared" si="85"/>
        <v>0</v>
      </c>
      <c r="AN105" s="1490">
        <f t="shared" si="85"/>
        <v>0</v>
      </c>
      <c r="AO105" s="1490">
        <f t="shared" si="85"/>
        <v>0</v>
      </c>
      <c r="AP105" s="1490">
        <f t="shared" si="85"/>
        <v>0</v>
      </c>
      <c r="AQ105" s="1490">
        <f t="shared" si="85"/>
        <v>0</v>
      </c>
      <c r="AR105" s="1490">
        <f t="shared" si="85"/>
        <v>0</v>
      </c>
      <c r="AS105" s="1490">
        <f t="shared" si="85"/>
        <v>0</v>
      </c>
      <c r="AT105" s="723"/>
    </row>
    <row r="106" spans="1:47" s="103" customFormat="1">
      <c r="B106" s="1419" t="s">
        <v>196</v>
      </c>
      <c r="C106" s="1486" t="s">
        <v>980</v>
      </c>
      <c r="D106" s="1487">
        <f>D16</f>
        <v>14.635139806572186</v>
      </c>
      <c r="E106" s="141"/>
      <c r="F106" s="1490">
        <f t="shared" ref="F106:AS106" si="86">F16</f>
        <v>12.443018055544583</v>
      </c>
      <c r="G106" s="1490">
        <f t="shared" si="86"/>
        <v>12.637575952701111</v>
      </c>
      <c r="H106" s="1490">
        <f t="shared" si="86"/>
        <v>12.835175939419591</v>
      </c>
      <c r="I106" s="1490">
        <f t="shared" si="86"/>
        <v>13.035865581535377</v>
      </c>
      <c r="J106" s="1490">
        <f t="shared" si="86"/>
        <v>13.239693188618897</v>
      </c>
      <c r="K106" s="1490">
        <f t="shared" si="86"/>
        <v>13.446707825604614</v>
      </c>
      <c r="L106" s="1490">
        <f t="shared" si="86"/>
        <v>13.656959324601845</v>
      </c>
      <c r="M106" s="1490">
        <f t="shared" si="86"/>
        <v>13.870498296890224</v>
      </c>
      <c r="N106" s="1490">
        <f t="shared" si="86"/>
        <v>14.087376145102754</v>
      </c>
      <c r="O106" s="1490">
        <f t="shared" si="86"/>
        <v>14.307645075599316</v>
      </c>
      <c r="P106" s="1490">
        <f t="shared" si="86"/>
        <v>14.531358111033684</v>
      </c>
      <c r="Q106" s="1490">
        <f t="shared" si="86"/>
        <v>14.75856910311702</v>
      </c>
      <c r="R106" s="1490">
        <f t="shared" si="86"/>
        <v>14.989332745580938</v>
      </c>
      <c r="S106" s="1490">
        <f t="shared" si="86"/>
        <v>15.223704587343251</v>
      </c>
      <c r="T106" s="1490">
        <f t="shared" si="86"/>
        <v>15.461741045879601</v>
      </c>
      <c r="U106" s="1490">
        <f t="shared" si="86"/>
        <v>15.703499420804134</v>
      </c>
      <c r="V106" s="1490">
        <f t="shared" si="86"/>
        <v>15.94903790766255</v>
      </c>
      <c r="W106" s="1490">
        <f t="shared" si="86"/>
        <v>16.198415611940806</v>
      </c>
      <c r="X106" s="1490">
        <f t="shared" si="86"/>
        <v>16.451692563292838</v>
      </c>
      <c r="Y106" s="1490">
        <f t="shared" si="86"/>
        <v>16.708929729990807</v>
      </c>
      <c r="Z106" s="1490">
        <f t="shared" si="86"/>
        <v>16.970189033601205</v>
      </c>
      <c r="AA106" s="1490">
        <f t="shared" si="86"/>
        <v>17.235533363890507</v>
      </c>
      <c r="AB106" s="1490">
        <f t="shared" si="86"/>
        <v>17.505026593963859</v>
      </c>
      <c r="AC106" s="1490">
        <f t="shared" si="86"/>
        <v>17.778733595640439</v>
      </c>
      <c r="AD106" s="1490">
        <f t="shared" si="86"/>
        <v>18.056720255069308</v>
      </c>
      <c r="AE106" s="1490">
        <f t="shared" si="86"/>
        <v>18.339053488589332</v>
      </c>
      <c r="AF106" s="1490">
        <f t="shared" si="86"/>
        <v>18.625801258837168</v>
      </c>
      <c r="AG106" s="1490">
        <f t="shared" si="86"/>
        <v>18.917032591107073</v>
      </c>
      <c r="AH106" s="1490">
        <f t="shared" si="86"/>
        <v>19.212817589966519</v>
      </c>
      <c r="AI106" s="1490">
        <f t="shared" si="86"/>
        <v>19.513227456131599</v>
      </c>
      <c r="AJ106" s="1490">
        <f t="shared" si="86"/>
        <v>0</v>
      </c>
      <c r="AK106" s="1490">
        <f t="shared" si="86"/>
        <v>0</v>
      </c>
      <c r="AL106" s="1490">
        <f t="shared" si="86"/>
        <v>0</v>
      </c>
      <c r="AM106" s="1490">
        <f t="shared" si="86"/>
        <v>0</v>
      </c>
      <c r="AN106" s="1490">
        <f t="shared" si="86"/>
        <v>0</v>
      </c>
      <c r="AO106" s="1490">
        <f t="shared" si="86"/>
        <v>0</v>
      </c>
      <c r="AP106" s="1490">
        <f t="shared" si="86"/>
        <v>0</v>
      </c>
      <c r="AQ106" s="1490">
        <f t="shared" si="86"/>
        <v>0</v>
      </c>
      <c r="AR106" s="1490">
        <f t="shared" si="86"/>
        <v>0</v>
      </c>
      <c r="AS106" s="1490">
        <f t="shared" si="86"/>
        <v>0</v>
      </c>
      <c r="AT106" s="723"/>
    </row>
    <row r="107" spans="1:47" ht="10.5" customHeight="1">
      <c r="B107" s="1419" t="s">
        <v>303</v>
      </c>
      <c r="C107" s="1486" t="s">
        <v>980</v>
      </c>
      <c r="D107" s="1487">
        <f>D15</f>
        <v>21.391440826369717</v>
      </c>
      <c r="E107" s="141"/>
      <c r="F107" s="1490">
        <f t="shared" ref="F107:AS107" si="87">F15</f>
        <v>22.54301581123012</v>
      </c>
      <c r="G107" s="1490">
        <f t="shared" si="87"/>
        <v>22.529353377405133</v>
      </c>
      <c r="H107" s="1490">
        <f t="shared" si="87"/>
        <v>22.743033842427945</v>
      </c>
      <c r="I107" s="1490">
        <f t="shared" si="87"/>
        <v>22.714605050124906</v>
      </c>
      <c r="J107" s="1490">
        <f t="shared" si="87"/>
        <v>22.675941892592785</v>
      </c>
      <c r="K107" s="1490">
        <f t="shared" si="87"/>
        <v>22.878053548591982</v>
      </c>
      <c r="L107" s="1490">
        <f t="shared" si="87"/>
        <v>22.822743968584394</v>
      </c>
      <c r="M107" s="1490">
        <f t="shared" si="87"/>
        <v>22.756070783957068</v>
      </c>
      <c r="N107" s="1490">
        <f t="shared" si="87"/>
        <v>22.677601574357215</v>
      </c>
      <c r="O107" s="1490">
        <f t="shared" si="87"/>
        <v>22.586891168059786</v>
      </c>
      <c r="P107" s="1490">
        <f t="shared" si="87"/>
        <v>22.483481304880719</v>
      </c>
      <c r="Q107" s="1490">
        <f t="shared" si="87"/>
        <v>22.366900290707257</v>
      </c>
      <c r="R107" s="1490">
        <f t="shared" si="87"/>
        <v>21.947874816906669</v>
      </c>
      <c r="S107" s="1490">
        <f t="shared" si="87"/>
        <v>21.797705147106779</v>
      </c>
      <c r="T107" s="1490">
        <f t="shared" si="87"/>
        <v>21.632749540588136</v>
      </c>
      <c r="U107" s="1490">
        <f t="shared" si="87"/>
        <v>21.146012675924897</v>
      </c>
      <c r="V107" s="1490">
        <f t="shared" si="87"/>
        <v>20.943746467720405</v>
      </c>
      <c r="W107" s="1490">
        <f t="shared" si="87"/>
        <v>20.406086110638629</v>
      </c>
      <c r="X107" s="1490">
        <f t="shared" si="87"/>
        <v>20.163763838074793</v>
      </c>
      <c r="Y107" s="1490">
        <f t="shared" si="87"/>
        <v>19.571859802828076</v>
      </c>
      <c r="Z107" s="1490">
        <f t="shared" si="87"/>
        <v>19.28657506671906</v>
      </c>
      <c r="AA107" s="1490">
        <f t="shared" si="87"/>
        <v>18.636922011840102</v>
      </c>
      <c r="AB107" s="1490">
        <f t="shared" si="87"/>
        <v>17.953568204739302</v>
      </c>
      <c r="AC107" s="1490">
        <f t="shared" si="87"/>
        <v>17.235425476549725</v>
      </c>
      <c r="AD107" s="1490">
        <f t="shared" si="87"/>
        <v>16.847628403327359</v>
      </c>
      <c r="AE107" s="1490">
        <f t="shared" si="87"/>
        <v>16.063847429781259</v>
      </c>
      <c r="AF107" s="1490">
        <f t="shared" si="87"/>
        <v>15.241976165931986</v>
      </c>
      <c r="AG107" s="1490">
        <f t="shared" si="87"/>
        <v>14.769474904788092</v>
      </c>
      <c r="AH107" s="1490">
        <f t="shared" si="87"/>
        <v>13.875533002656184</v>
      </c>
      <c r="AI107" s="1490">
        <f t="shared" si="87"/>
        <v>13.344298310554489</v>
      </c>
      <c r="AJ107" s="1490">
        <f t="shared" si="87"/>
        <v>0</v>
      </c>
      <c r="AK107" s="1490">
        <f t="shared" si="87"/>
        <v>0</v>
      </c>
      <c r="AL107" s="1490">
        <f t="shared" si="87"/>
        <v>0</v>
      </c>
      <c r="AM107" s="1490">
        <f t="shared" si="87"/>
        <v>0</v>
      </c>
      <c r="AN107" s="1490">
        <f t="shared" si="87"/>
        <v>0</v>
      </c>
      <c r="AO107" s="1490">
        <f t="shared" si="87"/>
        <v>0</v>
      </c>
      <c r="AP107" s="1490">
        <f t="shared" si="87"/>
        <v>0</v>
      </c>
      <c r="AQ107" s="1490">
        <f t="shared" si="87"/>
        <v>0</v>
      </c>
      <c r="AR107" s="1490">
        <f t="shared" si="87"/>
        <v>0</v>
      </c>
      <c r="AS107" s="1490">
        <f t="shared" si="87"/>
        <v>0</v>
      </c>
      <c r="AT107" s="665"/>
      <c r="AU107" s="731"/>
    </row>
    <row r="108" spans="1:47" s="1317" customFormat="1" ht="11.25" customHeight="1">
      <c r="B108" s="1426" t="s">
        <v>301</v>
      </c>
      <c r="C108" s="1486" t="s">
        <v>980</v>
      </c>
      <c r="D108" s="1487">
        <f>D13</f>
        <v>0</v>
      </c>
      <c r="E108" s="141"/>
      <c r="F108" s="1490">
        <f t="shared" ref="F108:AS108" si="88">F13</f>
        <v>0</v>
      </c>
      <c r="G108" s="1490">
        <f t="shared" si="88"/>
        <v>0</v>
      </c>
      <c r="H108" s="1490">
        <f t="shared" si="88"/>
        <v>0</v>
      </c>
      <c r="I108" s="1490">
        <f t="shared" si="88"/>
        <v>0</v>
      </c>
      <c r="J108" s="1490">
        <f t="shared" si="88"/>
        <v>0</v>
      </c>
      <c r="K108" s="1490">
        <f t="shared" si="88"/>
        <v>0</v>
      </c>
      <c r="L108" s="1490">
        <f t="shared" si="88"/>
        <v>0</v>
      </c>
      <c r="M108" s="1490">
        <f t="shared" si="88"/>
        <v>0</v>
      </c>
      <c r="N108" s="1490">
        <f t="shared" si="88"/>
        <v>0</v>
      </c>
      <c r="O108" s="1490">
        <f t="shared" si="88"/>
        <v>0</v>
      </c>
      <c r="P108" s="1490">
        <f t="shared" si="88"/>
        <v>0</v>
      </c>
      <c r="Q108" s="1490">
        <f t="shared" si="88"/>
        <v>0</v>
      </c>
      <c r="R108" s="1490">
        <f t="shared" si="88"/>
        <v>0</v>
      </c>
      <c r="S108" s="1490">
        <f t="shared" si="88"/>
        <v>0</v>
      </c>
      <c r="T108" s="1490">
        <f t="shared" si="88"/>
        <v>0</v>
      </c>
      <c r="U108" s="1490">
        <f t="shared" si="88"/>
        <v>0</v>
      </c>
      <c r="V108" s="1490">
        <f t="shared" si="88"/>
        <v>0</v>
      </c>
      <c r="W108" s="1490">
        <f t="shared" si="88"/>
        <v>0</v>
      </c>
      <c r="X108" s="1490">
        <f t="shared" si="88"/>
        <v>0</v>
      </c>
      <c r="Y108" s="1490">
        <f t="shared" si="88"/>
        <v>0</v>
      </c>
      <c r="Z108" s="1490">
        <f t="shared" si="88"/>
        <v>0</v>
      </c>
      <c r="AA108" s="1490">
        <f t="shared" si="88"/>
        <v>0</v>
      </c>
      <c r="AB108" s="1490">
        <f t="shared" si="88"/>
        <v>0</v>
      </c>
      <c r="AC108" s="1490">
        <f t="shared" si="88"/>
        <v>0</v>
      </c>
      <c r="AD108" s="1490">
        <f t="shared" si="88"/>
        <v>0</v>
      </c>
      <c r="AE108" s="1490">
        <f t="shared" si="88"/>
        <v>0</v>
      </c>
      <c r="AF108" s="1490">
        <f t="shared" si="88"/>
        <v>0</v>
      </c>
      <c r="AG108" s="1490">
        <f t="shared" si="88"/>
        <v>0</v>
      </c>
      <c r="AH108" s="1490">
        <f t="shared" si="88"/>
        <v>0</v>
      </c>
      <c r="AI108" s="1490">
        <f t="shared" si="88"/>
        <v>0</v>
      </c>
      <c r="AJ108" s="1490">
        <f t="shared" si="88"/>
        <v>0</v>
      </c>
      <c r="AK108" s="1490">
        <f t="shared" si="88"/>
        <v>0</v>
      </c>
      <c r="AL108" s="1490">
        <f t="shared" si="88"/>
        <v>0</v>
      </c>
      <c r="AM108" s="1490">
        <f t="shared" si="88"/>
        <v>0</v>
      </c>
      <c r="AN108" s="1490">
        <f t="shared" si="88"/>
        <v>0</v>
      </c>
      <c r="AO108" s="1490">
        <f t="shared" si="88"/>
        <v>0</v>
      </c>
      <c r="AP108" s="1490">
        <f t="shared" si="88"/>
        <v>0</v>
      </c>
      <c r="AQ108" s="1490">
        <f t="shared" si="88"/>
        <v>0</v>
      </c>
      <c r="AR108" s="1490">
        <f t="shared" si="88"/>
        <v>0</v>
      </c>
      <c r="AS108" s="1490">
        <f t="shared" si="88"/>
        <v>0</v>
      </c>
      <c r="AT108" s="665"/>
      <c r="AU108" s="1318"/>
    </row>
    <row r="109" spans="1:47">
      <c r="B109" s="1422" t="s">
        <v>1433</v>
      </c>
      <c r="C109" s="1486" t="s">
        <v>980</v>
      </c>
      <c r="D109" s="1487">
        <f>D22+D25</f>
        <v>0</v>
      </c>
      <c r="E109" s="141"/>
      <c r="F109" s="1490">
        <f t="shared" ref="F109:AS109" si="89">F22+F25</f>
        <v>0</v>
      </c>
      <c r="G109" s="1490">
        <f t="shared" si="89"/>
        <v>0</v>
      </c>
      <c r="H109" s="1490">
        <f t="shared" si="89"/>
        <v>0</v>
      </c>
      <c r="I109" s="1490">
        <f t="shared" si="89"/>
        <v>0</v>
      </c>
      <c r="J109" s="1490">
        <f t="shared" si="89"/>
        <v>0</v>
      </c>
      <c r="K109" s="1490">
        <f t="shared" si="89"/>
        <v>0</v>
      </c>
      <c r="L109" s="1490">
        <f t="shared" si="89"/>
        <v>0</v>
      </c>
      <c r="M109" s="1490">
        <f t="shared" si="89"/>
        <v>0</v>
      </c>
      <c r="N109" s="1490">
        <f t="shared" si="89"/>
        <v>0</v>
      </c>
      <c r="O109" s="1490">
        <f t="shared" si="89"/>
        <v>0</v>
      </c>
      <c r="P109" s="1490">
        <f t="shared" si="89"/>
        <v>0</v>
      </c>
      <c r="Q109" s="1490">
        <f t="shared" si="89"/>
        <v>0</v>
      </c>
      <c r="R109" s="1490">
        <f t="shared" si="89"/>
        <v>0</v>
      </c>
      <c r="S109" s="1490">
        <f t="shared" si="89"/>
        <v>0</v>
      </c>
      <c r="T109" s="1490">
        <f t="shared" si="89"/>
        <v>0</v>
      </c>
      <c r="U109" s="1490">
        <f t="shared" si="89"/>
        <v>0</v>
      </c>
      <c r="V109" s="1490">
        <f t="shared" si="89"/>
        <v>0</v>
      </c>
      <c r="W109" s="1490">
        <f t="shared" si="89"/>
        <v>0</v>
      </c>
      <c r="X109" s="1490">
        <f t="shared" si="89"/>
        <v>0</v>
      </c>
      <c r="Y109" s="1490">
        <f t="shared" si="89"/>
        <v>0</v>
      </c>
      <c r="Z109" s="1490">
        <f t="shared" si="89"/>
        <v>0</v>
      </c>
      <c r="AA109" s="1490">
        <f t="shared" si="89"/>
        <v>0</v>
      </c>
      <c r="AB109" s="1490">
        <f t="shared" si="89"/>
        <v>0</v>
      </c>
      <c r="AC109" s="1490">
        <f t="shared" si="89"/>
        <v>0</v>
      </c>
      <c r="AD109" s="1490">
        <f t="shared" si="89"/>
        <v>0</v>
      </c>
      <c r="AE109" s="1490">
        <f t="shared" si="89"/>
        <v>0</v>
      </c>
      <c r="AF109" s="1490">
        <f t="shared" si="89"/>
        <v>0</v>
      </c>
      <c r="AG109" s="1490">
        <f t="shared" si="89"/>
        <v>0</v>
      </c>
      <c r="AH109" s="1490">
        <f t="shared" si="89"/>
        <v>0</v>
      </c>
      <c r="AI109" s="1490">
        <f t="shared" si="89"/>
        <v>0</v>
      </c>
      <c r="AJ109" s="1490">
        <f t="shared" si="89"/>
        <v>0</v>
      </c>
      <c r="AK109" s="1490">
        <f t="shared" si="89"/>
        <v>0</v>
      </c>
      <c r="AL109" s="1490">
        <f t="shared" si="89"/>
        <v>0</v>
      </c>
      <c r="AM109" s="1490">
        <f t="shared" si="89"/>
        <v>0</v>
      </c>
      <c r="AN109" s="1490">
        <f t="shared" si="89"/>
        <v>0</v>
      </c>
      <c r="AO109" s="1490">
        <f t="shared" si="89"/>
        <v>0</v>
      </c>
      <c r="AP109" s="1490">
        <f t="shared" si="89"/>
        <v>0</v>
      </c>
      <c r="AQ109" s="1490">
        <f t="shared" si="89"/>
        <v>0</v>
      </c>
      <c r="AR109" s="1490">
        <f t="shared" si="89"/>
        <v>0</v>
      </c>
      <c r="AS109" s="1490">
        <f t="shared" si="89"/>
        <v>0</v>
      </c>
    </row>
    <row r="110" spans="1:47" s="141" customFormat="1">
      <c r="A110" s="102"/>
      <c r="B110" s="1422" t="s">
        <v>164</v>
      </c>
      <c r="C110" s="1486" t="s">
        <v>980</v>
      </c>
      <c r="D110" s="1487">
        <f>D26</f>
        <v>26.054494620263569</v>
      </c>
      <c r="F110" s="1490">
        <f t="shared" ref="F110:AS110" si="90">F26</f>
        <v>21.672322566522727</v>
      </c>
      <c r="G110" s="1490">
        <f t="shared" si="90"/>
        <v>22.054881238740805</v>
      </c>
      <c r="H110" s="1490">
        <f t="shared" si="90"/>
        <v>22.444192816063541</v>
      </c>
      <c r="I110" s="1490">
        <f t="shared" si="90"/>
        <v>22.840376500408617</v>
      </c>
      <c r="J110" s="1490">
        <f t="shared" si="90"/>
        <v>23.24355359783954</v>
      </c>
      <c r="K110" s="1490">
        <f t="shared" si="90"/>
        <v>23.653847555707941</v>
      </c>
      <c r="L110" s="1490">
        <f t="shared" si="90"/>
        <v>24.071384000451459</v>
      </c>
      <c r="M110" s="1490">
        <f t="shared" si="90"/>
        <v>24.496290776058842</v>
      </c>
      <c r="N110" s="1490">
        <f t="shared" si="90"/>
        <v>24.928697983214061</v>
      </c>
      <c r="O110" s="1490">
        <f t="shared" si="90"/>
        <v>25.368738019131353</v>
      </c>
      <c r="P110" s="1490">
        <f t="shared" si="90"/>
        <v>25.816545618093482</v>
      </c>
      <c r="Q110" s="1490">
        <f t="shared" si="90"/>
        <v>26.27225789270549</v>
      </c>
      <c r="R110" s="1490">
        <f t="shared" si="90"/>
        <v>26.736014375876788</v>
      </c>
      <c r="S110" s="1490">
        <f t="shared" si="90"/>
        <v>27.207957063544157</v>
      </c>
      <c r="T110" s="1490">
        <f t="shared" si="90"/>
        <v>27.68823045814905</v>
      </c>
      <c r="U110" s="1490">
        <f t="shared" si="90"/>
        <v>28.176981612882216</v>
      </c>
      <c r="V110" s="1490">
        <f t="shared" si="90"/>
        <v>28.674360176709442</v>
      </c>
      <c r="W110" s="1490">
        <f t="shared" si="90"/>
        <v>29.180518440191999</v>
      </c>
      <c r="X110" s="1490">
        <f t="shared" si="90"/>
        <v>29.695611382115949</v>
      </c>
      <c r="Y110" s="1490">
        <f t="shared" si="90"/>
        <v>30.219796716944561</v>
      </c>
      <c r="Z110" s="1490">
        <f t="shared" si="90"/>
        <v>30.753234943108328</v>
      </c>
      <c r="AA110" s="1490">
        <f t="shared" si="90"/>
        <v>31.296089392147366</v>
      </c>
      <c r="AB110" s="1490">
        <f t="shared" si="90"/>
        <v>31.848526278721419</v>
      </c>
      <c r="AC110" s="1490">
        <f t="shared" si="90"/>
        <v>32.410714751502404</v>
      </c>
      <c r="AD110" s="1490">
        <f t="shared" si="90"/>
        <v>32.982826944965531</v>
      </c>
      <c r="AE110" s="1490">
        <f t="shared" si="90"/>
        <v>33.565038032094492</v>
      </c>
      <c r="AF110" s="1490">
        <f t="shared" si="90"/>
        <v>34.157526278017073</v>
      </c>
      <c r="AG110" s="1490">
        <f t="shared" si="90"/>
        <v>34.760473094587503</v>
      </c>
      <c r="AH110" s="1490">
        <f t="shared" si="90"/>
        <v>35.374063095932314</v>
      </c>
      <c r="AI110" s="1490">
        <f t="shared" si="90"/>
        <v>35.998484154976644</v>
      </c>
      <c r="AJ110" s="1490">
        <f t="shared" si="90"/>
        <v>0</v>
      </c>
      <c r="AK110" s="1490">
        <f t="shared" si="90"/>
        <v>0</v>
      </c>
      <c r="AL110" s="1490">
        <f t="shared" si="90"/>
        <v>0</v>
      </c>
      <c r="AM110" s="1490">
        <f t="shared" si="90"/>
        <v>0</v>
      </c>
      <c r="AN110" s="1490">
        <f t="shared" si="90"/>
        <v>0</v>
      </c>
      <c r="AO110" s="1490">
        <f t="shared" si="90"/>
        <v>0</v>
      </c>
      <c r="AP110" s="1490">
        <f t="shared" si="90"/>
        <v>0</v>
      </c>
      <c r="AQ110" s="1490">
        <f t="shared" si="90"/>
        <v>0</v>
      </c>
      <c r="AR110" s="1490">
        <f t="shared" si="90"/>
        <v>0</v>
      </c>
      <c r="AS110" s="1490">
        <f t="shared" si="90"/>
        <v>0</v>
      </c>
    </row>
    <row r="111" spans="1:47" s="141" customFormat="1">
      <c r="A111" s="102"/>
      <c r="B111" s="1422" t="s">
        <v>1424</v>
      </c>
      <c r="C111" s="1486" t="s">
        <v>980</v>
      </c>
      <c r="D111" s="1487">
        <f>D28</f>
        <v>0</v>
      </c>
      <c r="F111" s="1490">
        <f t="shared" ref="F111:AS111" si="91">F28</f>
        <v>0</v>
      </c>
      <c r="G111" s="1490">
        <f t="shared" si="91"/>
        <v>0</v>
      </c>
      <c r="H111" s="1490">
        <f t="shared" si="91"/>
        <v>0</v>
      </c>
      <c r="I111" s="1490">
        <f t="shared" si="91"/>
        <v>0</v>
      </c>
      <c r="J111" s="1490">
        <f t="shared" si="91"/>
        <v>0</v>
      </c>
      <c r="K111" s="1490">
        <f t="shared" si="91"/>
        <v>0</v>
      </c>
      <c r="L111" s="1490">
        <f t="shared" si="91"/>
        <v>0</v>
      </c>
      <c r="M111" s="1490">
        <f t="shared" si="91"/>
        <v>0</v>
      </c>
      <c r="N111" s="1490">
        <f t="shared" si="91"/>
        <v>0</v>
      </c>
      <c r="O111" s="1490">
        <f t="shared" si="91"/>
        <v>0</v>
      </c>
      <c r="P111" s="1490">
        <f t="shared" si="91"/>
        <v>0</v>
      </c>
      <c r="Q111" s="1490">
        <f t="shared" si="91"/>
        <v>0</v>
      </c>
      <c r="R111" s="1490">
        <f t="shared" si="91"/>
        <v>0</v>
      </c>
      <c r="S111" s="1490">
        <f t="shared" si="91"/>
        <v>0</v>
      </c>
      <c r="T111" s="1490">
        <f t="shared" si="91"/>
        <v>0</v>
      </c>
      <c r="U111" s="1490">
        <f t="shared" si="91"/>
        <v>0</v>
      </c>
      <c r="V111" s="1490">
        <f t="shared" si="91"/>
        <v>0</v>
      </c>
      <c r="W111" s="1490">
        <f t="shared" si="91"/>
        <v>0</v>
      </c>
      <c r="X111" s="1490">
        <f t="shared" si="91"/>
        <v>0</v>
      </c>
      <c r="Y111" s="1490">
        <f t="shared" si="91"/>
        <v>0</v>
      </c>
      <c r="Z111" s="1490">
        <f t="shared" si="91"/>
        <v>0</v>
      </c>
      <c r="AA111" s="1490">
        <f t="shared" si="91"/>
        <v>0</v>
      </c>
      <c r="AB111" s="1490">
        <f t="shared" si="91"/>
        <v>0</v>
      </c>
      <c r="AC111" s="1490">
        <f t="shared" si="91"/>
        <v>0</v>
      </c>
      <c r="AD111" s="1490">
        <f t="shared" si="91"/>
        <v>0</v>
      </c>
      <c r="AE111" s="1490">
        <f t="shared" si="91"/>
        <v>0</v>
      </c>
      <c r="AF111" s="1490">
        <f t="shared" si="91"/>
        <v>0</v>
      </c>
      <c r="AG111" s="1490">
        <f t="shared" si="91"/>
        <v>0</v>
      </c>
      <c r="AH111" s="1490">
        <f t="shared" si="91"/>
        <v>0</v>
      </c>
      <c r="AI111" s="1490">
        <f t="shared" si="91"/>
        <v>0</v>
      </c>
      <c r="AJ111" s="1490">
        <f t="shared" si="91"/>
        <v>0</v>
      </c>
      <c r="AK111" s="1490">
        <f t="shared" si="91"/>
        <v>0</v>
      </c>
      <c r="AL111" s="1490">
        <f t="shared" si="91"/>
        <v>0</v>
      </c>
      <c r="AM111" s="1490">
        <f t="shared" si="91"/>
        <v>0</v>
      </c>
      <c r="AN111" s="1490">
        <f t="shared" si="91"/>
        <v>0</v>
      </c>
      <c r="AO111" s="1490">
        <f t="shared" si="91"/>
        <v>0</v>
      </c>
      <c r="AP111" s="1490">
        <f t="shared" si="91"/>
        <v>0</v>
      </c>
      <c r="AQ111" s="1490">
        <f t="shared" si="91"/>
        <v>0</v>
      </c>
      <c r="AR111" s="1490">
        <f t="shared" si="91"/>
        <v>0</v>
      </c>
      <c r="AS111" s="1490">
        <f t="shared" si="91"/>
        <v>0</v>
      </c>
    </row>
    <row r="112" spans="1:47" s="745" customFormat="1" ht="13.5" thickBot="1">
      <c r="A112" s="102"/>
      <c r="B112" s="1423" t="s">
        <v>278</v>
      </c>
      <c r="C112" s="1488" t="s">
        <v>980</v>
      </c>
      <c r="D112" s="1489">
        <f>D66</f>
        <v>-51.649302851754157</v>
      </c>
      <c r="E112" s="141"/>
      <c r="F112" s="1490">
        <f t="shared" ref="F112:AS112" si="92">F66</f>
        <v>-331.96574479437282</v>
      </c>
      <c r="G112" s="1490">
        <f t="shared" si="92"/>
        <v>-214.91559936931344</v>
      </c>
      <c r="H112" s="1490">
        <f t="shared" si="92"/>
        <v>-144.48439131081551</v>
      </c>
      <c r="I112" s="1490">
        <f t="shared" si="92"/>
        <v>-115.50535090296529</v>
      </c>
      <c r="J112" s="1490">
        <f t="shared" si="92"/>
        <v>-118.67901497712259</v>
      </c>
      <c r="K112" s="1490">
        <f t="shared" si="92"/>
        <v>-37.606230636363449</v>
      </c>
      <c r="L112" s="1490">
        <f t="shared" si="92"/>
        <v>-36.805944944887592</v>
      </c>
      <c r="M112" s="1490">
        <f t="shared" si="92"/>
        <v>-35.964631132682157</v>
      </c>
      <c r="N112" s="1490">
        <f t="shared" si="92"/>
        <v>-35.05605667516685</v>
      </c>
      <c r="O112" s="1490">
        <f t="shared" si="92"/>
        <v>-34.07688461704052</v>
      </c>
      <c r="P112" s="1490">
        <f t="shared" si="92"/>
        <v>24.865605601321548</v>
      </c>
      <c r="Q112" s="1490">
        <f t="shared" si="92"/>
        <v>26.736249410902317</v>
      </c>
      <c r="R112" s="1490">
        <f t="shared" si="92"/>
        <v>28.793601479777813</v>
      </c>
      <c r="S112" s="1490">
        <f t="shared" si="92"/>
        <v>30.842170464088991</v>
      </c>
      <c r="T112" s="1490">
        <f t="shared" si="92"/>
        <v>32.985955037710831</v>
      </c>
      <c r="U112" s="1490">
        <f t="shared" si="92"/>
        <v>35.337403295860916</v>
      </c>
      <c r="V112" s="1490">
        <f t="shared" si="92"/>
        <v>37.689618728440792</v>
      </c>
      <c r="W112" s="1490">
        <f t="shared" si="92"/>
        <v>40.265154824784226</v>
      </c>
      <c r="X112" s="1490">
        <f t="shared" si="92"/>
        <v>42.849183496059354</v>
      </c>
      <c r="Y112" s="1490">
        <f t="shared" si="92"/>
        <v>45.673701582924522</v>
      </c>
      <c r="Z112" s="1490">
        <f t="shared" si="92"/>
        <v>52.885015401323379</v>
      </c>
      <c r="AA112" s="1490">
        <f t="shared" si="92"/>
        <v>53.937458604875289</v>
      </c>
      <c r="AB112" s="1490">
        <f t="shared" si="92"/>
        <v>54.97518310759083</v>
      </c>
      <c r="AC112" s="1490">
        <f t="shared" si="92"/>
        <v>56.035836960050815</v>
      </c>
      <c r="AD112" s="1490">
        <f t="shared" si="92"/>
        <v>56.970741712809193</v>
      </c>
      <c r="AE112" s="1490">
        <f t="shared" si="92"/>
        <v>58.075947990387625</v>
      </c>
      <c r="AF112" s="1490">
        <f t="shared" si="92"/>
        <v>59.205729957094285</v>
      </c>
      <c r="AG112" s="1490">
        <f t="shared" si="92"/>
        <v>60.202315659143359</v>
      </c>
      <c r="AH112" s="1490">
        <f t="shared" si="92"/>
        <v>61.379883353124349</v>
      </c>
      <c r="AI112" s="1490">
        <f t="shared" si="92"/>
        <v>62.419029053948023</v>
      </c>
      <c r="AJ112" s="1490">
        <f t="shared" si="92"/>
        <v>0</v>
      </c>
      <c r="AK112" s="1490">
        <f t="shared" si="92"/>
        <v>0</v>
      </c>
      <c r="AL112" s="1490">
        <f t="shared" si="92"/>
        <v>0</v>
      </c>
      <c r="AM112" s="1490">
        <f t="shared" si="92"/>
        <v>0</v>
      </c>
      <c r="AN112" s="1490">
        <f t="shared" si="92"/>
        <v>0</v>
      </c>
      <c r="AO112" s="1490">
        <f t="shared" si="92"/>
        <v>0</v>
      </c>
      <c r="AP112" s="1490">
        <f t="shared" si="92"/>
        <v>0</v>
      </c>
      <c r="AQ112" s="1490">
        <f t="shared" si="92"/>
        <v>0</v>
      </c>
      <c r="AR112" s="1490">
        <f t="shared" si="92"/>
        <v>0</v>
      </c>
      <c r="AS112" s="1490">
        <f t="shared" si="92"/>
        <v>0</v>
      </c>
    </row>
    <row r="113" spans="1:256" s="745" customFormat="1">
      <c r="A113" s="102"/>
      <c r="B113" s="992"/>
      <c r="D113" s="1327"/>
      <c r="G113" s="665"/>
      <c r="H113" s="665"/>
      <c r="I113" s="665"/>
      <c r="J113" s="665"/>
      <c r="K113" s="665"/>
      <c r="L113" s="665"/>
      <c r="M113" s="665"/>
      <c r="N113" s="665"/>
      <c r="O113" s="665"/>
      <c r="P113" s="665"/>
      <c r="Q113" s="665"/>
      <c r="R113" s="665"/>
      <c r="S113" s="665"/>
      <c r="T113" s="665"/>
      <c r="U113" s="665"/>
      <c r="V113" s="665"/>
      <c r="W113" s="665"/>
      <c r="X113" s="665"/>
      <c r="Y113" s="665"/>
      <c r="Z113" s="665"/>
      <c r="AA113" s="665"/>
      <c r="AB113" s="665"/>
      <c r="AC113" s="665"/>
      <c r="AD113" s="665"/>
      <c r="AE113" s="665"/>
      <c r="AF113" s="665"/>
      <c r="AG113" s="665"/>
      <c r="AH113" s="665"/>
      <c r="AI113" s="665"/>
      <c r="AJ113" s="665"/>
      <c r="AK113" s="665"/>
      <c r="AL113" s="665"/>
      <c r="AM113" s="665"/>
      <c r="AN113" s="665"/>
      <c r="AO113" s="665"/>
      <c r="AP113" s="665"/>
      <c r="AQ113" s="665"/>
      <c r="AR113" s="665"/>
      <c r="AS113" s="665"/>
    </row>
    <row r="114" spans="1:256">
      <c r="B114" s="1" t="s">
        <v>146</v>
      </c>
    </row>
    <row r="115" spans="1:256" s="140" customFormat="1">
      <c r="B115" s="140" t="s">
        <v>1266</v>
      </c>
      <c r="C115" s="140" t="s">
        <v>955</v>
      </c>
      <c r="D115" s="721">
        <f>-PMT(DiscountRate,BookLife,E115)</f>
        <v>72.918147785218665</v>
      </c>
      <c r="E115" s="722">
        <f>NPV(DiscountRate,F115:AS115)*(1)</f>
        <v>938.62951031828607</v>
      </c>
      <c r="F115" s="295">
        <f t="shared" ref="F115:AT115" si="93">IF(F$1,(F105+F106+F107+F108+F112)*GrossMW/StudyGWH,0)</f>
        <v>63.526298150391845</v>
      </c>
      <c r="G115" s="295">
        <f t="shared" si="93"/>
        <v>64.751464971289082</v>
      </c>
      <c r="H115" s="295">
        <f t="shared" si="93"/>
        <v>65.818669091417902</v>
      </c>
      <c r="I115" s="295">
        <f t="shared" si="93"/>
        <v>66.869561623755814</v>
      </c>
      <c r="J115" s="295">
        <f t="shared" si="93"/>
        <v>67.799003098658943</v>
      </c>
      <c r="K115" s="295">
        <f t="shared" si="93"/>
        <v>68.630688932252923</v>
      </c>
      <c r="L115" s="295">
        <f t="shared" si="93"/>
        <v>69.430766012414821</v>
      </c>
      <c r="M115" s="295">
        <f t="shared" si="93"/>
        <v>70.218994192675254</v>
      </c>
      <c r="N115" s="295">
        <f t="shared" si="93"/>
        <v>71.026037490210442</v>
      </c>
      <c r="O115" s="295">
        <f t="shared" si="93"/>
        <v>71.851657902596429</v>
      </c>
      <c r="P115" s="295">
        <f t="shared" si="93"/>
        <v>72.717808083114861</v>
      </c>
      <c r="Q115" s="295">
        <f t="shared" si="93"/>
        <v>73.594399444214361</v>
      </c>
      <c r="R115" s="295">
        <f t="shared" si="93"/>
        <v>74.481557851194509</v>
      </c>
      <c r="S115" s="295">
        <f t="shared" si="93"/>
        <v>75.379410686623288</v>
      </c>
      <c r="T115" s="295">
        <f t="shared" si="93"/>
        <v>76.28808686862736</v>
      </c>
      <c r="U115" s="295">
        <f t="shared" si="93"/>
        <v>77.207716869402589</v>
      </c>
      <c r="V115" s="295">
        <f t="shared" si="93"/>
        <v>78.13843273394815</v>
      </c>
      <c r="W115" s="295">
        <f t="shared" si="93"/>
        <v>79.080368099026089</v>
      </c>
      <c r="X115" s="295">
        <f t="shared" si="93"/>
        <v>80.03365821234938</v>
      </c>
      <c r="Y115" s="295">
        <f t="shared" si="93"/>
        <v>80.998439952001789</v>
      </c>
      <c r="Z115" s="295">
        <f t="shared" si="93"/>
        <v>81.974851846091155</v>
      </c>
      <c r="AA115" s="295">
        <f t="shared" si="93"/>
        <v>82.963034092640228</v>
      </c>
      <c r="AB115" s="295">
        <f t="shared" si="93"/>
        <v>83.963128579716809</v>
      </c>
      <c r="AC115" s="295">
        <f t="shared" si="93"/>
        <v>84.975278905806675</v>
      </c>
      <c r="AD115" s="295">
        <f t="shared" si="93"/>
        <v>85.999630400432522</v>
      </c>
      <c r="AE115" s="295">
        <f t="shared" si="93"/>
        <v>87.0363301450206</v>
      </c>
      <c r="AF115" s="295">
        <f t="shared" si="93"/>
        <v>88.085526994019759</v>
      </c>
      <c r="AG115" s="295">
        <f t="shared" si="93"/>
        <v>89.147371596274596</v>
      </c>
      <c r="AH115" s="295">
        <f t="shared" si="93"/>
        <v>90.222016416656174</v>
      </c>
      <c r="AI115" s="295">
        <f t="shared" si="93"/>
        <v>91.309615757954006</v>
      </c>
      <c r="AJ115" s="295">
        <f t="shared" si="93"/>
        <v>0</v>
      </c>
      <c r="AK115" s="295">
        <f t="shared" si="93"/>
        <v>0</v>
      </c>
      <c r="AL115" s="295">
        <f t="shared" si="93"/>
        <v>0</v>
      </c>
      <c r="AM115" s="295">
        <f t="shared" si="93"/>
        <v>0</v>
      </c>
      <c r="AN115" s="295">
        <f t="shared" si="93"/>
        <v>0</v>
      </c>
      <c r="AO115" s="295">
        <f t="shared" si="93"/>
        <v>0</v>
      </c>
      <c r="AP115" s="295">
        <f t="shared" si="93"/>
        <v>0</v>
      </c>
      <c r="AQ115" s="295">
        <f t="shared" si="93"/>
        <v>0</v>
      </c>
      <c r="AR115" s="295">
        <f t="shared" si="93"/>
        <v>0</v>
      </c>
      <c r="AS115" s="295">
        <f t="shared" si="93"/>
        <v>0</v>
      </c>
      <c r="AT115" s="295">
        <f t="shared" si="93"/>
        <v>0</v>
      </c>
      <c r="AU115" s="295"/>
      <c r="AV115" s="295"/>
      <c r="AW115" s="295"/>
      <c r="AX115" s="295"/>
      <c r="AY115" s="295"/>
      <c r="AZ115" s="295"/>
      <c r="BA115" s="295"/>
      <c r="BB115" s="295"/>
      <c r="BC115" s="295"/>
      <c r="BD115" s="295"/>
      <c r="BE115" s="295"/>
      <c r="BF115" s="295"/>
      <c r="BG115" s="295"/>
      <c r="BH115" s="295"/>
      <c r="BI115" s="295"/>
      <c r="BJ115" s="295"/>
      <c r="BK115" s="295"/>
      <c r="BL115" s="295"/>
      <c r="BM115" s="295"/>
      <c r="BN115" s="295"/>
      <c r="BO115" s="295"/>
      <c r="BP115" s="295"/>
      <c r="BQ115" s="295"/>
      <c r="BR115" s="295"/>
      <c r="BS115" s="295"/>
      <c r="BT115" s="295"/>
      <c r="BU115" s="295"/>
      <c r="BV115" s="295"/>
      <c r="BW115" s="295"/>
      <c r="BX115" s="295"/>
      <c r="BY115" s="295"/>
      <c r="BZ115" s="295"/>
      <c r="CA115" s="295"/>
      <c r="CB115" s="295"/>
      <c r="CC115" s="295"/>
      <c r="CD115" s="295"/>
      <c r="CE115" s="295"/>
      <c r="CF115" s="295"/>
      <c r="CG115" s="295"/>
      <c r="CH115" s="295"/>
      <c r="CI115" s="295"/>
      <c r="CJ115" s="295"/>
      <c r="CK115" s="295"/>
      <c r="CL115" s="295"/>
      <c r="CM115" s="295"/>
      <c r="CN115" s="295"/>
      <c r="CO115" s="295"/>
      <c r="CP115" s="295"/>
      <c r="CQ115" s="295"/>
      <c r="CR115" s="295"/>
      <c r="CS115" s="295"/>
      <c r="CT115" s="295"/>
      <c r="CU115" s="295"/>
      <c r="CV115" s="295"/>
      <c r="CW115" s="295"/>
      <c r="CX115" s="295"/>
      <c r="CY115" s="295"/>
      <c r="CZ115" s="295"/>
      <c r="DA115" s="295"/>
      <c r="DB115" s="295"/>
      <c r="DC115" s="295"/>
      <c r="DD115" s="295"/>
      <c r="DE115" s="295"/>
      <c r="DF115" s="295"/>
      <c r="DG115" s="295"/>
      <c r="DH115" s="295"/>
      <c r="DI115" s="295"/>
      <c r="DJ115" s="295"/>
      <c r="DK115" s="295"/>
      <c r="DL115" s="295"/>
      <c r="DM115" s="295"/>
      <c r="DN115" s="295"/>
      <c r="DO115" s="295"/>
      <c r="DP115" s="295"/>
      <c r="DQ115" s="295"/>
      <c r="DR115" s="295"/>
      <c r="DS115" s="295"/>
      <c r="DT115" s="295"/>
      <c r="DU115" s="295"/>
      <c r="DV115" s="295"/>
      <c r="DW115" s="295"/>
      <c r="DX115" s="295"/>
      <c r="DY115" s="295"/>
      <c r="DZ115" s="295"/>
      <c r="EA115" s="295"/>
      <c r="EB115" s="295"/>
      <c r="EC115" s="295"/>
      <c r="ED115" s="295"/>
      <c r="EE115" s="295"/>
      <c r="EF115" s="295"/>
      <c r="EG115" s="295"/>
      <c r="EH115" s="295"/>
      <c r="EI115" s="295"/>
      <c r="EJ115" s="295"/>
      <c r="EK115" s="295"/>
      <c r="EL115" s="295"/>
      <c r="EM115" s="295"/>
      <c r="EN115" s="295"/>
      <c r="EO115" s="295"/>
      <c r="EP115" s="295"/>
      <c r="EQ115" s="295"/>
      <c r="ER115" s="295"/>
      <c r="ES115" s="295"/>
      <c r="ET115" s="295"/>
      <c r="EU115" s="295"/>
      <c r="EV115" s="295"/>
      <c r="EW115" s="295"/>
      <c r="EX115" s="295"/>
      <c r="EY115" s="295"/>
      <c r="EZ115" s="295"/>
      <c r="FA115" s="295"/>
      <c r="FB115" s="295"/>
      <c r="FC115" s="295"/>
      <c r="FD115" s="295"/>
      <c r="FE115" s="295"/>
      <c r="FF115" s="295"/>
      <c r="FG115" s="295"/>
      <c r="FH115" s="295"/>
      <c r="FI115" s="295"/>
      <c r="FJ115" s="295"/>
      <c r="FK115" s="295"/>
      <c r="FL115" s="295"/>
      <c r="FM115" s="295"/>
      <c r="FN115" s="295"/>
      <c r="FO115" s="295"/>
      <c r="FP115" s="295"/>
      <c r="FQ115" s="295"/>
      <c r="FR115" s="295"/>
      <c r="FS115" s="295"/>
      <c r="FT115" s="295"/>
      <c r="FU115" s="295"/>
      <c r="FV115" s="295"/>
      <c r="FW115" s="295"/>
      <c r="FX115" s="295"/>
      <c r="FY115" s="295"/>
      <c r="FZ115" s="295"/>
      <c r="GA115" s="295"/>
      <c r="GB115" s="295"/>
      <c r="GC115" s="295"/>
      <c r="GD115" s="295"/>
      <c r="GE115" s="295"/>
      <c r="GF115" s="295"/>
      <c r="GG115" s="295"/>
      <c r="GH115" s="295"/>
      <c r="GI115" s="295"/>
      <c r="GJ115" s="295"/>
      <c r="GK115" s="295"/>
      <c r="GL115" s="295"/>
      <c r="GM115" s="295"/>
      <c r="GN115" s="295"/>
      <c r="GO115" s="295"/>
      <c r="GP115" s="295"/>
      <c r="GQ115" s="295"/>
      <c r="GR115" s="295"/>
      <c r="GS115" s="295"/>
      <c r="GT115" s="295"/>
      <c r="GU115" s="295"/>
      <c r="GV115" s="295"/>
      <c r="GW115" s="295"/>
      <c r="GX115" s="295"/>
      <c r="GY115" s="295"/>
      <c r="GZ115" s="295"/>
      <c r="HA115" s="295"/>
      <c r="HB115" s="295"/>
      <c r="HC115" s="295"/>
      <c r="HD115" s="295"/>
      <c r="HE115" s="295"/>
      <c r="HF115" s="295"/>
      <c r="HG115" s="295"/>
      <c r="HH115" s="295"/>
      <c r="HI115" s="295"/>
      <c r="HJ115" s="295"/>
      <c r="HK115" s="295"/>
      <c r="HL115" s="295"/>
      <c r="HM115" s="295"/>
      <c r="HN115" s="295"/>
      <c r="HO115" s="295"/>
      <c r="HP115" s="295"/>
      <c r="HQ115" s="295"/>
      <c r="HR115" s="295"/>
      <c r="HS115" s="295"/>
      <c r="HT115" s="295"/>
      <c r="HU115" s="295"/>
      <c r="HV115" s="295"/>
      <c r="HW115" s="295"/>
      <c r="HX115" s="295"/>
      <c r="HY115" s="295"/>
      <c r="HZ115" s="295"/>
      <c r="IA115" s="295"/>
      <c r="IB115" s="295"/>
      <c r="IC115" s="295"/>
      <c r="ID115" s="295"/>
      <c r="IE115" s="295"/>
      <c r="IF115" s="295"/>
      <c r="IG115" s="295"/>
      <c r="IH115" s="295"/>
      <c r="II115" s="295"/>
      <c r="IJ115" s="295"/>
      <c r="IK115" s="295"/>
      <c r="IL115" s="295"/>
      <c r="IM115" s="295"/>
      <c r="IN115" s="295"/>
      <c r="IO115" s="295"/>
      <c r="IP115" s="295"/>
      <c r="IQ115" s="295"/>
      <c r="IR115" s="295"/>
      <c r="IS115" s="295"/>
      <c r="IT115" s="295"/>
      <c r="IU115" s="295"/>
      <c r="IV115" s="295"/>
    </row>
    <row r="116" spans="1:256" s="140" customFormat="1">
      <c r="B116" s="140" t="s">
        <v>163</v>
      </c>
      <c r="C116" s="140" t="s">
        <v>955</v>
      </c>
      <c r="D116" s="721">
        <f>-PMT(DiscountRate,BookLife,E116)</f>
        <v>12.202695821312826</v>
      </c>
      <c r="E116" s="722">
        <f>NPV(DiscountRate,F116:AS116)*(1)</f>
        <v>157.07763775156766</v>
      </c>
      <c r="F116" s="2151">
        <f t="shared" ref="F116:AT116" si="94">IF(F$1,(F109+F110+F111)*GrossMW/StudyGWH,0)</f>
        <v>10.15029321716221</v>
      </c>
      <c r="G116" s="295">
        <f t="shared" si="94"/>
        <v>10.329465647060422</v>
      </c>
      <c r="H116" s="295">
        <f t="shared" si="94"/>
        <v>10.511800819053745</v>
      </c>
      <c r="I116" s="295">
        <f t="shared" si="94"/>
        <v>10.697354561695523</v>
      </c>
      <c r="J116" s="295">
        <f t="shared" si="94"/>
        <v>10.886183689021717</v>
      </c>
      <c r="K116" s="295">
        <f t="shared" si="94"/>
        <v>11.078346017946597</v>
      </c>
      <c r="L116" s="295">
        <f t="shared" si="94"/>
        <v>11.273900385965499</v>
      </c>
      <c r="M116" s="295">
        <f t="shared" si="94"/>
        <v>11.472906669170055</v>
      </c>
      <c r="N116" s="295">
        <f t="shared" si="94"/>
        <v>11.675425800581445</v>
      </c>
      <c r="O116" s="295">
        <f t="shared" si="94"/>
        <v>11.881519788807266</v>
      </c>
      <c r="P116" s="295">
        <f t="shared" si="94"/>
        <v>12.091251737027724</v>
      </c>
      <c r="Q116" s="295">
        <f t="shared" si="94"/>
        <v>12.304685862316953</v>
      </c>
      <c r="R116" s="295">
        <f t="shared" si="94"/>
        <v>12.521887515305451</v>
      </c>
      <c r="S116" s="295">
        <f t="shared" si="94"/>
        <v>12.742923200189502</v>
      </c>
      <c r="T116" s="295">
        <f t="shared" si="94"/>
        <v>12.967860595093903</v>
      </c>
      <c r="U116" s="295">
        <f t="shared" si="94"/>
        <v>13.196768572794062</v>
      </c>
      <c r="V116" s="295">
        <f t="shared" si="94"/>
        <v>13.429717221803923</v>
      </c>
      <c r="W116" s="295">
        <f t="shared" si="94"/>
        <v>13.6667778678361</v>
      </c>
      <c r="X116" s="295">
        <f t="shared" si="94"/>
        <v>13.908023095640848</v>
      </c>
      <c r="Y116" s="295">
        <f t="shared" si="94"/>
        <v>14.153526771230542</v>
      </c>
      <c r="Z116" s="295">
        <f t="shared" si="94"/>
        <v>14.403364064496422</v>
      </c>
      <c r="AA116" s="295">
        <f t="shared" si="94"/>
        <v>14.6576114722246</v>
      </c>
      <c r="AB116" s="295">
        <f t="shared" si="94"/>
        <v>14.916346841518363</v>
      </c>
      <c r="AC116" s="295">
        <f t="shared" si="94"/>
        <v>15.179649393633856</v>
      </c>
      <c r="AD116" s="295">
        <f t="shared" si="94"/>
        <v>15.447599748236589</v>
      </c>
      <c r="AE116" s="295">
        <f t="shared" si="94"/>
        <v>15.720279948086064</v>
      </c>
      <c r="AF116" s="295">
        <f t="shared" si="94"/>
        <v>15.997773484156168</v>
      </c>
      <c r="AG116" s="295">
        <f t="shared" si="94"/>
        <v>16.280165321198965</v>
      </c>
      <c r="AH116" s="295">
        <f t="shared" si="94"/>
        <v>16.567541923759752</v>
      </c>
      <c r="AI116" s="295">
        <f t="shared" si="94"/>
        <v>16.859991282651325</v>
      </c>
      <c r="AJ116" s="295">
        <f t="shared" si="94"/>
        <v>0</v>
      </c>
      <c r="AK116" s="295">
        <f t="shared" si="94"/>
        <v>0</v>
      </c>
      <c r="AL116" s="295">
        <f t="shared" si="94"/>
        <v>0</v>
      </c>
      <c r="AM116" s="295">
        <f t="shared" si="94"/>
        <v>0</v>
      </c>
      <c r="AN116" s="295">
        <f t="shared" si="94"/>
        <v>0</v>
      </c>
      <c r="AO116" s="295">
        <f t="shared" si="94"/>
        <v>0</v>
      </c>
      <c r="AP116" s="295">
        <f t="shared" si="94"/>
        <v>0</v>
      </c>
      <c r="AQ116" s="295">
        <f t="shared" si="94"/>
        <v>0</v>
      </c>
      <c r="AR116" s="295">
        <f t="shared" si="94"/>
        <v>0</v>
      </c>
      <c r="AS116" s="295">
        <f t="shared" si="94"/>
        <v>0</v>
      </c>
      <c r="AT116" s="295">
        <f t="shared" si="94"/>
        <v>0</v>
      </c>
    </row>
    <row r="117" spans="1:256" s="140" customFormat="1">
      <c r="B117" s="140" t="s">
        <v>1268</v>
      </c>
      <c r="C117" s="140" t="s">
        <v>955</v>
      </c>
      <c r="D117" s="721">
        <f>-PMT(DiscountRate,BookLife,E117)</f>
        <v>85.120843606531508</v>
      </c>
      <c r="E117" s="722">
        <f>NPV(DiscountRate,F117:AS117)*(1)</f>
        <v>1095.7071480698539</v>
      </c>
      <c r="F117" s="295">
        <f t="shared" ref="F117:AS117" si="95">SUM(F115:F116)</f>
        <v>73.676591367554053</v>
      </c>
      <c r="G117" s="295">
        <f t="shared" si="95"/>
        <v>75.080930618349498</v>
      </c>
      <c r="H117" s="295">
        <f t="shared" si="95"/>
        <v>76.330469910471649</v>
      </c>
      <c r="I117" s="295">
        <f t="shared" si="95"/>
        <v>77.566916185451333</v>
      </c>
      <c r="J117" s="295">
        <f t="shared" si="95"/>
        <v>78.685186787680664</v>
      </c>
      <c r="K117" s="295">
        <f t="shared" si="95"/>
        <v>79.709034950199523</v>
      </c>
      <c r="L117" s="295">
        <f t="shared" si="95"/>
        <v>80.704666398380326</v>
      </c>
      <c r="M117" s="295">
        <f t="shared" si="95"/>
        <v>81.691900861845312</v>
      </c>
      <c r="N117" s="295">
        <f t="shared" si="95"/>
        <v>82.701463290791892</v>
      </c>
      <c r="O117" s="295">
        <f t="shared" si="95"/>
        <v>83.733177691403696</v>
      </c>
      <c r="P117" s="295">
        <f t="shared" si="95"/>
        <v>84.809059820142579</v>
      </c>
      <c r="Q117" s="295">
        <f t="shared" si="95"/>
        <v>85.899085306531319</v>
      </c>
      <c r="R117" s="295">
        <f t="shared" si="95"/>
        <v>87.00344536649996</v>
      </c>
      <c r="S117" s="295">
        <f t="shared" si="95"/>
        <v>88.122333886812783</v>
      </c>
      <c r="T117" s="295">
        <f t="shared" si="95"/>
        <v>89.25594746372127</v>
      </c>
      <c r="U117" s="295">
        <f t="shared" si="95"/>
        <v>90.404485442196645</v>
      </c>
      <c r="V117" s="295">
        <f t="shared" si="95"/>
        <v>91.568149955752077</v>
      </c>
      <c r="W117" s="295">
        <f t="shared" si="95"/>
        <v>92.747145966862192</v>
      </c>
      <c r="X117" s="295">
        <f t="shared" si="95"/>
        <v>93.941681307990223</v>
      </c>
      <c r="Y117" s="295">
        <f t="shared" si="95"/>
        <v>95.151966723232334</v>
      </c>
      <c r="Z117" s="295">
        <f t="shared" si="95"/>
        <v>96.378215910587585</v>
      </c>
      <c r="AA117" s="295">
        <f t="shared" si="95"/>
        <v>97.62064556486483</v>
      </c>
      <c r="AB117" s="295">
        <f t="shared" si="95"/>
        <v>98.879475421235171</v>
      </c>
      <c r="AC117" s="295">
        <f t="shared" si="95"/>
        <v>100.15492829944053</v>
      </c>
      <c r="AD117" s="295">
        <f t="shared" si="95"/>
        <v>101.44723014866911</v>
      </c>
      <c r="AE117" s="295">
        <f t="shared" si="95"/>
        <v>102.75661009310666</v>
      </c>
      <c r="AF117" s="295">
        <f t="shared" si="95"/>
        <v>104.08330047817593</v>
      </c>
      <c r="AG117" s="295">
        <f t="shared" si="95"/>
        <v>105.42753691747356</v>
      </c>
      <c r="AH117" s="295">
        <f t="shared" si="95"/>
        <v>106.78955834041592</v>
      </c>
      <c r="AI117" s="295">
        <f t="shared" si="95"/>
        <v>108.16960704060533</v>
      </c>
      <c r="AJ117" s="295">
        <f t="shared" si="95"/>
        <v>0</v>
      </c>
      <c r="AK117" s="295">
        <f t="shared" si="95"/>
        <v>0</v>
      </c>
      <c r="AL117" s="295">
        <f t="shared" si="95"/>
        <v>0</v>
      </c>
      <c r="AM117" s="295">
        <f t="shared" si="95"/>
        <v>0</v>
      </c>
      <c r="AN117" s="295">
        <f t="shared" si="95"/>
        <v>0</v>
      </c>
      <c r="AO117" s="295">
        <f t="shared" si="95"/>
        <v>0</v>
      </c>
      <c r="AP117" s="295">
        <f t="shared" si="95"/>
        <v>0</v>
      </c>
      <c r="AQ117" s="295">
        <f t="shared" si="95"/>
        <v>0</v>
      </c>
      <c r="AR117" s="295">
        <f t="shared" si="95"/>
        <v>0</v>
      </c>
      <c r="AS117" s="295">
        <f t="shared" si="95"/>
        <v>0</v>
      </c>
    </row>
    <row r="118" spans="1:256" s="745" customFormat="1">
      <c r="A118" s="102"/>
      <c r="B118" s="992"/>
      <c r="F118" s="639"/>
      <c r="G118" s="665"/>
      <c r="H118" s="665"/>
      <c r="I118" s="665"/>
      <c r="J118" s="665"/>
      <c r="K118" s="665"/>
      <c r="L118" s="665"/>
      <c r="M118" s="665"/>
      <c r="N118" s="665"/>
      <c r="O118" s="665"/>
      <c r="P118" s="665"/>
      <c r="Q118" s="665"/>
      <c r="R118" s="665"/>
      <c r="S118" s="665"/>
      <c r="T118" s="665"/>
      <c r="U118" s="665"/>
      <c r="V118" s="665"/>
      <c r="W118" s="665"/>
      <c r="X118" s="665"/>
      <c r="Y118" s="665"/>
      <c r="Z118" s="665"/>
      <c r="AA118" s="665"/>
      <c r="AB118" s="665"/>
      <c r="AC118" s="665"/>
      <c r="AD118" s="665"/>
      <c r="AE118" s="665"/>
      <c r="AF118" s="665"/>
      <c r="AG118" s="665"/>
      <c r="AH118" s="665"/>
      <c r="AI118" s="665"/>
      <c r="AJ118" s="665"/>
      <c r="AK118" s="665"/>
      <c r="AL118" s="665"/>
      <c r="AM118" s="665"/>
      <c r="AN118" s="665"/>
      <c r="AO118" s="665"/>
      <c r="AP118" s="665"/>
      <c r="AQ118" s="665"/>
      <c r="AR118" s="665"/>
      <c r="AS118" s="665"/>
    </row>
    <row r="119" spans="1:256" s="3485" customFormat="1" hidden="1">
      <c r="A119" s="2336"/>
      <c r="B119" s="2335" t="s">
        <v>1962</v>
      </c>
      <c r="D119" s="3486">
        <f>-PMT(DiscountRate,BookLife,E119)</f>
        <v>119.66405666634699</v>
      </c>
      <c r="E119" s="3482">
        <f>NPV(DiscountRate,F119:AS119)*(1)</f>
        <v>1540.3602302443767</v>
      </c>
      <c r="F119" s="1013">
        <f t="shared" ref="F119:AS119" si="96">F44</f>
        <v>100.65166600228375</v>
      </c>
      <c r="G119" s="1013">
        <f t="shared" si="96"/>
        <v>103.08667630366372</v>
      </c>
      <c r="H119" s="1013">
        <f t="shared" si="96"/>
        <v>104.95402873876822</v>
      </c>
      <c r="I119" s="1013">
        <f t="shared" si="96"/>
        <v>107.0255732112558</v>
      </c>
      <c r="J119" s="1013">
        <f t="shared" si="96"/>
        <v>108.84489876803713</v>
      </c>
      <c r="K119" s="1013">
        <f t="shared" si="96"/>
        <v>110.21154025574839</v>
      </c>
      <c r="L119" s="1013">
        <f t="shared" si="96"/>
        <v>111.76487692422188</v>
      </c>
      <c r="M119" s="1013">
        <f t="shared" si="96"/>
        <v>113.30099063411305</v>
      </c>
      <c r="N119" s="1013">
        <f t="shared" si="96"/>
        <v>114.8857344498314</v>
      </c>
      <c r="O119" s="1013">
        <f t="shared" si="96"/>
        <v>116.51899316764859</v>
      </c>
      <c r="P119" s="1013">
        <f t="shared" si="96"/>
        <v>118.24804406838778</v>
      </c>
      <c r="Q119" s="1013">
        <f t="shared" si="96"/>
        <v>120.00906157201604</v>
      </c>
      <c r="R119" s="1013">
        <f t="shared" si="96"/>
        <v>122.09153303378663</v>
      </c>
      <c r="S119" s="1013">
        <f t="shared" si="96"/>
        <v>123.92437462109008</v>
      </c>
      <c r="T119" s="1013">
        <f t="shared" si="96"/>
        <v>125.79144691574314</v>
      </c>
      <c r="U119" s="1013">
        <f t="shared" si="96"/>
        <v>127.99996651628972</v>
      </c>
      <c r="V119" s="1013">
        <f t="shared" si="96"/>
        <v>129.94390524747209</v>
      </c>
      <c r="W119" s="1013">
        <f t="shared" si="96"/>
        <v>132.24335414267227</v>
      </c>
      <c r="X119" s="1013">
        <f t="shared" si="96"/>
        <v>134.26780971198286</v>
      </c>
      <c r="Y119" s="1013">
        <f t="shared" si="96"/>
        <v>136.66242308854822</v>
      </c>
      <c r="Z119" s="1013">
        <f t="shared" si="96"/>
        <v>138.77122706623359</v>
      </c>
      <c r="AA119" s="1013">
        <f t="shared" si="96"/>
        <v>141.26544571593865</v>
      </c>
      <c r="AB119" s="1013">
        <f t="shared" si="96"/>
        <v>143.81465054925593</v>
      </c>
      <c r="AC119" s="1013">
        <f t="shared" si="96"/>
        <v>146.42017146646489</v>
      </c>
      <c r="AD119" s="1013">
        <f t="shared" si="96"/>
        <v>148.71711830460274</v>
      </c>
      <c r="AE119" s="1013">
        <f t="shared" si="96"/>
        <v>151.43206774242765</v>
      </c>
      <c r="AF119" s="1013">
        <f t="shared" si="96"/>
        <v>154.20737603274438</v>
      </c>
      <c r="AG119" s="1013">
        <f t="shared" si="96"/>
        <v>156.65583551400269</v>
      </c>
      <c r="AH119" s="1013">
        <f t="shared" si="96"/>
        <v>159.5485122595565</v>
      </c>
      <c r="AI119" s="1013">
        <f t="shared" si="96"/>
        <v>162.10151667611723</v>
      </c>
      <c r="AJ119" s="1013">
        <f t="shared" si="96"/>
        <v>0</v>
      </c>
      <c r="AK119" s="1013">
        <f t="shared" si="96"/>
        <v>0</v>
      </c>
      <c r="AL119" s="1013">
        <f t="shared" si="96"/>
        <v>0</v>
      </c>
      <c r="AM119" s="1013">
        <f t="shared" si="96"/>
        <v>0</v>
      </c>
      <c r="AN119" s="1013">
        <f t="shared" si="96"/>
        <v>0</v>
      </c>
      <c r="AO119" s="1013">
        <f t="shared" si="96"/>
        <v>0</v>
      </c>
      <c r="AP119" s="1013">
        <f t="shared" si="96"/>
        <v>0</v>
      </c>
      <c r="AQ119" s="1013">
        <f t="shared" si="96"/>
        <v>0</v>
      </c>
      <c r="AR119" s="1013">
        <f t="shared" si="96"/>
        <v>0</v>
      </c>
      <c r="AS119" s="1013">
        <f t="shared" si="96"/>
        <v>0</v>
      </c>
    </row>
    <row r="120" spans="1:256" s="745" customFormat="1" hidden="1">
      <c r="A120" s="102"/>
      <c r="B120" s="992"/>
      <c r="D120" s="1316" t="s">
        <v>173</v>
      </c>
      <c r="F120" s="639"/>
      <c r="G120" s="665"/>
      <c r="H120" s="665"/>
      <c r="I120" s="665"/>
      <c r="J120" s="665"/>
      <c r="K120" s="665"/>
      <c r="L120" s="665"/>
      <c r="M120" s="665"/>
      <c r="N120" s="665"/>
      <c r="O120" s="665"/>
      <c r="P120" s="665"/>
      <c r="Q120" s="665"/>
      <c r="R120" s="665"/>
      <c r="S120" s="665"/>
      <c r="T120" s="665"/>
      <c r="U120" s="665"/>
      <c r="V120" s="665"/>
      <c r="W120" s="665"/>
      <c r="X120" s="665"/>
      <c r="Y120" s="665"/>
      <c r="Z120" s="665"/>
      <c r="AA120" s="665"/>
      <c r="AB120" s="665"/>
      <c r="AC120" s="665"/>
      <c r="AD120" s="665"/>
      <c r="AE120" s="665"/>
      <c r="AF120" s="665"/>
      <c r="AG120" s="665"/>
      <c r="AH120" s="665"/>
      <c r="AI120" s="665"/>
      <c r="AJ120" s="665"/>
      <c r="AK120" s="665"/>
      <c r="AL120" s="665"/>
      <c r="AM120" s="665"/>
      <c r="AN120" s="665"/>
      <c r="AO120" s="665"/>
      <c r="AP120" s="665"/>
      <c r="AQ120" s="665"/>
      <c r="AR120" s="665"/>
      <c r="AS120" s="665"/>
    </row>
    <row r="121" spans="1:256" s="103" customFormat="1" hidden="1">
      <c r="B121" s="747" t="s">
        <v>1076</v>
      </c>
      <c r="C121" s="748"/>
      <c r="D121" s="749">
        <v>3</v>
      </c>
      <c r="E121" s="750">
        <v>1</v>
      </c>
      <c r="F121" s="750">
        <v>0.66657777777777805</v>
      </c>
      <c r="G121" s="750">
        <v>0.22226031746031744</v>
      </c>
      <c r="H121" s="750">
        <v>0.11116190476190457</v>
      </c>
      <c r="I121" s="750"/>
      <c r="J121" s="750"/>
      <c r="K121" s="750"/>
      <c r="L121" s="750"/>
      <c r="M121" s="750"/>
      <c r="N121" s="750"/>
      <c r="O121" s="750"/>
      <c r="P121" s="750"/>
      <c r="Q121" s="750"/>
      <c r="R121" s="750"/>
      <c r="S121" s="750"/>
      <c r="T121" s="750"/>
      <c r="U121" s="750"/>
      <c r="V121" s="750"/>
      <c r="W121" s="750"/>
      <c r="X121" s="750"/>
      <c r="Y121" s="750"/>
      <c r="Z121" s="748"/>
      <c r="AA121" s="748"/>
      <c r="AB121" s="748"/>
      <c r="AC121" s="748"/>
      <c r="AD121" s="748"/>
      <c r="AE121" s="748"/>
      <c r="AF121" s="748"/>
      <c r="AG121" s="748"/>
      <c r="AH121" s="748"/>
      <c r="AI121" s="748"/>
      <c r="AJ121" s="748"/>
      <c r="AK121" s="748"/>
      <c r="AL121" s="748"/>
      <c r="AM121" s="748"/>
      <c r="AN121" s="748"/>
      <c r="AO121" s="748"/>
      <c r="AP121" s="748"/>
      <c r="AQ121" s="748"/>
      <c r="AR121" s="748"/>
      <c r="AS121" s="751"/>
    </row>
    <row r="122" spans="1:256" s="651" customFormat="1" hidden="1">
      <c r="A122" s="103"/>
      <c r="B122" s="752" t="s">
        <v>171</v>
      </c>
      <c r="C122" s="753"/>
      <c r="D122" s="712">
        <v>5</v>
      </c>
      <c r="E122" s="754">
        <v>1</v>
      </c>
      <c r="F122" s="754">
        <v>0.4</v>
      </c>
      <c r="G122" s="754">
        <v>0.24</v>
      </c>
      <c r="H122" s="754">
        <v>0.14399999999999999</v>
      </c>
      <c r="I122" s="754">
        <v>0.10525714285714287</v>
      </c>
      <c r="J122" s="754">
        <v>0.11074285714285725</v>
      </c>
      <c r="K122" s="754"/>
      <c r="L122" s="754"/>
      <c r="M122" s="754"/>
      <c r="N122" s="754"/>
      <c r="O122" s="754"/>
      <c r="P122" s="754"/>
      <c r="Q122" s="754"/>
      <c r="R122" s="754"/>
      <c r="S122" s="754"/>
      <c r="T122" s="754"/>
      <c r="U122" s="754"/>
      <c r="V122" s="754"/>
      <c r="W122" s="754"/>
      <c r="X122" s="754"/>
      <c r="Y122" s="754"/>
      <c r="Z122" s="753"/>
      <c r="AA122" s="753"/>
      <c r="AB122" s="753"/>
      <c r="AC122" s="753"/>
      <c r="AD122" s="753"/>
      <c r="AE122" s="753"/>
      <c r="AF122" s="753"/>
      <c r="AG122" s="753"/>
      <c r="AH122" s="753"/>
      <c r="AI122" s="753"/>
      <c r="AJ122" s="753"/>
      <c r="AK122" s="753"/>
      <c r="AL122" s="753"/>
      <c r="AM122" s="753"/>
      <c r="AN122" s="753"/>
      <c r="AO122" s="753"/>
      <c r="AP122" s="753"/>
      <c r="AQ122" s="753"/>
      <c r="AR122" s="753"/>
      <c r="AS122" s="755"/>
    </row>
    <row r="123" spans="1:256" s="651" customFormat="1" hidden="1">
      <c r="B123" s="756"/>
      <c r="C123" s="753"/>
      <c r="D123" s="712">
        <v>7</v>
      </c>
      <c r="E123" s="754">
        <v>1</v>
      </c>
      <c r="F123" s="754">
        <v>0.28560000000000002</v>
      </c>
      <c r="G123" s="754">
        <v>0.204114285714286</v>
      </c>
      <c r="H123" s="754">
        <v>0.14581224489795921</v>
      </c>
      <c r="I123" s="754">
        <v>0.10408396501457726</v>
      </c>
      <c r="J123" s="754">
        <v>8.5130862140774671E-2</v>
      </c>
      <c r="K123" s="754">
        <v>8.7724162551317902E-2</v>
      </c>
      <c r="L123" s="754">
        <v>8.7534479681085187E-2</v>
      </c>
      <c r="M123" s="754"/>
      <c r="N123" s="754"/>
      <c r="O123" s="754"/>
      <c r="P123" s="754"/>
      <c r="Q123" s="754"/>
      <c r="R123" s="754"/>
      <c r="S123" s="754"/>
      <c r="T123" s="754"/>
      <c r="U123" s="754"/>
      <c r="V123" s="754"/>
      <c r="W123" s="754"/>
      <c r="X123" s="754"/>
      <c r="Y123" s="754"/>
      <c r="Z123" s="753"/>
      <c r="AA123" s="753"/>
      <c r="AB123" s="753"/>
      <c r="AC123" s="753"/>
      <c r="AD123" s="753"/>
      <c r="AE123" s="753"/>
      <c r="AF123" s="753"/>
      <c r="AG123" s="753"/>
      <c r="AH123" s="753"/>
      <c r="AI123" s="753"/>
      <c r="AJ123" s="753"/>
      <c r="AK123" s="753"/>
      <c r="AL123" s="753"/>
      <c r="AM123" s="753"/>
      <c r="AN123" s="753"/>
      <c r="AO123" s="753"/>
      <c r="AP123" s="753"/>
      <c r="AQ123" s="753"/>
      <c r="AR123" s="753"/>
      <c r="AS123" s="755"/>
    </row>
    <row r="124" spans="1:256" s="651" customFormat="1" hidden="1">
      <c r="B124" s="756"/>
      <c r="C124" s="753"/>
      <c r="D124" s="712">
        <v>10</v>
      </c>
      <c r="E124" s="754">
        <v>1</v>
      </c>
      <c r="F124" s="754">
        <v>0.2</v>
      </c>
      <c r="G124" s="754">
        <v>0.16</v>
      </c>
      <c r="H124" s="754">
        <v>0.128</v>
      </c>
      <c r="I124" s="754">
        <v>0.1024</v>
      </c>
      <c r="J124" s="754">
        <v>8.1942857142857151E-2</v>
      </c>
      <c r="K124" s="754">
        <v>6.5551020408163269E-2</v>
      </c>
      <c r="L124" s="754">
        <v>6.5492711370262385E-2</v>
      </c>
      <c r="M124" s="754">
        <v>6.5501041232819662E-2</v>
      </c>
      <c r="N124" s="754">
        <v>6.5614136966740039E-2</v>
      </c>
      <c r="O124" s="754">
        <v>6.549823287915757E-2</v>
      </c>
      <c r="P124" s="754"/>
      <c r="Q124" s="754"/>
      <c r="R124" s="754"/>
      <c r="S124" s="754"/>
      <c r="T124" s="754"/>
      <c r="U124" s="754"/>
      <c r="V124" s="754"/>
      <c r="W124" s="754"/>
      <c r="X124" s="754"/>
      <c r="Y124" s="754"/>
      <c r="Z124" s="753"/>
      <c r="AA124" s="753"/>
      <c r="AB124" s="753"/>
      <c r="AC124" s="753"/>
      <c r="AD124" s="753"/>
      <c r="AE124" s="753"/>
      <c r="AF124" s="753"/>
      <c r="AG124" s="753"/>
      <c r="AH124" s="753"/>
      <c r="AI124" s="753"/>
      <c r="AJ124" s="753"/>
      <c r="AK124" s="753"/>
      <c r="AL124" s="753"/>
      <c r="AM124" s="753"/>
      <c r="AN124" s="753"/>
      <c r="AO124" s="753"/>
      <c r="AP124" s="753"/>
      <c r="AQ124" s="753"/>
      <c r="AR124" s="753"/>
      <c r="AS124" s="755"/>
    </row>
    <row r="125" spans="1:256" s="651" customFormat="1" hidden="1">
      <c r="B125" s="756"/>
      <c r="C125" s="753"/>
      <c r="D125" s="712">
        <v>15</v>
      </c>
      <c r="E125" s="754">
        <v>1</v>
      </c>
      <c r="F125" s="754">
        <v>0.1</v>
      </c>
      <c r="G125" s="754">
        <v>9.0057142857142863E-2</v>
      </c>
      <c r="H125" s="754">
        <v>8.0963265306122453E-2</v>
      </c>
      <c r="I125" s="754">
        <v>7.2890962099125364E-2</v>
      </c>
      <c r="J125" s="754">
        <v>6.5587005414410662E-2</v>
      </c>
      <c r="K125" s="754">
        <v>5.9087570655084201E-2</v>
      </c>
      <c r="L125" s="754">
        <v>5.8987489906416543E-2</v>
      </c>
      <c r="M125" s="754">
        <v>5.9116072870511918E-2</v>
      </c>
      <c r="N125" s="754">
        <v>5.8983418161355439E-2</v>
      </c>
      <c r="O125" s="754">
        <v>5.9116654548377792E-2</v>
      </c>
      <c r="P125" s="754">
        <v>5.8983335064517459E-2</v>
      </c>
      <c r="Q125" s="754">
        <v>5.9116666419354647E-2</v>
      </c>
      <c r="R125" s="754">
        <v>5.8983333368663612E-2</v>
      </c>
      <c r="S125" s="754">
        <v>5.9116666661619487E-2</v>
      </c>
      <c r="T125" s="754">
        <v>5.9010416667297672E-2</v>
      </c>
      <c r="U125" s="754"/>
      <c r="V125" s="754"/>
      <c r="W125" s="754"/>
      <c r="X125" s="754"/>
      <c r="Y125" s="754"/>
      <c r="Z125" s="753"/>
      <c r="AA125" s="753"/>
      <c r="AB125" s="753"/>
      <c r="AC125" s="753"/>
      <c r="AD125" s="753"/>
      <c r="AE125" s="753"/>
      <c r="AF125" s="753"/>
      <c r="AG125" s="753"/>
      <c r="AH125" s="753"/>
      <c r="AI125" s="753"/>
      <c r="AJ125" s="753"/>
      <c r="AK125" s="753"/>
      <c r="AL125" s="753"/>
      <c r="AM125" s="753"/>
      <c r="AN125" s="753"/>
      <c r="AO125" s="753"/>
      <c r="AP125" s="753"/>
      <c r="AQ125" s="753"/>
      <c r="AR125" s="753"/>
      <c r="AS125" s="755"/>
    </row>
    <row r="126" spans="1:256" s="651" customFormat="1" hidden="1">
      <c r="B126" s="757"/>
      <c r="C126" s="758"/>
      <c r="D126" s="671">
        <v>20</v>
      </c>
      <c r="E126" s="759">
        <v>1</v>
      </c>
      <c r="F126" s="759">
        <v>7.5013333333333307E-2</v>
      </c>
      <c r="G126" s="759">
        <v>6.9283809523809525E-2</v>
      </c>
      <c r="H126" s="759">
        <v>6.4182312925170071E-2</v>
      </c>
      <c r="I126" s="759">
        <v>5.9356812439261414E-2</v>
      </c>
      <c r="J126" s="759">
        <v>5.4903312508676944E-2</v>
      </c>
      <c r="K126" s="759">
        <v>5.0785241070189002E-2</v>
      </c>
      <c r="L126" s="759">
        <v>4.6984965561401568E-2</v>
      </c>
      <c r="M126" s="759">
        <v>4.4247862062656913E-2</v>
      </c>
      <c r="N126" s="759">
        <v>4.4638876848191865E-2</v>
      </c>
      <c r="O126" s="759">
        <v>4.4583017593115448E-2</v>
      </c>
      <c r="P126" s="759">
        <v>4.4590997486697787E-2</v>
      </c>
      <c r="Q126" s="759">
        <v>4.4601286073328889E-2</v>
      </c>
      <c r="R126" s="759">
        <v>4.4588387703810156E-2</v>
      </c>
      <c r="S126" s="759">
        <v>4.4601658899455693E-2</v>
      </c>
      <c r="T126" s="759">
        <v>4.458833444293489E-2</v>
      </c>
      <c r="U126" s="759">
        <v>4.4601666508152164E-2</v>
      </c>
      <c r="V126" s="759">
        <v>4.4588333355978255E-2</v>
      </c>
      <c r="W126" s="759">
        <v>4.4601666663431683E-2</v>
      </c>
      <c r="X126" s="759">
        <v>4.4588333333795471E-2</v>
      </c>
      <c r="Y126" s="759">
        <v>4.4669791666609004E-2</v>
      </c>
      <c r="Z126" s="758"/>
      <c r="AA126" s="758"/>
      <c r="AB126" s="758"/>
      <c r="AC126" s="758"/>
      <c r="AD126" s="758"/>
      <c r="AE126" s="758"/>
      <c r="AF126" s="758"/>
      <c r="AG126" s="758"/>
      <c r="AH126" s="758"/>
      <c r="AI126" s="758"/>
      <c r="AJ126" s="758"/>
      <c r="AK126" s="758"/>
      <c r="AL126" s="758"/>
      <c r="AM126" s="758"/>
      <c r="AN126" s="758"/>
      <c r="AO126" s="758"/>
      <c r="AP126" s="758"/>
      <c r="AQ126" s="758"/>
      <c r="AR126" s="758"/>
      <c r="AS126" s="760"/>
    </row>
    <row r="127" spans="1:256" s="130" customFormat="1" hidden="1">
      <c r="D127" s="761"/>
      <c r="S127" s="651"/>
      <c r="T127" s="651"/>
    </row>
    <row r="128" spans="1:256" s="762" customFormat="1" hidden="1">
      <c r="A128" s="651"/>
      <c r="B128" s="651"/>
      <c r="D128" s="763" t="s">
        <v>173</v>
      </c>
      <c r="F128" s="639">
        <v>1</v>
      </c>
      <c r="G128" s="639">
        <v>2</v>
      </c>
      <c r="H128" s="639">
        <v>3</v>
      </c>
      <c r="I128" s="639">
        <v>4</v>
      </c>
      <c r="J128" s="639">
        <v>5</v>
      </c>
      <c r="K128" s="639">
        <v>6</v>
      </c>
      <c r="L128" s="639">
        <v>7</v>
      </c>
      <c r="M128" s="639">
        <v>8</v>
      </c>
      <c r="N128" s="639">
        <v>9</v>
      </c>
      <c r="O128" s="639">
        <v>10</v>
      </c>
      <c r="P128" s="639">
        <v>11</v>
      </c>
      <c r="Q128" s="639">
        <v>12</v>
      </c>
      <c r="R128" s="639">
        <v>13</v>
      </c>
      <c r="S128" s="639">
        <v>14</v>
      </c>
      <c r="T128" s="639">
        <v>15</v>
      </c>
      <c r="U128" s="639">
        <v>16</v>
      </c>
      <c r="V128" s="639">
        <v>17</v>
      </c>
      <c r="W128" s="639">
        <v>18</v>
      </c>
      <c r="X128" s="639">
        <v>19</v>
      </c>
      <c r="Y128" s="639">
        <v>20</v>
      </c>
      <c r="Z128" s="639">
        <v>21</v>
      </c>
      <c r="AA128" s="639">
        <v>22</v>
      </c>
      <c r="AB128" s="639">
        <v>23</v>
      </c>
      <c r="AC128" s="639">
        <v>24</v>
      </c>
      <c r="AD128" s="639">
        <v>25</v>
      </c>
      <c r="AE128" s="639">
        <v>26</v>
      </c>
      <c r="AF128" s="639">
        <v>27</v>
      </c>
      <c r="AG128" s="639">
        <v>28</v>
      </c>
      <c r="AH128" s="639">
        <v>29</v>
      </c>
      <c r="AI128" s="639">
        <v>30</v>
      </c>
      <c r="AJ128" s="639">
        <v>31</v>
      </c>
      <c r="AK128" s="639">
        <v>32</v>
      </c>
      <c r="AL128" s="639">
        <v>33</v>
      </c>
      <c r="AM128" s="639">
        <v>34</v>
      </c>
      <c r="AN128" s="639">
        <v>35</v>
      </c>
      <c r="AO128" s="639">
        <v>36</v>
      </c>
      <c r="AP128" s="639">
        <v>37</v>
      </c>
      <c r="AQ128" s="639">
        <v>38</v>
      </c>
      <c r="AR128" s="639">
        <v>39</v>
      </c>
      <c r="AS128" s="639">
        <v>40</v>
      </c>
    </row>
    <row r="129" spans="1:86" s="103" customFormat="1" hidden="1">
      <c r="B129" s="747" t="s">
        <v>1076</v>
      </c>
      <c r="C129" s="750">
        <f>SUM(F129:AS129)</f>
        <v>1.0000333333333333</v>
      </c>
      <c r="D129" s="749">
        <v>3</v>
      </c>
      <c r="E129" s="750"/>
      <c r="F129" s="750">
        <f>1/3</f>
        <v>0.33333333333333331</v>
      </c>
      <c r="G129" s="750">
        <v>0.44450000000000001</v>
      </c>
      <c r="H129" s="750">
        <f>14.81%</f>
        <v>0.14810000000000001</v>
      </c>
      <c r="I129" s="750">
        <v>7.4099999999999999E-2</v>
      </c>
      <c r="J129" s="748"/>
      <c r="K129" s="748"/>
      <c r="L129" s="748"/>
      <c r="M129" s="748"/>
      <c r="N129" s="748"/>
      <c r="O129" s="748"/>
      <c r="P129" s="748"/>
      <c r="Q129" s="748"/>
      <c r="R129" s="748"/>
      <c r="S129" s="748"/>
      <c r="T129" s="748"/>
      <c r="U129" s="748"/>
      <c r="V129" s="748"/>
      <c r="W129" s="748"/>
      <c r="X129" s="748"/>
      <c r="Y129" s="748"/>
      <c r="Z129" s="748"/>
      <c r="AA129" s="748"/>
      <c r="AB129" s="748"/>
      <c r="AC129" s="748"/>
      <c r="AD129" s="748"/>
      <c r="AE129" s="748"/>
      <c r="AF129" s="748"/>
      <c r="AG129" s="748"/>
      <c r="AH129" s="748"/>
      <c r="AI129" s="748"/>
      <c r="AJ129" s="748"/>
      <c r="AK129" s="748"/>
      <c r="AL129" s="748"/>
      <c r="AM129" s="748"/>
      <c r="AN129" s="748"/>
      <c r="AO129" s="748"/>
      <c r="AP129" s="748"/>
      <c r="AQ129" s="748"/>
      <c r="AR129" s="748"/>
      <c r="AS129" s="751"/>
    </row>
    <row r="130" spans="1:86" s="651" customFormat="1" hidden="1">
      <c r="A130" s="103"/>
      <c r="B130" s="752" t="s">
        <v>170</v>
      </c>
      <c r="C130" s="753"/>
      <c r="D130" s="712">
        <v>5</v>
      </c>
      <c r="E130" s="754"/>
      <c r="F130" s="754">
        <v>0.2</v>
      </c>
      <c r="G130" s="754">
        <v>0.32</v>
      </c>
      <c r="H130" s="754">
        <v>0.192</v>
      </c>
      <c r="I130" s="754">
        <v>0.1152</v>
      </c>
      <c r="J130" s="754">
        <f>11.52%</f>
        <v>0.1152</v>
      </c>
      <c r="K130" s="754">
        <v>5.7599999999999998E-2</v>
      </c>
      <c r="L130" s="753"/>
      <c r="M130" s="753"/>
      <c r="N130" s="753"/>
      <c r="O130" s="753"/>
      <c r="P130" s="753"/>
      <c r="Q130" s="753"/>
      <c r="R130" s="753"/>
      <c r="S130" s="753"/>
      <c r="T130" s="753"/>
      <c r="U130" s="753"/>
      <c r="V130" s="753"/>
      <c r="W130" s="753"/>
      <c r="X130" s="753"/>
      <c r="Y130" s="753"/>
      <c r="Z130" s="753"/>
      <c r="AA130" s="753"/>
      <c r="AB130" s="753"/>
      <c r="AC130" s="753"/>
      <c r="AD130" s="753"/>
      <c r="AE130" s="753"/>
      <c r="AF130" s="753"/>
      <c r="AG130" s="753"/>
      <c r="AH130" s="753"/>
      <c r="AI130" s="753"/>
      <c r="AJ130" s="753"/>
      <c r="AK130" s="753"/>
      <c r="AL130" s="753"/>
      <c r="AM130" s="753"/>
      <c r="AN130" s="753"/>
      <c r="AO130" s="753"/>
      <c r="AP130" s="753"/>
      <c r="AQ130" s="753"/>
      <c r="AR130" s="753"/>
      <c r="AS130" s="755"/>
    </row>
    <row r="131" spans="1:86" s="651" customFormat="1" hidden="1">
      <c r="B131" s="756"/>
      <c r="C131" s="753"/>
      <c r="D131" s="712">
        <v>7</v>
      </c>
      <c r="E131" s="754"/>
      <c r="F131" s="754">
        <v>0.1429</v>
      </c>
      <c r="G131" s="754">
        <v>0.24490000000000001</v>
      </c>
      <c r="H131" s="754">
        <v>0.1749</v>
      </c>
      <c r="I131" s="754">
        <v>0.1249</v>
      </c>
      <c r="J131" s="754">
        <v>8.9300000000000004E-2</v>
      </c>
      <c r="K131" s="754">
        <v>8.9200000000000002E-2</v>
      </c>
      <c r="L131" s="754">
        <f>8.93%</f>
        <v>8.929999999999999E-2</v>
      </c>
      <c r="M131" s="754">
        <v>4.4600000000000001E-2</v>
      </c>
      <c r="N131" s="753"/>
      <c r="O131" s="753"/>
      <c r="P131" s="753"/>
      <c r="Q131" s="753"/>
      <c r="R131" s="753"/>
      <c r="S131" s="753"/>
      <c r="T131" s="753"/>
      <c r="U131" s="753"/>
      <c r="V131" s="753"/>
      <c r="W131" s="753"/>
      <c r="X131" s="753"/>
      <c r="Y131" s="753"/>
      <c r="Z131" s="753"/>
      <c r="AA131" s="753"/>
      <c r="AB131" s="753"/>
      <c r="AC131" s="753"/>
      <c r="AD131" s="753"/>
      <c r="AE131" s="753"/>
      <c r="AF131" s="753"/>
      <c r="AG131" s="753"/>
      <c r="AH131" s="753"/>
      <c r="AI131" s="753"/>
      <c r="AJ131" s="753"/>
      <c r="AK131" s="753"/>
      <c r="AL131" s="753"/>
      <c r="AM131" s="753"/>
      <c r="AN131" s="753"/>
      <c r="AO131" s="753"/>
      <c r="AP131" s="753"/>
      <c r="AQ131" s="753"/>
      <c r="AR131" s="753"/>
      <c r="AS131" s="755"/>
    </row>
    <row r="132" spans="1:86" s="651" customFormat="1" hidden="1">
      <c r="B132" s="756"/>
      <c r="C132" s="753"/>
      <c r="D132" s="712">
        <v>10</v>
      </c>
      <c r="E132" s="754"/>
      <c r="F132" s="754">
        <v>0.1</v>
      </c>
      <c r="G132" s="754">
        <v>0.18</v>
      </c>
      <c r="H132" s="754">
        <v>0.14400000000000002</v>
      </c>
      <c r="I132" s="754">
        <v>0.1152</v>
      </c>
      <c r="J132" s="754">
        <v>9.2200000000000004E-2</v>
      </c>
      <c r="K132" s="754">
        <v>7.3700000000000002E-2</v>
      </c>
      <c r="L132" s="754">
        <v>6.5500000000000003E-2</v>
      </c>
      <c r="M132" s="754">
        <v>6.5500000000000003E-2</v>
      </c>
      <c r="N132" s="754">
        <v>6.5599999999999992E-2</v>
      </c>
      <c r="O132" s="754">
        <f>6.55%</f>
        <v>6.5500000000000003E-2</v>
      </c>
      <c r="P132" s="754">
        <v>3.2800000000000003E-2</v>
      </c>
      <c r="Q132" s="753"/>
      <c r="R132" s="753"/>
      <c r="S132" s="753"/>
      <c r="T132" s="753"/>
      <c r="U132" s="753"/>
      <c r="V132" s="753"/>
      <c r="W132" s="753"/>
      <c r="X132" s="753"/>
      <c r="Y132" s="753"/>
      <c r="Z132" s="753"/>
      <c r="AA132" s="753"/>
      <c r="AB132" s="753"/>
      <c r="AC132" s="753"/>
      <c r="AD132" s="753"/>
      <c r="AE132" s="753"/>
      <c r="AF132" s="753"/>
      <c r="AG132" s="753"/>
      <c r="AH132" s="753"/>
      <c r="AI132" s="753"/>
      <c r="AJ132" s="753"/>
      <c r="AK132" s="753"/>
      <c r="AL132" s="753"/>
      <c r="AM132" s="753"/>
      <c r="AN132" s="753"/>
      <c r="AO132" s="753"/>
      <c r="AP132" s="753"/>
      <c r="AQ132" s="753"/>
      <c r="AR132" s="753"/>
      <c r="AS132" s="755"/>
    </row>
    <row r="133" spans="1:86" s="651" customFormat="1" hidden="1">
      <c r="B133" s="756"/>
      <c r="C133" s="753"/>
      <c r="D133" s="712">
        <v>15</v>
      </c>
      <c r="E133" s="754"/>
      <c r="F133" s="754">
        <v>0.05</v>
      </c>
      <c r="G133" s="754">
        <v>9.5000000000000001E-2</v>
      </c>
      <c r="H133" s="754">
        <v>8.5500000000000007E-2</v>
      </c>
      <c r="I133" s="754">
        <v>7.6999999999999999E-2</v>
      </c>
      <c r="J133" s="754">
        <v>6.93E-2</v>
      </c>
      <c r="K133" s="754">
        <v>6.2300000000000001E-2</v>
      </c>
      <c r="L133" s="754">
        <v>5.8999999999999997E-2</v>
      </c>
      <c r="M133" s="754">
        <v>5.8999999999999997E-2</v>
      </c>
      <c r="N133" s="754">
        <v>5.91E-2</v>
      </c>
      <c r="O133" s="754">
        <v>5.8999999999999997E-2</v>
      </c>
      <c r="P133" s="754">
        <v>5.91E-2</v>
      </c>
      <c r="Q133" s="754">
        <v>5.8999999999999997E-2</v>
      </c>
      <c r="R133" s="754">
        <v>5.91E-2</v>
      </c>
      <c r="S133" s="754">
        <v>5.8999999999999997E-2</v>
      </c>
      <c r="T133" s="754">
        <f>5.91%</f>
        <v>5.91E-2</v>
      </c>
      <c r="U133" s="754">
        <v>2.9499999999999998E-2</v>
      </c>
      <c r="V133" s="753"/>
      <c r="W133" s="753"/>
      <c r="X133" s="753"/>
      <c r="Y133" s="753"/>
      <c r="Z133" s="753"/>
      <c r="AA133" s="753"/>
      <c r="AB133" s="753"/>
      <c r="AC133" s="753"/>
      <c r="AD133" s="753"/>
      <c r="AE133" s="753"/>
      <c r="AF133" s="753"/>
      <c r="AG133" s="753"/>
      <c r="AH133" s="753"/>
      <c r="AI133" s="753"/>
      <c r="AJ133" s="753"/>
      <c r="AK133" s="753"/>
      <c r="AL133" s="753"/>
      <c r="AM133" s="753"/>
      <c r="AN133" s="753"/>
      <c r="AO133" s="753"/>
      <c r="AP133" s="753"/>
      <c r="AQ133" s="753"/>
      <c r="AR133" s="753"/>
      <c r="AS133" s="755"/>
    </row>
    <row r="134" spans="1:86" s="651" customFormat="1" hidden="1">
      <c r="B134" s="757"/>
      <c r="C134" s="758"/>
      <c r="D134" s="671">
        <v>20</v>
      </c>
      <c r="E134" s="759"/>
      <c r="F134" s="759">
        <v>3.7499999999999999E-2</v>
      </c>
      <c r="G134" s="759">
        <v>7.2190000000000004E-2</v>
      </c>
      <c r="H134" s="759">
        <v>6.6769999999999996E-2</v>
      </c>
      <c r="I134" s="759">
        <v>6.1769999999999999E-2</v>
      </c>
      <c r="J134" s="759">
        <v>5.713E-2</v>
      </c>
      <c r="K134" s="759">
        <v>5.2850000000000001E-2</v>
      </c>
      <c r="L134" s="759">
        <v>4.888E-2</v>
      </c>
      <c r="M134" s="759">
        <v>4.5229999999999999E-2</v>
      </c>
      <c r="N134" s="759">
        <v>4.462E-2</v>
      </c>
      <c r="O134" s="759">
        <v>4.4609999999999997E-2</v>
      </c>
      <c r="P134" s="759">
        <v>4.462E-2</v>
      </c>
      <c r="Q134" s="759">
        <v>4.4609999999999997E-2</v>
      </c>
      <c r="R134" s="759">
        <v>4.462E-2</v>
      </c>
      <c r="S134" s="759">
        <v>4.4609999999999997E-2</v>
      </c>
      <c r="T134" s="759">
        <v>4.462E-2</v>
      </c>
      <c r="U134" s="759">
        <v>4.4609999999999997E-2</v>
      </c>
      <c r="V134" s="759">
        <v>4.462E-2</v>
      </c>
      <c r="W134" s="759">
        <v>4.4609999999999997E-2</v>
      </c>
      <c r="X134" s="759">
        <v>4.462E-2</v>
      </c>
      <c r="Y134" s="759">
        <f>4.462%</f>
        <v>4.462E-2</v>
      </c>
      <c r="Z134" s="759">
        <v>2.23E-2</v>
      </c>
      <c r="AA134" s="758"/>
      <c r="AB134" s="758"/>
      <c r="AC134" s="758"/>
      <c r="AD134" s="758"/>
      <c r="AE134" s="758"/>
      <c r="AF134" s="758"/>
      <c r="AG134" s="758"/>
      <c r="AH134" s="758"/>
      <c r="AI134" s="758"/>
      <c r="AJ134" s="758"/>
      <c r="AK134" s="758"/>
      <c r="AL134" s="758"/>
      <c r="AM134" s="758"/>
      <c r="AN134" s="758"/>
      <c r="AO134" s="758"/>
      <c r="AP134" s="758"/>
      <c r="AQ134" s="758"/>
      <c r="AR134" s="758"/>
      <c r="AS134" s="760"/>
    </row>
    <row r="135" spans="1:86" s="130" customFormat="1" hidden="1">
      <c r="F135" s="651"/>
      <c r="S135" s="651"/>
      <c r="T135" s="651"/>
    </row>
    <row r="136" spans="1:86" s="769" customFormat="1" hidden="1">
      <c r="A136" s="764"/>
      <c r="B136" s="765"/>
      <c r="C136" s="766"/>
      <c r="D136" s="766"/>
      <c r="E136" s="766"/>
      <c r="F136" s="767">
        <v>2006</v>
      </c>
      <c r="G136" s="767">
        <v>2007</v>
      </c>
      <c r="H136" s="767">
        <v>2008</v>
      </c>
      <c r="I136" s="767">
        <v>2009</v>
      </c>
      <c r="J136" s="767">
        <v>2010</v>
      </c>
      <c r="K136" s="767">
        <v>2011</v>
      </c>
      <c r="L136" s="767">
        <v>2012</v>
      </c>
      <c r="M136" s="767">
        <v>2013</v>
      </c>
      <c r="N136" s="767">
        <v>2014</v>
      </c>
      <c r="O136" s="767">
        <v>2015</v>
      </c>
      <c r="P136" s="767">
        <v>2016</v>
      </c>
      <c r="Q136" s="767">
        <v>2017</v>
      </c>
      <c r="R136" s="767">
        <v>2018</v>
      </c>
      <c r="S136" s="767">
        <v>2019</v>
      </c>
      <c r="T136" s="767">
        <v>2020</v>
      </c>
      <c r="U136" s="767">
        <v>2021</v>
      </c>
      <c r="V136" s="767">
        <v>2022</v>
      </c>
      <c r="W136" s="767">
        <v>2023</v>
      </c>
      <c r="X136" s="767">
        <v>2024</v>
      </c>
      <c r="Y136" s="767">
        <v>2025</v>
      </c>
      <c r="Z136" s="767">
        <v>2026</v>
      </c>
      <c r="AA136" s="767">
        <v>2027</v>
      </c>
      <c r="AB136" s="767">
        <v>2028</v>
      </c>
      <c r="AC136" s="767">
        <v>2029</v>
      </c>
      <c r="AD136" s="767">
        <v>2030</v>
      </c>
      <c r="AE136" s="767">
        <v>2031</v>
      </c>
      <c r="AF136" s="767">
        <v>2032</v>
      </c>
      <c r="AG136" s="767">
        <v>2033</v>
      </c>
      <c r="AH136" s="767">
        <v>2034</v>
      </c>
      <c r="AI136" s="767">
        <v>2035</v>
      </c>
      <c r="AJ136" s="767">
        <v>2036</v>
      </c>
      <c r="AK136" s="767">
        <v>2037</v>
      </c>
      <c r="AL136" s="767">
        <v>2038</v>
      </c>
      <c r="AM136" s="767">
        <v>2039</v>
      </c>
      <c r="AN136" s="767">
        <v>2040</v>
      </c>
      <c r="AO136" s="767">
        <v>2041</v>
      </c>
      <c r="AP136" s="767">
        <v>2042</v>
      </c>
      <c r="AQ136" s="767">
        <v>2043</v>
      </c>
      <c r="AR136" s="767">
        <v>2044</v>
      </c>
      <c r="AS136" s="767">
        <v>2045</v>
      </c>
      <c r="AT136" s="767">
        <v>2046</v>
      </c>
      <c r="AU136" s="767">
        <v>2047</v>
      </c>
      <c r="AV136" s="767">
        <v>2048</v>
      </c>
      <c r="AW136" s="767">
        <v>2049</v>
      </c>
      <c r="AX136" s="767">
        <v>2050</v>
      </c>
      <c r="AY136" s="767">
        <v>2051</v>
      </c>
      <c r="AZ136" s="767">
        <v>2052</v>
      </c>
      <c r="BA136" s="767">
        <v>2053</v>
      </c>
      <c r="BB136" s="767">
        <v>2054</v>
      </c>
      <c r="BC136" s="767">
        <v>2055</v>
      </c>
      <c r="BD136" s="767">
        <v>2056</v>
      </c>
      <c r="BE136" s="767">
        <v>2057</v>
      </c>
      <c r="BF136" s="767">
        <v>2058</v>
      </c>
      <c r="BG136" s="767">
        <v>2059</v>
      </c>
      <c r="BH136" s="767">
        <v>2060</v>
      </c>
      <c r="BI136" s="767">
        <v>2061</v>
      </c>
      <c r="BJ136" s="767">
        <v>2062</v>
      </c>
      <c r="BK136" s="767">
        <v>2063</v>
      </c>
      <c r="BL136" s="767">
        <v>2064</v>
      </c>
      <c r="BM136" s="767">
        <v>2065</v>
      </c>
      <c r="BN136" s="767">
        <v>2066</v>
      </c>
      <c r="BO136" s="767">
        <v>2067</v>
      </c>
      <c r="BP136" s="767">
        <v>2068</v>
      </c>
      <c r="BQ136" s="767">
        <v>2069</v>
      </c>
      <c r="BR136" s="767">
        <v>2070</v>
      </c>
      <c r="BS136" s="767">
        <v>2071</v>
      </c>
      <c r="BT136" s="767">
        <v>2072</v>
      </c>
      <c r="BU136" s="767">
        <v>2073</v>
      </c>
      <c r="BV136" s="767">
        <v>2074</v>
      </c>
      <c r="BW136" s="767">
        <v>2075</v>
      </c>
      <c r="BX136" s="767">
        <v>2076</v>
      </c>
      <c r="BY136" s="767">
        <v>2077</v>
      </c>
      <c r="BZ136" s="767">
        <v>2078</v>
      </c>
      <c r="CA136" s="767">
        <v>2079</v>
      </c>
      <c r="CB136" s="767">
        <v>2080</v>
      </c>
      <c r="CC136" s="767">
        <v>2081</v>
      </c>
      <c r="CD136" s="767">
        <v>2082</v>
      </c>
      <c r="CE136" s="767">
        <v>2083</v>
      </c>
      <c r="CF136" s="767">
        <v>2084</v>
      </c>
      <c r="CG136" s="767">
        <v>2085</v>
      </c>
      <c r="CH136" s="768">
        <v>2086</v>
      </c>
    </row>
    <row r="137" spans="1:86" s="769" customFormat="1" ht="17.25" hidden="1" customHeight="1">
      <c r="B137" s="770" t="s">
        <v>265</v>
      </c>
      <c r="C137" s="771"/>
      <c r="D137" s="771"/>
      <c r="E137" s="771" t="s">
        <v>264</v>
      </c>
      <c r="F137" s="772">
        <v>0.03</v>
      </c>
      <c r="G137" s="772">
        <v>0.06</v>
      </c>
      <c r="H137" s="772">
        <v>0.06</v>
      </c>
      <c r="I137" s="772">
        <v>0.06</v>
      </c>
      <c r="J137" s="772">
        <v>0.09</v>
      </c>
      <c r="K137" s="772">
        <f>J137</f>
        <v>0.09</v>
      </c>
      <c r="L137" s="772">
        <f t="shared" ref="L137:AD137" si="97">K137</f>
        <v>0.09</v>
      </c>
      <c r="M137" s="772">
        <f t="shared" si="97"/>
        <v>0.09</v>
      </c>
      <c r="N137" s="772">
        <f t="shared" si="97"/>
        <v>0.09</v>
      </c>
      <c r="O137" s="772">
        <f t="shared" si="97"/>
        <v>0.09</v>
      </c>
      <c r="P137" s="772">
        <f t="shared" si="97"/>
        <v>0.09</v>
      </c>
      <c r="Q137" s="772">
        <f t="shared" si="97"/>
        <v>0.09</v>
      </c>
      <c r="R137" s="772">
        <f t="shared" si="97"/>
        <v>0.09</v>
      </c>
      <c r="S137" s="772">
        <f t="shared" si="97"/>
        <v>0.09</v>
      </c>
      <c r="T137" s="772">
        <f t="shared" si="97"/>
        <v>0.09</v>
      </c>
      <c r="U137" s="772">
        <f t="shared" si="97"/>
        <v>0.09</v>
      </c>
      <c r="V137" s="772">
        <f t="shared" si="97"/>
        <v>0.09</v>
      </c>
      <c r="W137" s="772">
        <f t="shared" si="97"/>
        <v>0.09</v>
      </c>
      <c r="X137" s="772">
        <f t="shared" si="97"/>
        <v>0.09</v>
      </c>
      <c r="Y137" s="772">
        <f t="shared" si="97"/>
        <v>0.09</v>
      </c>
      <c r="Z137" s="772">
        <f t="shared" si="97"/>
        <v>0.09</v>
      </c>
      <c r="AA137" s="772">
        <f t="shared" si="97"/>
        <v>0.09</v>
      </c>
      <c r="AB137" s="772">
        <f t="shared" si="97"/>
        <v>0.09</v>
      </c>
      <c r="AC137" s="772">
        <f t="shared" si="97"/>
        <v>0.09</v>
      </c>
      <c r="AD137" s="772">
        <f t="shared" si="97"/>
        <v>0.09</v>
      </c>
      <c r="AE137" s="772">
        <f>AD137</f>
        <v>0.09</v>
      </c>
      <c r="AF137" s="772">
        <f>AE137</f>
        <v>0.09</v>
      </c>
      <c r="AG137" s="772">
        <f>AF137</f>
        <v>0.09</v>
      </c>
      <c r="AH137" s="772">
        <f>AG137</f>
        <v>0.09</v>
      </c>
      <c r="AI137" s="772">
        <f>AH137</f>
        <v>0.09</v>
      </c>
      <c r="AJ137" s="772">
        <f t="shared" ref="AJ137:CH137" si="98">AI137</f>
        <v>0.09</v>
      </c>
      <c r="AK137" s="772">
        <f t="shared" si="98"/>
        <v>0.09</v>
      </c>
      <c r="AL137" s="772">
        <f t="shared" si="98"/>
        <v>0.09</v>
      </c>
      <c r="AM137" s="772">
        <f t="shared" si="98"/>
        <v>0.09</v>
      </c>
      <c r="AN137" s="772">
        <f t="shared" si="98"/>
        <v>0.09</v>
      </c>
      <c r="AO137" s="772">
        <f t="shared" si="98"/>
        <v>0.09</v>
      </c>
      <c r="AP137" s="772">
        <f t="shared" si="98"/>
        <v>0.09</v>
      </c>
      <c r="AQ137" s="772">
        <f t="shared" si="98"/>
        <v>0.09</v>
      </c>
      <c r="AR137" s="772">
        <f t="shared" si="98"/>
        <v>0.09</v>
      </c>
      <c r="AS137" s="772">
        <f t="shared" si="98"/>
        <v>0.09</v>
      </c>
      <c r="AT137" s="772">
        <f t="shared" si="98"/>
        <v>0.09</v>
      </c>
      <c r="AU137" s="772">
        <f t="shared" si="98"/>
        <v>0.09</v>
      </c>
      <c r="AV137" s="772">
        <f t="shared" si="98"/>
        <v>0.09</v>
      </c>
      <c r="AW137" s="772">
        <f t="shared" si="98"/>
        <v>0.09</v>
      </c>
      <c r="AX137" s="772">
        <f t="shared" si="98"/>
        <v>0.09</v>
      </c>
      <c r="AY137" s="772">
        <f t="shared" si="98"/>
        <v>0.09</v>
      </c>
      <c r="AZ137" s="772">
        <f t="shared" si="98"/>
        <v>0.09</v>
      </c>
      <c r="BA137" s="772">
        <f t="shared" si="98"/>
        <v>0.09</v>
      </c>
      <c r="BB137" s="772">
        <f t="shared" si="98"/>
        <v>0.09</v>
      </c>
      <c r="BC137" s="772">
        <f t="shared" si="98"/>
        <v>0.09</v>
      </c>
      <c r="BD137" s="772">
        <f t="shared" si="98"/>
        <v>0.09</v>
      </c>
      <c r="BE137" s="772">
        <f t="shared" si="98"/>
        <v>0.09</v>
      </c>
      <c r="BF137" s="772">
        <f t="shared" si="98"/>
        <v>0.09</v>
      </c>
      <c r="BG137" s="772">
        <f t="shared" si="98"/>
        <v>0.09</v>
      </c>
      <c r="BH137" s="772">
        <f t="shared" si="98"/>
        <v>0.09</v>
      </c>
      <c r="BI137" s="772">
        <f t="shared" si="98"/>
        <v>0.09</v>
      </c>
      <c r="BJ137" s="772">
        <f t="shared" si="98"/>
        <v>0.09</v>
      </c>
      <c r="BK137" s="772">
        <f t="shared" si="98"/>
        <v>0.09</v>
      </c>
      <c r="BL137" s="772">
        <f t="shared" si="98"/>
        <v>0.09</v>
      </c>
      <c r="BM137" s="772">
        <f t="shared" si="98"/>
        <v>0.09</v>
      </c>
      <c r="BN137" s="772">
        <f t="shared" si="98"/>
        <v>0.09</v>
      </c>
      <c r="BO137" s="772">
        <f t="shared" si="98"/>
        <v>0.09</v>
      </c>
      <c r="BP137" s="772">
        <f t="shared" si="98"/>
        <v>0.09</v>
      </c>
      <c r="BQ137" s="772">
        <f t="shared" si="98"/>
        <v>0.09</v>
      </c>
      <c r="BR137" s="772">
        <f t="shared" si="98"/>
        <v>0.09</v>
      </c>
      <c r="BS137" s="772">
        <f t="shared" si="98"/>
        <v>0.09</v>
      </c>
      <c r="BT137" s="772">
        <f t="shared" si="98"/>
        <v>0.09</v>
      </c>
      <c r="BU137" s="772">
        <f t="shared" si="98"/>
        <v>0.09</v>
      </c>
      <c r="BV137" s="772">
        <f t="shared" si="98"/>
        <v>0.09</v>
      </c>
      <c r="BW137" s="772">
        <f t="shared" si="98"/>
        <v>0.09</v>
      </c>
      <c r="BX137" s="772">
        <f t="shared" si="98"/>
        <v>0.09</v>
      </c>
      <c r="BY137" s="772">
        <f t="shared" si="98"/>
        <v>0.09</v>
      </c>
      <c r="BZ137" s="772">
        <f t="shared" si="98"/>
        <v>0.09</v>
      </c>
      <c r="CA137" s="772">
        <f t="shared" si="98"/>
        <v>0.09</v>
      </c>
      <c r="CB137" s="772">
        <f t="shared" si="98"/>
        <v>0.09</v>
      </c>
      <c r="CC137" s="772">
        <f t="shared" si="98"/>
        <v>0.09</v>
      </c>
      <c r="CD137" s="772">
        <f t="shared" si="98"/>
        <v>0.09</v>
      </c>
      <c r="CE137" s="772">
        <f t="shared" si="98"/>
        <v>0.09</v>
      </c>
      <c r="CF137" s="772">
        <f t="shared" si="98"/>
        <v>0.09</v>
      </c>
      <c r="CG137" s="772">
        <f t="shared" si="98"/>
        <v>0.09</v>
      </c>
      <c r="CH137" s="773">
        <f t="shared" si="98"/>
        <v>0.09</v>
      </c>
    </row>
    <row r="138" spans="1:86" hidden="1">
      <c r="S138" s="102"/>
      <c r="T138" s="102"/>
      <c r="AT138" s="683"/>
    </row>
    <row r="139" spans="1:86" s="731" customFormat="1" hidden="1">
      <c r="B139" s="774" t="s">
        <v>554</v>
      </c>
      <c r="C139" s="775">
        <v>1.5</v>
      </c>
      <c r="D139" s="776" t="s">
        <v>556</v>
      </c>
      <c r="E139" s="777"/>
      <c r="F139" s="778">
        <f>VDB(1,0,StateTaxLife,0,1,$C$139,0)</f>
        <v>0.05</v>
      </c>
      <c r="G139" s="778">
        <f>VDB(1,0,StateTaxLife,1,F2+1,$C$139,1)</f>
        <v>4.7500000000000001E-2</v>
      </c>
      <c r="H139" s="777">
        <f t="shared" ref="H139:AS139" si="99">IF(H2&lt;StateTaxLife,VDB(1,0,StateTaxLife,F2+1,G2+1,$C$139,0),IF(H2=StateTaxLife,VDB(1,0,StateTaxLife,F2+1,StateTaxLife,$C$139,0),0))</f>
        <v>4.5124999999999998E-2</v>
      </c>
      <c r="I139" s="777">
        <f t="shared" si="99"/>
        <v>4.2868750000000004E-2</v>
      </c>
      <c r="J139" s="777">
        <f t="shared" si="99"/>
        <v>4.0725312499999999E-2</v>
      </c>
      <c r="K139" s="777">
        <f t="shared" si="99"/>
        <v>3.8689046875000001E-2</v>
      </c>
      <c r="L139" s="777">
        <f t="shared" si="99"/>
        <v>3.6754594531250004E-2</v>
      </c>
      <c r="M139" s="777">
        <f t="shared" si="99"/>
        <v>3.4916864804687503E-2</v>
      </c>
      <c r="N139" s="777">
        <f t="shared" si="99"/>
        <v>3.3171021564453132E-2</v>
      </c>
      <c r="O139" s="777">
        <f t="shared" si="99"/>
        <v>3.1512470486230473E-2</v>
      </c>
      <c r="P139" s="777">
        <f t="shared" si="99"/>
        <v>2.9936846961918947E-2</v>
      </c>
      <c r="Q139" s="777">
        <f t="shared" si="99"/>
        <v>2.9936846961918947E-2</v>
      </c>
      <c r="R139" s="777">
        <f t="shared" si="99"/>
        <v>2.9936846961918947E-2</v>
      </c>
      <c r="S139" s="777">
        <f t="shared" si="99"/>
        <v>2.9936846961918947E-2</v>
      </c>
      <c r="T139" s="777">
        <f t="shared" si="99"/>
        <v>2.9936846961918947E-2</v>
      </c>
      <c r="U139" s="777">
        <f t="shared" si="99"/>
        <v>2.9936846961918947E-2</v>
      </c>
      <c r="V139" s="777">
        <f t="shared" si="99"/>
        <v>2.9936846961918947E-2</v>
      </c>
      <c r="W139" s="777">
        <f t="shared" si="99"/>
        <v>2.9936846961918947E-2</v>
      </c>
      <c r="X139" s="777">
        <f t="shared" si="99"/>
        <v>2.9936846961918947E-2</v>
      </c>
      <c r="Y139" s="777">
        <f t="shared" si="99"/>
        <v>2.9936846961918947E-2</v>
      </c>
      <c r="Z139" s="777">
        <f t="shared" si="99"/>
        <v>2.9936846961918947E-2</v>
      </c>
      <c r="AA139" s="777">
        <f t="shared" si="99"/>
        <v>2.9936846961918947E-2</v>
      </c>
      <c r="AB139" s="777">
        <f t="shared" si="99"/>
        <v>2.9936846961918947E-2</v>
      </c>
      <c r="AC139" s="777">
        <f t="shared" si="99"/>
        <v>2.9936846961918947E-2</v>
      </c>
      <c r="AD139" s="777">
        <f t="shared" si="99"/>
        <v>2.9936846961918947E-2</v>
      </c>
      <c r="AE139" s="777">
        <f t="shared" si="99"/>
        <v>2.9936846961918947E-2</v>
      </c>
      <c r="AF139" s="777">
        <f t="shared" si="99"/>
        <v>2.9936846961918947E-2</v>
      </c>
      <c r="AG139" s="777">
        <f t="shared" si="99"/>
        <v>2.9936846961918947E-2</v>
      </c>
      <c r="AH139" s="777">
        <f t="shared" si="99"/>
        <v>2.9936846961918947E-2</v>
      </c>
      <c r="AI139" s="777">
        <f t="shared" si="99"/>
        <v>2.9936846961918947E-2</v>
      </c>
      <c r="AJ139" s="777">
        <f t="shared" si="99"/>
        <v>0</v>
      </c>
      <c r="AK139" s="777">
        <f t="shared" si="99"/>
        <v>0</v>
      </c>
      <c r="AL139" s="777">
        <f t="shared" si="99"/>
        <v>0</v>
      </c>
      <c r="AM139" s="777">
        <f t="shared" si="99"/>
        <v>0</v>
      </c>
      <c r="AN139" s="777">
        <f t="shared" si="99"/>
        <v>0</v>
      </c>
      <c r="AO139" s="777">
        <f t="shared" si="99"/>
        <v>0</v>
      </c>
      <c r="AP139" s="777">
        <f t="shared" si="99"/>
        <v>0</v>
      </c>
      <c r="AQ139" s="777">
        <f t="shared" si="99"/>
        <v>0</v>
      </c>
      <c r="AR139" s="777">
        <f t="shared" si="99"/>
        <v>0</v>
      </c>
      <c r="AS139" s="777">
        <f t="shared" si="99"/>
        <v>0</v>
      </c>
    </row>
    <row r="140" spans="1:86" hidden="1">
      <c r="B140" s="779"/>
      <c r="C140" s="4604" t="s">
        <v>555</v>
      </c>
      <c r="D140" s="4604"/>
      <c r="E140" s="780"/>
      <c r="F140" s="781">
        <f>1/StateTaxLife</f>
        <v>3.3333333333333333E-2</v>
      </c>
      <c r="G140" s="782">
        <f t="shared" ref="G140:AS140" si="100">IF(G$2&lt;=StateTaxLife,1/StateTaxLife,0)</f>
        <v>3.3333333333333333E-2</v>
      </c>
      <c r="H140" s="782">
        <f t="shared" si="100"/>
        <v>3.3333333333333333E-2</v>
      </c>
      <c r="I140" s="782">
        <f t="shared" si="100"/>
        <v>3.3333333333333333E-2</v>
      </c>
      <c r="J140" s="782">
        <f t="shared" si="100"/>
        <v>3.3333333333333333E-2</v>
      </c>
      <c r="K140" s="782">
        <f t="shared" si="100"/>
        <v>3.3333333333333333E-2</v>
      </c>
      <c r="L140" s="782">
        <f t="shared" si="100"/>
        <v>3.3333333333333333E-2</v>
      </c>
      <c r="M140" s="782">
        <f t="shared" si="100"/>
        <v>3.3333333333333333E-2</v>
      </c>
      <c r="N140" s="782">
        <f t="shared" si="100"/>
        <v>3.3333333333333333E-2</v>
      </c>
      <c r="O140" s="782">
        <f t="shared" si="100"/>
        <v>3.3333333333333333E-2</v>
      </c>
      <c r="P140" s="782">
        <f t="shared" si="100"/>
        <v>3.3333333333333333E-2</v>
      </c>
      <c r="Q140" s="782">
        <f t="shared" si="100"/>
        <v>3.3333333333333333E-2</v>
      </c>
      <c r="R140" s="782">
        <f t="shared" si="100"/>
        <v>3.3333333333333333E-2</v>
      </c>
      <c r="S140" s="782">
        <f t="shared" si="100"/>
        <v>3.3333333333333333E-2</v>
      </c>
      <c r="T140" s="782">
        <f t="shared" si="100"/>
        <v>3.3333333333333333E-2</v>
      </c>
      <c r="U140" s="782">
        <f t="shared" si="100"/>
        <v>3.3333333333333333E-2</v>
      </c>
      <c r="V140" s="782">
        <f t="shared" si="100"/>
        <v>3.3333333333333333E-2</v>
      </c>
      <c r="W140" s="782">
        <f t="shared" si="100"/>
        <v>3.3333333333333333E-2</v>
      </c>
      <c r="X140" s="782">
        <f t="shared" si="100"/>
        <v>3.3333333333333333E-2</v>
      </c>
      <c r="Y140" s="782">
        <f t="shared" si="100"/>
        <v>3.3333333333333333E-2</v>
      </c>
      <c r="Z140" s="782">
        <f t="shared" si="100"/>
        <v>3.3333333333333333E-2</v>
      </c>
      <c r="AA140" s="782">
        <f t="shared" si="100"/>
        <v>3.3333333333333333E-2</v>
      </c>
      <c r="AB140" s="782">
        <f t="shared" si="100"/>
        <v>3.3333333333333333E-2</v>
      </c>
      <c r="AC140" s="782">
        <f t="shared" si="100"/>
        <v>3.3333333333333333E-2</v>
      </c>
      <c r="AD140" s="782">
        <f t="shared" si="100"/>
        <v>3.3333333333333333E-2</v>
      </c>
      <c r="AE140" s="782">
        <f t="shared" si="100"/>
        <v>3.3333333333333333E-2</v>
      </c>
      <c r="AF140" s="782">
        <f t="shared" si="100"/>
        <v>3.3333333333333333E-2</v>
      </c>
      <c r="AG140" s="782">
        <f t="shared" si="100"/>
        <v>3.3333333333333333E-2</v>
      </c>
      <c r="AH140" s="782">
        <f t="shared" si="100"/>
        <v>3.3333333333333333E-2</v>
      </c>
      <c r="AI140" s="782">
        <f t="shared" si="100"/>
        <v>3.3333333333333333E-2</v>
      </c>
      <c r="AJ140" s="782">
        <f t="shared" si="100"/>
        <v>0</v>
      </c>
      <c r="AK140" s="782">
        <f t="shared" si="100"/>
        <v>0</v>
      </c>
      <c r="AL140" s="782">
        <f t="shared" si="100"/>
        <v>0</v>
      </c>
      <c r="AM140" s="782">
        <f t="shared" si="100"/>
        <v>0</v>
      </c>
      <c r="AN140" s="782">
        <f t="shared" si="100"/>
        <v>0</v>
      </c>
      <c r="AO140" s="782">
        <f t="shared" si="100"/>
        <v>0</v>
      </c>
      <c r="AP140" s="782">
        <f t="shared" si="100"/>
        <v>0</v>
      </c>
      <c r="AQ140" s="782">
        <f t="shared" si="100"/>
        <v>0</v>
      </c>
      <c r="AR140" s="782">
        <f t="shared" si="100"/>
        <v>0</v>
      </c>
      <c r="AS140" s="782">
        <f t="shared" si="100"/>
        <v>0</v>
      </c>
    </row>
    <row r="141" spans="1:86" hidden="1">
      <c r="B141" s="105"/>
      <c r="C141" s="783"/>
      <c r="D141" s="783"/>
      <c r="E141" s="784"/>
      <c r="F141" s="222"/>
      <c r="G141" s="785"/>
      <c r="H141" s="785"/>
      <c r="I141" s="785"/>
      <c r="J141" s="785"/>
      <c r="K141" s="785"/>
      <c r="L141" s="785"/>
      <c r="M141" s="785"/>
      <c r="N141" s="785"/>
      <c r="O141" s="785"/>
      <c r="P141" s="785"/>
      <c r="Q141" s="785"/>
      <c r="R141" s="785"/>
      <c r="S141" s="785"/>
      <c r="T141" s="785"/>
      <c r="U141" s="785"/>
      <c r="V141" s="785"/>
      <c r="W141" s="785"/>
      <c r="X141" s="785"/>
      <c r="Y141" s="785"/>
      <c r="Z141" s="785"/>
      <c r="AA141" s="785"/>
      <c r="AB141" s="785"/>
      <c r="AC141" s="785"/>
      <c r="AD141" s="785"/>
      <c r="AE141" s="785"/>
      <c r="AF141" s="785"/>
      <c r="AG141" s="785"/>
      <c r="AH141" s="785"/>
      <c r="AI141" s="785"/>
      <c r="AJ141" s="785"/>
      <c r="AK141" s="785"/>
      <c r="AL141" s="785"/>
      <c r="AM141" s="785"/>
      <c r="AN141" s="785"/>
      <c r="AO141" s="785"/>
      <c r="AP141" s="785"/>
      <c r="AQ141" s="785"/>
      <c r="AR141" s="785"/>
      <c r="AS141" s="785"/>
    </row>
    <row r="142" spans="1:86" s="103" customFormat="1" hidden="1">
      <c r="B142" s="104"/>
      <c r="C142" s="786"/>
      <c r="D142" s="786"/>
      <c r="E142" s="787"/>
      <c r="F142" s="769">
        <v>1</v>
      </c>
      <c r="G142" s="769">
        <v>2</v>
      </c>
      <c r="H142" s="769">
        <v>3</v>
      </c>
      <c r="I142" s="769">
        <v>4</v>
      </c>
      <c r="J142" s="769">
        <v>5</v>
      </c>
      <c r="K142" s="769">
        <v>6</v>
      </c>
      <c r="L142" s="769">
        <v>7</v>
      </c>
      <c r="M142" s="769">
        <v>8</v>
      </c>
      <c r="N142" s="769">
        <v>9</v>
      </c>
      <c r="O142" s="769">
        <v>10</v>
      </c>
      <c r="P142" s="769">
        <v>11</v>
      </c>
      <c r="Q142" s="769">
        <v>12</v>
      </c>
      <c r="R142" s="769">
        <v>13</v>
      </c>
      <c r="S142" s="769">
        <v>14</v>
      </c>
      <c r="T142" s="769">
        <v>15</v>
      </c>
      <c r="U142" s="769">
        <v>16</v>
      </c>
      <c r="V142" s="769">
        <v>17</v>
      </c>
      <c r="W142" s="769">
        <v>18</v>
      </c>
      <c r="X142" s="769">
        <v>19</v>
      </c>
      <c r="Y142" s="769">
        <v>20</v>
      </c>
      <c r="Z142" s="769">
        <v>21</v>
      </c>
      <c r="AA142" s="769">
        <v>22</v>
      </c>
      <c r="AB142" s="769">
        <v>23</v>
      </c>
      <c r="AC142" s="769">
        <v>24</v>
      </c>
      <c r="AD142" s="769">
        <v>25</v>
      </c>
      <c r="AE142" s="769">
        <v>26</v>
      </c>
      <c r="AF142" s="769">
        <v>27</v>
      </c>
      <c r="AG142" s="769">
        <v>28</v>
      </c>
      <c r="AH142" s="769">
        <v>29</v>
      </c>
      <c r="AI142" s="769">
        <v>30</v>
      </c>
      <c r="AJ142" s="769">
        <v>31</v>
      </c>
      <c r="AK142" s="769">
        <v>32</v>
      </c>
      <c r="AL142" s="769">
        <v>33</v>
      </c>
      <c r="AM142" s="769">
        <v>34</v>
      </c>
      <c r="AN142" s="769">
        <v>35</v>
      </c>
      <c r="AO142" s="769">
        <v>36</v>
      </c>
      <c r="AP142" s="769">
        <v>37</v>
      </c>
      <c r="AQ142" s="769">
        <v>38</v>
      </c>
      <c r="AR142" s="769">
        <v>39</v>
      </c>
      <c r="AS142" s="769">
        <v>40</v>
      </c>
      <c r="AT142" s="769">
        <v>41</v>
      </c>
      <c r="AU142" s="769">
        <v>42</v>
      </c>
      <c r="AV142" s="769">
        <v>43</v>
      </c>
      <c r="AW142" s="769">
        <v>44</v>
      </c>
      <c r="AX142" s="769">
        <v>45</v>
      </c>
      <c r="AY142" s="769">
        <v>46</v>
      </c>
      <c r="AZ142" s="769">
        <v>47</v>
      </c>
      <c r="BA142" s="769">
        <v>48</v>
      </c>
      <c r="BB142" s="769">
        <v>49</v>
      </c>
      <c r="BC142" s="769">
        <v>50</v>
      </c>
      <c r="BD142" s="103">
        <v>51</v>
      </c>
      <c r="BE142" s="103">
        <v>52</v>
      </c>
      <c r="BF142" s="103">
        <v>53</v>
      </c>
      <c r="BG142" s="103">
        <v>54</v>
      </c>
      <c r="BH142" s="103">
        <v>55</v>
      </c>
      <c r="BI142" s="103">
        <v>56</v>
      </c>
      <c r="BJ142" s="103">
        <v>57</v>
      </c>
      <c r="BK142" s="103">
        <v>58</v>
      </c>
      <c r="BL142" s="103">
        <v>59</v>
      </c>
      <c r="BM142" s="103">
        <v>60</v>
      </c>
      <c r="BN142" s="103">
        <v>61</v>
      </c>
      <c r="BO142" s="103">
        <v>62</v>
      </c>
      <c r="BP142" s="103">
        <v>63</v>
      </c>
      <c r="BQ142" s="103">
        <v>64</v>
      </c>
      <c r="BR142" s="103">
        <v>65</v>
      </c>
      <c r="BS142" s="103">
        <v>66</v>
      </c>
      <c r="BT142" s="103">
        <v>67</v>
      </c>
      <c r="BU142" s="103">
        <v>68</v>
      </c>
      <c r="BV142" s="103">
        <v>69</v>
      </c>
      <c r="BW142" s="103">
        <v>70</v>
      </c>
      <c r="BX142" s="103">
        <v>71</v>
      </c>
      <c r="BY142" s="103">
        <v>72</v>
      </c>
      <c r="BZ142" s="103">
        <v>73</v>
      </c>
      <c r="CA142" s="103">
        <v>74</v>
      </c>
      <c r="CB142" s="103">
        <v>75</v>
      </c>
      <c r="CC142" s="103">
        <v>76</v>
      </c>
      <c r="CD142" s="103">
        <v>77</v>
      </c>
      <c r="CE142" s="103">
        <v>78</v>
      </c>
      <c r="CF142" s="103">
        <v>79</v>
      </c>
      <c r="CG142" s="103">
        <v>80</v>
      </c>
      <c r="CH142" s="103">
        <v>81</v>
      </c>
    </row>
    <row r="143" spans="1:86" s="103" customFormat="1" hidden="1">
      <c r="B143" s="788" t="s">
        <v>174</v>
      </c>
      <c r="C143" s="789"/>
      <c r="D143" s="790">
        <v>10</v>
      </c>
      <c r="E143" s="750"/>
      <c r="F143" s="791">
        <v>0.92</v>
      </c>
      <c r="G143" s="791">
        <v>0.83</v>
      </c>
      <c r="H143" s="791">
        <v>0.75</v>
      </c>
      <c r="I143" s="791">
        <v>0.66</v>
      </c>
      <c r="J143" s="791">
        <v>0.56999999999999995</v>
      </c>
      <c r="K143" s="791">
        <v>0.49</v>
      </c>
      <c r="L143" s="791">
        <v>0.41</v>
      </c>
      <c r="M143" s="791">
        <v>0.33</v>
      </c>
      <c r="N143" s="791">
        <v>0.26</v>
      </c>
      <c r="O143" s="791">
        <v>0.21</v>
      </c>
      <c r="P143" s="791">
        <v>0.16</v>
      </c>
      <c r="Q143" s="791">
        <v>0.12</v>
      </c>
      <c r="R143" s="791">
        <v>0.09</v>
      </c>
      <c r="S143" s="791">
        <v>0.06</v>
      </c>
      <c r="T143" s="791">
        <v>0.04</v>
      </c>
      <c r="U143" s="791">
        <v>0.01</v>
      </c>
      <c r="V143" s="791"/>
      <c r="W143" s="791"/>
      <c r="X143" s="791"/>
      <c r="Y143" s="791"/>
      <c r="Z143" s="791"/>
      <c r="AA143" s="791"/>
      <c r="AB143" s="791"/>
      <c r="AC143" s="791"/>
      <c r="AD143" s="791"/>
      <c r="AE143" s="791"/>
      <c r="AF143" s="791"/>
      <c r="AG143" s="791"/>
      <c r="AH143" s="791"/>
      <c r="AI143" s="791"/>
      <c r="AJ143" s="791"/>
      <c r="AK143" s="791"/>
      <c r="AL143" s="791"/>
      <c r="AM143" s="791"/>
      <c r="AN143" s="791"/>
      <c r="AO143" s="791"/>
      <c r="AP143" s="791"/>
      <c r="AQ143" s="791"/>
      <c r="AR143" s="791"/>
      <c r="AS143" s="791"/>
      <c r="AT143" s="791"/>
      <c r="AU143" s="791"/>
      <c r="AV143" s="791"/>
      <c r="AW143" s="791"/>
      <c r="AX143" s="791"/>
      <c r="AY143" s="791"/>
      <c r="AZ143" s="791"/>
      <c r="BA143" s="792"/>
      <c r="BB143" s="793"/>
      <c r="BC143" s="793"/>
    </row>
    <row r="144" spans="1:86" s="103" customFormat="1" hidden="1">
      <c r="B144" s="794" t="s">
        <v>175</v>
      </c>
      <c r="C144" s="786"/>
      <c r="D144" s="265">
        <v>15</v>
      </c>
      <c r="E144" s="787"/>
      <c r="F144" s="795">
        <v>0.95</v>
      </c>
      <c r="G144" s="795">
        <v>0.91</v>
      </c>
      <c r="H144" s="795">
        <v>0.86</v>
      </c>
      <c r="I144" s="795">
        <v>0.8</v>
      </c>
      <c r="J144" s="795">
        <v>0.75</v>
      </c>
      <c r="K144" s="795">
        <v>0.7</v>
      </c>
      <c r="L144" s="795">
        <v>0.64</v>
      </c>
      <c r="M144" s="795">
        <v>0.59</v>
      </c>
      <c r="N144" s="795">
        <v>0.53</v>
      </c>
      <c r="O144" s="795">
        <v>0.48</v>
      </c>
      <c r="P144" s="795">
        <v>0.42</v>
      </c>
      <c r="Q144" s="795">
        <v>0.37</v>
      </c>
      <c r="R144" s="795">
        <v>0.32</v>
      </c>
      <c r="S144" s="795">
        <v>0.28000000000000003</v>
      </c>
      <c r="T144" s="795">
        <v>0.24</v>
      </c>
      <c r="U144" s="795">
        <v>0.2</v>
      </c>
      <c r="V144" s="795">
        <v>0.17</v>
      </c>
      <c r="W144" s="795">
        <v>0.14000000000000001</v>
      </c>
      <c r="X144" s="795">
        <v>0.11</v>
      </c>
      <c r="Y144" s="795">
        <v>0.1</v>
      </c>
      <c r="Z144" s="795">
        <v>0.08</v>
      </c>
      <c r="AA144" s="795">
        <v>0.05</v>
      </c>
      <c r="AB144" s="795">
        <v>0.03</v>
      </c>
      <c r="AC144" s="795">
        <v>0.01</v>
      </c>
      <c r="AD144" s="795"/>
      <c r="AE144" s="795"/>
      <c r="AF144" s="795"/>
      <c r="AG144" s="795"/>
      <c r="AH144" s="795"/>
      <c r="AI144" s="795"/>
      <c r="AJ144" s="795"/>
      <c r="AK144" s="795"/>
      <c r="AL144" s="795"/>
      <c r="AM144" s="795"/>
      <c r="AN144" s="795"/>
      <c r="AO144" s="795"/>
      <c r="AP144" s="795"/>
      <c r="AQ144" s="795"/>
      <c r="AR144" s="795"/>
      <c r="AS144" s="795"/>
      <c r="AT144" s="795"/>
      <c r="AU144" s="795"/>
      <c r="AV144" s="795"/>
      <c r="AW144" s="795"/>
      <c r="AX144" s="795"/>
      <c r="AY144" s="795"/>
      <c r="AZ144" s="795"/>
      <c r="BA144" s="796"/>
      <c r="BB144" s="793"/>
      <c r="BC144" s="793"/>
    </row>
    <row r="145" spans="2:86" s="103" customFormat="1" hidden="1">
      <c r="B145" s="794"/>
      <c r="C145" s="786"/>
      <c r="D145" s="265">
        <v>20</v>
      </c>
      <c r="E145" s="787"/>
      <c r="F145" s="795">
        <v>0.97</v>
      </c>
      <c r="G145" s="795">
        <v>0.94</v>
      </c>
      <c r="H145" s="795">
        <v>0.91</v>
      </c>
      <c r="I145" s="795">
        <v>0.87</v>
      </c>
      <c r="J145" s="795">
        <v>0.84</v>
      </c>
      <c r="K145" s="795">
        <v>0.8</v>
      </c>
      <c r="L145" s="795">
        <v>0.77</v>
      </c>
      <c r="M145" s="795">
        <v>0.73</v>
      </c>
      <c r="N145" s="795">
        <v>0.69</v>
      </c>
      <c r="O145" s="795">
        <v>0.65</v>
      </c>
      <c r="P145" s="795">
        <v>0.61</v>
      </c>
      <c r="Q145" s="795">
        <v>0.56999999999999995</v>
      </c>
      <c r="R145" s="795">
        <v>0.53</v>
      </c>
      <c r="S145" s="795">
        <v>0.49</v>
      </c>
      <c r="T145" s="795">
        <v>0.45</v>
      </c>
      <c r="U145" s="795">
        <v>0.41</v>
      </c>
      <c r="V145" s="795">
        <v>0.37</v>
      </c>
      <c r="W145" s="795">
        <v>0.33</v>
      </c>
      <c r="X145" s="795">
        <v>0.3</v>
      </c>
      <c r="Y145" s="795">
        <v>0.27</v>
      </c>
      <c r="Z145" s="795">
        <v>0.24</v>
      </c>
      <c r="AA145" s="795">
        <v>0.21</v>
      </c>
      <c r="AB145" s="795">
        <v>0.19</v>
      </c>
      <c r="AC145" s="795">
        <v>0.16</v>
      </c>
      <c r="AD145" s="795">
        <v>0.15</v>
      </c>
      <c r="AE145" s="795">
        <v>0.13</v>
      </c>
      <c r="AF145" s="795">
        <v>0.11</v>
      </c>
      <c r="AG145" s="795">
        <v>0.09</v>
      </c>
      <c r="AH145" s="795">
        <v>7.0000000000000007E-2</v>
      </c>
      <c r="AI145" s="795">
        <v>0.05</v>
      </c>
      <c r="AJ145" s="795">
        <v>0.03</v>
      </c>
      <c r="AK145" s="795">
        <v>0.02</v>
      </c>
      <c r="AL145" s="795"/>
      <c r="AM145" s="795"/>
      <c r="AN145" s="795"/>
      <c r="AO145" s="795"/>
      <c r="AP145" s="795"/>
      <c r="AQ145" s="795"/>
      <c r="AR145" s="795"/>
      <c r="AS145" s="795"/>
      <c r="AT145" s="795"/>
      <c r="AU145" s="795"/>
      <c r="AV145" s="795"/>
      <c r="AW145" s="795"/>
      <c r="AX145" s="795"/>
      <c r="AY145" s="795"/>
      <c r="AZ145" s="795"/>
      <c r="BA145" s="796"/>
      <c r="BB145" s="793"/>
      <c r="BC145" s="793"/>
    </row>
    <row r="146" spans="2:86" s="103" customFormat="1" hidden="1">
      <c r="B146" s="794"/>
      <c r="C146" s="786"/>
      <c r="D146" s="265">
        <v>30</v>
      </c>
      <c r="E146" s="104"/>
      <c r="F146" s="795">
        <v>0.99</v>
      </c>
      <c r="G146" s="795">
        <v>0.97</v>
      </c>
      <c r="H146" s="795">
        <v>0.96</v>
      </c>
      <c r="I146" s="795">
        <v>0.94</v>
      </c>
      <c r="J146" s="795">
        <v>0.92</v>
      </c>
      <c r="K146" s="795">
        <v>0.91</v>
      </c>
      <c r="L146" s="795">
        <v>0.89</v>
      </c>
      <c r="M146" s="795">
        <v>0.87</v>
      </c>
      <c r="N146" s="795">
        <v>0.85</v>
      </c>
      <c r="O146" s="795">
        <v>0.83</v>
      </c>
      <c r="P146" s="795">
        <v>0.81</v>
      </c>
      <c r="Q146" s="795">
        <v>0.79</v>
      </c>
      <c r="R146" s="795">
        <v>0.76</v>
      </c>
      <c r="S146" s="795">
        <v>0.74</v>
      </c>
      <c r="T146" s="795">
        <v>0.72</v>
      </c>
      <c r="U146" s="795">
        <v>0.69</v>
      </c>
      <c r="V146" s="795">
        <v>0.67</v>
      </c>
      <c r="W146" s="795">
        <v>0.64</v>
      </c>
      <c r="X146" s="795">
        <v>0.62</v>
      </c>
      <c r="Y146" s="795">
        <v>0.59</v>
      </c>
      <c r="Z146" s="795">
        <v>0.56999999999999995</v>
      </c>
      <c r="AA146" s="795">
        <v>0.54</v>
      </c>
      <c r="AB146" s="795">
        <v>0.51</v>
      </c>
      <c r="AC146" s="795">
        <v>0.48</v>
      </c>
      <c r="AD146" s="795">
        <v>0.46</v>
      </c>
      <c r="AE146" s="795">
        <v>0.43</v>
      </c>
      <c r="AF146" s="795">
        <v>0.4</v>
      </c>
      <c r="AG146" s="795">
        <v>0.38</v>
      </c>
      <c r="AH146" s="795">
        <v>0.35</v>
      </c>
      <c r="AI146" s="795">
        <v>0.33</v>
      </c>
      <c r="AJ146" s="795">
        <v>0.31</v>
      </c>
      <c r="AK146" s="795">
        <v>0.28000000000000003</v>
      </c>
      <c r="AL146" s="795">
        <v>0.27</v>
      </c>
      <c r="AM146" s="795">
        <v>0.24</v>
      </c>
      <c r="AN146" s="795">
        <v>0.22</v>
      </c>
      <c r="AO146" s="795">
        <v>0.21</v>
      </c>
      <c r="AP146" s="795">
        <v>0.19</v>
      </c>
      <c r="AQ146" s="795">
        <v>0.18</v>
      </c>
      <c r="AR146" s="795">
        <v>0.17</v>
      </c>
      <c r="AS146" s="795">
        <v>0.15</v>
      </c>
      <c r="AT146" s="795">
        <v>0.13</v>
      </c>
      <c r="AU146" s="795">
        <v>0.12</v>
      </c>
      <c r="AV146" s="795">
        <v>0.1</v>
      </c>
      <c r="AW146" s="795">
        <v>0.08</v>
      </c>
      <c r="AX146" s="795">
        <v>7.0000000000000007E-2</v>
      </c>
      <c r="AY146" s="795">
        <v>0.05</v>
      </c>
      <c r="AZ146" s="795">
        <v>0.03</v>
      </c>
      <c r="BA146" s="796">
        <v>0.02</v>
      </c>
      <c r="BB146" s="793"/>
      <c r="BC146" s="793"/>
    </row>
    <row r="147" spans="2:86" s="103" customFormat="1" hidden="1">
      <c r="B147" s="794"/>
      <c r="C147" s="786"/>
      <c r="D147" s="265">
        <v>40</v>
      </c>
      <c r="E147" s="104"/>
      <c r="F147" s="795">
        <v>0.99</v>
      </c>
      <c r="G147" s="795">
        <v>0.98</v>
      </c>
      <c r="H147" s="795">
        <v>0.97</v>
      </c>
      <c r="I147" s="795">
        <v>0.96</v>
      </c>
      <c r="J147" s="795">
        <v>0.96</v>
      </c>
      <c r="K147" s="795">
        <v>0.95</v>
      </c>
      <c r="L147" s="795">
        <v>0.94</v>
      </c>
      <c r="M147" s="795">
        <v>0.93</v>
      </c>
      <c r="N147" s="795">
        <v>0.92</v>
      </c>
      <c r="O147" s="795">
        <v>0.91</v>
      </c>
      <c r="P147" s="795">
        <v>0.9</v>
      </c>
      <c r="Q147" s="795">
        <v>0.89</v>
      </c>
      <c r="R147" s="795">
        <v>0.87</v>
      </c>
      <c r="S147" s="795">
        <v>0.86</v>
      </c>
      <c r="T147" s="795">
        <v>0.85</v>
      </c>
      <c r="U147" s="795">
        <v>0.83</v>
      </c>
      <c r="V147" s="795">
        <v>0.82</v>
      </c>
      <c r="W147" s="795">
        <v>0.81</v>
      </c>
      <c r="X147" s="795">
        <v>0.79</v>
      </c>
      <c r="Y147" s="795">
        <v>0.78</v>
      </c>
      <c r="Z147" s="795">
        <v>0.76</v>
      </c>
      <c r="AA147" s="795">
        <v>0.74</v>
      </c>
      <c r="AB147" s="795">
        <v>0.73</v>
      </c>
      <c r="AC147" s="795">
        <v>0.71</v>
      </c>
      <c r="AD147" s="795">
        <v>0.69</v>
      </c>
      <c r="AE147" s="795">
        <v>0.67</v>
      </c>
      <c r="AF147" s="795">
        <v>0.65</v>
      </c>
      <c r="AG147" s="795">
        <v>0.63</v>
      </c>
      <c r="AH147" s="795">
        <v>0.61</v>
      </c>
      <c r="AI147" s="795">
        <v>0.59</v>
      </c>
      <c r="AJ147" s="795">
        <v>0.56999999999999995</v>
      </c>
      <c r="AK147" s="795">
        <v>0.55000000000000004</v>
      </c>
      <c r="AL147" s="795">
        <v>0.53</v>
      </c>
      <c r="AM147" s="795">
        <v>0.51</v>
      </c>
      <c r="AN147" s="795">
        <v>0.49</v>
      </c>
      <c r="AO147" s="795">
        <v>0.47</v>
      </c>
      <c r="AP147" s="795">
        <v>0.45</v>
      </c>
      <c r="AQ147" s="795">
        <v>0.43</v>
      </c>
      <c r="AR147" s="795">
        <v>0.41</v>
      </c>
      <c r="AS147" s="795">
        <v>0.39</v>
      </c>
      <c r="AT147" s="795">
        <v>0.37</v>
      </c>
      <c r="AU147" s="795">
        <v>0.36</v>
      </c>
      <c r="AV147" s="795">
        <v>0.33</v>
      </c>
      <c r="AW147" s="795">
        <v>0.32</v>
      </c>
      <c r="AX147" s="795">
        <v>0.3</v>
      </c>
      <c r="AY147" s="795">
        <v>0.28999999999999998</v>
      </c>
      <c r="AZ147" s="795">
        <v>0.27</v>
      </c>
      <c r="BA147" s="796">
        <v>0.26</v>
      </c>
      <c r="BB147" s="793">
        <v>0.24</v>
      </c>
      <c r="BC147" s="793">
        <v>0.23</v>
      </c>
      <c r="BD147" s="642">
        <v>0.22</v>
      </c>
      <c r="BE147" s="642">
        <v>0.21</v>
      </c>
      <c r="BF147" s="642">
        <v>0.19</v>
      </c>
      <c r="BG147" s="642">
        <v>0.18</v>
      </c>
      <c r="BH147" s="642">
        <v>0.16</v>
      </c>
      <c r="BI147" s="642">
        <v>0.15</v>
      </c>
      <c r="BJ147" s="642">
        <v>0.13</v>
      </c>
      <c r="BK147" s="642">
        <v>0.12</v>
      </c>
      <c r="BL147" s="642">
        <v>0.1</v>
      </c>
      <c r="BM147" s="642">
        <v>0.09</v>
      </c>
      <c r="BN147" s="642">
        <v>7.0000000000000007E-2</v>
      </c>
      <c r="BO147" s="642">
        <v>0.06</v>
      </c>
      <c r="BP147" s="642">
        <v>0.04</v>
      </c>
      <c r="BQ147" s="642">
        <v>0.03</v>
      </c>
      <c r="BR147" s="642">
        <v>0.01</v>
      </c>
      <c r="BS147" s="642"/>
    </row>
    <row r="148" spans="2:86" s="103" customFormat="1" hidden="1">
      <c r="B148" s="797"/>
      <c r="C148" s="798"/>
      <c r="D148" s="799">
        <v>50</v>
      </c>
      <c r="E148" s="798"/>
      <c r="F148" s="800">
        <v>1</v>
      </c>
      <c r="G148" s="800">
        <v>0.99</v>
      </c>
      <c r="H148" s="800">
        <v>0.99</v>
      </c>
      <c r="I148" s="800">
        <v>0.98</v>
      </c>
      <c r="J148" s="800">
        <v>0.98</v>
      </c>
      <c r="K148" s="800">
        <v>0.97</v>
      </c>
      <c r="L148" s="800">
        <v>0.97</v>
      </c>
      <c r="M148" s="800">
        <v>0.96</v>
      </c>
      <c r="N148" s="800">
        <v>0.95</v>
      </c>
      <c r="O148" s="800">
        <v>0.95</v>
      </c>
      <c r="P148" s="800">
        <v>0.94</v>
      </c>
      <c r="Q148" s="800">
        <v>0.93</v>
      </c>
      <c r="R148" s="800">
        <v>0.93</v>
      </c>
      <c r="S148" s="800">
        <v>0.92</v>
      </c>
      <c r="T148" s="800">
        <v>0.91</v>
      </c>
      <c r="U148" s="800">
        <v>0.9</v>
      </c>
      <c r="V148" s="800">
        <v>0.9</v>
      </c>
      <c r="W148" s="800">
        <v>0.89</v>
      </c>
      <c r="X148" s="800">
        <v>0.88</v>
      </c>
      <c r="Y148" s="800">
        <v>0.87</v>
      </c>
      <c r="Z148" s="800">
        <v>0.86</v>
      </c>
      <c r="AA148" s="800">
        <v>0.85</v>
      </c>
      <c r="AB148" s="800">
        <v>0.84</v>
      </c>
      <c r="AC148" s="800">
        <v>0.83</v>
      </c>
      <c r="AD148" s="800">
        <v>0.82</v>
      </c>
      <c r="AE148" s="800">
        <v>0.81</v>
      </c>
      <c r="AF148" s="800">
        <v>0.8</v>
      </c>
      <c r="AG148" s="800">
        <v>0.79</v>
      </c>
      <c r="AH148" s="800">
        <v>0.77</v>
      </c>
      <c r="AI148" s="800">
        <v>0.76</v>
      </c>
      <c r="AJ148" s="800">
        <v>0.75</v>
      </c>
      <c r="AK148" s="800">
        <v>0.74</v>
      </c>
      <c r="AL148" s="800">
        <v>0.72</v>
      </c>
      <c r="AM148" s="800">
        <v>0.71</v>
      </c>
      <c r="AN148" s="800">
        <v>0.69</v>
      </c>
      <c r="AO148" s="800">
        <v>0.68</v>
      </c>
      <c r="AP148" s="800">
        <v>0.66</v>
      </c>
      <c r="AQ148" s="800">
        <v>0.65</v>
      </c>
      <c r="AR148" s="800">
        <v>0.63</v>
      </c>
      <c r="AS148" s="800">
        <v>0.62</v>
      </c>
      <c r="AT148" s="800">
        <v>0.6</v>
      </c>
      <c r="AU148" s="800">
        <v>0.57999999999999996</v>
      </c>
      <c r="AV148" s="800">
        <v>0.56999999999999995</v>
      </c>
      <c r="AW148" s="800">
        <v>0.55000000000000004</v>
      </c>
      <c r="AX148" s="800">
        <v>0.53</v>
      </c>
      <c r="AY148" s="800">
        <v>0.52</v>
      </c>
      <c r="AZ148" s="800">
        <v>0.5</v>
      </c>
      <c r="BA148" s="801">
        <v>0.49</v>
      </c>
      <c r="BB148" s="793">
        <v>0.47</v>
      </c>
      <c r="BC148" s="793">
        <v>0.45</v>
      </c>
      <c r="BD148" s="642">
        <v>0.44</v>
      </c>
      <c r="BE148" s="642">
        <v>0.42</v>
      </c>
      <c r="BF148" s="642">
        <v>0.41</v>
      </c>
      <c r="BG148" s="642">
        <v>0.39</v>
      </c>
      <c r="BH148" s="642">
        <v>0.38</v>
      </c>
      <c r="BI148" s="642">
        <v>0.36</v>
      </c>
      <c r="BJ148" s="642">
        <v>0.35</v>
      </c>
      <c r="BK148" s="642">
        <v>0.33</v>
      </c>
      <c r="BL148" s="642">
        <v>0.32</v>
      </c>
      <c r="BM148" s="642">
        <v>0.31</v>
      </c>
      <c r="BN148" s="642">
        <v>0.3</v>
      </c>
      <c r="BO148" s="642">
        <v>0.28000000000000003</v>
      </c>
      <c r="BP148" s="642">
        <v>0.27</v>
      </c>
      <c r="BQ148" s="642">
        <v>0.26</v>
      </c>
      <c r="BR148" s="642">
        <v>0.25</v>
      </c>
      <c r="BS148" s="642">
        <v>0.24</v>
      </c>
      <c r="BT148" s="642">
        <v>0.23</v>
      </c>
      <c r="BU148" s="642">
        <v>0.21</v>
      </c>
      <c r="BV148" s="642">
        <v>0.2</v>
      </c>
      <c r="BW148" s="642">
        <v>0.19</v>
      </c>
      <c r="BX148" s="642">
        <v>0.17</v>
      </c>
      <c r="BY148" s="642">
        <v>0.16</v>
      </c>
      <c r="BZ148" s="642">
        <v>0.14000000000000001</v>
      </c>
      <c r="CA148" s="642">
        <v>0.13</v>
      </c>
      <c r="CB148" s="642">
        <v>0.11</v>
      </c>
      <c r="CC148" s="642">
        <v>0.1</v>
      </c>
      <c r="CD148" s="642">
        <v>0.8</v>
      </c>
      <c r="CE148" s="642">
        <v>7.0000000000000007E-2</v>
      </c>
      <c r="CF148" s="642">
        <v>0.05</v>
      </c>
      <c r="CG148" s="642">
        <v>0.04</v>
      </c>
      <c r="CH148" s="642">
        <v>0.02</v>
      </c>
    </row>
    <row r="149" spans="2:86" s="103" customFormat="1" hidden="1">
      <c r="B149" s="104"/>
      <c r="C149" s="104"/>
      <c r="D149" s="265"/>
      <c r="E149" s="104"/>
      <c r="F149" s="795"/>
      <c r="G149" s="795"/>
      <c r="H149" s="795"/>
      <c r="I149" s="795"/>
      <c r="J149" s="795"/>
      <c r="K149" s="795"/>
      <c r="L149" s="795"/>
      <c r="M149" s="795"/>
      <c r="N149" s="795"/>
      <c r="O149" s="795"/>
      <c r="P149" s="795"/>
      <c r="Q149" s="795"/>
      <c r="R149" s="795"/>
      <c r="S149" s="795"/>
      <c r="T149" s="795"/>
      <c r="U149" s="795"/>
      <c r="V149" s="795"/>
      <c r="W149" s="795"/>
      <c r="X149" s="795"/>
      <c r="Y149" s="795"/>
      <c r="Z149" s="795"/>
      <c r="AA149" s="795"/>
      <c r="AB149" s="795"/>
      <c r="AC149" s="795"/>
      <c r="AD149" s="795"/>
      <c r="AE149" s="795"/>
      <c r="AF149" s="795"/>
      <c r="AG149" s="795"/>
      <c r="AH149" s="795"/>
      <c r="AI149" s="795"/>
      <c r="AJ149" s="795"/>
      <c r="AK149" s="795"/>
      <c r="AL149" s="795"/>
      <c r="AM149" s="795"/>
      <c r="AN149" s="795"/>
      <c r="AO149" s="795"/>
      <c r="AP149" s="795"/>
      <c r="AQ149" s="795"/>
      <c r="AR149" s="795"/>
      <c r="AS149" s="795"/>
      <c r="AT149" s="795"/>
      <c r="AU149" s="795"/>
      <c r="AV149" s="795"/>
      <c r="AW149" s="795"/>
      <c r="AX149" s="795"/>
      <c r="AY149" s="795"/>
      <c r="AZ149" s="795"/>
      <c r="BA149" s="795"/>
      <c r="BB149" s="793"/>
      <c r="BC149" s="793"/>
      <c r="BD149" s="642"/>
      <c r="BE149" s="642"/>
      <c r="BF149" s="642"/>
      <c r="BG149" s="642"/>
      <c r="BH149" s="642"/>
      <c r="BI149" s="642"/>
      <c r="BJ149" s="642"/>
      <c r="BK149" s="642"/>
      <c r="BL149" s="642"/>
      <c r="BM149" s="642"/>
      <c r="BN149" s="642"/>
      <c r="BO149" s="642"/>
      <c r="BP149" s="642"/>
      <c r="BQ149" s="642"/>
      <c r="BR149" s="642"/>
      <c r="BS149" s="642"/>
      <c r="BT149" s="642"/>
      <c r="BU149" s="642"/>
      <c r="BV149" s="642"/>
      <c r="BW149" s="642"/>
      <c r="BX149" s="642"/>
      <c r="BY149" s="642"/>
      <c r="BZ149" s="642"/>
      <c r="CA149" s="642"/>
      <c r="CB149" s="642"/>
      <c r="CC149" s="642"/>
      <c r="CD149" s="642"/>
      <c r="CE149" s="642"/>
      <c r="CF149" s="642"/>
      <c r="CG149" s="642"/>
      <c r="CH149" s="642"/>
    </row>
    <row r="150" spans="2:86" s="103" customFormat="1" hidden="1">
      <c r="B150" s="30" t="s">
        <v>1415</v>
      </c>
      <c r="C150" s="104"/>
      <c r="D150" s="1461"/>
      <c r="E150" s="104"/>
      <c r="F150" s="1462">
        <f t="array" ref="F150:AS150">TRANSPOSE('Fuel Price Forecasts'!B16:B57)</f>
        <v>2.7171844095383868E-2</v>
      </c>
      <c r="G150" s="1462">
        <v>2.2353037622062644E-2</v>
      </c>
      <c r="H150" s="1462">
        <v>1.9540164511139935E-2</v>
      </c>
      <c r="I150" s="1462">
        <v>1.9023551698312602E-2</v>
      </c>
      <c r="J150" s="1462">
        <v>1.6950171106036249E-2</v>
      </c>
      <c r="K150" s="1462">
        <v>1.5312871690528862E-2</v>
      </c>
      <c r="L150" s="1462">
        <v>1.4701821460087139E-2</v>
      </c>
      <c r="M150" s="1462">
        <v>1.4395909663810214E-2</v>
      </c>
      <c r="N150" s="1462">
        <v>1.453684404843214E-2</v>
      </c>
      <c r="O150" s="1462">
        <v>1.4668198222247186E-2</v>
      </c>
      <c r="P150" s="1462">
        <v>1.5099999999999891E-2</v>
      </c>
      <c r="Q150" s="1462">
        <v>1.5099999999999891E-2</v>
      </c>
      <c r="R150" s="1462">
        <v>1.5099999999999891E-2</v>
      </c>
      <c r="S150" s="1462">
        <v>1.5099999999999891E-2</v>
      </c>
      <c r="T150" s="1462">
        <v>1.5099999999999891E-2</v>
      </c>
      <c r="U150" s="1462">
        <v>1.5099999999999891E-2</v>
      </c>
      <c r="V150" s="1462">
        <v>1.5099999999999891E-2</v>
      </c>
      <c r="W150" s="1462">
        <v>1.5099999999999891E-2</v>
      </c>
      <c r="X150" s="1462">
        <v>1.5099999999999891E-2</v>
      </c>
      <c r="Y150" s="1462">
        <v>1.5099999999999891E-2</v>
      </c>
      <c r="Z150" s="1462">
        <v>1.5099999999999891E-2</v>
      </c>
      <c r="AA150" s="1462">
        <v>1.5099999999999891E-2</v>
      </c>
      <c r="AB150" s="1462">
        <v>1.5099999999999891E-2</v>
      </c>
      <c r="AC150" s="1462">
        <v>1.5099999999999891E-2</v>
      </c>
      <c r="AD150" s="1462">
        <v>1.5099999999999891E-2</v>
      </c>
      <c r="AE150" s="1462">
        <v>1.5099999999999891E-2</v>
      </c>
      <c r="AF150" s="1462">
        <v>1.5099999999999891E-2</v>
      </c>
      <c r="AG150" s="1462">
        <v>1.5099999999999891E-2</v>
      </c>
      <c r="AH150" s="1462">
        <v>1.5099999999999891E-2</v>
      </c>
      <c r="AI150" s="1462">
        <v>1.5099999999999891E-2</v>
      </c>
      <c r="AJ150" s="1462">
        <v>1.5099999999999891E-2</v>
      </c>
      <c r="AK150" s="1462">
        <v>1.5099999999999891E-2</v>
      </c>
      <c r="AL150" s="1462">
        <v>1.5099999999999891E-2</v>
      </c>
      <c r="AM150" s="1462">
        <v>1.5099999999999891E-2</v>
      </c>
      <c r="AN150" s="1462">
        <v>1.5099999999999891E-2</v>
      </c>
      <c r="AO150" s="1462">
        <v>1.5099999999999891E-2</v>
      </c>
      <c r="AP150" s="1462">
        <v>1.5099999999999891E-2</v>
      </c>
      <c r="AQ150" s="1462">
        <v>1.5099999999999891E-2</v>
      </c>
      <c r="AR150" s="1462">
        <v>1.5099999999999891E-2</v>
      </c>
      <c r="AS150" s="1462">
        <v>1.5099999999999891E-2</v>
      </c>
      <c r="AT150" s="1462">
        <f t="shared" ref="AT150:BR150" si="101">$D$150</f>
        <v>0</v>
      </c>
      <c r="AU150" s="1462">
        <f t="shared" si="101"/>
        <v>0</v>
      </c>
      <c r="AV150" s="1462">
        <f t="shared" si="101"/>
        <v>0</v>
      </c>
      <c r="AW150" s="1462">
        <f t="shared" si="101"/>
        <v>0</v>
      </c>
      <c r="AX150" s="1462">
        <f t="shared" si="101"/>
        <v>0</v>
      </c>
      <c r="AY150" s="1462">
        <f t="shared" si="101"/>
        <v>0</v>
      </c>
      <c r="AZ150" s="1462">
        <f t="shared" si="101"/>
        <v>0</v>
      </c>
      <c r="BA150" s="1462">
        <f t="shared" si="101"/>
        <v>0</v>
      </c>
      <c r="BB150" s="1462">
        <f t="shared" si="101"/>
        <v>0</v>
      </c>
      <c r="BC150" s="1462">
        <f t="shared" si="101"/>
        <v>0</v>
      </c>
      <c r="BD150" s="1462">
        <f t="shared" si="101"/>
        <v>0</v>
      </c>
      <c r="BE150" s="1462">
        <f t="shared" si="101"/>
        <v>0</v>
      </c>
      <c r="BF150" s="1462">
        <f t="shared" si="101"/>
        <v>0</v>
      </c>
      <c r="BG150" s="1462">
        <f t="shared" si="101"/>
        <v>0</v>
      </c>
      <c r="BH150" s="1462">
        <f t="shared" si="101"/>
        <v>0</v>
      </c>
      <c r="BI150" s="1462">
        <f t="shared" si="101"/>
        <v>0</v>
      </c>
      <c r="BJ150" s="1462">
        <f t="shared" si="101"/>
        <v>0</v>
      </c>
      <c r="BK150" s="1462">
        <f t="shared" si="101"/>
        <v>0</v>
      </c>
      <c r="BL150" s="1462">
        <f t="shared" si="101"/>
        <v>0</v>
      </c>
      <c r="BM150" s="1462">
        <f t="shared" si="101"/>
        <v>0</v>
      </c>
      <c r="BN150" s="1462">
        <f t="shared" si="101"/>
        <v>0</v>
      </c>
      <c r="BO150" s="1462">
        <f t="shared" si="101"/>
        <v>0</v>
      </c>
      <c r="BP150" s="1462">
        <f t="shared" si="101"/>
        <v>0</v>
      </c>
      <c r="BQ150" s="1462">
        <f t="shared" si="101"/>
        <v>0</v>
      </c>
      <c r="BR150" s="1462">
        <f t="shared" si="101"/>
        <v>0</v>
      </c>
      <c r="BS150" s="1462">
        <f t="shared" ref="BS150:CH150" si="102">$D$150</f>
        <v>0</v>
      </c>
      <c r="BT150" s="1462">
        <f t="shared" si="102"/>
        <v>0</v>
      </c>
      <c r="BU150" s="1462">
        <f t="shared" si="102"/>
        <v>0</v>
      </c>
      <c r="BV150" s="1462">
        <f t="shared" si="102"/>
        <v>0</v>
      </c>
      <c r="BW150" s="1462">
        <f t="shared" si="102"/>
        <v>0</v>
      </c>
      <c r="BX150" s="1462">
        <f t="shared" si="102"/>
        <v>0</v>
      </c>
      <c r="BY150" s="1462">
        <f t="shared" si="102"/>
        <v>0</v>
      </c>
      <c r="BZ150" s="1462">
        <f t="shared" si="102"/>
        <v>0</v>
      </c>
      <c r="CA150" s="1462">
        <f t="shared" si="102"/>
        <v>0</v>
      </c>
      <c r="CB150" s="1462">
        <f t="shared" si="102"/>
        <v>0</v>
      </c>
      <c r="CC150" s="1462">
        <f t="shared" si="102"/>
        <v>0</v>
      </c>
      <c r="CD150" s="1462">
        <f t="shared" si="102"/>
        <v>0</v>
      </c>
      <c r="CE150" s="1462">
        <f t="shared" si="102"/>
        <v>0</v>
      </c>
      <c r="CF150" s="1462">
        <f t="shared" si="102"/>
        <v>0</v>
      </c>
      <c r="CG150" s="1462">
        <f t="shared" si="102"/>
        <v>0</v>
      </c>
      <c r="CH150" s="1462">
        <f t="shared" si="102"/>
        <v>0</v>
      </c>
    </row>
    <row r="151" spans="2:86" hidden="1"/>
    <row r="152" spans="2:86" hidden="1">
      <c r="B152" s="1" t="s">
        <v>568</v>
      </c>
    </row>
    <row r="153" spans="2:86" hidden="1">
      <c r="B153" s="118"/>
      <c r="F153" s="720"/>
      <c r="G153" s="720"/>
      <c r="H153" s="720"/>
      <c r="I153" s="720"/>
      <c r="J153" s="720"/>
      <c r="K153" s="720"/>
      <c r="L153" s="720"/>
      <c r="M153" s="720"/>
      <c r="N153" s="720"/>
      <c r="O153" s="720"/>
      <c r="P153" s="720"/>
      <c r="Q153" s="720"/>
      <c r="R153" s="720"/>
      <c r="S153" s="720"/>
      <c r="T153" s="720"/>
      <c r="U153" s="720"/>
      <c r="V153" s="720"/>
      <c r="W153" s="720"/>
      <c r="X153" s="720"/>
      <c r="Y153" s="720"/>
      <c r="Z153" s="720"/>
      <c r="AA153" s="720"/>
      <c r="AB153" s="720"/>
      <c r="AC153" s="720"/>
      <c r="AD153" s="720"/>
      <c r="AE153" s="720"/>
      <c r="AF153" s="720"/>
      <c r="AG153" s="720"/>
      <c r="AH153" s="720"/>
      <c r="AI153" s="720"/>
      <c r="AJ153" s="720"/>
      <c r="AK153" s="720"/>
      <c r="AL153" s="720"/>
      <c r="AM153" s="720"/>
      <c r="AN153" s="720"/>
      <c r="AO153" s="720"/>
      <c r="AP153" s="720"/>
      <c r="AQ153" s="720"/>
      <c r="AR153" s="720"/>
      <c r="AS153" s="720"/>
      <c r="AT153" s="720"/>
      <c r="AU153" s="720"/>
      <c r="AV153" s="720"/>
      <c r="AW153" s="720"/>
      <c r="AX153" s="720"/>
      <c r="AY153" s="720"/>
      <c r="AZ153" s="720"/>
      <c r="BA153" s="720"/>
      <c r="BB153" s="720"/>
      <c r="BC153" s="720"/>
      <c r="BD153" s="720"/>
      <c r="BE153" s="720"/>
      <c r="BF153" s="720"/>
      <c r="BG153" s="720"/>
      <c r="BH153" s="720"/>
      <c r="BI153" s="720"/>
      <c r="BJ153" s="720"/>
      <c r="BK153" s="720"/>
      <c r="BL153" s="720"/>
      <c r="BM153" s="720"/>
      <c r="BN153" s="720"/>
      <c r="BO153" s="720"/>
      <c r="BP153" s="720"/>
      <c r="BQ153" s="720"/>
      <c r="BR153" s="720"/>
      <c r="BS153" s="720"/>
      <c r="BT153" s="720"/>
      <c r="BU153" s="720"/>
      <c r="BV153" s="720"/>
      <c r="BW153" s="720"/>
      <c r="BX153" s="720"/>
      <c r="BY153" s="720"/>
      <c r="BZ153" s="720"/>
      <c r="CA153" s="720"/>
      <c r="CB153" s="720"/>
      <c r="CC153" s="720"/>
      <c r="CD153" s="720"/>
      <c r="CE153" s="720"/>
      <c r="CF153" s="720"/>
      <c r="CG153" s="720"/>
      <c r="CH153" s="720"/>
    </row>
    <row r="154" spans="2:86" hidden="1">
      <c r="B154" s="118"/>
      <c r="F154" s="720"/>
      <c r="G154" s="720"/>
      <c r="H154" s="720"/>
      <c r="I154" s="720"/>
      <c r="J154" s="720"/>
      <c r="K154" s="720"/>
      <c r="L154" s="720"/>
      <c r="M154" s="720"/>
      <c r="N154" s="720"/>
      <c r="O154" s="720"/>
      <c r="P154" s="720"/>
      <c r="Q154" s="720"/>
      <c r="R154" s="720"/>
      <c r="S154" s="720"/>
      <c r="T154" s="720"/>
      <c r="U154" s="720"/>
      <c r="V154" s="720"/>
      <c r="W154" s="720"/>
      <c r="X154" s="720"/>
      <c r="Y154" s="720"/>
      <c r="Z154" s="720"/>
      <c r="AA154" s="720"/>
      <c r="AB154" s="720"/>
      <c r="AC154" s="720"/>
      <c r="AD154" s="720"/>
      <c r="AE154" s="720"/>
      <c r="AF154" s="720"/>
      <c r="AG154" s="720"/>
      <c r="AH154" s="720"/>
      <c r="AI154" s="720"/>
      <c r="AJ154" s="720"/>
      <c r="AK154" s="720"/>
      <c r="AL154" s="720"/>
      <c r="AM154" s="720"/>
      <c r="AN154" s="720"/>
      <c r="AO154" s="720"/>
      <c r="AP154" s="720"/>
      <c r="AQ154" s="720"/>
      <c r="AR154" s="720"/>
      <c r="AS154" s="720"/>
      <c r="AT154" s="720"/>
      <c r="AU154" s="720"/>
      <c r="AV154" s="720"/>
      <c r="AW154" s="720"/>
      <c r="AX154" s="720"/>
      <c r="AY154" s="720"/>
      <c r="AZ154" s="720"/>
      <c r="BA154" s="720"/>
      <c r="BB154" s="720"/>
      <c r="BC154" s="720"/>
      <c r="BD154" s="720"/>
      <c r="BE154" s="720"/>
      <c r="BF154" s="720"/>
      <c r="BG154" s="720"/>
      <c r="BH154" s="720"/>
      <c r="BI154" s="720"/>
      <c r="BJ154" s="720"/>
      <c r="BK154" s="720"/>
      <c r="BL154" s="720"/>
      <c r="BM154" s="720"/>
      <c r="BN154" s="720"/>
      <c r="BO154" s="720"/>
      <c r="BP154" s="720"/>
      <c r="BQ154" s="720"/>
      <c r="BR154" s="720"/>
      <c r="BS154" s="720"/>
      <c r="BT154" s="720"/>
      <c r="BU154" s="720"/>
      <c r="BV154" s="720"/>
      <c r="BW154" s="720"/>
      <c r="BX154" s="720"/>
      <c r="BY154" s="720"/>
      <c r="BZ154" s="720"/>
      <c r="CA154" s="720"/>
      <c r="CB154" s="720"/>
      <c r="CC154" s="720"/>
      <c r="CD154" s="720"/>
      <c r="CE154" s="720"/>
      <c r="CF154" s="720"/>
      <c r="CG154" s="720"/>
      <c r="CH154" s="720"/>
    </row>
    <row r="155" spans="2:86" s="2758" customFormat="1">
      <c r="B155" s="2763" t="s">
        <v>1709</v>
      </c>
      <c r="F155" s="2762"/>
      <c r="G155" s="2762"/>
      <c r="H155" s="2762"/>
      <c r="I155" s="2762"/>
      <c r="J155" s="2762"/>
      <c r="K155" s="2762"/>
      <c r="L155" s="2762"/>
      <c r="M155" s="2762"/>
      <c r="N155" s="2762"/>
      <c r="O155" s="2762"/>
      <c r="P155" s="2762"/>
      <c r="Q155" s="2762"/>
      <c r="R155" s="2762"/>
      <c r="S155" s="2762"/>
      <c r="T155" s="2762"/>
      <c r="U155" s="2762"/>
      <c r="V155" s="2762"/>
      <c r="W155" s="2762"/>
      <c r="X155" s="2762"/>
      <c r="Y155" s="2762"/>
      <c r="Z155" s="2762"/>
      <c r="AA155" s="2762"/>
      <c r="AB155" s="2762"/>
      <c r="AC155" s="2762"/>
      <c r="AD155" s="2762"/>
      <c r="AE155" s="2762"/>
      <c r="AF155" s="2762"/>
      <c r="AG155" s="2762"/>
      <c r="AH155" s="2762"/>
      <c r="AI155" s="2762"/>
      <c r="AJ155" s="2762"/>
      <c r="AK155" s="2762"/>
      <c r="AL155" s="2762"/>
      <c r="AM155" s="2762"/>
      <c r="AN155" s="2762"/>
      <c r="AO155" s="2762"/>
      <c r="AP155" s="2762"/>
      <c r="AQ155" s="2762"/>
      <c r="AR155" s="2762"/>
      <c r="AS155" s="2762"/>
      <c r="AT155" s="2762"/>
      <c r="AU155" s="2762"/>
      <c r="AV155" s="2762"/>
      <c r="AW155" s="2762"/>
      <c r="AX155" s="2762"/>
      <c r="AY155" s="2762"/>
      <c r="AZ155" s="2762"/>
      <c r="BA155" s="2762"/>
      <c r="BB155" s="2762"/>
      <c r="BC155" s="2762"/>
      <c r="BD155" s="2762"/>
      <c r="BE155" s="2762"/>
      <c r="BF155" s="2762"/>
      <c r="BG155" s="2762"/>
      <c r="BH155" s="2762"/>
      <c r="BI155" s="2762"/>
      <c r="BJ155" s="2762"/>
      <c r="BK155" s="2762"/>
      <c r="BL155" s="2762"/>
      <c r="BM155" s="2762"/>
      <c r="BN155" s="2762"/>
      <c r="BO155" s="2762"/>
      <c r="BP155" s="2762"/>
      <c r="BQ155" s="2762"/>
      <c r="BR155" s="2762"/>
      <c r="BS155" s="2762"/>
      <c r="BT155" s="2762"/>
      <c r="BU155" s="2762"/>
      <c r="BV155" s="2762"/>
      <c r="BW155" s="2762"/>
      <c r="BX155" s="2762"/>
      <c r="BY155" s="2762"/>
      <c r="BZ155" s="2762"/>
      <c r="CA155" s="2762"/>
      <c r="CB155" s="2762"/>
      <c r="CC155" s="2762"/>
      <c r="CD155" s="2762"/>
      <c r="CE155" s="2762"/>
      <c r="CF155" s="2762"/>
      <c r="CG155" s="2762"/>
      <c r="CH155" s="2762"/>
    </row>
    <row r="156" spans="2:86">
      <c r="B156" s="118"/>
      <c r="F156" s="720"/>
      <c r="G156" s="720"/>
      <c r="H156" s="720"/>
      <c r="I156" s="720"/>
      <c r="J156" s="720"/>
      <c r="K156" s="720"/>
      <c r="L156" s="720"/>
      <c r="M156" s="720"/>
      <c r="N156" s="720"/>
      <c r="O156" s="720"/>
      <c r="P156" s="720"/>
      <c r="Q156" s="720"/>
      <c r="R156" s="720"/>
      <c r="S156" s="720"/>
      <c r="T156" s="720"/>
      <c r="U156" s="720"/>
      <c r="V156" s="720"/>
      <c r="W156" s="720"/>
      <c r="X156" s="720"/>
      <c r="Y156" s="720"/>
      <c r="Z156" s="720"/>
      <c r="AA156" s="720"/>
      <c r="AB156" s="720"/>
      <c r="AC156" s="720"/>
      <c r="AD156" s="720"/>
      <c r="AE156" s="720"/>
      <c r="AF156" s="720"/>
      <c r="AG156" s="720"/>
      <c r="AH156" s="720"/>
      <c r="AI156" s="720"/>
      <c r="AJ156" s="720"/>
      <c r="AK156" s="720"/>
      <c r="AL156" s="720"/>
      <c r="AM156" s="720"/>
      <c r="AN156" s="720"/>
      <c r="AO156" s="720"/>
      <c r="AP156" s="720"/>
      <c r="AQ156" s="720"/>
      <c r="AR156" s="720"/>
      <c r="AS156" s="720"/>
    </row>
    <row r="157" spans="2:86" ht="20.25">
      <c r="B157" s="4384" t="s">
        <v>2069</v>
      </c>
    </row>
    <row r="158" spans="2:86" ht="16.5" thickBot="1">
      <c r="B158" s="2183"/>
      <c r="E158" s="4065"/>
    </row>
    <row r="159" spans="2:86" ht="14.25" customHeight="1">
      <c r="B159" s="4602" t="str">
        <f>PlantType</f>
        <v>Wind - Class 3 100 MW</v>
      </c>
      <c r="C159" s="4594" t="s">
        <v>2068</v>
      </c>
      <c r="D159" s="4595"/>
      <c r="E159" s="4596"/>
      <c r="F159" s="104"/>
      <c r="G159" s="105"/>
    </row>
    <row r="160" spans="2:86" ht="13.5" customHeight="1" thickBot="1">
      <c r="B160" s="4603"/>
      <c r="C160" s="4597"/>
      <c r="D160" s="4598"/>
      <c r="E160" s="4599"/>
      <c r="F160" s="2333"/>
      <c r="G160" s="2333"/>
      <c r="H160" s="104"/>
      <c r="I160" s="4605"/>
      <c r="J160" s="4600"/>
      <c r="K160" s="4600"/>
      <c r="L160" s="4600"/>
      <c r="M160" s="4600"/>
      <c r="N160" s="4600"/>
    </row>
    <row r="161" spans="2:14" ht="13.5" customHeight="1">
      <c r="B161" s="4603"/>
      <c r="C161" s="4588" t="s">
        <v>2022</v>
      </c>
      <c r="D161" s="4590" t="s">
        <v>1228</v>
      </c>
      <c r="E161" s="4591"/>
      <c r="F161" s="2332"/>
      <c r="G161" s="2332"/>
      <c r="H161" s="104"/>
      <c r="I161" s="4605"/>
      <c r="J161" s="969"/>
      <c r="K161" s="4601"/>
      <c r="L161" s="4601"/>
      <c r="M161" s="4601"/>
      <c r="N161" s="4601"/>
    </row>
    <row r="162" spans="2:14" ht="15.75" thickBot="1">
      <c r="B162" s="4389" t="str">
        <f>"Start Year =  " &amp; StartYr &amp; "  (Start Year $)"</f>
        <v>Start Year =  2013  (Start Year $)</v>
      </c>
      <c r="C162" s="4589"/>
      <c r="D162" s="4592"/>
      <c r="E162" s="4593"/>
      <c r="F162" s="4039"/>
      <c r="G162" s="969"/>
      <c r="H162" s="104"/>
      <c r="I162" s="969"/>
      <c r="J162" s="969"/>
      <c r="K162" s="4053"/>
      <c r="L162" s="969"/>
      <c r="M162" s="4053"/>
      <c r="N162" s="969"/>
    </row>
    <row r="163" spans="2:14" ht="18" customHeight="1" thickBot="1">
      <c r="B163" s="4378" t="s">
        <v>1231</v>
      </c>
      <c r="C163" s="4379"/>
      <c r="D163" s="4584">
        <f>D6</f>
        <v>181.74513191955251</v>
      </c>
      <c r="E163" s="4585"/>
      <c r="F163" s="4041"/>
      <c r="G163" s="1452"/>
      <c r="H163" s="104"/>
      <c r="I163" s="4055"/>
      <c r="J163" s="4059"/>
      <c r="K163" s="1457"/>
      <c r="L163" s="1452"/>
      <c r="M163" s="1457"/>
      <c r="N163" s="1452"/>
    </row>
    <row r="164" spans="2:14">
      <c r="B164" s="4382" t="s">
        <v>2015</v>
      </c>
      <c r="C164" s="4040"/>
      <c r="D164" s="4586" t="s">
        <v>1230</v>
      </c>
      <c r="E164" s="4587"/>
      <c r="F164" s="4041"/>
      <c r="G164" s="1452"/>
      <c r="H164" s="104"/>
      <c r="I164" s="4056"/>
      <c r="J164" s="4060"/>
      <c r="K164" s="1453"/>
      <c r="L164" s="1453"/>
      <c r="M164" s="1453"/>
      <c r="N164" s="1453"/>
    </row>
    <row r="165" spans="2:14">
      <c r="B165" s="1128" t="s">
        <v>1232</v>
      </c>
      <c r="C165" s="4042"/>
      <c r="D165" s="4580" t="str">
        <f>IF(D13=0,"N/A",D13)</f>
        <v>N/A</v>
      </c>
      <c r="E165" s="4581"/>
      <c r="F165" s="4043"/>
      <c r="G165" s="4043"/>
      <c r="H165" s="104"/>
      <c r="I165" s="4055"/>
      <c r="J165" s="4060"/>
      <c r="K165" s="1453"/>
      <c r="L165" s="1453"/>
      <c r="M165" s="1453"/>
      <c r="N165" s="1453"/>
    </row>
    <row r="166" spans="2:14">
      <c r="B166" s="1123" t="s">
        <v>1233</v>
      </c>
      <c r="C166" s="4042"/>
      <c r="D166" s="4580">
        <f>D15</f>
        <v>21.391440826369717</v>
      </c>
      <c r="E166" s="4581"/>
      <c r="F166" s="4043"/>
      <c r="G166" s="4043"/>
      <c r="H166" s="104"/>
      <c r="I166" s="4055"/>
      <c r="J166" s="4060"/>
      <c r="K166" s="1453"/>
      <c r="L166" s="1453"/>
      <c r="M166" s="1453"/>
      <c r="N166" s="1453"/>
    </row>
    <row r="167" spans="2:14">
      <c r="B167" s="1123" t="s">
        <v>1234</v>
      </c>
      <c r="C167" s="4042"/>
      <c r="D167" s="4580">
        <f>D16</f>
        <v>14.635139806572186</v>
      </c>
      <c r="E167" s="4581"/>
      <c r="F167" s="4043"/>
      <c r="G167" s="4043"/>
      <c r="H167" s="104"/>
      <c r="I167" s="4056"/>
      <c r="J167" s="4060"/>
      <c r="K167" s="1453"/>
      <c r="L167" s="1453"/>
      <c r="M167" s="1453"/>
      <c r="N167" s="1453"/>
    </row>
    <row r="168" spans="2:14">
      <c r="B168" s="1128" t="s">
        <v>1235</v>
      </c>
      <c r="C168" s="4042"/>
      <c r="D168" s="4580" t="str">
        <f>IF(D22=0,"N/A",D22)</f>
        <v>N/A</v>
      </c>
      <c r="E168" s="4581"/>
      <c r="F168" s="4043"/>
      <c r="G168" s="4043"/>
      <c r="H168" s="104"/>
      <c r="I168" s="4055"/>
      <c r="J168" s="4060"/>
      <c r="K168" s="1453"/>
      <c r="L168" s="1453"/>
      <c r="M168" s="1453"/>
      <c r="N168" s="1453"/>
    </row>
    <row r="169" spans="2:14">
      <c r="B169" s="4044" t="s">
        <v>2016</v>
      </c>
      <c r="C169" s="4042"/>
      <c r="D169" s="4580" t="str">
        <f>IF(D25=0,"N/A",D25)</f>
        <v>N/A</v>
      </c>
      <c r="E169" s="4581"/>
      <c r="F169" s="4043"/>
      <c r="G169" s="4043"/>
      <c r="H169" s="104"/>
      <c r="I169" s="4055"/>
      <c r="J169" s="4060"/>
      <c r="K169" s="1453"/>
      <c r="L169" s="1453"/>
      <c r="M169" s="1453"/>
      <c r="N169" s="1453"/>
    </row>
    <row r="170" spans="2:14">
      <c r="B170" s="1123" t="s">
        <v>1236</v>
      </c>
      <c r="C170" s="4042"/>
      <c r="D170" s="4580">
        <f>D26+D28</f>
        <v>26.054494620263569</v>
      </c>
      <c r="E170" s="4581"/>
      <c r="F170" s="4043"/>
      <c r="G170" s="4043"/>
      <c r="H170" s="104"/>
      <c r="I170" s="4055"/>
      <c r="J170" s="4060"/>
      <c r="K170" s="1454"/>
      <c r="L170" s="1454"/>
      <c r="M170" s="1454"/>
      <c r="N170" s="1454"/>
    </row>
    <row r="171" spans="2:14" ht="13.5" thickBot="1">
      <c r="B171" s="4048" t="s">
        <v>2017</v>
      </c>
      <c r="C171" s="4046">
        <f>D30</f>
        <v>62.081075253205483</v>
      </c>
      <c r="D171" s="4576">
        <f>SUM(D165:D170)</f>
        <v>62.081075253205469</v>
      </c>
      <c r="E171" s="4577"/>
      <c r="F171" s="4043">
        <f>C171-D171</f>
        <v>0</v>
      </c>
      <c r="G171" s="4043"/>
      <c r="H171" s="104"/>
      <c r="I171" s="4055"/>
      <c r="J171" s="4061"/>
      <c r="K171" s="1452"/>
      <c r="L171" s="1452"/>
      <c r="M171" s="1452"/>
      <c r="N171" s="1452"/>
    </row>
    <row r="172" spans="2:14">
      <c r="B172" s="4382" t="s">
        <v>1391</v>
      </c>
      <c r="C172" s="4046" t="s">
        <v>465</v>
      </c>
      <c r="D172" s="4574" t="s">
        <v>1230</v>
      </c>
      <c r="E172" s="4575"/>
      <c r="F172" s="4043"/>
      <c r="G172" s="4043"/>
      <c r="H172" s="104"/>
      <c r="I172" s="4056"/>
      <c r="J172" s="4060"/>
      <c r="K172" s="1453"/>
      <c r="L172" s="1453"/>
      <c r="M172" s="1453"/>
      <c r="N172" s="1453"/>
    </row>
    <row r="173" spans="2:14">
      <c r="B173" s="4376" t="s">
        <v>2066</v>
      </c>
      <c r="C173" s="105"/>
      <c r="D173" s="4582">
        <f>D163</f>
        <v>181.74513191955251</v>
      </c>
      <c r="E173" s="4583"/>
    </row>
    <row r="174" spans="2:14">
      <c r="B174" s="4376" t="s">
        <v>2065</v>
      </c>
      <c r="C174" s="4046"/>
      <c r="D174" s="4580">
        <f>D171</f>
        <v>62.081075253205469</v>
      </c>
      <c r="E174" s="4581"/>
      <c r="F174" s="4066"/>
      <c r="G174" s="4043"/>
      <c r="H174" s="4064"/>
      <c r="I174" s="4056"/>
      <c r="J174" s="4060"/>
      <c r="K174" s="1453"/>
      <c r="L174" s="1453"/>
      <c r="M174" s="1453"/>
      <c r="N174" s="1453"/>
    </row>
    <row r="175" spans="2:14" ht="13.5" thickBot="1">
      <c r="B175" s="4047" t="s">
        <v>2067</v>
      </c>
      <c r="C175" s="4046">
        <f>D44</f>
        <v>119.66405666634699</v>
      </c>
      <c r="D175" s="4576">
        <f>D173-D174</f>
        <v>119.66405666634704</v>
      </c>
      <c r="E175" s="4577"/>
      <c r="F175" s="4066"/>
      <c r="G175" s="4043"/>
      <c r="H175" s="4064"/>
      <c r="I175" s="4056"/>
      <c r="J175" s="4060"/>
      <c r="K175" s="1453"/>
      <c r="L175" s="1453"/>
      <c r="M175" s="1453"/>
      <c r="N175" s="1453"/>
    </row>
    <row r="176" spans="2:14">
      <c r="B176" s="4383" t="s">
        <v>1379</v>
      </c>
      <c r="C176" s="4042"/>
      <c r="D176" s="4380" t="s">
        <v>1238</v>
      </c>
      <c r="E176" s="4381" t="s">
        <v>1239</v>
      </c>
      <c r="F176" s="4066"/>
      <c r="G176" s="1454"/>
      <c r="H176" s="104"/>
      <c r="I176" s="2794"/>
      <c r="J176" s="4060"/>
      <c r="K176" s="1453"/>
      <c r="L176" s="1453"/>
      <c r="M176" s="1453"/>
      <c r="N176" s="1453"/>
    </row>
    <row r="177" spans="2:14">
      <c r="B177" s="4048" t="s">
        <v>1391</v>
      </c>
      <c r="C177" s="4049"/>
      <c r="D177" s="4414">
        <f>D175</f>
        <v>119.66405666634704</v>
      </c>
      <c r="E177" s="4415">
        <f>D175</f>
        <v>119.66405666634704</v>
      </c>
      <c r="F177" s="4041"/>
      <c r="G177" s="1452"/>
      <c r="H177" s="104"/>
      <c r="I177" s="4057"/>
      <c r="J177" s="4060"/>
      <c r="K177" s="1456"/>
      <c r="L177" s="1453"/>
      <c r="M177" s="1456"/>
      <c r="N177" s="1453"/>
    </row>
    <row r="178" spans="2:14">
      <c r="B178" s="1128" t="s">
        <v>1241</v>
      </c>
      <c r="C178" s="4042"/>
      <c r="D178" s="4388">
        <f>D35</f>
        <v>44.538662895001345</v>
      </c>
      <c r="E178" s="4416">
        <f>D178</f>
        <v>44.538662895001345</v>
      </c>
      <c r="F178" s="4043"/>
      <c r="G178" s="4043"/>
      <c r="H178" s="104"/>
      <c r="I178" s="4056"/>
      <c r="J178" s="1114"/>
      <c r="K178" s="1456"/>
      <c r="L178" s="1453"/>
      <c r="M178" s="1452"/>
      <c r="N178" s="1458"/>
    </row>
    <row r="179" spans="2:14">
      <c r="B179" s="1128" t="s">
        <v>1242</v>
      </c>
      <c r="C179" s="4042"/>
      <c r="D179" s="4388">
        <f>D92</f>
        <v>139.61289604918906</v>
      </c>
      <c r="E179" s="4416">
        <f>D94</f>
        <v>75.05714993703883</v>
      </c>
      <c r="F179" s="4043"/>
      <c r="G179" s="4043"/>
      <c r="H179" s="104"/>
      <c r="I179" s="4055"/>
      <c r="J179" s="4062"/>
      <c r="K179" s="4053"/>
      <c r="L179" s="969"/>
      <c r="M179" s="4053"/>
      <c r="N179" s="969"/>
    </row>
    <row r="180" spans="2:14">
      <c r="B180" s="1151" t="s">
        <v>289</v>
      </c>
      <c r="C180" s="4042"/>
      <c r="D180" s="4388">
        <f>D59+D60</f>
        <v>0.13131465288612837</v>
      </c>
      <c r="E180" s="4416">
        <f>D51+D52</f>
        <v>0</v>
      </c>
      <c r="F180" s="4043"/>
      <c r="G180" s="4043"/>
      <c r="H180" s="104"/>
      <c r="I180" s="4055"/>
      <c r="J180" s="4060"/>
      <c r="K180" s="1452"/>
      <c r="L180" s="1452"/>
      <c r="M180" s="1452"/>
      <c r="N180" s="1452"/>
    </row>
    <row r="181" spans="2:14">
      <c r="B181" s="861" t="s">
        <v>1243</v>
      </c>
      <c r="C181" s="4042"/>
      <c r="D181" s="4417">
        <f>D49</f>
        <v>1.1765333321447686</v>
      </c>
      <c r="E181" s="4416"/>
      <c r="F181" s="4050"/>
      <c r="G181" s="4043"/>
      <c r="H181" s="104"/>
      <c r="I181" s="4056"/>
      <c r="J181" s="4060"/>
      <c r="K181" s="1452"/>
      <c r="L181" s="1452"/>
      <c r="M181" s="1452"/>
      <c r="N181" s="1452"/>
    </row>
    <row r="182" spans="2:14">
      <c r="B182" s="1128" t="s">
        <v>1244</v>
      </c>
      <c r="C182" s="2334"/>
      <c r="D182" s="4417">
        <f>D177-D178-D179-D180-D181</f>
        <v>-65.795350262874265</v>
      </c>
      <c r="E182" s="4416"/>
      <c r="F182" s="1452"/>
      <c r="G182" s="4051"/>
      <c r="H182" s="104"/>
      <c r="I182" s="4056"/>
      <c r="J182" s="4063"/>
      <c r="K182" s="1452"/>
      <c r="L182" s="1452"/>
      <c r="M182" s="1452"/>
      <c r="N182" s="1452"/>
    </row>
    <row r="183" spans="2:14">
      <c r="B183" s="861" t="s">
        <v>2064</v>
      </c>
      <c r="C183" s="105"/>
      <c r="D183" s="4417">
        <f>D182*FedTaxRate</f>
        <v>-23.02837259200599</v>
      </c>
      <c r="E183" s="4416">
        <f>D49</f>
        <v>1.1765333321447686</v>
      </c>
      <c r="F183" s="1452"/>
      <c r="G183" s="4051"/>
      <c r="H183" s="104"/>
      <c r="I183" s="4056"/>
      <c r="J183" s="4063"/>
      <c r="K183" s="1452"/>
      <c r="L183" s="1452"/>
      <c r="M183" s="1452"/>
      <c r="N183" s="1452"/>
    </row>
    <row r="184" spans="2:14">
      <c r="B184" s="861" t="str">
        <f>TaxCredit</f>
        <v>REPTC (Tax Credit)</v>
      </c>
      <c r="C184" s="4067"/>
      <c r="D184" s="4417">
        <f>-D64</f>
        <v>-29.797463591892917</v>
      </c>
      <c r="E184" s="4416"/>
      <c r="F184" s="1452"/>
      <c r="G184" s="4051"/>
      <c r="H184" s="104"/>
      <c r="I184" s="4056"/>
      <c r="J184" s="4063"/>
      <c r="K184" s="1452"/>
      <c r="L184" s="1452"/>
      <c r="M184" s="1452"/>
      <c r="N184" s="1452"/>
    </row>
    <row r="185" spans="2:14" ht="13.5" thickBot="1">
      <c r="B185" s="861" t="s">
        <v>2063</v>
      </c>
      <c r="C185" s="4067"/>
      <c r="D185" s="4417">
        <f>SUM(D183:D184)</f>
        <v>-52.825836183898907</v>
      </c>
      <c r="E185" s="4418">
        <f>E183</f>
        <v>1.1765333321447686</v>
      </c>
      <c r="F185" s="1452"/>
      <c r="G185" s="4051"/>
      <c r="H185" s="104"/>
      <c r="I185" s="4056"/>
      <c r="J185" s="4063"/>
      <c r="K185" s="1452"/>
      <c r="L185" s="1452"/>
      <c r="M185" s="1452"/>
      <c r="N185" s="1452"/>
    </row>
    <row r="186" spans="2:14">
      <c r="B186" s="4374" t="s">
        <v>2018</v>
      </c>
      <c r="C186" s="4375"/>
      <c r="D186" s="4574" t="s">
        <v>1230</v>
      </c>
      <c r="E186" s="4575"/>
      <c r="F186" s="353"/>
      <c r="G186" s="969"/>
      <c r="H186" s="104"/>
      <c r="I186" s="4056"/>
      <c r="J186" s="4063"/>
      <c r="K186" s="1452"/>
      <c r="L186" s="1452"/>
      <c r="M186" s="1452"/>
      <c r="N186" s="1452"/>
    </row>
    <row r="187" spans="2:14">
      <c r="B187" s="4048" t="s">
        <v>2019</v>
      </c>
      <c r="C187" s="4375"/>
      <c r="D187" s="4578">
        <f>D175</f>
        <v>119.66405666634704</v>
      </c>
      <c r="E187" s="4579"/>
      <c r="F187" s="353"/>
      <c r="G187" s="969"/>
      <c r="H187" s="104"/>
      <c r="I187" s="4056"/>
      <c r="J187" s="4059"/>
      <c r="K187" s="1457"/>
      <c r="L187" s="1452"/>
      <c r="M187" s="1457"/>
      <c r="N187" s="1452"/>
    </row>
    <row r="188" spans="2:14">
      <c r="B188" s="4048" t="s">
        <v>2020</v>
      </c>
      <c r="C188" s="4419">
        <f>D66</f>
        <v>-51.649302851754157</v>
      </c>
      <c r="D188" s="4578">
        <f>D185+E185</f>
        <v>-51.649302851754136</v>
      </c>
      <c r="E188" s="4579"/>
      <c r="F188" s="353"/>
      <c r="G188" s="969"/>
      <c r="H188" s="104"/>
      <c r="I188" s="104"/>
      <c r="J188" s="4058"/>
      <c r="K188" s="104"/>
      <c r="L188" s="104"/>
      <c r="M188" s="104"/>
      <c r="N188" s="104"/>
    </row>
    <row r="189" spans="2:14" ht="13.5" thickBot="1">
      <c r="B189" s="4047" t="s">
        <v>2070</v>
      </c>
      <c r="C189" s="4046">
        <f>D105</f>
        <v>171.31335951810115</v>
      </c>
      <c r="D189" s="4570">
        <f>D187-D188</f>
        <v>171.31335951810118</v>
      </c>
      <c r="E189" s="4571"/>
      <c r="F189" s="353"/>
      <c r="G189" s="969"/>
    </row>
    <row r="190" spans="2:14">
      <c r="B190" s="4382" t="s">
        <v>2018</v>
      </c>
      <c r="C190" s="1155"/>
      <c r="D190" s="4574" t="s">
        <v>1230</v>
      </c>
      <c r="E190" s="4575"/>
      <c r="F190" s="353"/>
      <c r="G190" s="969"/>
    </row>
    <row r="191" spans="2:14">
      <c r="B191" s="4048" t="s">
        <v>1264</v>
      </c>
      <c r="C191" s="1155"/>
      <c r="D191" s="4572">
        <f>D36</f>
        <v>91.19445412061431</v>
      </c>
      <c r="E191" s="4573"/>
      <c r="F191" s="4377"/>
      <c r="G191" s="1452"/>
    </row>
    <row r="192" spans="2:14">
      <c r="B192" s="4048" t="s">
        <v>1263</v>
      </c>
      <c r="C192" s="1155"/>
      <c r="D192" s="4572">
        <f>D80</f>
        <v>80.118905397486827</v>
      </c>
      <c r="E192" s="4573"/>
      <c r="F192" s="4377">
        <f>D81</f>
        <v>0</v>
      </c>
      <c r="G192" s="969"/>
    </row>
    <row r="193" spans="2:9" ht="13.5" thickBot="1">
      <c r="B193" s="4045" t="s">
        <v>2021</v>
      </c>
      <c r="C193" s="4385" t="str">
        <f>IF(D193=D189,"OK","False")</f>
        <v>OK</v>
      </c>
      <c r="D193" s="4570">
        <f>SUM(D191:D192)</f>
        <v>171.31335951810115</v>
      </c>
      <c r="E193" s="4571"/>
      <c r="G193" s="969"/>
    </row>
    <row r="194" spans="2:9">
      <c r="B194" s="2770"/>
      <c r="C194" s="1148"/>
      <c r="D194" s="1147"/>
    </row>
    <row r="195" spans="2:9">
      <c r="B195" s="2770"/>
      <c r="C195" s="1148"/>
      <c r="D195" s="1147"/>
    </row>
    <row r="196" spans="2:9">
      <c r="B196" s="2770"/>
      <c r="C196" s="1148"/>
      <c r="D196" s="1147"/>
    </row>
    <row r="197" spans="2:9">
      <c r="B197" s="2770"/>
      <c r="C197" s="1148"/>
      <c r="D197" s="1147"/>
    </row>
    <row r="198" spans="2:9">
      <c r="D198" s="252"/>
      <c r="E198" s="252"/>
      <c r="F198" s="1165"/>
      <c r="G198" s="252"/>
      <c r="H198" s="252"/>
    </row>
    <row r="199" spans="2:9">
      <c r="D199" s="252"/>
      <c r="E199" s="252"/>
      <c r="F199" s="1165"/>
      <c r="G199" s="252"/>
      <c r="H199" s="252"/>
    </row>
    <row r="200" spans="2:9">
      <c r="B200" s="1365" t="s">
        <v>1405</v>
      </c>
      <c r="E200" s="1366" t="s">
        <v>1392</v>
      </c>
      <c r="F200" s="1367"/>
      <c r="G200" s="1148"/>
      <c r="H200" s="1374" t="s">
        <v>1411</v>
      </c>
      <c r="I200" s="2" t="s">
        <v>1412</v>
      </c>
    </row>
    <row r="201" spans="2:9">
      <c r="E201" s="1368" t="s">
        <v>1406</v>
      </c>
      <c r="F201" s="1372">
        <f>SUM(H201:I201)</f>
        <v>-9.5007236631090564E-3</v>
      </c>
      <c r="H201" s="695">
        <f>InstalledCostPerkW*(PctEquity)</f>
        <v>829.53453703630555</v>
      </c>
      <c r="I201" s="695">
        <f>E85</f>
        <v>-829.54403775996866</v>
      </c>
    </row>
    <row r="202" spans="2:9">
      <c r="E202" s="86" t="s">
        <v>1390</v>
      </c>
      <c r="F202" s="3046">
        <f>H202</f>
        <v>69.068327377757797</v>
      </c>
      <c r="H202" s="1148">
        <f>SUM(H205:H304)</f>
        <v>69.068327377757797</v>
      </c>
    </row>
    <row r="203" spans="2:9">
      <c r="E203" s="70"/>
      <c r="F203" s="1373"/>
    </row>
    <row r="204" spans="2:9">
      <c r="D204" s="1368" t="s">
        <v>1406</v>
      </c>
      <c r="E204" s="1371">
        <f>F201</f>
        <v>-9.5007236631090564E-3</v>
      </c>
      <c r="F204" s="7"/>
    </row>
    <row r="205" spans="2:9">
      <c r="C205" s="1370" t="s">
        <v>1408</v>
      </c>
      <c r="D205" s="2110">
        <v>0.01</v>
      </c>
      <c r="E205" s="1369">
        <f>'INPUT-OUTPUT'!$U$20*D205</f>
        <v>1.1706835826608217</v>
      </c>
      <c r="F205" s="2107">
        <f t="dataTable" ref="F205:F304" dt2D="1" dtr="1" r1="F203" r2="F202"/>
        <v>944.11956809862909</v>
      </c>
      <c r="G205" s="102">
        <v>1</v>
      </c>
    </row>
    <row r="206" spans="2:9">
      <c r="D206" s="2109">
        <f t="shared" ref="D206:D237" si="103">(G206-G$205)/$G$304*(D$304-D$205)+D$205</f>
        <v>2.4899999999999999E-2</v>
      </c>
      <c r="E206" s="1369">
        <f>'INPUT-OUTPUT'!$U$20*D206</f>
        <v>2.915002120825446</v>
      </c>
      <c r="F206" s="2107">
        <v>919.77869179584786</v>
      </c>
      <c r="G206" s="102">
        <v>2</v>
      </c>
      <c r="H206" s="1148" t="str">
        <f t="shared" ref="H206:H269" si="104">IF(AND(F205&gt;0,F206&lt;0),(F205/(F205-F206))*(E206-E205)+E205,"")</f>
        <v/>
      </c>
    </row>
    <row r="207" spans="2:9">
      <c r="D207" s="2109">
        <f t="shared" si="103"/>
        <v>3.9800000000000002E-2</v>
      </c>
      <c r="E207" s="1369">
        <f>'INPUT-OUTPUT'!$U$20*D207</f>
        <v>4.6593206589900706</v>
      </c>
      <c r="F207" s="2107">
        <v>895.43781549306686</v>
      </c>
      <c r="G207" s="102">
        <v>3</v>
      </c>
      <c r="H207" s="1148" t="str">
        <f t="shared" si="104"/>
        <v/>
      </c>
    </row>
    <row r="208" spans="2:9">
      <c r="D208" s="2109">
        <f t="shared" si="103"/>
        <v>5.4699999999999999E-2</v>
      </c>
      <c r="E208" s="1369">
        <f>'INPUT-OUTPUT'!$U$20*D208</f>
        <v>6.4036391971546944</v>
      </c>
      <c r="F208" s="2107">
        <v>871.09693919028564</v>
      </c>
      <c r="G208" s="102">
        <v>4</v>
      </c>
      <c r="H208" s="1148" t="str">
        <f t="shared" si="104"/>
        <v/>
      </c>
    </row>
    <row r="209" spans="4:8">
      <c r="D209" s="2109">
        <f t="shared" si="103"/>
        <v>6.9599999999999995E-2</v>
      </c>
      <c r="E209" s="1369">
        <f>'INPUT-OUTPUT'!$U$20*D209</f>
        <v>8.1479577353193182</v>
      </c>
      <c r="F209" s="2107">
        <v>846.75606288750475</v>
      </c>
      <c r="G209" s="102">
        <v>5</v>
      </c>
      <c r="H209" s="1148" t="str">
        <f t="shared" si="104"/>
        <v/>
      </c>
    </row>
    <row r="210" spans="4:8">
      <c r="D210" s="2109">
        <f t="shared" si="103"/>
        <v>8.4499999999999992E-2</v>
      </c>
      <c r="E210" s="1369">
        <f>'INPUT-OUTPUT'!$U$20*D210</f>
        <v>9.892276273483942</v>
      </c>
      <c r="F210" s="2107">
        <v>822.41518658472341</v>
      </c>
      <c r="G210" s="102">
        <v>6</v>
      </c>
      <c r="H210" s="1148" t="str">
        <f t="shared" si="104"/>
        <v/>
      </c>
    </row>
    <row r="211" spans="4:8">
      <c r="D211" s="2109">
        <f t="shared" si="103"/>
        <v>9.9399999999999988E-2</v>
      </c>
      <c r="E211" s="1369">
        <f>'INPUT-OUTPUT'!$U$20*D211</f>
        <v>11.636594811648566</v>
      </c>
      <c r="F211" s="2107">
        <v>798.07431028194242</v>
      </c>
      <c r="G211" s="102">
        <v>7</v>
      </c>
      <c r="H211" s="1148" t="str">
        <f t="shared" si="104"/>
        <v/>
      </c>
    </row>
    <row r="212" spans="4:8">
      <c r="D212" s="2109">
        <f t="shared" si="103"/>
        <v>0.1143</v>
      </c>
      <c r="E212" s="1369">
        <f>'INPUT-OUTPUT'!$U$20*D212</f>
        <v>13.380913349813191</v>
      </c>
      <c r="F212" s="2107">
        <v>773.73343397916119</v>
      </c>
      <c r="G212" s="102">
        <v>8</v>
      </c>
      <c r="H212" s="1148" t="str">
        <f t="shared" si="104"/>
        <v/>
      </c>
    </row>
    <row r="213" spans="4:8">
      <c r="D213" s="2109">
        <f t="shared" si="103"/>
        <v>0.12920000000000001</v>
      </c>
      <c r="E213" s="1369">
        <f>'INPUT-OUTPUT'!$U$20*D213</f>
        <v>15.125231887977817</v>
      </c>
      <c r="F213" s="2107">
        <v>749.39255767638019</v>
      </c>
      <c r="G213" s="102">
        <v>9</v>
      </c>
      <c r="H213" s="1148" t="str">
        <f t="shared" si="104"/>
        <v/>
      </c>
    </row>
    <row r="214" spans="4:8">
      <c r="D214" s="2109">
        <f t="shared" si="103"/>
        <v>0.14410000000000001</v>
      </c>
      <c r="E214" s="1369">
        <f>'INPUT-OUTPUT'!$U$20*D214</f>
        <v>16.869550426142442</v>
      </c>
      <c r="F214" s="2107">
        <v>725.05168137359908</v>
      </c>
      <c r="G214" s="102">
        <v>10</v>
      </c>
      <c r="H214" s="1148" t="str">
        <f t="shared" si="104"/>
        <v/>
      </c>
    </row>
    <row r="215" spans="4:8">
      <c r="D215" s="2109">
        <f t="shared" si="103"/>
        <v>0.159</v>
      </c>
      <c r="E215" s="1369">
        <f>'INPUT-OUTPUT'!$U$20*D215</f>
        <v>18.613868964307066</v>
      </c>
      <c r="F215" s="2107">
        <v>700.71080507081797</v>
      </c>
      <c r="G215" s="102">
        <v>11</v>
      </c>
      <c r="H215" s="1148" t="str">
        <f t="shared" si="104"/>
        <v/>
      </c>
    </row>
    <row r="216" spans="4:8">
      <c r="D216" s="2109">
        <f t="shared" si="103"/>
        <v>0.1739</v>
      </c>
      <c r="E216" s="1369">
        <f>'INPUT-OUTPUT'!$U$20*D216</f>
        <v>20.35818750247169</v>
      </c>
      <c r="F216" s="2107">
        <v>676.36992876803697</v>
      </c>
      <c r="G216" s="102">
        <v>12</v>
      </c>
      <c r="H216" s="1148" t="str">
        <f t="shared" si="104"/>
        <v/>
      </c>
    </row>
    <row r="217" spans="4:8">
      <c r="D217" s="2109">
        <f t="shared" si="103"/>
        <v>0.1888</v>
      </c>
      <c r="E217" s="1369">
        <f>'INPUT-OUTPUT'!$U$20*D217</f>
        <v>22.102506040636314</v>
      </c>
      <c r="F217" s="2107">
        <v>652.02905246525575</v>
      </c>
      <c r="G217" s="102">
        <v>13</v>
      </c>
      <c r="H217" s="1148" t="str">
        <f t="shared" si="104"/>
        <v/>
      </c>
    </row>
    <row r="218" spans="4:8">
      <c r="D218" s="2109">
        <f t="shared" si="103"/>
        <v>0.20370000000000002</v>
      </c>
      <c r="E218" s="1369">
        <f>'INPUT-OUTPUT'!$U$20*D218</f>
        <v>23.846824578800941</v>
      </c>
      <c r="F218" s="2107">
        <v>627.68817616247452</v>
      </c>
      <c r="G218" s="102">
        <v>14</v>
      </c>
      <c r="H218" s="1148" t="str">
        <f t="shared" si="104"/>
        <v/>
      </c>
    </row>
    <row r="219" spans="4:8">
      <c r="D219" s="2109">
        <f t="shared" si="103"/>
        <v>0.21860000000000002</v>
      </c>
      <c r="E219" s="1369">
        <f>'INPUT-OUTPUT'!$U$20*D219</f>
        <v>25.591143116965565</v>
      </c>
      <c r="F219" s="2107">
        <v>603.34729985969352</v>
      </c>
      <c r="G219" s="102">
        <v>15</v>
      </c>
      <c r="H219" s="1148" t="str">
        <f t="shared" si="104"/>
        <v/>
      </c>
    </row>
    <row r="220" spans="4:8">
      <c r="D220" s="2109">
        <f t="shared" si="103"/>
        <v>0.23350000000000001</v>
      </c>
      <c r="E220" s="1369">
        <f>'INPUT-OUTPUT'!$U$20*D220</f>
        <v>27.335461655130189</v>
      </c>
      <c r="F220" s="2107">
        <v>579.00642355691241</v>
      </c>
      <c r="G220" s="102">
        <v>16</v>
      </c>
      <c r="H220" s="1148" t="str">
        <f t="shared" si="104"/>
        <v/>
      </c>
    </row>
    <row r="221" spans="4:8">
      <c r="D221" s="2109">
        <f t="shared" si="103"/>
        <v>0.24840000000000001</v>
      </c>
      <c r="E221" s="1369">
        <f>'INPUT-OUTPUT'!$U$20*D221</f>
        <v>29.079780193294813</v>
      </c>
      <c r="F221" s="2107">
        <v>554.66554725413152</v>
      </c>
      <c r="G221" s="102">
        <v>17</v>
      </c>
      <c r="H221" s="1148" t="str">
        <f t="shared" si="104"/>
        <v/>
      </c>
    </row>
    <row r="222" spans="4:8">
      <c r="D222" s="2109">
        <f t="shared" si="103"/>
        <v>0.26330000000000003</v>
      </c>
      <c r="E222" s="1369">
        <f>'INPUT-OUTPUT'!$U$20*D222</f>
        <v>30.82409873145944</v>
      </c>
      <c r="F222" s="2107">
        <v>530.32467095135007</v>
      </c>
      <c r="G222" s="102">
        <v>18</v>
      </c>
      <c r="H222" s="1148" t="str">
        <f t="shared" si="104"/>
        <v/>
      </c>
    </row>
    <row r="223" spans="4:8">
      <c r="D223" s="2109">
        <f t="shared" si="103"/>
        <v>0.2782</v>
      </c>
      <c r="E223" s="1369">
        <f>'INPUT-OUTPUT'!$U$20*D223</f>
        <v>32.568417269624064</v>
      </c>
      <c r="F223" s="2107">
        <v>505.9837946485689</v>
      </c>
      <c r="G223" s="102">
        <v>19</v>
      </c>
      <c r="H223" s="1148" t="str">
        <f t="shared" si="104"/>
        <v/>
      </c>
    </row>
    <row r="224" spans="4:8">
      <c r="D224" s="2109">
        <f t="shared" si="103"/>
        <v>0.29310000000000003</v>
      </c>
      <c r="E224" s="1369">
        <f>'INPUT-OUTPUT'!$U$20*D224</f>
        <v>34.312735807788691</v>
      </c>
      <c r="F224" s="2107">
        <v>481.64291834578808</v>
      </c>
      <c r="G224" s="102">
        <v>20</v>
      </c>
      <c r="H224" s="1148" t="str">
        <f t="shared" si="104"/>
        <v/>
      </c>
    </row>
    <row r="225" spans="4:8">
      <c r="D225" s="2109">
        <f t="shared" si="103"/>
        <v>0.308</v>
      </c>
      <c r="E225" s="1369">
        <f>'INPUT-OUTPUT'!$U$20*D225</f>
        <v>36.057054345953311</v>
      </c>
      <c r="F225" s="2107">
        <v>457.30204204300708</v>
      </c>
      <c r="G225" s="102">
        <v>21</v>
      </c>
      <c r="H225" s="1148" t="str">
        <f t="shared" si="104"/>
        <v/>
      </c>
    </row>
    <row r="226" spans="4:8">
      <c r="D226" s="2109">
        <f t="shared" si="103"/>
        <v>0.32290000000000002</v>
      </c>
      <c r="E226" s="1369">
        <f>'INPUT-OUTPUT'!$U$20*D226</f>
        <v>37.801372884117939</v>
      </c>
      <c r="F226" s="2107">
        <v>432.96116574022591</v>
      </c>
      <c r="G226" s="102">
        <v>22</v>
      </c>
      <c r="H226" s="1148" t="str">
        <f t="shared" si="104"/>
        <v/>
      </c>
    </row>
    <row r="227" spans="4:8">
      <c r="D227" s="2109">
        <f t="shared" si="103"/>
        <v>0.33779999999999999</v>
      </c>
      <c r="E227" s="1369">
        <f>'INPUT-OUTPUT'!$U$20*D227</f>
        <v>39.545691422282559</v>
      </c>
      <c r="F227" s="2107">
        <v>408.62028943744457</v>
      </c>
      <c r="G227" s="102">
        <v>23</v>
      </c>
      <c r="H227" s="1148" t="str">
        <f t="shared" si="104"/>
        <v/>
      </c>
    </row>
    <row r="228" spans="4:8">
      <c r="D228" s="2109">
        <f t="shared" si="103"/>
        <v>0.35270000000000001</v>
      </c>
      <c r="E228" s="1369">
        <f>'INPUT-OUTPUT'!$U$20*D228</f>
        <v>41.290009960447186</v>
      </c>
      <c r="F228" s="2107">
        <v>384.27941313466357</v>
      </c>
      <c r="G228" s="102">
        <v>24</v>
      </c>
      <c r="H228" s="1148" t="str">
        <f t="shared" si="104"/>
        <v/>
      </c>
    </row>
    <row r="229" spans="4:8">
      <c r="D229" s="2109">
        <f t="shared" si="103"/>
        <v>0.36759999999999998</v>
      </c>
      <c r="E229" s="1369">
        <f>'INPUT-OUTPUT'!$U$20*D229</f>
        <v>43.034328498611806</v>
      </c>
      <c r="F229" s="2107">
        <v>359.93853683188229</v>
      </c>
      <c r="G229" s="102">
        <v>25</v>
      </c>
      <c r="H229" s="1148" t="str">
        <f t="shared" si="104"/>
        <v/>
      </c>
    </row>
    <row r="230" spans="4:8">
      <c r="D230" s="2109">
        <f t="shared" si="103"/>
        <v>0.38250000000000001</v>
      </c>
      <c r="E230" s="1369">
        <f>'INPUT-OUTPUT'!$U$20*D230</f>
        <v>44.778647036776434</v>
      </c>
      <c r="F230" s="2107">
        <v>335.59766052910106</v>
      </c>
      <c r="G230" s="102">
        <v>26</v>
      </c>
      <c r="H230" s="1148" t="str">
        <f t="shared" si="104"/>
        <v/>
      </c>
    </row>
    <row r="231" spans="4:8">
      <c r="D231" s="2109">
        <f t="shared" si="103"/>
        <v>0.39740000000000003</v>
      </c>
      <c r="E231" s="1369">
        <f>'INPUT-OUTPUT'!$U$20*D231</f>
        <v>46.522965574941061</v>
      </c>
      <c r="F231" s="2107">
        <v>311.25678422632006</v>
      </c>
      <c r="G231" s="102">
        <v>27</v>
      </c>
      <c r="H231" s="1148" t="str">
        <f t="shared" si="104"/>
        <v/>
      </c>
    </row>
    <row r="232" spans="4:8">
      <c r="D232" s="2109">
        <f t="shared" si="103"/>
        <v>0.41230000000000006</v>
      </c>
      <c r="E232" s="1369">
        <f>'INPUT-OUTPUT'!$U$20*D232</f>
        <v>48.267284113105688</v>
      </c>
      <c r="F232" s="2107">
        <v>286.91590792353929</v>
      </c>
      <c r="G232" s="102">
        <v>28</v>
      </c>
      <c r="H232" s="1148" t="str">
        <f t="shared" si="104"/>
        <v/>
      </c>
    </row>
    <row r="233" spans="4:8">
      <c r="D233" s="2109">
        <f t="shared" si="103"/>
        <v>0.42720000000000002</v>
      </c>
      <c r="E233" s="1369">
        <f>'INPUT-OUTPUT'!$U$20*D233</f>
        <v>50.011602651270309</v>
      </c>
      <c r="F233" s="2107">
        <v>262.66114771790262</v>
      </c>
      <c r="G233" s="102">
        <v>29</v>
      </c>
      <c r="H233" s="1148" t="str">
        <f t="shared" si="104"/>
        <v/>
      </c>
    </row>
    <row r="234" spans="4:8">
      <c r="D234" s="2109">
        <f t="shared" si="103"/>
        <v>0.44209999999999999</v>
      </c>
      <c r="E234" s="1369">
        <f>'INPUT-OUTPUT'!$U$20*D234</f>
        <v>51.755921189434929</v>
      </c>
      <c r="F234" s="2107">
        <v>238.43898811506199</v>
      </c>
      <c r="G234" s="102">
        <v>30</v>
      </c>
      <c r="H234" s="1148" t="str">
        <f t="shared" si="104"/>
        <v/>
      </c>
    </row>
    <row r="235" spans="4:8">
      <c r="D235" s="2109">
        <f t="shared" si="103"/>
        <v>0.45700000000000002</v>
      </c>
      <c r="E235" s="1369">
        <f>'INPUT-OUTPUT'!$U$20*D235</f>
        <v>53.500239727599556</v>
      </c>
      <c r="F235" s="2107">
        <v>214.25269104423819</v>
      </c>
      <c r="G235" s="102">
        <v>31</v>
      </c>
      <c r="H235" s="1148" t="str">
        <f t="shared" si="104"/>
        <v/>
      </c>
    </row>
    <row r="236" spans="4:8">
      <c r="D236" s="2109">
        <f t="shared" si="103"/>
        <v>0.47189999999999999</v>
      </c>
      <c r="E236" s="1369">
        <f>'INPUT-OUTPUT'!$U$20*D236</f>
        <v>55.244558265764176</v>
      </c>
      <c r="F236" s="2107">
        <v>190.10816993913738</v>
      </c>
      <c r="G236" s="102">
        <v>32</v>
      </c>
      <c r="H236" s="1148" t="str">
        <f t="shared" si="104"/>
        <v/>
      </c>
    </row>
    <row r="237" spans="4:8">
      <c r="D237" s="2109">
        <f t="shared" si="103"/>
        <v>0.48680000000000001</v>
      </c>
      <c r="E237" s="1369">
        <f>'INPUT-OUTPUT'!$U$20*D237</f>
        <v>56.988876803928804</v>
      </c>
      <c r="F237" s="2107">
        <v>166.00962635833923</v>
      </c>
      <c r="G237" s="102">
        <v>33</v>
      </c>
      <c r="H237" s="1148" t="str">
        <f t="shared" si="104"/>
        <v/>
      </c>
    </row>
    <row r="238" spans="4:8">
      <c r="D238" s="2109">
        <f t="shared" ref="D238:D269" si="105">(G238-G$205)/$G$304*(D$304-D$205)+D$205</f>
        <v>0.50170000000000003</v>
      </c>
      <c r="E238" s="1369">
        <f>'INPUT-OUTPUT'!$U$20*D238</f>
        <v>58.733195342093431</v>
      </c>
      <c r="F238" s="2107">
        <v>141.96302056532954</v>
      </c>
      <c r="G238" s="102">
        <v>34</v>
      </c>
      <c r="H238" s="1148" t="str">
        <f t="shared" si="104"/>
        <v/>
      </c>
    </row>
    <row r="239" spans="4:8">
      <c r="D239" s="2109">
        <f t="shared" si="105"/>
        <v>0.51660000000000006</v>
      </c>
      <c r="E239" s="1369">
        <f>'INPUT-OUTPUT'!$U$20*D239</f>
        <v>60.477513880258059</v>
      </c>
      <c r="F239" s="2107">
        <v>117.87096129719725</v>
      </c>
      <c r="G239" s="102">
        <v>35</v>
      </c>
      <c r="H239" s="1148" t="str">
        <f t="shared" si="104"/>
        <v/>
      </c>
    </row>
    <row r="240" spans="4:8">
      <c r="D240" s="2109">
        <f t="shared" si="105"/>
        <v>0.53149999999999997</v>
      </c>
      <c r="E240" s="1369">
        <f>'INPUT-OUTPUT'!$U$20*D240</f>
        <v>62.221832418422672</v>
      </c>
      <c r="F240" s="2107">
        <v>93.759774997350974</v>
      </c>
      <c r="G240" s="102">
        <v>36</v>
      </c>
      <c r="H240" s="1148" t="str">
        <f t="shared" si="104"/>
        <v/>
      </c>
    </row>
    <row r="241" spans="4:8">
      <c r="D241" s="2109">
        <f t="shared" si="105"/>
        <v>0.5464</v>
      </c>
      <c r="E241" s="1369">
        <f>'INPUT-OUTPUT'!$U$20*D241</f>
        <v>63.966150956587299</v>
      </c>
      <c r="F241" s="2107">
        <v>69.865150967777595</v>
      </c>
      <c r="G241" s="102">
        <v>37</v>
      </c>
      <c r="H241" s="1148" t="str">
        <f t="shared" si="104"/>
        <v/>
      </c>
    </row>
    <row r="242" spans="4:8">
      <c r="D242" s="2109">
        <f t="shared" si="105"/>
        <v>0.56130000000000002</v>
      </c>
      <c r="E242" s="1369">
        <f>'INPUT-OUTPUT'!$U$20*D242</f>
        <v>65.710469494751919</v>
      </c>
      <c r="F242" s="2107">
        <v>45.918805081868072</v>
      </c>
      <c r="G242" s="102">
        <v>38</v>
      </c>
      <c r="H242" s="1148" t="str">
        <f t="shared" si="104"/>
        <v/>
      </c>
    </row>
    <row r="243" spans="4:8">
      <c r="D243" s="2109">
        <f t="shared" si="105"/>
        <v>0.57620000000000005</v>
      </c>
      <c r="E243" s="1369">
        <f>'INPUT-OUTPUT'!$U$20*D243</f>
        <v>67.454788032916554</v>
      </c>
      <c r="F243" s="2107">
        <v>21.88451996780509</v>
      </c>
      <c r="G243" s="102">
        <v>39</v>
      </c>
      <c r="H243" s="1148" t="str">
        <f t="shared" si="104"/>
        <v/>
      </c>
    </row>
    <row r="244" spans="4:8">
      <c r="D244" s="2109">
        <f t="shared" si="105"/>
        <v>0.59110000000000007</v>
      </c>
      <c r="E244" s="1369">
        <f>'INPUT-OUTPUT'!$U$20*D244</f>
        <v>69.199106571081174</v>
      </c>
      <c r="F244" s="2107">
        <v>-1.7737651559655205</v>
      </c>
      <c r="G244" s="102">
        <v>40</v>
      </c>
      <c r="H244" s="1148">
        <f t="shared" si="104"/>
        <v>69.068327377757797</v>
      </c>
    </row>
    <row r="245" spans="4:8">
      <c r="D245" s="2109">
        <f t="shared" si="105"/>
        <v>0.60599999999999998</v>
      </c>
      <c r="E245" s="1369">
        <f>'INPUT-OUTPUT'!$U$20*D245</f>
        <v>70.943425109245794</v>
      </c>
      <c r="F245" s="2107">
        <v>-25.282212792305245</v>
      </c>
      <c r="G245" s="102">
        <v>41</v>
      </c>
      <c r="H245" s="1148" t="str">
        <f t="shared" si="104"/>
        <v/>
      </c>
    </row>
    <row r="246" spans="4:8">
      <c r="D246" s="2109">
        <f t="shared" si="105"/>
        <v>0.62090000000000001</v>
      </c>
      <c r="E246" s="1369">
        <f>'INPUT-OUTPUT'!$U$20*D246</f>
        <v>72.687743647410414</v>
      </c>
      <c r="F246" s="2107">
        <v>-48.711374949901938</v>
      </c>
      <c r="G246" s="102">
        <v>42</v>
      </c>
      <c r="H246" s="1148" t="str">
        <f t="shared" si="104"/>
        <v/>
      </c>
    </row>
    <row r="247" spans="4:8">
      <c r="D247" s="2109">
        <f t="shared" si="105"/>
        <v>0.63580000000000003</v>
      </c>
      <c r="E247" s="1369">
        <f>'INPUT-OUTPUT'!$U$20*D247</f>
        <v>74.432062185575049</v>
      </c>
      <c r="F247" s="2107">
        <v>-72.05739334776888</v>
      </c>
      <c r="G247" s="102">
        <v>43</v>
      </c>
      <c r="H247" s="1148" t="str">
        <f t="shared" si="104"/>
        <v/>
      </c>
    </row>
    <row r="248" spans="4:8">
      <c r="D248" s="2109">
        <f t="shared" si="105"/>
        <v>0.65069999999999995</v>
      </c>
      <c r="E248" s="1369">
        <f>'INPUT-OUTPUT'!$U$20*D248</f>
        <v>76.176380723739669</v>
      </c>
      <c r="F248" s="2107">
        <v>-95.315877358604098</v>
      </c>
      <c r="G248" s="102">
        <v>44</v>
      </c>
      <c r="H248" s="1148" t="str">
        <f t="shared" si="104"/>
        <v/>
      </c>
    </row>
    <row r="249" spans="4:8">
      <c r="D249" s="2109">
        <f t="shared" si="105"/>
        <v>0.66559999999999997</v>
      </c>
      <c r="E249" s="1369">
        <f>'INPUT-OUTPUT'!$U$20*D249</f>
        <v>77.920699261904289</v>
      </c>
      <c r="F249" s="2107">
        <v>-118.47341641237665</v>
      </c>
      <c r="G249" s="102">
        <v>45</v>
      </c>
      <c r="H249" s="1148" t="str">
        <f t="shared" si="104"/>
        <v/>
      </c>
    </row>
    <row r="250" spans="4:8">
      <c r="D250" s="2109">
        <f t="shared" si="105"/>
        <v>0.68049999999999999</v>
      </c>
      <c r="E250" s="1369">
        <f>'INPUT-OUTPUT'!$U$20*D250</f>
        <v>79.665017800068924</v>
      </c>
      <c r="F250" s="2107">
        <v>-141.54107010109044</v>
      </c>
      <c r="G250" s="102">
        <v>46</v>
      </c>
      <c r="H250" s="1148" t="str">
        <f t="shared" si="104"/>
        <v/>
      </c>
    </row>
    <row r="251" spans="4:8">
      <c r="D251" s="2109">
        <f t="shared" si="105"/>
        <v>0.69540000000000002</v>
      </c>
      <c r="E251" s="1369">
        <f>'INPUT-OUTPUT'!$U$20*D251</f>
        <v>81.409336338233544</v>
      </c>
      <c r="F251" s="2107">
        <v>-164.51956680129456</v>
      </c>
      <c r="G251" s="102">
        <v>47</v>
      </c>
      <c r="H251" s="1148" t="str">
        <f t="shared" si="104"/>
        <v/>
      </c>
    </row>
    <row r="252" spans="4:8">
      <c r="D252" s="2109">
        <f t="shared" si="105"/>
        <v>0.71029999999999993</v>
      </c>
      <c r="E252" s="1369">
        <f>'INPUT-OUTPUT'!$U$20*D252</f>
        <v>83.153654876398164</v>
      </c>
      <c r="F252" s="2107">
        <v>-187.4111090529376</v>
      </c>
      <c r="G252" s="102">
        <v>48</v>
      </c>
      <c r="H252" s="1148" t="str">
        <f t="shared" si="104"/>
        <v/>
      </c>
    </row>
    <row r="253" spans="4:8">
      <c r="D253" s="2109">
        <f t="shared" si="105"/>
        <v>0.72519999999999996</v>
      </c>
      <c r="E253" s="1369">
        <f>'INPUT-OUTPUT'!$U$20*D253</f>
        <v>84.897973414562784</v>
      </c>
      <c r="F253" s="2107">
        <v>-210.22080051347655</v>
      </c>
      <c r="G253" s="102">
        <v>49</v>
      </c>
      <c r="H253" s="1148" t="str">
        <f t="shared" si="104"/>
        <v/>
      </c>
    </row>
    <row r="254" spans="4:8">
      <c r="D254" s="2109">
        <f t="shared" si="105"/>
        <v>0.74009999999999998</v>
      </c>
      <c r="E254" s="1369">
        <f>'INPUT-OUTPUT'!$U$20*D254</f>
        <v>86.642291952727419</v>
      </c>
      <c r="F254" s="2107">
        <v>-232.94956634521316</v>
      </c>
      <c r="G254" s="102">
        <v>50</v>
      </c>
      <c r="H254" s="1148" t="str">
        <f t="shared" si="104"/>
        <v/>
      </c>
    </row>
    <row r="255" spans="4:8">
      <c r="D255" s="2109">
        <f t="shared" si="105"/>
        <v>0.755</v>
      </c>
      <c r="E255" s="1369">
        <f>'INPUT-OUTPUT'!$U$20*D255</f>
        <v>88.386610490892039</v>
      </c>
      <c r="F255" s="2107">
        <v>-255.59946275165919</v>
      </c>
      <c r="G255" s="102">
        <v>51</v>
      </c>
      <c r="H255" s="1148" t="str">
        <f t="shared" si="104"/>
        <v/>
      </c>
    </row>
    <row r="256" spans="4:8">
      <c r="D256" s="2109">
        <f t="shared" si="105"/>
        <v>0.76990000000000003</v>
      </c>
      <c r="E256" s="1369">
        <f>'INPUT-OUTPUT'!$U$20*D256</f>
        <v>90.130929029056674</v>
      </c>
      <c r="F256" s="2107">
        <v>-278.1737045988956</v>
      </c>
      <c r="G256" s="102">
        <v>52</v>
      </c>
      <c r="H256" s="1148" t="str">
        <f t="shared" si="104"/>
        <v/>
      </c>
    </row>
    <row r="257" spans="4:8">
      <c r="D257" s="2109">
        <f t="shared" si="105"/>
        <v>0.78480000000000005</v>
      </c>
      <c r="E257" s="1369">
        <f>'INPUT-OUTPUT'!$U$20*D257</f>
        <v>91.875247567221294</v>
      </c>
      <c r="F257" s="2107">
        <v>-300.6767910762004</v>
      </c>
      <c r="G257" s="102">
        <v>53</v>
      </c>
      <c r="H257" s="1148" t="str">
        <f t="shared" si="104"/>
        <v/>
      </c>
    </row>
    <row r="258" spans="4:8">
      <c r="D258" s="2109">
        <f t="shared" si="105"/>
        <v>0.79970000000000008</v>
      </c>
      <c r="E258" s="1369">
        <f>'INPUT-OUTPUT'!$U$20*D258</f>
        <v>93.619566105385928</v>
      </c>
      <c r="F258" s="2107">
        <v>-323.10866299759857</v>
      </c>
      <c r="G258" s="102">
        <v>54</v>
      </c>
      <c r="H258" s="1148" t="str">
        <f t="shared" si="104"/>
        <v/>
      </c>
    </row>
    <row r="259" spans="4:8">
      <c r="D259" s="2109">
        <f t="shared" si="105"/>
        <v>0.8146000000000001</v>
      </c>
      <c r="E259" s="1369">
        <f>'INPUT-OUTPUT'!$U$20*D259</f>
        <v>95.363884643550549</v>
      </c>
      <c r="F259" s="2107">
        <v>-345.47584244415623</v>
      </c>
      <c r="G259" s="102">
        <v>55</v>
      </c>
      <c r="H259" s="1148" t="str">
        <f t="shared" si="104"/>
        <v/>
      </c>
    </row>
    <row r="260" spans="4:8">
      <c r="D260" s="2109">
        <f t="shared" si="105"/>
        <v>0.82950000000000002</v>
      </c>
      <c r="E260" s="1369">
        <f>'INPUT-OUTPUT'!$U$20*D260</f>
        <v>97.108203181715169</v>
      </c>
      <c r="F260" s="2107">
        <v>-367.79289255137962</v>
      </c>
      <c r="G260" s="102">
        <v>56</v>
      </c>
      <c r="H260" s="1148" t="str">
        <f t="shared" si="104"/>
        <v/>
      </c>
    </row>
    <row r="261" spans="4:8">
      <c r="D261" s="2109">
        <f t="shared" si="105"/>
        <v>0.84440000000000004</v>
      </c>
      <c r="E261" s="1369">
        <f>'INPUT-OUTPUT'!$U$20*D261</f>
        <v>98.852521719879789</v>
      </c>
      <c r="F261" s="2107">
        <v>-390.06841522522984</v>
      </c>
      <c r="G261" s="102">
        <v>57</v>
      </c>
      <c r="H261" s="1148" t="str">
        <f t="shared" si="104"/>
        <v/>
      </c>
    </row>
    <row r="262" spans="4:8">
      <c r="D262" s="2109">
        <f t="shared" si="105"/>
        <v>0.85929999999999995</v>
      </c>
      <c r="E262" s="1369">
        <f>'INPUT-OUTPUT'!$U$20*D262</f>
        <v>100.59684025804441</v>
      </c>
      <c r="F262" s="2107">
        <v>-412.30966195088956</v>
      </c>
      <c r="G262" s="102">
        <v>58</v>
      </c>
      <c r="H262" s="1148" t="str">
        <f t="shared" si="104"/>
        <v/>
      </c>
    </row>
    <row r="263" spans="4:8">
      <c r="D263" s="2109">
        <f t="shared" si="105"/>
        <v>0.87419999999999998</v>
      </c>
      <c r="E263" s="1369">
        <f>'INPUT-OUTPUT'!$U$20*D263</f>
        <v>102.34115879620903</v>
      </c>
      <c r="F263" s="2107">
        <v>-434.51969081012942</v>
      </c>
      <c r="G263" s="102">
        <v>59</v>
      </c>
      <c r="H263" s="1148" t="str">
        <f t="shared" si="104"/>
        <v/>
      </c>
    </row>
    <row r="264" spans="4:8">
      <c r="D264" s="2109">
        <f t="shared" si="105"/>
        <v>0.8891</v>
      </c>
      <c r="E264" s="1369">
        <f>'INPUT-OUTPUT'!$U$20*D264</f>
        <v>104.08547733437366</v>
      </c>
      <c r="F264" s="2107">
        <v>-456.71321558788156</v>
      </c>
      <c r="G264" s="102">
        <v>60</v>
      </c>
      <c r="H264" s="1148" t="str">
        <f t="shared" si="104"/>
        <v/>
      </c>
    </row>
    <row r="265" spans="4:8">
      <c r="D265" s="2109">
        <f t="shared" si="105"/>
        <v>0.90400000000000003</v>
      </c>
      <c r="E265" s="1369">
        <f>'INPUT-OUTPUT'!$U$20*D265</f>
        <v>105.82979587253828</v>
      </c>
      <c r="F265" s="2107">
        <v>-478.90235842549771</v>
      </c>
      <c r="G265" s="102">
        <v>61</v>
      </c>
      <c r="H265" s="1148" t="str">
        <f t="shared" si="104"/>
        <v/>
      </c>
    </row>
    <row r="266" spans="4:8">
      <c r="D266" s="2109">
        <f t="shared" si="105"/>
        <v>0.91889999999999994</v>
      </c>
      <c r="E266" s="1369">
        <f>'INPUT-OUTPUT'!$U$20*D266</f>
        <v>107.5741144107029</v>
      </c>
      <c r="F266" s="2107">
        <v>-501.09150126311249</v>
      </c>
      <c r="G266" s="102">
        <v>62</v>
      </c>
      <c r="H266" s="1148" t="str">
        <f t="shared" si="104"/>
        <v/>
      </c>
    </row>
    <row r="267" spans="4:8">
      <c r="D267" s="2109">
        <f t="shared" si="105"/>
        <v>0.93379999999999996</v>
      </c>
      <c r="E267" s="1369">
        <f>'INPUT-OUTPUT'!$U$20*D267</f>
        <v>109.31843294886752</v>
      </c>
      <c r="F267" s="2107">
        <v>-523.2806441007275</v>
      </c>
      <c r="G267" s="102">
        <v>63</v>
      </c>
      <c r="H267" s="1148" t="str">
        <f t="shared" si="104"/>
        <v/>
      </c>
    </row>
    <row r="268" spans="4:8">
      <c r="D268" s="2109">
        <f t="shared" si="105"/>
        <v>0.94869999999999999</v>
      </c>
      <c r="E268" s="1369">
        <f>'INPUT-OUTPUT'!$U$20*D268</f>
        <v>111.06275148703216</v>
      </c>
      <c r="F268" s="2107">
        <v>-545.46978693834296</v>
      </c>
      <c r="G268" s="102">
        <v>64</v>
      </c>
      <c r="H268" s="1148" t="str">
        <f t="shared" si="104"/>
        <v/>
      </c>
    </row>
    <row r="269" spans="4:8">
      <c r="D269" s="2109">
        <f t="shared" si="105"/>
        <v>0.96360000000000001</v>
      </c>
      <c r="E269" s="1369">
        <f>'INPUT-OUTPUT'!$U$20*D269</f>
        <v>112.80707002519678</v>
      </c>
      <c r="F269" s="2107">
        <v>-567.65892977595797</v>
      </c>
      <c r="G269" s="102">
        <v>65</v>
      </c>
      <c r="H269" s="1148" t="str">
        <f t="shared" si="104"/>
        <v/>
      </c>
    </row>
    <row r="270" spans="4:8">
      <c r="D270" s="2109">
        <f t="shared" ref="D270:D303" si="106">(G270-G$205)/$G$304*(D$304-D$205)+D$205</f>
        <v>0.97850000000000004</v>
      </c>
      <c r="E270" s="1369">
        <f>'INPUT-OUTPUT'!$U$20*D270</f>
        <v>114.55138856336141</v>
      </c>
      <c r="F270" s="2107">
        <v>-589.84807261357298</v>
      </c>
      <c r="G270" s="102">
        <v>66</v>
      </c>
      <c r="H270" s="1148" t="str">
        <f t="shared" ref="H270:H304" si="107">IF(AND(F269&gt;0,F270&lt;0),(F269/(F269-F270))*(E270-E269)+E269,"")</f>
        <v/>
      </c>
    </row>
    <row r="271" spans="4:8">
      <c r="D271" s="2109">
        <f t="shared" si="106"/>
        <v>0.99340000000000006</v>
      </c>
      <c r="E271" s="1369">
        <f>'INPUT-OUTPUT'!$U$20*D271</f>
        <v>116.29570710152603</v>
      </c>
      <c r="F271" s="2107">
        <v>-612.03721545118867</v>
      </c>
      <c r="G271" s="102">
        <v>67</v>
      </c>
      <c r="H271" s="1148" t="str">
        <f t="shared" si="107"/>
        <v/>
      </c>
    </row>
    <row r="272" spans="4:8">
      <c r="D272" s="2109">
        <f t="shared" si="106"/>
        <v>1.0083</v>
      </c>
      <c r="E272" s="1369">
        <f>'INPUT-OUTPUT'!$U$20*D272</f>
        <v>118.04002563969065</v>
      </c>
      <c r="F272" s="2107">
        <v>-634.22635828880391</v>
      </c>
      <c r="G272" s="102">
        <v>68</v>
      </c>
      <c r="H272" s="1148" t="str">
        <f t="shared" si="107"/>
        <v/>
      </c>
    </row>
    <row r="273" spans="4:8">
      <c r="D273" s="2109">
        <f t="shared" si="106"/>
        <v>1.0232000000000001</v>
      </c>
      <c r="E273" s="1369">
        <f>'INPUT-OUTPUT'!$U$20*D273</f>
        <v>119.78434417785529</v>
      </c>
      <c r="F273" s="2107">
        <v>-656.41550112641914</v>
      </c>
      <c r="G273" s="102">
        <v>69</v>
      </c>
      <c r="H273" s="1148" t="str">
        <f t="shared" si="107"/>
        <v/>
      </c>
    </row>
    <row r="274" spans="4:8">
      <c r="D274" s="2109">
        <f t="shared" si="106"/>
        <v>1.0381</v>
      </c>
      <c r="E274" s="1369">
        <f>'INPUT-OUTPUT'!$U$20*D274</f>
        <v>121.52866271601991</v>
      </c>
      <c r="F274" s="2107">
        <v>-678.60464396403415</v>
      </c>
      <c r="G274" s="102">
        <v>70</v>
      </c>
      <c r="H274" s="1148" t="str">
        <f>IF(AND(F273&gt;0,F274&lt;0),(F273/(F273-F274))*(E274-E273)+E273,"")</f>
        <v/>
      </c>
    </row>
    <row r="275" spans="4:8">
      <c r="D275" s="2109">
        <f t="shared" si="106"/>
        <v>1.0529999999999999</v>
      </c>
      <c r="E275" s="1369">
        <f>'INPUT-OUTPUT'!$U$20*D275</f>
        <v>123.27298125418451</v>
      </c>
      <c r="F275" s="2107">
        <v>-700.79378680164984</v>
      </c>
      <c r="G275" s="102">
        <v>71</v>
      </c>
      <c r="H275" s="1148" t="str">
        <f t="shared" si="107"/>
        <v/>
      </c>
    </row>
    <row r="276" spans="4:8">
      <c r="D276" s="2109">
        <f t="shared" si="106"/>
        <v>1.0678999999999998</v>
      </c>
      <c r="E276" s="1369">
        <f>'INPUT-OUTPUT'!$U$20*D276</f>
        <v>125.01729979234914</v>
      </c>
      <c r="F276" s="2107">
        <v>-722.9829296392644</v>
      </c>
      <c r="G276" s="102">
        <v>72</v>
      </c>
      <c r="H276" s="1148" t="str">
        <f t="shared" si="107"/>
        <v/>
      </c>
    </row>
    <row r="277" spans="4:8">
      <c r="D277" s="2109">
        <f t="shared" si="106"/>
        <v>1.0828</v>
      </c>
      <c r="E277" s="1369">
        <f>'INPUT-OUTPUT'!$U$20*D277</f>
        <v>126.76161833051377</v>
      </c>
      <c r="F277" s="2107">
        <v>-745.17207247688009</v>
      </c>
      <c r="G277" s="102">
        <v>73</v>
      </c>
      <c r="H277" s="1148" t="str">
        <f t="shared" si="107"/>
        <v/>
      </c>
    </row>
    <row r="278" spans="4:8">
      <c r="D278" s="2109">
        <f t="shared" si="106"/>
        <v>1.0976999999999999</v>
      </c>
      <c r="E278" s="1369">
        <f>'INPUT-OUTPUT'!$U$20*D278</f>
        <v>128.50593686867839</v>
      </c>
      <c r="F278" s="2107">
        <v>-767.36121531449555</v>
      </c>
      <c r="G278" s="102">
        <v>74</v>
      </c>
      <c r="H278" s="1148" t="str">
        <f t="shared" si="107"/>
        <v/>
      </c>
    </row>
    <row r="279" spans="4:8">
      <c r="D279" s="2109">
        <f t="shared" si="106"/>
        <v>1.1126</v>
      </c>
      <c r="E279" s="1369">
        <f>'INPUT-OUTPUT'!$U$20*D279</f>
        <v>130.25025540684302</v>
      </c>
      <c r="F279" s="2107">
        <v>-789.55035815211079</v>
      </c>
      <c r="G279" s="102">
        <v>75</v>
      </c>
      <c r="H279" s="1148" t="str">
        <f t="shared" si="107"/>
        <v/>
      </c>
    </row>
    <row r="280" spans="4:8">
      <c r="D280" s="2109">
        <f t="shared" si="106"/>
        <v>1.1274999999999999</v>
      </c>
      <c r="E280" s="1369">
        <f>'INPUT-OUTPUT'!$U$20*D280</f>
        <v>131.99457394500763</v>
      </c>
      <c r="F280" s="2107">
        <v>-811.73950098972648</v>
      </c>
      <c r="G280" s="102">
        <v>76</v>
      </c>
      <c r="H280" s="1148" t="str">
        <f t="shared" si="107"/>
        <v/>
      </c>
    </row>
    <row r="281" spans="4:8">
      <c r="D281" s="2109">
        <f t="shared" si="106"/>
        <v>1.1424000000000001</v>
      </c>
      <c r="E281" s="1369">
        <f>'INPUT-OUTPUT'!$U$20*D281</f>
        <v>133.73889248317229</v>
      </c>
      <c r="F281" s="2107">
        <v>-833.92864382734126</v>
      </c>
      <c r="G281" s="102">
        <v>77</v>
      </c>
      <c r="H281" s="1148" t="str">
        <f t="shared" si="107"/>
        <v/>
      </c>
    </row>
    <row r="282" spans="4:8">
      <c r="D282" s="2109">
        <f t="shared" si="106"/>
        <v>1.1573</v>
      </c>
      <c r="E282" s="1369">
        <f>'INPUT-OUTPUT'!$U$20*D282</f>
        <v>135.4832110213369</v>
      </c>
      <c r="F282" s="2107">
        <v>-856.11778666495627</v>
      </c>
      <c r="G282" s="102">
        <v>78</v>
      </c>
      <c r="H282" s="1148" t="str">
        <f t="shared" si="107"/>
        <v/>
      </c>
    </row>
    <row r="283" spans="4:8">
      <c r="D283" s="2109">
        <f t="shared" si="106"/>
        <v>1.1722000000000001</v>
      </c>
      <c r="E283" s="1369">
        <f>'INPUT-OUTPUT'!$U$20*D283</f>
        <v>137.22752955950153</v>
      </c>
      <c r="F283" s="2107">
        <v>-878.30692950257151</v>
      </c>
      <c r="G283" s="102">
        <v>79</v>
      </c>
      <c r="H283" s="1148" t="str">
        <f t="shared" si="107"/>
        <v/>
      </c>
    </row>
    <row r="284" spans="4:8">
      <c r="D284" s="2109">
        <f t="shared" si="106"/>
        <v>1.1871</v>
      </c>
      <c r="E284" s="1369">
        <f>'INPUT-OUTPUT'!$U$20*D284</f>
        <v>138.97184809766614</v>
      </c>
      <c r="F284" s="2107">
        <v>-900.4960723401872</v>
      </c>
      <c r="G284" s="102">
        <v>80</v>
      </c>
      <c r="H284" s="1148" t="str">
        <f t="shared" si="107"/>
        <v/>
      </c>
    </row>
    <row r="285" spans="4:8">
      <c r="D285" s="2109">
        <f t="shared" si="106"/>
        <v>1.202</v>
      </c>
      <c r="E285" s="1369">
        <f>'INPUT-OUTPUT'!$U$20*D285</f>
        <v>140.71616663583077</v>
      </c>
      <c r="F285" s="2107">
        <v>-922.68521517780198</v>
      </c>
      <c r="G285" s="102">
        <v>81</v>
      </c>
      <c r="H285" s="1148" t="str">
        <f t="shared" si="107"/>
        <v/>
      </c>
    </row>
    <row r="286" spans="4:8">
      <c r="D286" s="2109">
        <f t="shared" si="106"/>
        <v>1.2169000000000001</v>
      </c>
      <c r="E286" s="1369">
        <f>'INPUT-OUTPUT'!$U$20*D286</f>
        <v>142.46048517399541</v>
      </c>
      <c r="F286" s="2107">
        <v>-944.87435801541835</v>
      </c>
      <c r="G286" s="102">
        <v>82</v>
      </c>
      <c r="H286" s="1148" t="str">
        <f t="shared" si="107"/>
        <v/>
      </c>
    </row>
    <row r="287" spans="4:8">
      <c r="D287" s="2109">
        <f t="shared" si="106"/>
        <v>1.2318</v>
      </c>
      <c r="E287" s="1369">
        <f>'INPUT-OUTPUT'!$U$20*D287</f>
        <v>144.20480371216001</v>
      </c>
      <c r="F287" s="2107">
        <v>-967.06350085303245</v>
      </c>
      <c r="G287" s="102">
        <v>83</v>
      </c>
      <c r="H287" s="1148" t="str">
        <f t="shared" si="107"/>
        <v/>
      </c>
    </row>
    <row r="288" spans="4:8">
      <c r="D288" s="2109">
        <f t="shared" si="106"/>
        <v>1.2466999999999999</v>
      </c>
      <c r="E288" s="1369">
        <f>'INPUT-OUTPUT'!$U$20*D288</f>
        <v>145.94912225032462</v>
      </c>
      <c r="F288" s="2107">
        <v>-989.25264369064701</v>
      </c>
      <c r="G288" s="102">
        <v>84</v>
      </c>
      <c r="H288" s="1148" t="str">
        <f t="shared" si="107"/>
        <v/>
      </c>
    </row>
    <row r="289" spans="4:8">
      <c r="D289" s="2109">
        <f t="shared" si="106"/>
        <v>1.2616000000000001</v>
      </c>
      <c r="E289" s="1369">
        <f>'INPUT-OUTPUT'!$U$20*D289</f>
        <v>147.69344078848928</v>
      </c>
      <c r="F289" s="2107">
        <v>-1011.4417865282638</v>
      </c>
      <c r="G289" s="102">
        <v>85</v>
      </c>
      <c r="H289" s="1148" t="str">
        <f t="shared" si="107"/>
        <v/>
      </c>
    </row>
    <row r="290" spans="4:8">
      <c r="D290" s="2109">
        <f t="shared" si="106"/>
        <v>1.2765</v>
      </c>
      <c r="E290" s="1369">
        <f>'INPUT-OUTPUT'!$U$20*D290</f>
        <v>149.43775932665389</v>
      </c>
      <c r="F290" s="2107">
        <v>-1033.6309293658783</v>
      </c>
      <c r="G290" s="102">
        <v>86</v>
      </c>
      <c r="H290" s="1148" t="str">
        <f t="shared" si="107"/>
        <v/>
      </c>
    </row>
    <row r="291" spans="4:8">
      <c r="D291" s="2109">
        <f t="shared" si="106"/>
        <v>1.2913999999999999</v>
      </c>
      <c r="E291" s="1369">
        <f>'INPUT-OUTPUT'!$U$20*D291</f>
        <v>151.1820778648185</v>
      </c>
      <c r="F291" s="2107">
        <v>-1055.8200722034935</v>
      </c>
      <c r="G291" s="102">
        <v>87</v>
      </c>
      <c r="H291" s="1148" t="str">
        <f t="shared" si="107"/>
        <v/>
      </c>
    </row>
    <row r="292" spans="4:8">
      <c r="D292" s="2109">
        <f t="shared" si="106"/>
        <v>1.3063</v>
      </c>
      <c r="E292" s="1369">
        <f>'INPUT-OUTPUT'!$U$20*D292</f>
        <v>152.92639640298313</v>
      </c>
      <c r="F292" s="2107">
        <v>-1078.0092150411087</v>
      </c>
      <c r="G292" s="102">
        <v>88</v>
      </c>
      <c r="H292" s="1148" t="str">
        <f t="shared" si="107"/>
        <v/>
      </c>
    </row>
    <row r="293" spans="4:8">
      <c r="D293" s="2109">
        <f t="shared" si="106"/>
        <v>1.3211999999999999</v>
      </c>
      <c r="E293" s="1369">
        <f>'INPUT-OUTPUT'!$U$20*D293</f>
        <v>154.67071494114776</v>
      </c>
      <c r="F293" s="2107">
        <v>-1100.1983578787249</v>
      </c>
      <c r="G293" s="102">
        <v>89</v>
      </c>
      <c r="H293" s="1148" t="str">
        <f t="shared" si="107"/>
        <v/>
      </c>
    </row>
    <row r="294" spans="4:8">
      <c r="D294" s="2109">
        <f t="shared" si="106"/>
        <v>1.3361000000000001</v>
      </c>
      <c r="E294" s="1369">
        <f>'INPUT-OUTPUT'!$U$20*D294</f>
        <v>156.4150334793124</v>
      </c>
      <c r="F294" s="2107">
        <v>-1122.3875007163392</v>
      </c>
      <c r="G294" s="102">
        <v>90</v>
      </c>
      <c r="H294" s="1148" t="str">
        <f t="shared" si="107"/>
        <v/>
      </c>
    </row>
    <row r="295" spans="4:8">
      <c r="D295" s="2109">
        <f t="shared" si="106"/>
        <v>1.351</v>
      </c>
      <c r="E295" s="1369">
        <f>'INPUT-OUTPUT'!$U$20*D295</f>
        <v>158.159352017477</v>
      </c>
      <c r="F295" s="2107">
        <v>-1144.5766435539549</v>
      </c>
      <c r="G295" s="102">
        <v>91</v>
      </c>
      <c r="H295" s="1148" t="str">
        <f t="shared" si="107"/>
        <v/>
      </c>
    </row>
    <row r="296" spans="4:8">
      <c r="D296" s="2109">
        <f t="shared" si="106"/>
        <v>1.3659000000000001</v>
      </c>
      <c r="E296" s="1369">
        <f>'INPUT-OUTPUT'!$U$20*D296</f>
        <v>159.90367055564164</v>
      </c>
      <c r="F296" s="2107">
        <v>-1166.7657863915701</v>
      </c>
      <c r="G296" s="102">
        <v>92</v>
      </c>
      <c r="H296" s="1148" t="str">
        <f t="shared" si="107"/>
        <v/>
      </c>
    </row>
    <row r="297" spans="4:8">
      <c r="D297" s="2109">
        <f t="shared" si="106"/>
        <v>1.3808</v>
      </c>
      <c r="E297" s="1369">
        <f>'INPUT-OUTPUT'!$U$20*D297</f>
        <v>161.64798909380627</v>
      </c>
      <c r="F297" s="2107">
        <v>-1188.9549292291858</v>
      </c>
      <c r="G297" s="102">
        <v>93</v>
      </c>
      <c r="H297" s="1148" t="str">
        <f t="shared" si="107"/>
        <v/>
      </c>
    </row>
    <row r="298" spans="4:8">
      <c r="D298" s="2109">
        <f t="shared" si="106"/>
        <v>1.3957000000000002</v>
      </c>
      <c r="E298" s="1369">
        <f>'INPUT-OUTPUT'!$U$20*D298</f>
        <v>163.39230763197091</v>
      </c>
      <c r="F298" s="2107">
        <v>-1211.1440720668006</v>
      </c>
      <c r="G298" s="102">
        <v>94</v>
      </c>
      <c r="H298" s="1148" t="str">
        <f t="shared" si="107"/>
        <v/>
      </c>
    </row>
    <row r="299" spans="4:8">
      <c r="D299" s="2109">
        <f t="shared" si="106"/>
        <v>1.4105999999999999</v>
      </c>
      <c r="E299" s="1369">
        <f>'INPUT-OUTPUT'!$U$20*D299</f>
        <v>165.13662617013549</v>
      </c>
      <c r="F299" s="2107">
        <v>-1233.3332149044154</v>
      </c>
      <c r="G299" s="102">
        <v>95</v>
      </c>
      <c r="H299" s="1148" t="str">
        <f t="shared" si="107"/>
        <v/>
      </c>
    </row>
    <row r="300" spans="4:8">
      <c r="D300" s="2109">
        <f t="shared" si="106"/>
        <v>1.4255</v>
      </c>
      <c r="E300" s="1369">
        <f>'INPUT-OUTPUT'!$U$20*D300</f>
        <v>166.88094470830012</v>
      </c>
      <c r="F300" s="2107">
        <v>-1255.5223577420306</v>
      </c>
      <c r="G300" s="102">
        <v>96</v>
      </c>
      <c r="H300" s="1148" t="str">
        <f t="shared" si="107"/>
        <v/>
      </c>
    </row>
    <row r="301" spans="4:8">
      <c r="D301" s="2109">
        <f t="shared" si="106"/>
        <v>1.4403999999999999</v>
      </c>
      <c r="E301" s="1369">
        <f>'INPUT-OUTPUT'!$U$20*D301</f>
        <v>168.62526324646475</v>
      </c>
      <c r="F301" s="2107">
        <v>-1277.7115005796463</v>
      </c>
      <c r="G301" s="102">
        <v>97</v>
      </c>
      <c r="H301" s="1148" t="str">
        <f t="shared" si="107"/>
        <v/>
      </c>
    </row>
    <row r="302" spans="4:8">
      <c r="D302" s="2109">
        <f t="shared" si="106"/>
        <v>1.4553</v>
      </c>
      <c r="E302" s="1369">
        <f>'INPUT-OUTPUT'!$U$20*D302</f>
        <v>170.36958178462939</v>
      </c>
      <c r="F302" s="2107">
        <v>-1299.9006434172607</v>
      </c>
      <c r="G302" s="102">
        <v>98</v>
      </c>
      <c r="H302" s="1148" t="str">
        <f t="shared" si="107"/>
        <v/>
      </c>
    </row>
    <row r="303" spans="4:8">
      <c r="D303" s="2109">
        <f t="shared" si="106"/>
        <v>1.4702</v>
      </c>
      <c r="E303" s="1369">
        <f>'INPUT-OUTPUT'!$U$20*D303</f>
        <v>172.113900322794</v>
      </c>
      <c r="F303" s="2107">
        <v>-1322.0897862548768</v>
      </c>
      <c r="G303" s="102">
        <v>99</v>
      </c>
      <c r="H303" s="1148" t="str">
        <f t="shared" si="107"/>
        <v/>
      </c>
    </row>
    <row r="304" spans="4:8">
      <c r="D304" s="2111">
        <v>1.5</v>
      </c>
      <c r="E304" s="1369">
        <f>'INPUT-OUTPUT'!$U$20*D304</f>
        <v>175.60253739912326</v>
      </c>
      <c r="F304" s="2107">
        <v>-1366.4680719301073</v>
      </c>
      <c r="G304" s="102">
        <v>100</v>
      </c>
      <c r="H304" s="1148" t="str">
        <f t="shared" si="107"/>
        <v/>
      </c>
    </row>
    <row r="305" spans="5:20">
      <c r="E305" s="178" t="s">
        <v>1407</v>
      </c>
      <c r="F305" s="2108">
        <f>(F304-F254)/(E304-E254)</f>
        <v>-12.74185452048815</v>
      </c>
    </row>
    <row r="308" spans="5:20">
      <c r="S308" s="102"/>
      <c r="T308" s="102"/>
    </row>
    <row r="309" spans="5:20">
      <c r="S309" s="102"/>
      <c r="T309" s="102"/>
    </row>
    <row r="310" spans="5:20">
      <c r="S310" s="102"/>
      <c r="T310" s="102"/>
    </row>
    <row r="311" spans="5:20">
      <c r="S311" s="102"/>
      <c r="T311" s="102"/>
    </row>
    <row r="312" spans="5:20">
      <c r="S312" s="102"/>
      <c r="T312" s="102"/>
    </row>
    <row r="313" spans="5:20">
      <c r="S313" s="102"/>
      <c r="T313" s="102"/>
    </row>
    <row r="314" spans="5:20">
      <c r="S314" s="102"/>
      <c r="T314" s="102"/>
    </row>
    <row r="315" spans="5:20">
      <c r="S315" s="102"/>
      <c r="T315" s="102"/>
    </row>
    <row r="316" spans="5:20">
      <c r="S316" s="102"/>
      <c r="T316" s="102"/>
    </row>
    <row r="317" spans="5:20">
      <c r="S317" s="102"/>
      <c r="T317" s="102"/>
    </row>
    <row r="318" spans="5:20">
      <c r="S318" s="102"/>
      <c r="T318" s="102"/>
    </row>
    <row r="319" spans="5:20">
      <c r="S319" s="102"/>
      <c r="T319" s="102"/>
    </row>
    <row r="320" spans="5:20">
      <c r="S320" s="102"/>
      <c r="T320" s="102"/>
    </row>
    <row r="321" spans="19:20">
      <c r="S321" s="102"/>
      <c r="T321" s="102"/>
    </row>
    <row r="322" spans="19:20">
      <c r="S322" s="102"/>
      <c r="T322" s="102"/>
    </row>
    <row r="323" spans="19:20">
      <c r="S323" s="102"/>
      <c r="T323" s="102"/>
    </row>
    <row r="324" spans="19:20">
      <c r="S324" s="102"/>
      <c r="T324" s="102"/>
    </row>
    <row r="325" spans="19:20">
      <c r="S325" s="102"/>
      <c r="T325" s="102"/>
    </row>
    <row r="326" spans="19:20">
      <c r="S326" s="102"/>
      <c r="T326" s="102"/>
    </row>
    <row r="327" spans="19:20">
      <c r="S327" s="102"/>
      <c r="T327" s="102"/>
    </row>
    <row r="328" spans="19:20">
      <c r="S328" s="102"/>
      <c r="T328" s="102"/>
    </row>
    <row r="329" spans="19:20">
      <c r="S329" s="102"/>
      <c r="T329" s="102"/>
    </row>
    <row r="330" spans="19:20">
      <c r="S330" s="102"/>
      <c r="T330" s="102"/>
    </row>
    <row r="331" spans="19:20">
      <c r="S331" s="102"/>
      <c r="T331" s="102"/>
    </row>
    <row r="332" spans="19:20">
      <c r="S332" s="102"/>
      <c r="T332" s="102"/>
    </row>
    <row r="333" spans="19:20">
      <c r="S333" s="102"/>
      <c r="T333" s="102"/>
    </row>
    <row r="334" spans="19:20">
      <c r="S334" s="102"/>
      <c r="T334" s="102"/>
    </row>
    <row r="335" spans="19:20">
      <c r="S335" s="102"/>
      <c r="T335" s="102"/>
    </row>
    <row r="336" spans="19:20">
      <c r="S336" s="102"/>
      <c r="T336" s="102"/>
    </row>
    <row r="337" spans="19:20">
      <c r="S337" s="102"/>
      <c r="T337" s="102"/>
    </row>
    <row r="338" spans="19:20">
      <c r="S338" s="102"/>
      <c r="T338" s="102"/>
    </row>
    <row r="339" spans="19:20">
      <c r="S339" s="102"/>
      <c r="T339" s="102"/>
    </row>
    <row r="340" spans="19:20">
      <c r="S340" s="102"/>
      <c r="T340" s="102"/>
    </row>
    <row r="341" spans="19:20">
      <c r="S341" s="102"/>
      <c r="T341" s="102"/>
    </row>
    <row r="342" spans="19:20">
      <c r="S342" s="102"/>
      <c r="T342" s="102"/>
    </row>
    <row r="343" spans="19:20">
      <c r="S343" s="102"/>
      <c r="T343" s="102"/>
    </row>
    <row r="344" spans="19:20">
      <c r="S344" s="102"/>
      <c r="T344" s="102"/>
    </row>
    <row r="345" spans="19:20">
      <c r="S345" s="102"/>
      <c r="T345" s="102"/>
    </row>
    <row r="346" spans="19:20">
      <c r="S346" s="102"/>
      <c r="T346" s="102"/>
    </row>
    <row r="347" spans="19:20">
      <c r="S347" s="102"/>
      <c r="T347" s="102"/>
    </row>
    <row r="348" spans="19:20">
      <c r="S348" s="102"/>
      <c r="T348" s="102"/>
    </row>
    <row r="349" spans="19:20">
      <c r="S349" s="102"/>
      <c r="T349" s="102"/>
    </row>
    <row r="350" spans="19:20">
      <c r="S350" s="102"/>
      <c r="T350" s="102"/>
    </row>
    <row r="351" spans="19:20">
      <c r="S351" s="102"/>
      <c r="T351" s="102"/>
    </row>
    <row r="352" spans="19:20">
      <c r="S352" s="102"/>
      <c r="T352" s="102"/>
    </row>
    <row r="353" spans="19:20">
      <c r="S353" s="102"/>
      <c r="T353" s="102"/>
    </row>
    <row r="354" spans="19:20">
      <c r="S354" s="102"/>
      <c r="T354" s="102"/>
    </row>
    <row r="355" spans="19:20">
      <c r="S355" s="102"/>
      <c r="T355" s="102"/>
    </row>
    <row r="356" spans="19:20">
      <c r="S356" s="102"/>
      <c r="T356" s="102"/>
    </row>
    <row r="357" spans="19:20">
      <c r="S357" s="102"/>
      <c r="T357" s="102"/>
    </row>
    <row r="358" spans="19:20">
      <c r="S358" s="102"/>
      <c r="T358" s="102"/>
    </row>
    <row r="359" spans="19:20">
      <c r="S359" s="102"/>
      <c r="T359" s="102"/>
    </row>
    <row r="360" spans="19:20">
      <c r="S360" s="102"/>
      <c r="T360" s="102"/>
    </row>
    <row r="361" spans="19:20">
      <c r="S361" s="102"/>
      <c r="T361" s="102"/>
    </row>
    <row r="362" spans="19:20">
      <c r="S362" s="102"/>
      <c r="T362" s="102"/>
    </row>
    <row r="363" spans="19:20">
      <c r="S363" s="102"/>
      <c r="T363" s="102"/>
    </row>
    <row r="364" spans="19:20">
      <c r="S364" s="102"/>
      <c r="T364" s="102"/>
    </row>
    <row r="365" spans="19:20">
      <c r="S365" s="102"/>
      <c r="T365" s="102"/>
    </row>
    <row r="366" spans="19:20">
      <c r="S366" s="102"/>
      <c r="T366" s="102"/>
    </row>
    <row r="367" spans="19:20">
      <c r="S367" s="102"/>
      <c r="T367" s="102"/>
    </row>
    <row r="368" spans="19:20">
      <c r="S368" s="102"/>
      <c r="T368" s="102"/>
    </row>
    <row r="369" spans="19:20">
      <c r="S369" s="102"/>
      <c r="T369" s="102"/>
    </row>
    <row r="370" spans="19:20">
      <c r="S370" s="102"/>
      <c r="T370" s="102"/>
    </row>
    <row r="371" spans="19:20">
      <c r="S371" s="102"/>
      <c r="T371" s="102"/>
    </row>
    <row r="372" spans="19:20">
      <c r="S372" s="102"/>
      <c r="T372" s="102"/>
    </row>
    <row r="373" spans="19:20">
      <c r="S373" s="102"/>
      <c r="T373" s="102"/>
    </row>
    <row r="374" spans="19:20">
      <c r="S374" s="102"/>
      <c r="T374" s="102"/>
    </row>
    <row r="375" spans="19:20">
      <c r="S375" s="102"/>
      <c r="T375" s="102"/>
    </row>
    <row r="376" spans="19:20">
      <c r="S376" s="102"/>
      <c r="T376" s="102"/>
    </row>
    <row r="377" spans="19:20">
      <c r="S377" s="102"/>
      <c r="T377" s="102"/>
    </row>
    <row r="378" spans="19:20">
      <c r="S378" s="102"/>
      <c r="T378" s="102"/>
    </row>
    <row r="379" spans="19:20">
      <c r="S379" s="102"/>
      <c r="T379" s="102"/>
    </row>
    <row r="380" spans="19:20">
      <c r="S380" s="102"/>
      <c r="T380" s="102"/>
    </row>
    <row r="381" spans="19:20">
      <c r="S381" s="102"/>
      <c r="T381" s="102"/>
    </row>
    <row r="382" spans="19:20">
      <c r="S382" s="102"/>
      <c r="T382" s="102"/>
    </row>
    <row r="383" spans="19:20">
      <c r="S383" s="102"/>
      <c r="T383" s="102"/>
    </row>
    <row r="384" spans="19:20">
      <c r="S384" s="102"/>
      <c r="T384" s="102"/>
    </row>
    <row r="385" spans="19:20">
      <c r="S385" s="102"/>
      <c r="T385" s="102"/>
    </row>
    <row r="386" spans="19:20">
      <c r="S386" s="102"/>
      <c r="T386" s="102"/>
    </row>
    <row r="387" spans="19:20">
      <c r="S387" s="102"/>
      <c r="T387" s="102"/>
    </row>
    <row r="388" spans="19:20">
      <c r="S388" s="102"/>
      <c r="T388" s="102"/>
    </row>
    <row r="389" spans="19:20">
      <c r="S389" s="102"/>
      <c r="T389" s="102"/>
    </row>
    <row r="390" spans="19:20">
      <c r="S390" s="102"/>
      <c r="T390" s="102"/>
    </row>
    <row r="391" spans="19:20">
      <c r="S391" s="102"/>
      <c r="T391" s="102"/>
    </row>
    <row r="392" spans="19:20">
      <c r="S392" s="102"/>
      <c r="T392" s="102"/>
    </row>
    <row r="393" spans="19:20">
      <c r="S393" s="102"/>
      <c r="T393" s="102"/>
    </row>
    <row r="394" spans="19:20">
      <c r="S394" s="102"/>
      <c r="T394" s="102"/>
    </row>
    <row r="395" spans="19:20">
      <c r="S395" s="102"/>
      <c r="T395" s="102"/>
    </row>
    <row r="396" spans="19:20">
      <c r="S396" s="102"/>
      <c r="T396" s="102"/>
    </row>
    <row r="397" spans="19:20">
      <c r="S397" s="102"/>
      <c r="T397" s="102"/>
    </row>
    <row r="398" spans="19:20">
      <c r="S398" s="102"/>
      <c r="T398" s="102"/>
    </row>
    <row r="399" spans="19:20">
      <c r="S399" s="102"/>
      <c r="T399" s="102"/>
    </row>
    <row r="400" spans="19:20">
      <c r="S400" s="102"/>
      <c r="T400" s="102"/>
    </row>
    <row r="401" spans="19:20">
      <c r="S401" s="102"/>
      <c r="T401" s="102"/>
    </row>
    <row r="402" spans="19:20">
      <c r="S402" s="102"/>
      <c r="T402" s="102"/>
    </row>
    <row r="403" spans="19:20">
      <c r="S403" s="102"/>
      <c r="T403" s="102"/>
    </row>
    <row r="404" spans="19:20">
      <c r="S404" s="102"/>
      <c r="T404" s="102"/>
    </row>
    <row r="405" spans="19:20">
      <c r="S405" s="102"/>
      <c r="T405" s="102"/>
    </row>
    <row r="406" spans="19:20">
      <c r="S406" s="102"/>
      <c r="T406" s="102"/>
    </row>
    <row r="407" spans="19:20">
      <c r="S407" s="102"/>
      <c r="T407" s="102"/>
    </row>
    <row r="408" spans="19:20">
      <c r="S408" s="102"/>
      <c r="T408" s="102"/>
    </row>
    <row r="409" spans="19:20">
      <c r="S409" s="102"/>
      <c r="T409" s="102"/>
    </row>
    <row r="410" spans="19:20">
      <c r="S410" s="102"/>
      <c r="T410" s="102"/>
    </row>
    <row r="411" spans="19:20">
      <c r="S411" s="102"/>
      <c r="T411" s="102"/>
    </row>
    <row r="412" spans="19:20">
      <c r="S412" s="102"/>
      <c r="T412" s="102"/>
    </row>
    <row r="413" spans="19:20">
      <c r="S413" s="102"/>
      <c r="T413" s="102"/>
    </row>
    <row r="414" spans="19:20">
      <c r="S414" s="102"/>
      <c r="T414" s="102"/>
    </row>
    <row r="415" spans="19:20">
      <c r="S415" s="102"/>
      <c r="T415" s="102"/>
    </row>
    <row r="416" spans="19:20">
      <c r="S416" s="102"/>
      <c r="T416" s="102"/>
    </row>
    <row r="417" spans="19:20">
      <c r="S417" s="102"/>
      <c r="T417" s="102"/>
    </row>
    <row r="418" spans="19:20">
      <c r="S418" s="102"/>
      <c r="T418" s="102"/>
    </row>
    <row r="419" spans="19:20">
      <c r="S419" s="102"/>
      <c r="T419" s="102"/>
    </row>
    <row r="420" spans="19:20">
      <c r="S420" s="102"/>
      <c r="T420" s="102"/>
    </row>
    <row r="421" spans="19:20">
      <c r="S421" s="102"/>
      <c r="T421" s="102"/>
    </row>
    <row r="422" spans="19:20">
      <c r="S422" s="102"/>
      <c r="T422" s="102"/>
    </row>
    <row r="423" spans="19:20">
      <c r="S423" s="102"/>
      <c r="T423" s="102"/>
    </row>
    <row r="424" spans="19:20">
      <c r="S424" s="102"/>
      <c r="T424" s="102"/>
    </row>
    <row r="425" spans="19:20">
      <c r="S425" s="102"/>
      <c r="T425" s="102"/>
    </row>
    <row r="426" spans="19:20">
      <c r="S426" s="102"/>
      <c r="T426" s="102"/>
    </row>
    <row r="427" spans="19:20">
      <c r="S427" s="102"/>
      <c r="T427" s="102"/>
    </row>
  </sheetData>
  <mergeCells count="30">
    <mergeCell ref="J160:N160"/>
    <mergeCell ref="K161:L161"/>
    <mergeCell ref="M161:N161"/>
    <mergeCell ref="B159:B161"/>
    <mergeCell ref="C140:D140"/>
    <mergeCell ref="I160:I161"/>
    <mergeCell ref="D163:E163"/>
    <mergeCell ref="D164:E164"/>
    <mergeCell ref="C161:C162"/>
    <mergeCell ref="D161:E162"/>
    <mergeCell ref="C159:E160"/>
    <mergeCell ref="D165:E165"/>
    <mergeCell ref="D166:E166"/>
    <mergeCell ref="D167:E167"/>
    <mergeCell ref="D168:E168"/>
    <mergeCell ref="D169:E169"/>
    <mergeCell ref="D175:E175"/>
    <mergeCell ref="D186:E186"/>
    <mergeCell ref="D187:E187"/>
    <mergeCell ref="D188:E188"/>
    <mergeCell ref="D170:E170"/>
    <mergeCell ref="D171:E171"/>
    <mergeCell ref="D172:E172"/>
    <mergeCell ref="D173:E173"/>
    <mergeCell ref="D174:E174"/>
    <mergeCell ref="D189:E189"/>
    <mergeCell ref="D191:E191"/>
    <mergeCell ref="D192:E192"/>
    <mergeCell ref="D193:E193"/>
    <mergeCell ref="D190:E190"/>
  </mergeCells>
  <phoneticPr fontId="0" type="noConversion"/>
  <conditionalFormatting sqref="F153:CH155 F156:AS156">
    <cfRule type="cellIs" dxfId="1" priority="2" stopIfTrue="1" operator="notEqual">
      <formula>0</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indexed="17"/>
    <pageSetUpPr fitToPage="1"/>
  </sheetPr>
  <dimension ref="A1:IV376"/>
  <sheetViews>
    <sheetView showGridLines="0" showZeros="0" zoomScaleNormal="100" workbookViewId="0">
      <pane xSplit="5" ySplit="5" topLeftCell="F6" activePane="bottomRight" state="frozen"/>
      <selection activeCell="D73" sqref="D73"/>
      <selection pane="topRight" activeCell="D73" sqref="D73"/>
      <selection pane="bottomLeft" activeCell="D73" sqref="D73"/>
      <selection pane="bottomRight" activeCell="E11" sqref="E11"/>
    </sheetView>
  </sheetViews>
  <sheetFormatPr defaultColWidth="9" defaultRowHeight="12.75"/>
  <cols>
    <col min="1" max="1" width="3.42578125" style="102" bestFit="1" customWidth="1"/>
    <col min="2" max="2" width="36.7109375" style="102" customWidth="1"/>
    <col min="3" max="3" width="9.28515625" style="102" customWidth="1"/>
    <col min="4" max="4" width="11.140625" style="102" bestFit="1" customWidth="1"/>
    <col min="5" max="5" width="12.140625" style="102" bestFit="1" customWidth="1"/>
    <col min="6" max="6" width="12.28515625" style="103" customWidth="1"/>
    <col min="7" max="12" width="10.85546875" style="102" bestFit="1" customWidth="1"/>
    <col min="13" max="13" width="11" style="102" bestFit="1" customWidth="1"/>
    <col min="14" max="15" width="10.85546875" style="102" bestFit="1" customWidth="1"/>
    <col min="16" max="18" width="10.7109375" style="102" bestFit="1" customWidth="1"/>
    <col min="19" max="20" width="10.7109375" style="103" bestFit="1" customWidth="1"/>
    <col min="21" max="25" width="10.7109375" style="102" bestFit="1" customWidth="1"/>
    <col min="26" max="45" width="9.85546875" style="102" bestFit="1" customWidth="1"/>
    <col min="46" max="16384" width="9" style="102"/>
  </cols>
  <sheetData>
    <row r="1" spans="1:45" s="100" customFormat="1">
      <c r="B1" s="631"/>
      <c r="F1" s="267">
        <f t="shared" ref="F1:Z1" si="0">IF(ISNUMBER(F2),1,0)</f>
        <v>1</v>
      </c>
      <c r="G1" s="100">
        <f t="shared" si="0"/>
        <v>1</v>
      </c>
      <c r="H1" s="100">
        <f t="shared" si="0"/>
        <v>1</v>
      </c>
      <c r="I1" s="100">
        <f t="shared" si="0"/>
        <v>1</v>
      </c>
      <c r="J1" s="100">
        <f t="shared" si="0"/>
        <v>1</v>
      </c>
      <c r="K1" s="100">
        <f t="shared" si="0"/>
        <v>1</v>
      </c>
      <c r="L1" s="100">
        <f t="shared" si="0"/>
        <v>1</v>
      </c>
      <c r="M1" s="100">
        <f t="shared" si="0"/>
        <v>1</v>
      </c>
      <c r="N1" s="100">
        <f t="shared" si="0"/>
        <v>1</v>
      </c>
      <c r="O1" s="100">
        <f t="shared" si="0"/>
        <v>1</v>
      </c>
      <c r="P1" s="100">
        <f t="shared" si="0"/>
        <v>1</v>
      </c>
      <c r="Q1" s="100">
        <f t="shared" si="0"/>
        <v>1</v>
      </c>
      <c r="R1" s="100">
        <f t="shared" si="0"/>
        <v>1</v>
      </c>
      <c r="S1" s="100">
        <f t="shared" si="0"/>
        <v>1</v>
      </c>
      <c r="T1" s="100">
        <f t="shared" si="0"/>
        <v>1</v>
      </c>
      <c r="U1" s="100">
        <f t="shared" si="0"/>
        <v>1</v>
      </c>
      <c r="V1" s="100">
        <f t="shared" si="0"/>
        <v>1</v>
      </c>
      <c r="W1" s="100">
        <f t="shared" si="0"/>
        <v>1</v>
      </c>
      <c r="X1" s="100">
        <f t="shared" si="0"/>
        <v>1</v>
      </c>
      <c r="Y1" s="100">
        <f t="shared" si="0"/>
        <v>1</v>
      </c>
      <c r="Z1" s="100">
        <f t="shared" si="0"/>
        <v>1</v>
      </c>
      <c r="AA1" s="100">
        <f t="shared" ref="AA1:AS1" si="1">IF(ISNUMBER(AA2),1,0)</f>
        <v>1</v>
      </c>
      <c r="AB1" s="100">
        <f t="shared" si="1"/>
        <v>1</v>
      </c>
      <c r="AC1" s="100">
        <f t="shared" si="1"/>
        <v>1</v>
      </c>
      <c r="AD1" s="100">
        <f t="shared" si="1"/>
        <v>1</v>
      </c>
      <c r="AE1" s="100">
        <f t="shared" si="1"/>
        <v>1</v>
      </c>
      <c r="AF1" s="100">
        <f t="shared" si="1"/>
        <v>1</v>
      </c>
      <c r="AG1" s="100">
        <f t="shared" si="1"/>
        <v>1</v>
      </c>
      <c r="AH1" s="100">
        <f t="shared" si="1"/>
        <v>1</v>
      </c>
      <c r="AI1" s="100">
        <f t="shared" si="1"/>
        <v>1</v>
      </c>
      <c r="AJ1" s="100">
        <f t="shared" si="1"/>
        <v>0</v>
      </c>
      <c r="AK1" s="100">
        <f t="shared" si="1"/>
        <v>0</v>
      </c>
      <c r="AL1" s="100">
        <f t="shared" si="1"/>
        <v>0</v>
      </c>
      <c r="AM1" s="100">
        <f t="shared" si="1"/>
        <v>0</v>
      </c>
      <c r="AN1" s="100">
        <f t="shared" si="1"/>
        <v>0</v>
      </c>
      <c r="AO1" s="100">
        <f t="shared" si="1"/>
        <v>0</v>
      </c>
      <c r="AP1" s="100">
        <f t="shared" si="1"/>
        <v>0</v>
      </c>
      <c r="AQ1" s="100">
        <f t="shared" si="1"/>
        <v>0</v>
      </c>
      <c r="AR1" s="100">
        <f t="shared" si="1"/>
        <v>0</v>
      </c>
      <c r="AS1" s="100">
        <f t="shared" si="1"/>
        <v>0</v>
      </c>
    </row>
    <row r="2" spans="1:45" s="101" customFormat="1">
      <c r="A2" s="100"/>
      <c r="B2" s="100"/>
      <c r="C2" s="100"/>
      <c r="D2" s="87"/>
      <c r="F2" s="632">
        <f t="shared" ref="F2:AS2" si="2">IF(F4-StartYr+1&lt;=BookLife,F4-StartYr+1,"")</f>
        <v>1</v>
      </c>
      <c r="G2" s="101">
        <f t="shared" si="2"/>
        <v>2</v>
      </c>
      <c r="H2" s="101">
        <f t="shared" si="2"/>
        <v>3</v>
      </c>
      <c r="I2" s="101">
        <f t="shared" si="2"/>
        <v>4</v>
      </c>
      <c r="J2" s="101">
        <f t="shared" si="2"/>
        <v>5</v>
      </c>
      <c r="K2" s="101">
        <f t="shared" si="2"/>
        <v>6</v>
      </c>
      <c r="L2" s="101">
        <f t="shared" si="2"/>
        <v>7</v>
      </c>
      <c r="M2" s="101">
        <f t="shared" si="2"/>
        <v>8</v>
      </c>
      <c r="N2" s="101">
        <f t="shared" si="2"/>
        <v>9</v>
      </c>
      <c r="O2" s="101">
        <f t="shared" si="2"/>
        <v>10</v>
      </c>
      <c r="P2" s="101">
        <f t="shared" si="2"/>
        <v>11</v>
      </c>
      <c r="Q2" s="101">
        <f t="shared" si="2"/>
        <v>12</v>
      </c>
      <c r="R2" s="101">
        <f t="shared" si="2"/>
        <v>13</v>
      </c>
      <c r="S2" s="101">
        <f t="shared" si="2"/>
        <v>14</v>
      </c>
      <c r="T2" s="101">
        <f t="shared" si="2"/>
        <v>15</v>
      </c>
      <c r="U2" s="101">
        <f t="shared" si="2"/>
        <v>16</v>
      </c>
      <c r="V2" s="101">
        <f t="shared" si="2"/>
        <v>17</v>
      </c>
      <c r="W2" s="101">
        <f t="shared" si="2"/>
        <v>18</v>
      </c>
      <c r="X2" s="101">
        <f t="shared" si="2"/>
        <v>19</v>
      </c>
      <c r="Y2" s="101">
        <f t="shared" si="2"/>
        <v>20</v>
      </c>
      <c r="Z2" s="101">
        <f t="shared" si="2"/>
        <v>21</v>
      </c>
      <c r="AA2" s="101">
        <f t="shared" si="2"/>
        <v>22</v>
      </c>
      <c r="AB2" s="101">
        <f t="shared" si="2"/>
        <v>23</v>
      </c>
      <c r="AC2" s="101">
        <f t="shared" si="2"/>
        <v>24</v>
      </c>
      <c r="AD2" s="101">
        <f t="shared" si="2"/>
        <v>25</v>
      </c>
      <c r="AE2" s="101">
        <f t="shared" si="2"/>
        <v>26</v>
      </c>
      <c r="AF2" s="101">
        <f t="shared" si="2"/>
        <v>27</v>
      </c>
      <c r="AG2" s="101">
        <f t="shared" si="2"/>
        <v>28</v>
      </c>
      <c r="AH2" s="101">
        <f t="shared" si="2"/>
        <v>29</v>
      </c>
      <c r="AI2" s="101">
        <f t="shared" si="2"/>
        <v>30</v>
      </c>
      <c r="AJ2" s="101" t="str">
        <f t="shared" si="2"/>
        <v/>
      </c>
      <c r="AK2" s="101" t="str">
        <f t="shared" si="2"/>
        <v/>
      </c>
      <c r="AL2" s="101" t="str">
        <f t="shared" si="2"/>
        <v/>
      </c>
      <c r="AM2" s="101" t="str">
        <f t="shared" si="2"/>
        <v/>
      </c>
      <c r="AN2" s="101" t="str">
        <f t="shared" si="2"/>
        <v/>
      </c>
      <c r="AO2" s="101" t="str">
        <f t="shared" si="2"/>
        <v/>
      </c>
      <c r="AP2" s="101" t="str">
        <f t="shared" si="2"/>
        <v/>
      </c>
      <c r="AQ2" s="101" t="str">
        <f t="shared" si="2"/>
        <v/>
      </c>
      <c r="AR2" s="101" t="str">
        <f t="shared" si="2"/>
        <v/>
      </c>
      <c r="AS2" s="101" t="str">
        <f t="shared" si="2"/>
        <v/>
      </c>
    </row>
    <row r="3" spans="1:45" s="101" customFormat="1">
      <c r="A3" s="100"/>
      <c r="B3" s="100"/>
      <c r="C3" s="100"/>
      <c r="F3" s="632"/>
    </row>
    <row r="4" spans="1:45" s="101" customFormat="1">
      <c r="A4" s="100"/>
      <c r="D4" s="1002" t="s">
        <v>305</v>
      </c>
      <c r="E4" s="1002" t="str">
        <f>StartYr &amp; " NPV"</f>
        <v>2013 NPV</v>
      </c>
      <c r="F4" s="632">
        <f>StartYr</f>
        <v>2013</v>
      </c>
      <c r="G4" s="633">
        <f t="shared" ref="G4:AS4" si="3">F4+1</f>
        <v>2014</v>
      </c>
      <c r="H4" s="633">
        <f t="shared" si="3"/>
        <v>2015</v>
      </c>
      <c r="I4" s="633">
        <f t="shared" si="3"/>
        <v>2016</v>
      </c>
      <c r="J4" s="633">
        <f t="shared" si="3"/>
        <v>2017</v>
      </c>
      <c r="K4" s="633">
        <f t="shared" si="3"/>
        <v>2018</v>
      </c>
      <c r="L4" s="633">
        <f t="shared" si="3"/>
        <v>2019</v>
      </c>
      <c r="M4" s="633">
        <f t="shared" si="3"/>
        <v>2020</v>
      </c>
      <c r="N4" s="633">
        <f t="shared" si="3"/>
        <v>2021</v>
      </c>
      <c r="O4" s="633">
        <f t="shared" si="3"/>
        <v>2022</v>
      </c>
      <c r="P4" s="633">
        <f t="shared" si="3"/>
        <v>2023</v>
      </c>
      <c r="Q4" s="633">
        <f t="shared" si="3"/>
        <v>2024</v>
      </c>
      <c r="R4" s="633">
        <f t="shared" si="3"/>
        <v>2025</v>
      </c>
      <c r="S4" s="633">
        <f t="shared" si="3"/>
        <v>2026</v>
      </c>
      <c r="T4" s="633">
        <f t="shared" si="3"/>
        <v>2027</v>
      </c>
      <c r="U4" s="633">
        <f t="shared" si="3"/>
        <v>2028</v>
      </c>
      <c r="V4" s="633">
        <f t="shared" si="3"/>
        <v>2029</v>
      </c>
      <c r="W4" s="633">
        <f t="shared" si="3"/>
        <v>2030</v>
      </c>
      <c r="X4" s="633">
        <f t="shared" si="3"/>
        <v>2031</v>
      </c>
      <c r="Y4" s="633">
        <f t="shared" si="3"/>
        <v>2032</v>
      </c>
      <c r="Z4" s="633">
        <f t="shared" si="3"/>
        <v>2033</v>
      </c>
      <c r="AA4" s="633">
        <f t="shared" si="3"/>
        <v>2034</v>
      </c>
      <c r="AB4" s="633">
        <f t="shared" si="3"/>
        <v>2035</v>
      </c>
      <c r="AC4" s="633">
        <f t="shared" si="3"/>
        <v>2036</v>
      </c>
      <c r="AD4" s="633">
        <f t="shared" si="3"/>
        <v>2037</v>
      </c>
      <c r="AE4" s="633">
        <f t="shared" si="3"/>
        <v>2038</v>
      </c>
      <c r="AF4" s="633">
        <f t="shared" si="3"/>
        <v>2039</v>
      </c>
      <c r="AG4" s="633">
        <f t="shared" si="3"/>
        <v>2040</v>
      </c>
      <c r="AH4" s="633">
        <f t="shared" si="3"/>
        <v>2041</v>
      </c>
      <c r="AI4" s="633">
        <f t="shared" si="3"/>
        <v>2042</v>
      </c>
      <c r="AJ4" s="633">
        <f t="shared" si="3"/>
        <v>2043</v>
      </c>
      <c r="AK4" s="633">
        <f t="shared" si="3"/>
        <v>2044</v>
      </c>
      <c r="AL4" s="633">
        <f t="shared" si="3"/>
        <v>2045</v>
      </c>
      <c r="AM4" s="633">
        <f t="shared" si="3"/>
        <v>2046</v>
      </c>
      <c r="AN4" s="633">
        <f t="shared" si="3"/>
        <v>2047</v>
      </c>
      <c r="AO4" s="633">
        <f t="shared" si="3"/>
        <v>2048</v>
      </c>
      <c r="AP4" s="633">
        <f t="shared" si="3"/>
        <v>2049</v>
      </c>
      <c r="AQ4" s="633">
        <f t="shared" si="3"/>
        <v>2050</v>
      </c>
      <c r="AR4" s="633">
        <f t="shared" si="3"/>
        <v>2051</v>
      </c>
      <c r="AS4" s="633">
        <f t="shared" si="3"/>
        <v>2052</v>
      </c>
    </row>
    <row r="5" spans="1:45" s="101" customFormat="1">
      <c r="A5" s="100"/>
      <c r="B5" s="634"/>
      <c r="C5" s="635"/>
      <c r="D5" s="636"/>
      <c r="E5" s="636"/>
      <c r="F5" s="554"/>
      <c r="G5" s="633"/>
      <c r="H5" s="633"/>
      <c r="I5" s="633"/>
      <c r="J5" s="633"/>
      <c r="K5" s="633"/>
      <c r="L5" s="633"/>
      <c r="M5" s="633"/>
      <c r="N5" s="633"/>
      <c r="O5" s="633"/>
      <c r="P5" s="633"/>
      <c r="Q5" s="633"/>
      <c r="R5" s="633"/>
      <c r="S5" s="633"/>
      <c r="T5" s="633"/>
      <c r="U5" s="633"/>
      <c r="V5" s="633"/>
      <c r="W5" s="633"/>
      <c r="X5" s="633"/>
      <c r="Y5" s="633"/>
      <c r="Z5" s="633"/>
      <c r="AA5" s="633"/>
      <c r="AB5" s="633"/>
      <c r="AC5" s="633"/>
      <c r="AD5" s="633"/>
      <c r="AE5" s="633"/>
      <c r="AF5" s="633"/>
      <c r="AG5" s="633"/>
      <c r="AH5" s="633"/>
      <c r="AI5" s="633"/>
      <c r="AJ5" s="633"/>
      <c r="AK5" s="633"/>
      <c r="AL5" s="633"/>
      <c r="AM5" s="633"/>
      <c r="AN5" s="633"/>
      <c r="AO5" s="633"/>
      <c r="AP5" s="633"/>
      <c r="AQ5" s="633"/>
      <c r="AR5" s="633"/>
      <c r="AS5" s="633"/>
    </row>
    <row r="6" spans="1:45" s="1164" customFormat="1">
      <c r="A6" s="1160"/>
      <c r="B6" s="1161" t="s">
        <v>900</v>
      </c>
      <c r="C6" s="1160" t="s">
        <v>980</v>
      </c>
      <c r="D6" s="1162">
        <f>-PMT(DiscountRate,BookLife,E6)</f>
        <v>249.95762865115609</v>
      </c>
      <c r="E6" s="1163">
        <f>NPV(DiscountRate,F6:AS6)*(1)</f>
        <v>3217.5475338762553</v>
      </c>
      <c r="F6" s="1786">
        <f>F42+F26+(F73-IF($B71="BEITC (Tax Credit)",-(F68+F69)+F132,0))</f>
        <v>2.9794238764357033</v>
      </c>
      <c r="G6" s="1786">
        <f t="shared" ref="G6:AS6" si="4">G42+G26+(G73-IF($B71="BEITC (Tax Credit)",-(G68+G69)+G132,0))</f>
        <v>170.54608218110184</v>
      </c>
      <c r="H6" s="1786">
        <f t="shared" si="4"/>
        <v>242.85058871064638</v>
      </c>
      <c r="I6" s="1786">
        <f t="shared" si="4"/>
        <v>269.97455866538013</v>
      </c>
      <c r="J6" s="1786">
        <f t="shared" si="4"/>
        <v>262.39100168163554</v>
      </c>
      <c r="K6" s="1786">
        <f t="shared" si="4"/>
        <v>346.42262912888657</v>
      </c>
      <c r="L6" s="1786">
        <f t="shared" si="4"/>
        <v>343.25157161401921</v>
      </c>
      <c r="M6" s="1786">
        <f t="shared" si="4"/>
        <v>340.1368556356818</v>
      </c>
      <c r="N6" s="1786">
        <f t="shared" si="4"/>
        <v>337.08372680678309</v>
      </c>
      <c r="O6" s="1786">
        <f t="shared" si="4"/>
        <v>334.09763997290702</v>
      </c>
      <c r="P6" s="1786">
        <f t="shared" si="4"/>
        <v>331.18427717793759</v>
      </c>
      <c r="Q6" s="1786">
        <f t="shared" si="4"/>
        <v>328.04854425984661</v>
      </c>
      <c r="R6" s="1786">
        <f t="shared" si="4"/>
        <v>324.72392030074991</v>
      </c>
      <c r="S6" s="1786">
        <f t="shared" si="4"/>
        <v>321.7879324461523</v>
      </c>
      <c r="T6" s="1786">
        <f t="shared" si="4"/>
        <v>318.96352573836856</v>
      </c>
      <c r="U6" s="1786">
        <f t="shared" si="4"/>
        <v>315.95067267957933</v>
      </c>
      <c r="V6" s="1786">
        <f t="shared" si="4"/>
        <v>313.36299643553212</v>
      </c>
      <c r="W6" s="1786">
        <f t="shared" si="4"/>
        <v>310.58843058781656</v>
      </c>
      <c r="X6" s="1786">
        <f t="shared" si="4"/>
        <v>308.26595800014002</v>
      </c>
      <c r="Y6" s="1786">
        <f t="shared" si="4"/>
        <v>305.75938828866947</v>
      </c>
      <c r="Z6" s="1786">
        <f t="shared" si="4"/>
        <v>144.21177389957919</v>
      </c>
      <c r="AA6" s="1786">
        <f t="shared" si="4"/>
        <v>138.94353455126958</v>
      </c>
      <c r="AB6" s="1786">
        <f t="shared" si="4"/>
        <v>133.65530724547298</v>
      </c>
      <c r="AC6" s="1786">
        <f t="shared" si="4"/>
        <v>128.34623750650076</v>
      </c>
      <c r="AD6" s="1786">
        <f t="shared" si="4"/>
        <v>123.38169759794285</v>
      </c>
      <c r="AE6" s="1786">
        <f t="shared" si="4"/>
        <v>118.03559971486069</v>
      </c>
      <c r="AF6" s="1786">
        <f t="shared" si="4"/>
        <v>112.66608335008577</v>
      </c>
      <c r="AG6" s="1786">
        <f t="shared" si="4"/>
        <v>107.6608588827324</v>
      </c>
      <c r="AH6" s="1786">
        <f t="shared" si="4"/>
        <v>102.24937003056195</v>
      </c>
      <c r="AI6" s="1786">
        <f t="shared" si="4"/>
        <v>97.216023354688616</v>
      </c>
      <c r="AJ6" s="1786">
        <f t="shared" si="4"/>
        <v>0</v>
      </c>
      <c r="AK6" s="1786">
        <f t="shared" si="4"/>
        <v>0</v>
      </c>
      <c r="AL6" s="1786">
        <f t="shared" si="4"/>
        <v>0</v>
      </c>
      <c r="AM6" s="1786">
        <f t="shared" si="4"/>
        <v>0</v>
      </c>
      <c r="AN6" s="1786">
        <f t="shared" si="4"/>
        <v>0</v>
      </c>
      <c r="AO6" s="1786">
        <f t="shared" si="4"/>
        <v>0</v>
      </c>
      <c r="AP6" s="1786">
        <f t="shared" si="4"/>
        <v>0</v>
      </c>
      <c r="AQ6" s="1786">
        <f t="shared" si="4"/>
        <v>0</v>
      </c>
      <c r="AR6" s="1786">
        <f t="shared" si="4"/>
        <v>0</v>
      </c>
      <c r="AS6" s="1786">
        <f t="shared" si="4"/>
        <v>0</v>
      </c>
    </row>
    <row r="7" spans="1:45" s="1307" customFormat="1">
      <c r="A7" s="1305"/>
      <c r="B7" s="1306" t="s">
        <v>1386</v>
      </c>
      <c r="C7" s="1305" t="s">
        <v>1389</v>
      </c>
      <c r="D7" s="1785">
        <f>-PMT(DiscountRate,BookLife,E7)</f>
        <v>221.10834294810641</v>
      </c>
      <c r="E7" s="1784">
        <f>NPV(DiscountRate,F7:AS7)*(1)</f>
        <v>2846.1888017229539</v>
      </c>
      <c r="F7" s="1435">
        <f t="shared" ref="F7:AS7" si="5">IF(F$1,GrossMW*(1-AnnCapDegredationRate)^(F$4-StartYr)*AverageOutputPct*OpHrsPerYr/1000,0)</f>
        <v>227.76000000000002</v>
      </c>
      <c r="G7" s="1435">
        <f t="shared" si="5"/>
        <v>227.07672000000002</v>
      </c>
      <c r="H7" s="1435">
        <f t="shared" si="5"/>
        <v>226.39548984000004</v>
      </c>
      <c r="I7" s="1435">
        <f t="shared" si="5"/>
        <v>225.71630337048003</v>
      </c>
      <c r="J7" s="1435">
        <f t="shared" si="5"/>
        <v>225.03915446036859</v>
      </c>
      <c r="K7" s="1435">
        <f t="shared" si="5"/>
        <v>224.36403699698747</v>
      </c>
      <c r="L7" s="1435">
        <f t="shared" si="5"/>
        <v>223.69094488599654</v>
      </c>
      <c r="M7" s="1435">
        <f t="shared" si="5"/>
        <v>223.01987205133855</v>
      </c>
      <c r="N7" s="1435">
        <f t="shared" si="5"/>
        <v>222.35081243518454</v>
      </c>
      <c r="O7" s="1435">
        <f t="shared" si="5"/>
        <v>221.68375999787898</v>
      </c>
      <c r="P7" s="1435">
        <f t="shared" si="5"/>
        <v>221.01870871788537</v>
      </c>
      <c r="Q7" s="1435">
        <f t="shared" si="5"/>
        <v>220.35565259173168</v>
      </c>
      <c r="R7" s="1435">
        <f t="shared" si="5"/>
        <v>219.69458563395651</v>
      </c>
      <c r="S7" s="1435">
        <f t="shared" si="5"/>
        <v>219.03550187705463</v>
      </c>
      <c r="T7" s="1435">
        <f t="shared" si="5"/>
        <v>218.37839537142349</v>
      </c>
      <c r="U7" s="1435">
        <f t="shared" si="5"/>
        <v>217.72326018530921</v>
      </c>
      <c r="V7" s="1435">
        <f t="shared" si="5"/>
        <v>217.07009040475327</v>
      </c>
      <c r="W7" s="1435">
        <f t="shared" si="5"/>
        <v>216.41888013353903</v>
      </c>
      <c r="X7" s="1435">
        <f t="shared" si="5"/>
        <v>215.7696234931384</v>
      </c>
      <c r="Y7" s="1435">
        <f t="shared" si="5"/>
        <v>215.12231462265899</v>
      </c>
      <c r="Z7" s="1435">
        <f t="shared" si="5"/>
        <v>214.47694767879105</v>
      </c>
      <c r="AA7" s="1435">
        <f t="shared" si="5"/>
        <v>213.83351683575464</v>
      </c>
      <c r="AB7" s="1435">
        <f t="shared" si="5"/>
        <v>213.1920162852474</v>
      </c>
      <c r="AC7" s="1435">
        <f t="shared" si="5"/>
        <v>212.55244023639167</v>
      </c>
      <c r="AD7" s="1435">
        <f t="shared" si="5"/>
        <v>211.91478291568251</v>
      </c>
      <c r="AE7" s="1435">
        <f t="shared" si="5"/>
        <v>211.27903856693544</v>
      </c>
      <c r="AF7" s="1435">
        <f t="shared" si="5"/>
        <v>210.64520145123464</v>
      </c>
      <c r="AG7" s="1435">
        <f t="shared" si="5"/>
        <v>210.01326584688093</v>
      </c>
      <c r="AH7" s="1435">
        <f t="shared" si="5"/>
        <v>209.38322604934027</v>
      </c>
      <c r="AI7" s="1435">
        <f t="shared" si="5"/>
        <v>208.75507637119227</v>
      </c>
      <c r="AJ7" s="1435">
        <f t="shared" si="5"/>
        <v>0</v>
      </c>
      <c r="AK7" s="1435">
        <f t="shared" si="5"/>
        <v>0</v>
      </c>
      <c r="AL7" s="1435">
        <f t="shared" si="5"/>
        <v>0</v>
      </c>
      <c r="AM7" s="1435">
        <f t="shared" si="5"/>
        <v>0</v>
      </c>
      <c r="AN7" s="1435">
        <f t="shared" si="5"/>
        <v>0</v>
      </c>
      <c r="AO7" s="1435">
        <f t="shared" si="5"/>
        <v>0</v>
      </c>
      <c r="AP7" s="1435">
        <f t="shared" si="5"/>
        <v>0</v>
      </c>
      <c r="AQ7" s="1435">
        <f t="shared" si="5"/>
        <v>0</v>
      </c>
      <c r="AR7" s="1435">
        <f t="shared" si="5"/>
        <v>0</v>
      </c>
      <c r="AS7" s="1435">
        <f t="shared" si="5"/>
        <v>0</v>
      </c>
    </row>
    <row r="8" spans="1:45" s="203" customFormat="1">
      <c r="A8" s="140"/>
      <c r="B8" s="106"/>
      <c r="C8" s="140"/>
      <c r="D8" s="295"/>
      <c r="E8" s="140"/>
      <c r="F8" s="204"/>
      <c r="G8" s="204"/>
      <c r="H8" s="204"/>
      <c r="I8" s="204"/>
      <c r="J8" s="204"/>
      <c r="K8" s="204"/>
      <c r="L8" s="204"/>
      <c r="M8" s="204"/>
      <c r="N8" s="204"/>
      <c r="O8" s="204"/>
      <c r="P8" s="204"/>
      <c r="Q8" s="204"/>
      <c r="R8" s="204"/>
      <c r="S8" s="204"/>
      <c r="T8" s="204"/>
      <c r="U8" s="204"/>
      <c r="V8" s="204"/>
      <c r="W8" s="204"/>
      <c r="X8" s="204"/>
      <c r="Y8" s="204"/>
      <c r="Z8" s="204"/>
      <c r="AA8" s="204"/>
      <c r="AB8" s="204"/>
      <c r="AC8" s="204"/>
      <c r="AD8" s="204"/>
      <c r="AE8" s="204"/>
      <c r="AF8" s="204"/>
      <c r="AG8" s="204"/>
      <c r="AH8" s="204"/>
      <c r="AI8" s="204"/>
      <c r="AJ8" s="204"/>
      <c r="AK8" s="204"/>
      <c r="AL8" s="204"/>
      <c r="AM8" s="204"/>
      <c r="AN8" s="204"/>
      <c r="AO8" s="204"/>
      <c r="AP8" s="204"/>
      <c r="AQ8" s="204"/>
      <c r="AR8" s="204"/>
      <c r="AS8" s="204"/>
    </row>
    <row r="9" spans="1:45" s="639" customFormat="1">
      <c r="A9" s="638"/>
      <c r="B9" s="639" t="s">
        <v>637</v>
      </c>
      <c r="C9" s="639" t="s">
        <v>980</v>
      </c>
      <c r="D9" s="640">
        <f>-PMT(DiscountRate,BookLife,E9)</f>
        <v>0</v>
      </c>
      <c r="E9" s="641">
        <f>NPV(DiscountRate,F9:AS9)*(1)</f>
        <v>0</v>
      </c>
      <c r="F9" s="642">
        <f>IF(F$1,FixedOMPerkWYr*((1+HistInflationRate)*(1+LaborEscalation))^(StartYr-BaseYr)*((1+InflationRate)*(1+LaborEscalation))^(F$4-StartYr),0)</f>
        <v>0</v>
      </c>
      <c r="G9" s="642">
        <f t="shared" ref="G9:AS9" si="6">IF(G$1,FixedOMPerkWYr*((1+HistInflationRate)*(1+LaborEscalation))^(StartYr-BaseYr)*((1+InflationRate)*(1+LaborEscalation))^(G$4-StartYr),0)</f>
        <v>0</v>
      </c>
      <c r="H9" s="642">
        <f t="shared" si="6"/>
        <v>0</v>
      </c>
      <c r="I9" s="642">
        <f t="shared" si="6"/>
        <v>0</v>
      </c>
      <c r="J9" s="642">
        <f t="shared" si="6"/>
        <v>0</v>
      </c>
      <c r="K9" s="642">
        <f t="shared" si="6"/>
        <v>0</v>
      </c>
      <c r="L9" s="642">
        <f t="shared" si="6"/>
        <v>0</v>
      </c>
      <c r="M9" s="642">
        <f t="shared" si="6"/>
        <v>0</v>
      </c>
      <c r="N9" s="642">
        <f t="shared" si="6"/>
        <v>0</v>
      </c>
      <c r="O9" s="642">
        <f t="shared" si="6"/>
        <v>0</v>
      </c>
      <c r="P9" s="642">
        <f t="shared" si="6"/>
        <v>0</v>
      </c>
      <c r="Q9" s="642">
        <f t="shared" si="6"/>
        <v>0</v>
      </c>
      <c r="R9" s="642">
        <f t="shared" si="6"/>
        <v>0</v>
      </c>
      <c r="S9" s="642">
        <f t="shared" si="6"/>
        <v>0</v>
      </c>
      <c r="T9" s="642">
        <f t="shared" si="6"/>
        <v>0</v>
      </c>
      <c r="U9" s="642">
        <f t="shared" si="6"/>
        <v>0</v>
      </c>
      <c r="V9" s="642">
        <f t="shared" si="6"/>
        <v>0</v>
      </c>
      <c r="W9" s="642">
        <f t="shared" si="6"/>
        <v>0</v>
      </c>
      <c r="X9" s="642">
        <f t="shared" si="6"/>
        <v>0</v>
      </c>
      <c r="Y9" s="642">
        <f t="shared" si="6"/>
        <v>0</v>
      </c>
      <c r="Z9" s="642">
        <f t="shared" si="6"/>
        <v>0</v>
      </c>
      <c r="AA9" s="642">
        <f t="shared" si="6"/>
        <v>0</v>
      </c>
      <c r="AB9" s="642">
        <f t="shared" si="6"/>
        <v>0</v>
      </c>
      <c r="AC9" s="642">
        <f t="shared" si="6"/>
        <v>0</v>
      </c>
      <c r="AD9" s="642">
        <f t="shared" si="6"/>
        <v>0</v>
      </c>
      <c r="AE9" s="642">
        <f t="shared" si="6"/>
        <v>0</v>
      </c>
      <c r="AF9" s="642">
        <f t="shared" si="6"/>
        <v>0</v>
      </c>
      <c r="AG9" s="642">
        <f t="shared" si="6"/>
        <v>0</v>
      </c>
      <c r="AH9" s="642">
        <f t="shared" si="6"/>
        <v>0</v>
      </c>
      <c r="AI9" s="642">
        <f t="shared" si="6"/>
        <v>0</v>
      </c>
      <c r="AJ9" s="642">
        <f t="shared" si="6"/>
        <v>0</v>
      </c>
      <c r="AK9" s="642">
        <f t="shared" si="6"/>
        <v>0</v>
      </c>
      <c r="AL9" s="642">
        <f t="shared" si="6"/>
        <v>0</v>
      </c>
      <c r="AM9" s="642">
        <f t="shared" si="6"/>
        <v>0</v>
      </c>
      <c r="AN9" s="642">
        <f t="shared" si="6"/>
        <v>0</v>
      </c>
      <c r="AO9" s="642">
        <f t="shared" si="6"/>
        <v>0</v>
      </c>
      <c r="AP9" s="642">
        <f t="shared" si="6"/>
        <v>0</v>
      </c>
      <c r="AQ9" s="642">
        <f t="shared" si="6"/>
        <v>0</v>
      </c>
      <c r="AR9" s="642">
        <f t="shared" si="6"/>
        <v>0</v>
      </c>
      <c r="AS9" s="642">
        <f t="shared" si="6"/>
        <v>0</v>
      </c>
    </row>
    <row r="10" spans="1:45" s="643" customFormat="1">
      <c r="B10" s="644" t="s">
        <v>822</v>
      </c>
      <c r="C10" s="645"/>
      <c r="D10" s="645"/>
      <c r="E10" s="644"/>
      <c r="F10" s="643">
        <f t="shared" ref="F10:AS10" si="7">VLOOKUP(BookLife,$D$157:$BA$162,(2+(F$4-$F$4)+1),1)</f>
        <v>0.99</v>
      </c>
      <c r="G10" s="643">
        <f t="shared" si="7"/>
        <v>0.97</v>
      </c>
      <c r="H10" s="643">
        <f t="shared" si="7"/>
        <v>0.96</v>
      </c>
      <c r="I10" s="643">
        <f t="shared" si="7"/>
        <v>0.94</v>
      </c>
      <c r="J10" s="643">
        <f t="shared" si="7"/>
        <v>0.92</v>
      </c>
      <c r="K10" s="643">
        <f t="shared" si="7"/>
        <v>0.91</v>
      </c>
      <c r="L10" s="643">
        <f t="shared" si="7"/>
        <v>0.89</v>
      </c>
      <c r="M10" s="643">
        <f t="shared" si="7"/>
        <v>0.87</v>
      </c>
      <c r="N10" s="643">
        <f t="shared" si="7"/>
        <v>0.85</v>
      </c>
      <c r="O10" s="643">
        <f t="shared" si="7"/>
        <v>0.83</v>
      </c>
      <c r="P10" s="643">
        <f t="shared" si="7"/>
        <v>0.81</v>
      </c>
      <c r="Q10" s="643">
        <f t="shared" si="7"/>
        <v>0.79</v>
      </c>
      <c r="R10" s="643">
        <f t="shared" si="7"/>
        <v>0.76</v>
      </c>
      <c r="S10" s="643">
        <f t="shared" si="7"/>
        <v>0.74</v>
      </c>
      <c r="T10" s="643">
        <f t="shared" si="7"/>
        <v>0.72</v>
      </c>
      <c r="U10" s="643">
        <f t="shared" si="7"/>
        <v>0.69</v>
      </c>
      <c r="V10" s="643">
        <f t="shared" si="7"/>
        <v>0.67</v>
      </c>
      <c r="W10" s="643">
        <f t="shared" si="7"/>
        <v>0.64</v>
      </c>
      <c r="X10" s="643">
        <f t="shared" si="7"/>
        <v>0.62</v>
      </c>
      <c r="Y10" s="643">
        <f t="shared" si="7"/>
        <v>0.59</v>
      </c>
      <c r="Z10" s="643">
        <f t="shared" si="7"/>
        <v>0.56999999999999995</v>
      </c>
      <c r="AA10" s="643">
        <f t="shared" si="7"/>
        <v>0.54</v>
      </c>
      <c r="AB10" s="643">
        <f t="shared" si="7"/>
        <v>0.51</v>
      </c>
      <c r="AC10" s="643">
        <f t="shared" si="7"/>
        <v>0.48</v>
      </c>
      <c r="AD10" s="643">
        <f t="shared" si="7"/>
        <v>0.46</v>
      </c>
      <c r="AE10" s="643">
        <f t="shared" si="7"/>
        <v>0.43</v>
      </c>
      <c r="AF10" s="643">
        <f t="shared" si="7"/>
        <v>0.4</v>
      </c>
      <c r="AG10" s="643">
        <f t="shared" si="7"/>
        <v>0.38</v>
      </c>
      <c r="AH10" s="643">
        <f t="shared" si="7"/>
        <v>0.35</v>
      </c>
      <c r="AI10" s="643">
        <f t="shared" si="7"/>
        <v>0.33</v>
      </c>
      <c r="AJ10" s="643">
        <f t="shared" si="7"/>
        <v>0.31</v>
      </c>
      <c r="AK10" s="643">
        <f t="shared" si="7"/>
        <v>0.28000000000000003</v>
      </c>
      <c r="AL10" s="643">
        <f t="shared" si="7"/>
        <v>0.27</v>
      </c>
      <c r="AM10" s="643">
        <f t="shared" si="7"/>
        <v>0.24</v>
      </c>
      <c r="AN10" s="643">
        <f t="shared" si="7"/>
        <v>0.22</v>
      </c>
      <c r="AO10" s="643">
        <f t="shared" si="7"/>
        <v>0.21</v>
      </c>
      <c r="AP10" s="643">
        <f t="shared" si="7"/>
        <v>0.19</v>
      </c>
      <c r="AQ10" s="643">
        <f t="shared" si="7"/>
        <v>0.18</v>
      </c>
      <c r="AR10" s="643">
        <f t="shared" si="7"/>
        <v>0.17</v>
      </c>
      <c r="AS10" s="643">
        <f t="shared" si="7"/>
        <v>0.15</v>
      </c>
    </row>
    <row r="11" spans="1:45" s="651" customFormat="1">
      <c r="A11" s="646"/>
      <c r="B11" s="647" t="s">
        <v>303</v>
      </c>
      <c r="C11" s="647" t="s">
        <v>980</v>
      </c>
      <c r="D11" s="648">
        <f>-PMT(DiscountRate,BookLife,E11)</f>
        <v>21.391440826369717</v>
      </c>
      <c r="E11" s="649">
        <f>NPV(DiscountRate,F11:AS11)*(1)</f>
        <v>275.35857996557843</v>
      </c>
      <c r="F11" s="650">
        <f t="shared" ref="F11:AS11" si="8">IF(F$1,IF(AND(OwnerType="POU",MuniInlieu="N"),0,IF(OwnerType="Merchant",AdValoremTaxRate*InstalledCostPerkW*SolarPropTax25*0.25*F$10*(1+0.02)^(F$4-StartYr)+AdValoremTaxRate*InstalledCostPerkW*(1-SolarPropTax-SolarPropTax25)*F$10*(1+0.02)^(F$4-StartYr),AdValoremTaxRate*(1-SolarPropTax-SolarPropTax25)*F$48+AdValoremTaxRate*0.25*(SolarPropTax25)*F$48)),0)</f>
        <v>22.54301581123012</v>
      </c>
      <c r="G11" s="650">
        <f t="shared" si="8"/>
        <v>22.529353377405133</v>
      </c>
      <c r="H11" s="650">
        <f t="shared" si="8"/>
        <v>22.743033842427945</v>
      </c>
      <c r="I11" s="650">
        <f t="shared" si="8"/>
        <v>22.714605050124906</v>
      </c>
      <c r="J11" s="650">
        <f t="shared" si="8"/>
        <v>22.675941892592785</v>
      </c>
      <c r="K11" s="650">
        <f t="shared" si="8"/>
        <v>22.878053548591982</v>
      </c>
      <c r="L11" s="650">
        <f t="shared" si="8"/>
        <v>22.822743968584394</v>
      </c>
      <c r="M11" s="650">
        <f t="shared" si="8"/>
        <v>22.756070783957068</v>
      </c>
      <c r="N11" s="650">
        <f t="shared" si="8"/>
        <v>22.677601574357215</v>
      </c>
      <c r="O11" s="650">
        <f t="shared" si="8"/>
        <v>22.586891168059786</v>
      </c>
      <c r="P11" s="650">
        <f t="shared" si="8"/>
        <v>22.483481304880719</v>
      </c>
      <c r="Q11" s="650">
        <f t="shared" si="8"/>
        <v>22.366900290707257</v>
      </c>
      <c r="R11" s="650">
        <f t="shared" si="8"/>
        <v>21.947874816906669</v>
      </c>
      <c r="S11" s="650">
        <f t="shared" si="8"/>
        <v>21.797705147106779</v>
      </c>
      <c r="T11" s="650">
        <f t="shared" si="8"/>
        <v>21.632749540588136</v>
      </c>
      <c r="U11" s="650">
        <f t="shared" si="8"/>
        <v>21.146012675924897</v>
      </c>
      <c r="V11" s="650">
        <f t="shared" si="8"/>
        <v>20.943746467720405</v>
      </c>
      <c r="W11" s="650">
        <f t="shared" si="8"/>
        <v>20.406086110638629</v>
      </c>
      <c r="X11" s="650">
        <f t="shared" si="8"/>
        <v>20.163763838074793</v>
      </c>
      <c r="Y11" s="650">
        <f t="shared" si="8"/>
        <v>19.571859802828076</v>
      </c>
      <c r="Z11" s="650">
        <f t="shared" si="8"/>
        <v>19.28657506671906</v>
      </c>
      <c r="AA11" s="650">
        <f t="shared" si="8"/>
        <v>18.636922011840102</v>
      </c>
      <c r="AB11" s="650">
        <f t="shared" si="8"/>
        <v>17.953568204739302</v>
      </c>
      <c r="AC11" s="650">
        <f t="shared" si="8"/>
        <v>17.235425476549725</v>
      </c>
      <c r="AD11" s="650">
        <f t="shared" si="8"/>
        <v>16.847628403327359</v>
      </c>
      <c r="AE11" s="650">
        <f t="shared" si="8"/>
        <v>16.063847429781259</v>
      </c>
      <c r="AF11" s="650">
        <f t="shared" si="8"/>
        <v>15.241976165931986</v>
      </c>
      <c r="AG11" s="650">
        <f t="shared" si="8"/>
        <v>14.769474904788092</v>
      </c>
      <c r="AH11" s="650">
        <f t="shared" si="8"/>
        <v>13.875533002656184</v>
      </c>
      <c r="AI11" s="650">
        <f t="shared" si="8"/>
        <v>13.344298310554489</v>
      </c>
      <c r="AJ11" s="650">
        <f t="shared" si="8"/>
        <v>0</v>
      </c>
      <c r="AK11" s="650">
        <f t="shared" si="8"/>
        <v>0</v>
      </c>
      <c r="AL11" s="650">
        <f t="shared" si="8"/>
        <v>0</v>
      </c>
      <c r="AM11" s="650">
        <f t="shared" si="8"/>
        <v>0</v>
      </c>
      <c r="AN11" s="650">
        <f t="shared" si="8"/>
        <v>0</v>
      </c>
      <c r="AO11" s="650">
        <f t="shared" si="8"/>
        <v>0</v>
      </c>
      <c r="AP11" s="650">
        <f t="shared" si="8"/>
        <v>0</v>
      </c>
      <c r="AQ11" s="650">
        <f t="shared" si="8"/>
        <v>0</v>
      </c>
      <c r="AR11" s="650">
        <f t="shared" si="8"/>
        <v>0</v>
      </c>
      <c r="AS11" s="650">
        <f t="shared" si="8"/>
        <v>0</v>
      </c>
    </row>
    <row r="12" spans="1:45" s="130" customFormat="1">
      <c r="A12" s="652"/>
      <c r="B12" s="653" t="s">
        <v>550</v>
      </c>
      <c r="C12" s="653" t="s">
        <v>980</v>
      </c>
      <c r="D12" s="654">
        <f>-PMT(DiscountRate,BookLife,E12)</f>
        <v>14.635139806572186</v>
      </c>
      <c r="E12" s="655">
        <f>NPV(DiscountRate,F12:AS12)*(1)</f>
        <v>188.38896114784674</v>
      </c>
      <c r="F12" s="656">
        <f t="shared" ref="F12:AS12" si="9">IF(F$1,IF(OwnerType="IOU",InsurancePct*F48,InsurancePct*InstalledCostPerkW*(1+InflationRate)^(F$4-StartYr)),0)</f>
        <v>12.443018055544583</v>
      </c>
      <c r="G12" s="656">
        <f t="shared" si="9"/>
        <v>12.637575952701111</v>
      </c>
      <c r="H12" s="656">
        <f t="shared" si="9"/>
        <v>12.835175939419591</v>
      </c>
      <c r="I12" s="656">
        <f t="shared" si="9"/>
        <v>13.035865581535377</v>
      </c>
      <c r="J12" s="656">
        <f t="shared" si="9"/>
        <v>13.239693188618897</v>
      </c>
      <c r="K12" s="656">
        <f t="shared" si="9"/>
        <v>13.446707825604614</v>
      </c>
      <c r="L12" s="656">
        <f t="shared" si="9"/>
        <v>13.656959324601845</v>
      </c>
      <c r="M12" s="656">
        <f t="shared" si="9"/>
        <v>13.870498296890224</v>
      </c>
      <c r="N12" s="656">
        <f t="shared" si="9"/>
        <v>14.087376145102754</v>
      </c>
      <c r="O12" s="656">
        <f t="shared" si="9"/>
        <v>14.307645075599316</v>
      </c>
      <c r="P12" s="656">
        <f t="shared" si="9"/>
        <v>14.531358111033684</v>
      </c>
      <c r="Q12" s="656">
        <f t="shared" si="9"/>
        <v>14.75856910311702</v>
      </c>
      <c r="R12" s="656">
        <f t="shared" si="9"/>
        <v>14.989332745580938</v>
      </c>
      <c r="S12" s="656">
        <f t="shared" si="9"/>
        <v>15.223704587343251</v>
      </c>
      <c r="T12" s="656">
        <f t="shared" si="9"/>
        <v>15.461741045879601</v>
      </c>
      <c r="U12" s="656">
        <f t="shared" si="9"/>
        <v>15.703499420804134</v>
      </c>
      <c r="V12" s="656">
        <f t="shared" si="9"/>
        <v>15.94903790766255</v>
      </c>
      <c r="W12" s="656">
        <f t="shared" si="9"/>
        <v>16.198415611940806</v>
      </c>
      <c r="X12" s="656">
        <f t="shared" si="9"/>
        <v>16.451692563292838</v>
      </c>
      <c r="Y12" s="656">
        <f t="shared" si="9"/>
        <v>16.708929729990807</v>
      </c>
      <c r="Z12" s="656">
        <f t="shared" si="9"/>
        <v>16.970189033601205</v>
      </c>
      <c r="AA12" s="656">
        <f t="shared" si="9"/>
        <v>17.235533363890507</v>
      </c>
      <c r="AB12" s="656">
        <f t="shared" si="9"/>
        <v>17.505026593963859</v>
      </c>
      <c r="AC12" s="656">
        <f t="shared" si="9"/>
        <v>17.778733595640439</v>
      </c>
      <c r="AD12" s="656">
        <f t="shared" si="9"/>
        <v>18.056720255069308</v>
      </c>
      <c r="AE12" s="656">
        <f t="shared" si="9"/>
        <v>18.339053488589332</v>
      </c>
      <c r="AF12" s="656">
        <f t="shared" si="9"/>
        <v>18.625801258837168</v>
      </c>
      <c r="AG12" s="656">
        <f t="shared" si="9"/>
        <v>18.917032591107073</v>
      </c>
      <c r="AH12" s="656">
        <f t="shared" si="9"/>
        <v>19.212817589966519</v>
      </c>
      <c r="AI12" s="656">
        <f t="shared" si="9"/>
        <v>19.513227456131599</v>
      </c>
      <c r="AJ12" s="656">
        <f t="shared" si="9"/>
        <v>0</v>
      </c>
      <c r="AK12" s="656">
        <f t="shared" si="9"/>
        <v>0</v>
      </c>
      <c r="AL12" s="656">
        <f t="shared" si="9"/>
        <v>0</v>
      </c>
      <c r="AM12" s="656">
        <f t="shared" si="9"/>
        <v>0</v>
      </c>
      <c r="AN12" s="656">
        <f t="shared" si="9"/>
        <v>0</v>
      </c>
      <c r="AO12" s="656">
        <f t="shared" si="9"/>
        <v>0</v>
      </c>
      <c r="AP12" s="656">
        <f t="shared" si="9"/>
        <v>0</v>
      </c>
      <c r="AQ12" s="656">
        <f t="shared" si="9"/>
        <v>0</v>
      </c>
      <c r="AR12" s="656">
        <f t="shared" si="9"/>
        <v>0</v>
      </c>
      <c r="AS12" s="656">
        <f t="shared" si="9"/>
        <v>0</v>
      </c>
    </row>
    <row r="13" spans="1:45" s="478" customFormat="1">
      <c r="A13" s="657"/>
      <c r="B13" s="658" t="s">
        <v>1035</v>
      </c>
      <c r="C13" s="658"/>
      <c r="D13" s="637">
        <f>-PMT(DiscountRate,BookLife,E13)</f>
        <v>36.026580632941901</v>
      </c>
      <c r="E13" s="659">
        <f>NPV(DiscountRate,F13:AS13)*(1)</f>
        <v>463.74754111342514</v>
      </c>
      <c r="F13" s="660">
        <f>SUM(F9,F11:F12)</f>
        <v>34.986033866774704</v>
      </c>
      <c r="G13" s="660">
        <f t="shared" ref="G13:AS13" si="10">SUM(G9,G11:G12)</f>
        <v>35.166929330106242</v>
      </c>
      <c r="H13" s="660">
        <f t="shared" si="10"/>
        <v>35.578209781847534</v>
      </c>
      <c r="I13" s="660">
        <f t="shared" si="10"/>
        <v>35.750470631660285</v>
      </c>
      <c r="J13" s="660">
        <f t="shared" si="10"/>
        <v>35.915635081211683</v>
      </c>
      <c r="K13" s="660">
        <f t="shared" si="10"/>
        <v>36.324761374196598</v>
      </c>
      <c r="L13" s="660">
        <f t="shared" si="10"/>
        <v>36.47970329318624</v>
      </c>
      <c r="M13" s="660">
        <f t="shared" si="10"/>
        <v>36.62656908084729</v>
      </c>
      <c r="N13" s="660">
        <f t="shared" si="10"/>
        <v>36.764977719459971</v>
      </c>
      <c r="O13" s="660">
        <f t="shared" si="10"/>
        <v>36.894536243659104</v>
      </c>
      <c r="P13" s="660">
        <f t="shared" si="10"/>
        <v>37.014839415914402</v>
      </c>
      <c r="Q13" s="660">
        <f t="shared" si="10"/>
        <v>37.125469393824275</v>
      </c>
      <c r="R13" s="660">
        <f t="shared" si="10"/>
        <v>36.937207562487608</v>
      </c>
      <c r="S13" s="660">
        <f t="shared" si="10"/>
        <v>37.021409734450032</v>
      </c>
      <c r="T13" s="660">
        <f t="shared" si="10"/>
        <v>37.094490586467735</v>
      </c>
      <c r="U13" s="660">
        <f t="shared" si="10"/>
        <v>36.849512096729029</v>
      </c>
      <c r="V13" s="660">
        <f t="shared" si="10"/>
        <v>36.892784375382959</v>
      </c>
      <c r="W13" s="660">
        <f t="shared" si="10"/>
        <v>36.604501722579435</v>
      </c>
      <c r="X13" s="660">
        <f t="shared" si="10"/>
        <v>36.615456401367631</v>
      </c>
      <c r="Y13" s="660">
        <f t="shared" si="10"/>
        <v>36.280789532818886</v>
      </c>
      <c r="Z13" s="660">
        <f t="shared" si="10"/>
        <v>36.256764100320268</v>
      </c>
      <c r="AA13" s="660">
        <f t="shared" si="10"/>
        <v>35.87245537573061</v>
      </c>
      <c r="AB13" s="660">
        <f t="shared" si="10"/>
        <v>35.45859479870316</v>
      </c>
      <c r="AC13" s="660">
        <f t="shared" si="10"/>
        <v>35.014159072190168</v>
      </c>
      <c r="AD13" s="660">
        <f t="shared" si="10"/>
        <v>34.904348658396671</v>
      </c>
      <c r="AE13" s="660">
        <f t="shared" si="10"/>
        <v>34.402900918370591</v>
      </c>
      <c r="AF13" s="660">
        <f t="shared" si="10"/>
        <v>33.867777424769152</v>
      </c>
      <c r="AG13" s="660">
        <f t="shared" si="10"/>
        <v>33.686507495895164</v>
      </c>
      <c r="AH13" s="660">
        <f t="shared" si="10"/>
        <v>33.088350592622703</v>
      </c>
      <c r="AI13" s="660">
        <f t="shared" si="10"/>
        <v>32.857525766686088</v>
      </c>
      <c r="AJ13" s="660">
        <f t="shared" si="10"/>
        <v>0</v>
      </c>
      <c r="AK13" s="660">
        <f t="shared" si="10"/>
        <v>0</v>
      </c>
      <c r="AL13" s="660">
        <f t="shared" si="10"/>
        <v>0</v>
      </c>
      <c r="AM13" s="660">
        <f t="shared" si="10"/>
        <v>0</v>
      </c>
      <c r="AN13" s="660">
        <f t="shared" si="10"/>
        <v>0</v>
      </c>
      <c r="AO13" s="660">
        <f t="shared" si="10"/>
        <v>0</v>
      </c>
      <c r="AP13" s="660">
        <f t="shared" si="10"/>
        <v>0</v>
      </c>
      <c r="AQ13" s="660">
        <f t="shared" si="10"/>
        <v>0</v>
      </c>
      <c r="AR13" s="660">
        <f t="shared" si="10"/>
        <v>0</v>
      </c>
      <c r="AS13" s="660">
        <f t="shared" si="10"/>
        <v>0</v>
      </c>
    </row>
    <row r="14" spans="1:45">
      <c r="A14" s="661"/>
      <c r="B14" s="141"/>
      <c r="C14" s="141"/>
      <c r="D14" s="640"/>
      <c r="E14" s="662"/>
      <c r="F14" s="663"/>
      <c r="G14" s="664"/>
      <c r="H14" s="664"/>
      <c r="I14" s="665"/>
      <c r="J14" s="665"/>
      <c r="K14" s="665"/>
      <c r="L14" s="665"/>
      <c r="M14" s="665"/>
      <c r="N14" s="665"/>
      <c r="O14" s="665"/>
      <c r="P14" s="665"/>
      <c r="Q14" s="665"/>
      <c r="R14" s="665"/>
      <c r="S14" s="665"/>
      <c r="T14" s="665"/>
      <c r="U14" s="665"/>
      <c r="V14" s="665"/>
      <c r="W14" s="665"/>
      <c r="X14" s="665"/>
      <c r="Y14" s="665"/>
      <c r="Z14" s="665"/>
      <c r="AA14" s="665"/>
      <c r="AB14" s="665"/>
      <c r="AC14" s="665"/>
      <c r="AD14" s="665"/>
      <c r="AE14" s="665"/>
      <c r="AF14" s="665"/>
      <c r="AG14" s="665"/>
      <c r="AH14" s="665"/>
      <c r="AI14" s="665"/>
      <c r="AJ14" s="665"/>
      <c r="AK14" s="665"/>
      <c r="AL14" s="665"/>
      <c r="AM14" s="665"/>
      <c r="AN14" s="665"/>
      <c r="AO14" s="665"/>
      <c r="AP14" s="665"/>
      <c r="AQ14" s="665"/>
      <c r="AR14" s="665"/>
      <c r="AS14" s="665"/>
    </row>
    <row r="15" spans="1:45" s="133" customFormat="1">
      <c r="A15" s="666"/>
      <c r="B15" s="134" t="s">
        <v>982</v>
      </c>
      <c r="C15" s="134" t="s">
        <v>981</v>
      </c>
      <c r="D15" s="648"/>
      <c r="E15" s="649"/>
      <c r="F15" s="667">
        <f t="array" ref="F15:AS15">TRANSPOSE('Fuel Price Forecasts'!$C$16:$C$57)</f>
        <v>0</v>
      </c>
      <c r="G15" s="668">
        <v>0</v>
      </c>
      <c r="H15" s="668">
        <v>0</v>
      </c>
      <c r="I15" s="668">
        <v>0</v>
      </c>
      <c r="J15" s="668">
        <v>0</v>
      </c>
      <c r="K15" s="668">
        <v>0</v>
      </c>
      <c r="L15" s="668">
        <v>0</v>
      </c>
      <c r="M15" s="668">
        <v>0</v>
      </c>
      <c r="N15" s="668">
        <v>0</v>
      </c>
      <c r="O15" s="668">
        <v>0</v>
      </c>
      <c r="P15" s="668">
        <v>0</v>
      </c>
      <c r="Q15" s="668">
        <v>0</v>
      </c>
      <c r="R15" s="668">
        <v>0</v>
      </c>
      <c r="S15" s="668">
        <v>0</v>
      </c>
      <c r="T15" s="668">
        <v>0</v>
      </c>
      <c r="U15" s="668">
        <v>0</v>
      </c>
      <c r="V15" s="668">
        <v>0</v>
      </c>
      <c r="W15" s="668">
        <v>0</v>
      </c>
      <c r="X15" s="668">
        <v>0</v>
      </c>
      <c r="Y15" s="668">
        <v>0</v>
      </c>
      <c r="Z15" s="668">
        <v>0</v>
      </c>
      <c r="AA15" s="668">
        <v>0</v>
      </c>
      <c r="AB15" s="668">
        <v>0</v>
      </c>
      <c r="AC15" s="668">
        <v>0</v>
      </c>
      <c r="AD15" s="668">
        <v>0</v>
      </c>
      <c r="AE15" s="668">
        <v>0</v>
      </c>
      <c r="AF15" s="668">
        <v>0</v>
      </c>
      <c r="AG15" s="668">
        <v>0</v>
      </c>
      <c r="AH15" s="668">
        <v>0</v>
      </c>
      <c r="AI15" s="668">
        <v>0</v>
      </c>
      <c r="AJ15" s="668">
        <v>0</v>
      </c>
      <c r="AK15" s="668">
        <v>0</v>
      </c>
      <c r="AL15" s="668">
        <v>0</v>
      </c>
      <c r="AM15" s="668">
        <v>0</v>
      </c>
      <c r="AN15" s="668">
        <v>0</v>
      </c>
      <c r="AO15" s="668">
        <v>0</v>
      </c>
      <c r="AP15" s="668">
        <v>0</v>
      </c>
      <c r="AQ15" s="668">
        <v>0</v>
      </c>
      <c r="AR15" s="668">
        <v>0</v>
      </c>
      <c r="AS15" s="668">
        <v>0</v>
      </c>
    </row>
    <row r="16" spans="1:45" s="131" customFormat="1">
      <c r="A16" s="669"/>
      <c r="B16" s="132" t="s">
        <v>1123</v>
      </c>
      <c r="C16" s="132" t="s">
        <v>981</v>
      </c>
      <c r="D16" s="648">
        <f t="shared" ref="D16:D23" si="11">-PMT(DiscountRate,BookLife,E16)</f>
        <v>0</v>
      </c>
      <c r="E16" s="649">
        <f t="shared" ref="E16:E23" si="12">NPV(DiscountRate,F16:AS16)*(1)</f>
        <v>0</v>
      </c>
      <c r="F16" s="667">
        <f t="shared" ref="F16:AS16" si="13">IF(F$1,F15,0)</f>
        <v>0</v>
      </c>
      <c r="G16" s="667">
        <f t="shared" si="13"/>
        <v>0</v>
      </c>
      <c r="H16" s="667">
        <f t="shared" si="13"/>
        <v>0</v>
      </c>
      <c r="I16" s="667">
        <f t="shared" si="13"/>
        <v>0</v>
      </c>
      <c r="J16" s="667">
        <f t="shared" si="13"/>
        <v>0</v>
      </c>
      <c r="K16" s="667">
        <f t="shared" si="13"/>
        <v>0</v>
      </c>
      <c r="L16" s="667">
        <f t="shared" si="13"/>
        <v>0</v>
      </c>
      <c r="M16" s="667">
        <f t="shared" si="13"/>
        <v>0</v>
      </c>
      <c r="N16" s="667">
        <f t="shared" si="13"/>
        <v>0</v>
      </c>
      <c r="O16" s="667">
        <f t="shared" si="13"/>
        <v>0</v>
      </c>
      <c r="P16" s="667">
        <f t="shared" si="13"/>
        <v>0</v>
      </c>
      <c r="Q16" s="667">
        <f t="shared" si="13"/>
        <v>0</v>
      </c>
      <c r="R16" s="667">
        <f t="shared" si="13"/>
        <v>0</v>
      </c>
      <c r="S16" s="667">
        <f t="shared" si="13"/>
        <v>0</v>
      </c>
      <c r="T16" s="667">
        <f t="shared" si="13"/>
        <v>0</v>
      </c>
      <c r="U16" s="667">
        <f t="shared" si="13"/>
        <v>0</v>
      </c>
      <c r="V16" s="667">
        <f t="shared" si="13"/>
        <v>0</v>
      </c>
      <c r="W16" s="667">
        <f t="shared" si="13"/>
        <v>0</v>
      </c>
      <c r="X16" s="667">
        <f t="shared" si="13"/>
        <v>0</v>
      </c>
      <c r="Y16" s="667">
        <f t="shared" si="13"/>
        <v>0</v>
      </c>
      <c r="Z16" s="667">
        <f t="shared" si="13"/>
        <v>0</v>
      </c>
      <c r="AA16" s="667">
        <f t="shared" si="13"/>
        <v>0</v>
      </c>
      <c r="AB16" s="667">
        <f t="shared" si="13"/>
        <v>0</v>
      </c>
      <c r="AC16" s="667">
        <f t="shared" si="13"/>
        <v>0</v>
      </c>
      <c r="AD16" s="667">
        <f t="shared" si="13"/>
        <v>0</v>
      </c>
      <c r="AE16" s="667">
        <f t="shared" si="13"/>
        <v>0</v>
      </c>
      <c r="AF16" s="667">
        <f t="shared" si="13"/>
        <v>0</v>
      </c>
      <c r="AG16" s="667">
        <f t="shared" si="13"/>
        <v>0</v>
      </c>
      <c r="AH16" s="667">
        <f t="shared" si="13"/>
        <v>0</v>
      </c>
      <c r="AI16" s="667">
        <f t="shared" si="13"/>
        <v>0</v>
      </c>
      <c r="AJ16" s="667">
        <f t="shared" si="13"/>
        <v>0</v>
      </c>
      <c r="AK16" s="667">
        <f t="shared" si="13"/>
        <v>0</v>
      </c>
      <c r="AL16" s="667">
        <f t="shared" si="13"/>
        <v>0</v>
      </c>
      <c r="AM16" s="667">
        <f t="shared" si="13"/>
        <v>0</v>
      </c>
      <c r="AN16" s="667">
        <f t="shared" si="13"/>
        <v>0</v>
      </c>
      <c r="AO16" s="667">
        <f t="shared" si="13"/>
        <v>0</v>
      </c>
      <c r="AP16" s="667">
        <f t="shared" si="13"/>
        <v>0</v>
      </c>
      <c r="AQ16" s="667">
        <f t="shared" si="13"/>
        <v>0</v>
      </c>
      <c r="AR16" s="667">
        <f t="shared" si="13"/>
        <v>0</v>
      </c>
      <c r="AS16" s="667">
        <f t="shared" si="13"/>
        <v>0</v>
      </c>
    </row>
    <row r="17" spans="1:45" s="131" customFormat="1">
      <c r="A17" s="669"/>
      <c r="B17" s="132" t="s">
        <v>1284</v>
      </c>
      <c r="C17" s="132" t="s">
        <v>1009</v>
      </c>
      <c r="D17" s="649">
        <f t="shared" si="11"/>
        <v>0</v>
      </c>
      <c r="E17" s="649">
        <f t="shared" si="12"/>
        <v>0</v>
      </c>
      <c r="F17" s="1166">
        <f>IF(AvgHeatRate=0,0,IF(F$1,GrossMW/(1+AnnCapDegredationRate)^(F$4-StartYr)*AverageOutputPct*OpHrsPerYr/1000*OpHeatRate*(1+HeatRateDegredation)^(F$4-StartYr)+StartUpFuel*AnnualStarts,0))</f>
        <v>0</v>
      </c>
      <c r="G17" s="1166">
        <f>IF(AvgHeatRate=0,0,IF(G$1,GrossMW/(1+AnnCapDegredationRate)^(G$4-StartYr)*AverageOutputPct*OpHrsPerYr/1000*OpHeatRate*(1+HeatRateDegredation)^(G$4-StartYr)+StartUpFuel*AnnualStarts,0))</f>
        <v>0</v>
      </c>
      <c r="H17" s="1166">
        <f t="shared" ref="H17:AS17" si="14">IF(AvgHeatRate=0,0,IF(H$1,GrossMW/(1+AnnCapDegredationRate)^(H$4-StartYr)*AverageOutputPct*OpHrsPerYr/1000*OpHeatRate*(1+HeatRateDegredation)^(H$4-StartYr)+StartUpFuel*AnnualStarts,0))</f>
        <v>0</v>
      </c>
      <c r="I17" s="1166">
        <f t="shared" si="14"/>
        <v>0</v>
      </c>
      <c r="J17" s="1166">
        <f t="shared" si="14"/>
        <v>0</v>
      </c>
      <c r="K17" s="1166">
        <f t="shared" si="14"/>
        <v>0</v>
      </c>
      <c r="L17" s="1166">
        <f t="shared" si="14"/>
        <v>0</v>
      </c>
      <c r="M17" s="1166">
        <f t="shared" si="14"/>
        <v>0</v>
      </c>
      <c r="N17" s="1166">
        <f t="shared" si="14"/>
        <v>0</v>
      </c>
      <c r="O17" s="1166">
        <f t="shared" si="14"/>
        <v>0</v>
      </c>
      <c r="P17" s="1166">
        <f t="shared" si="14"/>
        <v>0</v>
      </c>
      <c r="Q17" s="1166">
        <f t="shared" si="14"/>
        <v>0</v>
      </c>
      <c r="R17" s="1166">
        <f t="shared" si="14"/>
        <v>0</v>
      </c>
      <c r="S17" s="1166">
        <f t="shared" si="14"/>
        <v>0</v>
      </c>
      <c r="T17" s="1166">
        <f t="shared" si="14"/>
        <v>0</v>
      </c>
      <c r="U17" s="1166">
        <f t="shared" si="14"/>
        <v>0</v>
      </c>
      <c r="V17" s="1166">
        <f t="shared" si="14"/>
        <v>0</v>
      </c>
      <c r="W17" s="1166">
        <f t="shared" si="14"/>
        <v>0</v>
      </c>
      <c r="X17" s="1166">
        <f t="shared" si="14"/>
        <v>0</v>
      </c>
      <c r="Y17" s="1166">
        <f t="shared" si="14"/>
        <v>0</v>
      </c>
      <c r="Z17" s="1166">
        <f t="shared" si="14"/>
        <v>0</v>
      </c>
      <c r="AA17" s="1166">
        <f t="shared" si="14"/>
        <v>0</v>
      </c>
      <c r="AB17" s="1166">
        <f t="shared" si="14"/>
        <v>0</v>
      </c>
      <c r="AC17" s="1166">
        <f t="shared" si="14"/>
        <v>0</v>
      </c>
      <c r="AD17" s="1166">
        <f t="shared" si="14"/>
        <v>0</v>
      </c>
      <c r="AE17" s="1166">
        <f t="shared" si="14"/>
        <v>0</v>
      </c>
      <c r="AF17" s="1166">
        <f t="shared" si="14"/>
        <v>0</v>
      </c>
      <c r="AG17" s="1166">
        <f t="shared" si="14"/>
        <v>0</v>
      </c>
      <c r="AH17" s="1166">
        <f t="shared" si="14"/>
        <v>0</v>
      </c>
      <c r="AI17" s="1166">
        <f t="shared" si="14"/>
        <v>0</v>
      </c>
      <c r="AJ17" s="1166">
        <f t="shared" si="14"/>
        <v>0</v>
      </c>
      <c r="AK17" s="1166">
        <f t="shared" si="14"/>
        <v>0</v>
      </c>
      <c r="AL17" s="1166">
        <f t="shared" si="14"/>
        <v>0</v>
      </c>
      <c r="AM17" s="1166">
        <f t="shared" si="14"/>
        <v>0</v>
      </c>
      <c r="AN17" s="1166">
        <f t="shared" si="14"/>
        <v>0</v>
      </c>
      <c r="AO17" s="1166">
        <f t="shared" si="14"/>
        <v>0</v>
      </c>
      <c r="AP17" s="1166">
        <f t="shared" si="14"/>
        <v>0</v>
      </c>
      <c r="AQ17" s="1166">
        <f t="shared" si="14"/>
        <v>0</v>
      </c>
      <c r="AR17" s="1166">
        <f t="shared" si="14"/>
        <v>0</v>
      </c>
      <c r="AS17" s="1166">
        <f t="shared" si="14"/>
        <v>0</v>
      </c>
    </row>
    <row r="18" spans="1:45" s="651" customFormat="1">
      <c r="B18" s="647" t="s">
        <v>1311</v>
      </c>
      <c r="C18" s="647" t="s">
        <v>980</v>
      </c>
      <c r="D18" s="648">
        <f t="shared" si="11"/>
        <v>0</v>
      </c>
      <c r="E18" s="649">
        <f t="shared" si="12"/>
        <v>0</v>
      </c>
      <c r="F18" s="1167">
        <f t="shared" ref="F18:AS18" si="15">IF(F$1,F17*F15/GrossMW/1000,0)</f>
        <v>0</v>
      </c>
      <c r="G18" s="1167">
        <f t="shared" si="15"/>
        <v>0</v>
      </c>
      <c r="H18" s="1167">
        <f t="shared" si="15"/>
        <v>0</v>
      </c>
      <c r="I18" s="1167">
        <f t="shared" si="15"/>
        <v>0</v>
      </c>
      <c r="J18" s="1167">
        <f t="shared" si="15"/>
        <v>0</v>
      </c>
      <c r="K18" s="1167">
        <f t="shared" si="15"/>
        <v>0</v>
      </c>
      <c r="L18" s="1167">
        <f t="shared" si="15"/>
        <v>0</v>
      </c>
      <c r="M18" s="1167">
        <f t="shared" si="15"/>
        <v>0</v>
      </c>
      <c r="N18" s="1167">
        <f t="shared" si="15"/>
        <v>0</v>
      </c>
      <c r="O18" s="1167">
        <f t="shared" si="15"/>
        <v>0</v>
      </c>
      <c r="P18" s="1167">
        <f t="shared" si="15"/>
        <v>0</v>
      </c>
      <c r="Q18" s="1167">
        <f t="shared" si="15"/>
        <v>0</v>
      </c>
      <c r="R18" s="1167">
        <f t="shared" si="15"/>
        <v>0</v>
      </c>
      <c r="S18" s="1167">
        <f t="shared" si="15"/>
        <v>0</v>
      </c>
      <c r="T18" s="1167">
        <f t="shared" si="15"/>
        <v>0</v>
      </c>
      <c r="U18" s="1167">
        <f t="shared" si="15"/>
        <v>0</v>
      </c>
      <c r="V18" s="1167">
        <f t="shared" si="15"/>
        <v>0</v>
      </c>
      <c r="W18" s="1167">
        <f t="shared" si="15"/>
        <v>0</v>
      </c>
      <c r="X18" s="1167">
        <f t="shared" si="15"/>
        <v>0</v>
      </c>
      <c r="Y18" s="1167">
        <f t="shared" si="15"/>
        <v>0</v>
      </c>
      <c r="Z18" s="1167">
        <f t="shared" si="15"/>
        <v>0</v>
      </c>
      <c r="AA18" s="1167">
        <f t="shared" si="15"/>
        <v>0</v>
      </c>
      <c r="AB18" s="1167">
        <f t="shared" si="15"/>
        <v>0</v>
      </c>
      <c r="AC18" s="1167">
        <f t="shared" si="15"/>
        <v>0</v>
      </c>
      <c r="AD18" s="1167">
        <f t="shared" si="15"/>
        <v>0</v>
      </c>
      <c r="AE18" s="1167">
        <f t="shared" si="15"/>
        <v>0</v>
      </c>
      <c r="AF18" s="1167">
        <f t="shared" si="15"/>
        <v>0</v>
      </c>
      <c r="AG18" s="1167">
        <f t="shared" si="15"/>
        <v>0</v>
      </c>
      <c r="AH18" s="1167">
        <f t="shared" si="15"/>
        <v>0</v>
      </c>
      <c r="AI18" s="1167">
        <f t="shared" si="15"/>
        <v>0</v>
      </c>
      <c r="AJ18" s="1167">
        <f t="shared" si="15"/>
        <v>0</v>
      </c>
      <c r="AK18" s="1167">
        <f t="shared" si="15"/>
        <v>0</v>
      </c>
      <c r="AL18" s="1167">
        <f t="shared" si="15"/>
        <v>0</v>
      </c>
      <c r="AM18" s="1167">
        <f t="shared" si="15"/>
        <v>0</v>
      </c>
      <c r="AN18" s="1167">
        <f t="shared" si="15"/>
        <v>0</v>
      </c>
      <c r="AO18" s="1167">
        <f t="shared" si="15"/>
        <v>0</v>
      </c>
      <c r="AP18" s="1167">
        <f t="shared" si="15"/>
        <v>0</v>
      </c>
      <c r="AQ18" s="1167">
        <f t="shared" si="15"/>
        <v>0</v>
      </c>
      <c r="AR18" s="1167">
        <f t="shared" si="15"/>
        <v>0</v>
      </c>
      <c r="AS18" s="1167">
        <f t="shared" si="15"/>
        <v>0</v>
      </c>
    </row>
    <row r="19" spans="1:45" s="1427" customFormat="1">
      <c r="B19" s="1414" t="s">
        <v>1426</v>
      </c>
      <c r="C19" s="1414" t="s">
        <v>1427</v>
      </c>
      <c r="D19" s="1428"/>
      <c r="E19" s="1429"/>
      <c r="F19" s="1430">
        <f t="array" ref="F19:AS19">TRANSPOSE('Fuel Price Forecasts'!D16:D57)</f>
        <v>13.62</v>
      </c>
      <c r="G19" s="1430">
        <v>17.245306626868363</v>
      </c>
      <c r="H19" s="1430">
        <v>18.461396893172545</v>
      </c>
      <c r="I19" s="1430">
        <v>19.753228142962524</v>
      </c>
      <c r="J19" s="1430">
        <v>21.092451176876423</v>
      </c>
      <c r="K19" s="1430">
        <v>22.486209034156012</v>
      </c>
      <c r="L19" s="1430">
        <v>23.95763712792489</v>
      </c>
      <c r="M19" s="1430">
        <v>25.51765556316569</v>
      </c>
      <c r="N19" s="1430">
        <v>27.183031829697491</v>
      </c>
      <c r="O19" s="1430">
        <v>28.960845825300012</v>
      </c>
      <c r="P19" s="1430">
        <v>30.868062327125141</v>
      </c>
      <c r="Q19" s="1430">
        <v>32.900878571677964</v>
      </c>
      <c r="R19" s="1430">
        <v>35.06756593001581</v>
      </c>
      <c r="S19" s="1430">
        <v>37.376940484336998</v>
      </c>
      <c r="T19" s="1430">
        <v>39.838398899933011</v>
      </c>
      <c r="U19" s="1430">
        <v>42.461956659488095</v>
      </c>
      <c r="V19" s="1430">
        <v>45.258288815298684</v>
      </c>
      <c r="W19" s="1430">
        <v>48.238773425230178</v>
      </c>
      <c r="X19" s="1430">
        <v>51.415537849148713</v>
      </c>
      <c r="Y19" s="1430">
        <v>54.801508094204394</v>
      </c>
      <c r="Z19" s="1430">
        <v>58.410461409748223</v>
      </c>
      <c r="AA19" s="1430">
        <v>62.257082345887184</v>
      </c>
      <c r="AB19" s="1430">
        <v>66.357022503775582</v>
      </c>
      <c r="AC19" s="1430">
        <v>70.726964220761715</v>
      </c>
      <c r="AD19" s="1430">
        <v>75.38468844951997</v>
      </c>
      <c r="AE19" s="1430">
        <v>80.349147107363109</v>
      </c>
      <c r="AF19" s="1430">
        <v>85.640540190118486</v>
      </c>
      <c r="AG19" s="1430">
        <v>91.280397964338732</v>
      </c>
      <c r="AH19" s="1430">
        <v>97.291668572280258</v>
      </c>
      <c r="AI19" s="1430">
        <v>103.69881140610778</v>
      </c>
      <c r="AJ19" s="1430">
        <v>110.52789663125699</v>
      </c>
      <c r="AK19" s="1430">
        <v>117.8067112639084</v>
      </c>
      <c r="AL19" s="1430">
        <v>125.56487223419307</v>
      </c>
      <c r="AM19" s="1430">
        <v>133.83394689517584</v>
      </c>
      <c r="AN19" s="1430">
        <v>142.64758146795765</v>
      </c>
      <c r="AO19" s="1430">
        <v>152.04163794552997</v>
      </c>
      <c r="AP19" s="1430">
        <v>162.05434001243282</v>
      </c>
      <c r="AQ19" s="1430">
        <v>172.72642857395155</v>
      </c>
      <c r="AR19" s="1430">
        <v>184.10132752768914</v>
      </c>
      <c r="AS19" s="1430">
        <v>196.2253204520251</v>
      </c>
    </row>
    <row r="20" spans="1:45" s="1427" customFormat="1">
      <c r="B20" s="1414" t="s">
        <v>1434</v>
      </c>
      <c r="C20" s="1414" t="s">
        <v>1435</v>
      </c>
      <c r="D20" s="1428"/>
      <c r="E20" s="1429"/>
      <c r="F20" s="1430">
        <f t="shared" ref="F20:AS20" si="16">IF(F$1,LbsCO2*(1+HeatRateDegredation)^(F$4-StartYr),0)</f>
        <v>0</v>
      </c>
      <c r="G20" s="1430">
        <f t="shared" si="16"/>
        <v>0</v>
      </c>
      <c r="H20" s="1430">
        <f t="shared" si="16"/>
        <v>0</v>
      </c>
      <c r="I20" s="1430">
        <f t="shared" si="16"/>
        <v>0</v>
      </c>
      <c r="J20" s="1430">
        <f t="shared" si="16"/>
        <v>0</v>
      </c>
      <c r="K20" s="1430">
        <f t="shared" si="16"/>
        <v>0</v>
      </c>
      <c r="L20" s="1430">
        <f t="shared" si="16"/>
        <v>0</v>
      </c>
      <c r="M20" s="1430">
        <f t="shared" si="16"/>
        <v>0</v>
      </c>
      <c r="N20" s="1430">
        <f t="shared" si="16"/>
        <v>0</v>
      </c>
      <c r="O20" s="1430">
        <f t="shared" si="16"/>
        <v>0</v>
      </c>
      <c r="P20" s="1430">
        <f t="shared" si="16"/>
        <v>0</v>
      </c>
      <c r="Q20" s="1430">
        <f t="shared" si="16"/>
        <v>0</v>
      </c>
      <c r="R20" s="1430">
        <f t="shared" si="16"/>
        <v>0</v>
      </c>
      <c r="S20" s="1430">
        <f t="shared" si="16"/>
        <v>0</v>
      </c>
      <c r="T20" s="1430">
        <f t="shared" si="16"/>
        <v>0</v>
      </c>
      <c r="U20" s="1430">
        <f t="shared" si="16"/>
        <v>0</v>
      </c>
      <c r="V20" s="1430">
        <f t="shared" si="16"/>
        <v>0</v>
      </c>
      <c r="W20" s="1430">
        <f t="shared" si="16"/>
        <v>0</v>
      </c>
      <c r="X20" s="1430">
        <f t="shared" si="16"/>
        <v>0</v>
      </c>
      <c r="Y20" s="1430">
        <f t="shared" si="16"/>
        <v>0</v>
      </c>
      <c r="Z20" s="1430">
        <f t="shared" si="16"/>
        <v>0</v>
      </c>
      <c r="AA20" s="1430">
        <f t="shared" si="16"/>
        <v>0</v>
      </c>
      <c r="AB20" s="1430">
        <f t="shared" si="16"/>
        <v>0</v>
      </c>
      <c r="AC20" s="1430">
        <f t="shared" si="16"/>
        <v>0</v>
      </c>
      <c r="AD20" s="1430">
        <f t="shared" si="16"/>
        <v>0</v>
      </c>
      <c r="AE20" s="1430">
        <f t="shared" si="16"/>
        <v>0</v>
      </c>
      <c r="AF20" s="1430">
        <f t="shared" si="16"/>
        <v>0</v>
      </c>
      <c r="AG20" s="1430">
        <f t="shared" si="16"/>
        <v>0</v>
      </c>
      <c r="AH20" s="1430">
        <f t="shared" si="16"/>
        <v>0</v>
      </c>
      <c r="AI20" s="1430">
        <f t="shared" si="16"/>
        <v>0</v>
      </c>
      <c r="AJ20" s="1430">
        <f t="shared" si="16"/>
        <v>0</v>
      </c>
      <c r="AK20" s="1430">
        <f t="shared" si="16"/>
        <v>0</v>
      </c>
      <c r="AL20" s="1430">
        <f t="shared" si="16"/>
        <v>0</v>
      </c>
      <c r="AM20" s="1430">
        <f t="shared" si="16"/>
        <v>0</v>
      </c>
      <c r="AN20" s="1430">
        <f t="shared" si="16"/>
        <v>0</v>
      </c>
      <c r="AO20" s="1430">
        <f t="shared" si="16"/>
        <v>0</v>
      </c>
      <c r="AP20" s="1430">
        <f t="shared" si="16"/>
        <v>0</v>
      </c>
      <c r="AQ20" s="1430">
        <f t="shared" si="16"/>
        <v>0</v>
      </c>
      <c r="AR20" s="1430">
        <f t="shared" si="16"/>
        <v>0</v>
      </c>
      <c r="AS20" s="1430">
        <f t="shared" si="16"/>
        <v>0</v>
      </c>
    </row>
    <row r="21" spans="1:45" s="2546" customFormat="1">
      <c r="B21" s="2547" t="s">
        <v>1425</v>
      </c>
      <c r="C21" s="2548" t="s">
        <v>980</v>
      </c>
      <c r="D21" s="2549">
        <f t="shared" si="11"/>
        <v>0</v>
      </c>
      <c r="E21" s="2550">
        <f>NPV(DiscountRate,F21:AS21)*(1)</f>
        <v>0</v>
      </c>
      <c r="F21" s="2551">
        <f t="shared" ref="F21:AS21" si="17">F19*F20/2000*F7/GrossMW</f>
        <v>0</v>
      </c>
      <c r="G21" s="2551">
        <f t="shared" si="17"/>
        <v>0</v>
      </c>
      <c r="H21" s="2551">
        <f t="shared" si="17"/>
        <v>0</v>
      </c>
      <c r="I21" s="2551">
        <f t="shared" si="17"/>
        <v>0</v>
      </c>
      <c r="J21" s="2551">
        <f t="shared" si="17"/>
        <v>0</v>
      </c>
      <c r="K21" s="2551">
        <f t="shared" si="17"/>
        <v>0</v>
      </c>
      <c r="L21" s="2551">
        <f t="shared" si="17"/>
        <v>0</v>
      </c>
      <c r="M21" s="2551">
        <f t="shared" si="17"/>
        <v>0</v>
      </c>
      <c r="N21" s="2551">
        <f t="shared" si="17"/>
        <v>0</v>
      </c>
      <c r="O21" s="2551">
        <f t="shared" si="17"/>
        <v>0</v>
      </c>
      <c r="P21" s="2551">
        <f t="shared" si="17"/>
        <v>0</v>
      </c>
      <c r="Q21" s="2551">
        <f t="shared" si="17"/>
        <v>0</v>
      </c>
      <c r="R21" s="2551">
        <f t="shared" si="17"/>
        <v>0</v>
      </c>
      <c r="S21" s="2551">
        <f t="shared" si="17"/>
        <v>0</v>
      </c>
      <c r="T21" s="2551">
        <f t="shared" si="17"/>
        <v>0</v>
      </c>
      <c r="U21" s="2551">
        <f t="shared" si="17"/>
        <v>0</v>
      </c>
      <c r="V21" s="2551">
        <f t="shared" si="17"/>
        <v>0</v>
      </c>
      <c r="W21" s="2551">
        <f t="shared" si="17"/>
        <v>0</v>
      </c>
      <c r="X21" s="2551">
        <f t="shared" si="17"/>
        <v>0</v>
      </c>
      <c r="Y21" s="2551">
        <f t="shared" si="17"/>
        <v>0</v>
      </c>
      <c r="Z21" s="2551">
        <f t="shared" si="17"/>
        <v>0</v>
      </c>
      <c r="AA21" s="2551">
        <f t="shared" si="17"/>
        <v>0</v>
      </c>
      <c r="AB21" s="2551">
        <f t="shared" si="17"/>
        <v>0</v>
      </c>
      <c r="AC21" s="2551">
        <f t="shared" si="17"/>
        <v>0</v>
      </c>
      <c r="AD21" s="2551">
        <f t="shared" si="17"/>
        <v>0</v>
      </c>
      <c r="AE21" s="2551">
        <f t="shared" si="17"/>
        <v>0</v>
      </c>
      <c r="AF21" s="2551">
        <f t="shared" si="17"/>
        <v>0</v>
      </c>
      <c r="AG21" s="2551">
        <f t="shared" si="17"/>
        <v>0</v>
      </c>
      <c r="AH21" s="2551">
        <f t="shared" si="17"/>
        <v>0</v>
      </c>
      <c r="AI21" s="2551">
        <f t="shared" si="17"/>
        <v>0</v>
      </c>
      <c r="AJ21" s="2551">
        <f t="shared" si="17"/>
        <v>0</v>
      </c>
      <c r="AK21" s="2551">
        <f t="shared" si="17"/>
        <v>0</v>
      </c>
      <c r="AL21" s="2551">
        <f t="shared" si="17"/>
        <v>0</v>
      </c>
      <c r="AM21" s="2551">
        <f t="shared" si="17"/>
        <v>0</v>
      </c>
      <c r="AN21" s="2551">
        <f t="shared" si="17"/>
        <v>0</v>
      </c>
      <c r="AO21" s="2551">
        <f t="shared" si="17"/>
        <v>0</v>
      </c>
      <c r="AP21" s="2551">
        <f t="shared" si="17"/>
        <v>0</v>
      </c>
      <c r="AQ21" s="2551">
        <f t="shared" si="17"/>
        <v>0</v>
      </c>
      <c r="AR21" s="2551">
        <f t="shared" si="17"/>
        <v>0</v>
      </c>
      <c r="AS21" s="2551">
        <f t="shared" si="17"/>
        <v>0</v>
      </c>
    </row>
    <row r="22" spans="1:45" s="651" customFormat="1">
      <c r="B22" s="671" t="s">
        <v>552</v>
      </c>
      <c r="C22" s="671" t="s">
        <v>980</v>
      </c>
      <c r="D22" s="654">
        <f t="shared" si="11"/>
        <v>26.054494620263569</v>
      </c>
      <c r="E22" s="672">
        <f t="shared" si="12"/>
        <v>335.38314219174151</v>
      </c>
      <c r="F22" s="1781">
        <f t="shared" ref="F22:AS22" si="18">IF(F$1,F$101*F$7/GrossMW,0)</f>
        <v>21.672322566522727</v>
      </c>
      <c r="G22" s="1781">
        <f t="shared" si="18"/>
        <v>22.054881238740805</v>
      </c>
      <c r="H22" s="1781">
        <f t="shared" si="18"/>
        <v>22.444192816063541</v>
      </c>
      <c r="I22" s="1781">
        <f t="shared" si="18"/>
        <v>22.840376500408617</v>
      </c>
      <c r="J22" s="1781">
        <f t="shared" si="18"/>
        <v>23.24355359783954</v>
      </c>
      <c r="K22" s="1781">
        <f t="shared" si="18"/>
        <v>23.653847555707941</v>
      </c>
      <c r="L22" s="1781">
        <f t="shared" si="18"/>
        <v>24.071384000451459</v>
      </c>
      <c r="M22" s="1781">
        <f t="shared" si="18"/>
        <v>24.496290776058842</v>
      </c>
      <c r="N22" s="1781">
        <f t="shared" si="18"/>
        <v>24.928697983214061</v>
      </c>
      <c r="O22" s="1781">
        <f t="shared" si="18"/>
        <v>25.368738019131353</v>
      </c>
      <c r="P22" s="1781">
        <f t="shared" si="18"/>
        <v>25.816545618093482</v>
      </c>
      <c r="Q22" s="1781">
        <f t="shared" si="18"/>
        <v>26.27225789270549</v>
      </c>
      <c r="R22" s="1781">
        <f t="shared" si="18"/>
        <v>26.736014375876788</v>
      </c>
      <c r="S22" s="1781">
        <f t="shared" si="18"/>
        <v>27.207957063544157</v>
      </c>
      <c r="T22" s="1781">
        <f t="shared" si="18"/>
        <v>27.68823045814905</v>
      </c>
      <c r="U22" s="1781">
        <f t="shared" si="18"/>
        <v>28.176981612882216</v>
      </c>
      <c r="V22" s="1781">
        <f t="shared" si="18"/>
        <v>28.674360176709442</v>
      </c>
      <c r="W22" s="1781">
        <f t="shared" si="18"/>
        <v>29.180518440191999</v>
      </c>
      <c r="X22" s="1781">
        <f t="shared" si="18"/>
        <v>29.695611382115949</v>
      </c>
      <c r="Y22" s="1781">
        <f t="shared" si="18"/>
        <v>30.219796716944561</v>
      </c>
      <c r="Z22" s="1781">
        <f t="shared" si="18"/>
        <v>30.753234943108328</v>
      </c>
      <c r="AA22" s="1781">
        <f t="shared" si="18"/>
        <v>31.296089392147366</v>
      </c>
      <c r="AB22" s="1781">
        <f t="shared" si="18"/>
        <v>31.848526278721419</v>
      </c>
      <c r="AC22" s="1781">
        <f t="shared" si="18"/>
        <v>32.410714751502404</v>
      </c>
      <c r="AD22" s="1781">
        <f t="shared" si="18"/>
        <v>32.982826944965531</v>
      </c>
      <c r="AE22" s="1781">
        <f t="shared" si="18"/>
        <v>33.565038032094492</v>
      </c>
      <c r="AF22" s="1781">
        <f t="shared" si="18"/>
        <v>34.157526278017073</v>
      </c>
      <c r="AG22" s="1781">
        <f t="shared" si="18"/>
        <v>34.760473094587503</v>
      </c>
      <c r="AH22" s="1781">
        <f t="shared" si="18"/>
        <v>35.374063095932314</v>
      </c>
      <c r="AI22" s="1781">
        <f t="shared" si="18"/>
        <v>35.998484154976644</v>
      </c>
      <c r="AJ22" s="1781">
        <f t="shared" si="18"/>
        <v>0</v>
      </c>
      <c r="AK22" s="1781">
        <f t="shared" si="18"/>
        <v>0</v>
      </c>
      <c r="AL22" s="1781">
        <f t="shared" si="18"/>
        <v>0</v>
      </c>
      <c r="AM22" s="1781">
        <f t="shared" si="18"/>
        <v>0</v>
      </c>
      <c r="AN22" s="1781">
        <f t="shared" si="18"/>
        <v>0</v>
      </c>
      <c r="AO22" s="1781">
        <f t="shared" si="18"/>
        <v>0</v>
      </c>
      <c r="AP22" s="1781">
        <f t="shared" si="18"/>
        <v>0</v>
      </c>
      <c r="AQ22" s="1781">
        <f t="shared" si="18"/>
        <v>0</v>
      </c>
      <c r="AR22" s="1781">
        <f t="shared" si="18"/>
        <v>0</v>
      </c>
      <c r="AS22" s="1781">
        <f t="shared" si="18"/>
        <v>0</v>
      </c>
    </row>
    <row r="23" spans="1:45" s="478" customFormat="1">
      <c r="B23" s="658" t="s">
        <v>1038</v>
      </c>
      <c r="D23" s="637">
        <f t="shared" si="11"/>
        <v>26.054494620263569</v>
      </c>
      <c r="E23" s="659">
        <f t="shared" si="12"/>
        <v>335.38314219174151</v>
      </c>
      <c r="F23" s="1436">
        <f>SUM(F18,F21:F22)</f>
        <v>21.672322566522727</v>
      </c>
      <c r="G23" s="1436">
        <f t="shared" ref="G23:AS23" si="19">SUM(G18,G21:G22)</f>
        <v>22.054881238740805</v>
      </c>
      <c r="H23" s="1436">
        <f t="shared" si="19"/>
        <v>22.444192816063541</v>
      </c>
      <c r="I23" s="1436">
        <f t="shared" si="19"/>
        <v>22.840376500408617</v>
      </c>
      <c r="J23" s="1436">
        <f t="shared" si="19"/>
        <v>23.24355359783954</v>
      </c>
      <c r="K23" s="1436">
        <f t="shared" si="19"/>
        <v>23.653847555707941</v>
      </c>
      <c r="L23" s="1436">
        <f t="shared" si="19"/>
        <v>24.071384000451459</v>
      </c>
      <c r="M23" s="1436">
        <f t="shared" si="19"/>
        <v>24.496290776058842</v>
      </c>
      <c r="N23" s="1436">
        <f t="shared" si="19"/>
        <v>24.928697983214061</v>
      </c>
      <c r="O23" s="1436">
        <f t="shared" si="19"/>
        <v>25.368738019131353</v>
      </c>
      <c r="P23" s="1436">
        <f t="shared" si="19"/>
        <v>25.816545618093482</v>
      </c>
      <c r="Q23" s="1436">
        <f t="shared" si="19"/>
        <v>26.27225789270549</v>
      </c>
      <c r="R23" s="1436">
        <f t="shared" si="19"/>
        <v>26.736014375876788</v>
      </c>
      <c r="S23" s="1436">
        <f t="shared" si="19"/>
        <v>27.207957063544157</v>
      </c>
      <c r="T23" s="1436">
        <f t="shared" si="19"/>
        <v>27.68823045814905</v>
      </c>
      <c r="U23" s="1436">
        <f t="shared" si="19"/>
        <v>28.176981612882216</v>
      </c>
      <c r="V23" s="1436">
        <f t="shared" si="19"/>
        <v>28.674360176709442</v>
      </c>
      <c r="W23" s="1436">
        <f t="shared" si="19"/>
        <v>29.180518440191999</v>
      </c>
      <c r="X23" s="1436">
        <f t="shared" si="19"/>
        <v>29.695611382115949</v>
      </c>
      <c r="Y23" s="1436">
        <f t="shared" si="19"/>
        <v>30.219796716944561</v>
      </c>
      <c r="Z23" s="1436">
        <f t="shared" si="19"/>
        <v>30.753234943108328</v>
      </c>
      <c r="AA23" s="1436">
        <f t="shared" si="19"/>
        <v>31.296089392147366</v>
      </c>
      <c r="AB23" s="1436">
        <f t="shared" si="19"/>
        <v>31.848526278721419</v>
      </c>
      <c r="AC23" s="1436">
        <f t="shared" si="19"/>
        <v>32.410714751502404</v>
      </c>
      <c r="AD23" s="1436">
        <f t="shared" si="19"/>
        <v>32.982826944965531</v>
      </c>
      <c r="AE23" s="1436">
        <f t="shared" si="19"/>
        <v>33.565038032094492</v>
      </c>
      <c r="AF23" s="1436">
        <f t="shared" si="19"/>
        <v>34.157526278017073</v>
      </c>
      <c r="AG23" s="1436">
        <f t="shared" si="19"/>
        <v>34.760473094587503</v>
      </c>
      <c r="AH23" s="1436">
        <f t="shared" si="19"/>
        <v>35.374063095932314</v>
      </c>
      <c r="AI23" s="1436">
        <f t="shared" si="19"/>
        <v>35.998484154976644</v>
      </c>
      <c r="AJ23" s="1436">
        <f t="shared" si="19"/>
        <v>0</v>
      </c>
      <c r="AK23" s="1436">
        <f t="shared" si="19"/>
        <v>0</v>
      </c>
      <c r="AL23" s="1436">
        <f t="shared" si="19"/>
        <v>0</v>
      </c>
      <c r="AM23" s="1436">
        <f t="shared" si="19"/>
        <v>0</v>
      </c>
      <c r="AN23" s="1436">
        <f t="shared" si="19"/>
        <v>0</v>
      </c>
      <c r="AO23" s="1436">
        <f t="shared" si="19"/>
        <v>0</v>
      </c>
      <c r="AP23" s="1436">
        <f t="shared" si="19"/>
        <v>0</v>
      </c>
      <c r="AQ23" s="1436">
        <f t="shared" si="19"/>
        <v>0</v>
      </c>
      <c r="AR23" s="1436">
        <f t="shared" si="19"/>
        <v>0</v>
      </c>
      <c r="AS23" s="1436">
        <f t="shared" si="19"/>
        <v>0</v>
      </c>
    </row>
    <row r="24" spans="1:45" s="651" customFormat="1">
      <c r="B24" s="1415"/>
      <c r="C24" s="671"/>
      <c r="D24" s="654"/>
      <c r="E24" s="672"/>
      <c r="F24" s="1781"/>
      <c r="G24" s="1781"/>
      <c r="H24" s="1781"/>
      <c r="I24" s="1781"/>
      <c r="J24" s="1781"/>
      <c r="K24" s="1781"/>
      <c r="L24" s="1781"/>
      <c r="M24" s="1781"/>
      <c r="N24" s="1781"/>
      <c r="O24" s="1781"/>
      <c r="P24" s="1781"/>
      <c r="Q24" s="1781"/>
      <c r="R24" s="1781"/>
      <c r="S24" s="1781"/>
      <c r="T24" s="1781"/>
      <c r="U24" s="1781"/>
      <c r="V24" s="1781"/>
      <c r="W24" s="1781"/>
      <c r="X24" s="1781"/>
      <c r="Y24" s="1781"/>
      <c r="Z24" s="1781"/>
      <c r="AA24" s="1781"/>
      <c r="AB24" s="1781"/>
      <c r="AC24" s="1781"/>
      <c r="AD24" s="1781"/>
      <c r="AE24" s="1781"/>
      <c r="AF24" s="1781"/>
      <c r="AG24" s="1781"/>
      <c r="AH24" s="1781"/>
      <c r="AI24" s="1781"/>
      <c r="AJ24" s="1781"/>
      <c r="AK24" s="1781"/>
      <c r="AL24" s="1781"/>
      <c r="AM24" s="1781"/>
      <c r="AN24" s="1781"/>
      <c r="AO24" s="1781"/>
      <c r="AP24" s="1781"/>
      <c r="AQ24" s="1781"/>
      <c r="AR24" s="1781"/>
      <c r="AS24" s="1781"/>
    </row>
    <row r="25" spans="1:45">
      <c r="B25" s="139"/>
      <c r="C25" s="139"/>
      <c r="D25" s="673"/>
      <c r="E25" s="674"/>
      <c r="F25" s="675"/>
      <c r="G25" s="676"/>
      <c r="H25" s="676"/>
      <c r="I25" s="676"/>
      <c r="J25" s="676"/>
      <c r="K25" s="676"/>
      <c r="L25" s="676"/>
      <c r="M25" s="676"/>
      <c r="N25" s="676"/>
      <c r="O25" s="676"/>
      <c r="P25" s="676"/>
      <c r="Q25" s="676"/>
      <c r="R25" s="676"/>
      <c r="S25" s="676"/>
      <c r="T25" s="676"/>
      <c r="U25" s="676"/>
      <c r="V25" s="676"/>
      <c r="W25" s="676"/>
      <c r="X25" s="676"/>
      <c r="Y25" s="676"/>
      <c r="Z25" s="676"/>
      <c r="AA25" s="676"/>
      <c r="AB25" s="676"/>
      <c r="AC25" s="676"/>
      <c r="AD25" s="676"/>
      <c r="AE25" s="676"/>
      <c r="AF25" s="676"/>
      <c r="AG25" s="676"/>
      <c r="AH25" s="676"/>
      <c r="AI25" s="676"/>
      <c r="AJ25" s="676"/>
      <c r="AK25" s="676"/>
      <c r="AL25" s="676"/>
      <c r="AM25" s="676"/>
      <c r="AN25" s="676"/>
      <c r="AO25" s="676"/>
      <c r="AP25" s="676"/>
      <c r="AQ25" s="676"/>
      <c r="AR25" s="676"/>
      <c r="AS25" s="676"/>
    </row>
    <row r="26" spans="1:45" s="997" customFormat="1">
      <c r="B26" s="998" t="s">
        <v>1039</v>
      </c>
      <c r="C26" s="998" t="s">
        <v>980</v>
      </c>
      <c r="D26" s="999">
        <f>-PMT(DiscountRate,BookLife,E26)</f>
        <v>62.081075253205483</v>
      </c>
      <c r="E26" s="1000">
        <f>NPV(DiscountRate,F26:AS26)*(1)</f>
        <v>799.13068330516683</v>
      </c>
      <c r="F26" s="1169">
        <f>F13+F23+F24</f>
        <v>56.658356433297428</v>
      </c>
      <c r="G26" s="1169">
        <f t="shared" ref="G26:AS26" si="20">G13+G23+G24</f>
        <v>57.221810568847047</v>
      </c>
      <c r="H26" s="1169">
        <f t="shared" si="20"/>
        <v>58.022402597911075</v>
      </c>
      <c r="I26" s="1169">
        <f t="shared" si="20"/>
        <v>58.590847132068902</v>
      </c>
      <c r="J26" s="1169">
        <f t="shared" si="20"/>
        <v>59.159188679051226</v>
      </c>
      <c r="K26" s="1169">
        <f t="shared" si="20"/>
        <v>59.978608929904539</v>
      </c>
      <c r="L26" s="1169">
        <f t="shared" si="20"/>
        <v>60.5510872936377</v>
      </c>
      <c r="M26" s="1169">
        <f t="shared" si="20"/>
        <v>61.122859856906132</v>
      </c>
      <c r="N26" s="1169">
        <f t="shared" si="20"/>
        <v>61.693675702674028</v>
      </c>
      <c r="O26" s="1169">
        <f t="shared" si="20"/>
        <v>62.263274262790461</v>
      </c>
      <c r="P26" s="1169">
        <f t="shared" si="20"/>
        <v>62.83138503400788</v>
      </c>
      <c r="Q26" s="1169">
        <f t="shared" si="20"/>
        <v>63.397727286529765</v>
      </c>
      <c r="R26" s="1169">
        <f t="shared" si="20"/>
        <v>63.673221938364392</v>
      </c>
      <c r="S26" s="1169">
        <f t="shared" si="20"/>
        <v>64.229366797994189</v>
      </c>
      <c r="T26" s="1169">
        <f t="shared" si="20"/>
        <v>64.782721044616778</v>
      </c>
      <c r="U26" s="1169">
        <f t="shared" si="20"/>
        <v>65.026493709611245</v>
      </c>
      <c r="V26" s="1169">
        <f t="shared" si="20"/>
        <v>65.567144552092401</v>
      </c>
      <c r="W26" s="1169">
        <f t="shared" si="20"/>
        <v>65.785020162771431</v>
      </c>
      <c r="X26" s="1169">
        <f t="shared" si="20"/>
        <v>66.31106778348358</v>
      </c>
      <c r="Y26" s="1169">
        <f t="shared" si="20"/>
        <v>66.500586249763444</v>
      </c>
      <c r="Z26" s="1169">
        <f t="shared" si="20"/>
        <v>67.009999043428593</v>
      </c>
      <c r="AA26" s="1169">
        <f t="shared" si="20"/>
        <v>67.168544767877975</v>
      </c>
      <c r="AB26" s="1169">
        <f t="shared" si="20"/>
        <v>67.307121077424583</v>
      </c>
      <c r="AC26" s="1169">
        <f t="shared" si="20"/>
        <v>67.424873823692565</v>
      </c>
      <c r="AD26" s="1169">
        <f t="shared" si="20"/>
        <v>67.887175603362209</v>
      </c>
      <c r="AE26" s="1169">
        <f t="shared" si="20"/>
        <v>67.967938950465083</v>
      </c>
      <c r="AF26" s="1169">
        <f t="shared" si="20"/>
        <v>68.025303702786232</v>
      </c>
      <c r="AG26" s="1169">
        <f t="shared" si="20"/>
        <v>68.446980590482667</v>
      </c>
      <c r="AH26" s="1169">
        <f t="shared" si="20"/>
        <v>68.462413688555017</v>
      </c>
      <c r="AI26" s="1169">
        <f t="shared" si="20"/>
        <v>68.856009921662732</v>
      </c>
      <c r="AJ26" s="1169">
        <f t="shared" si="20"/>
        <v>0</v>
      </c>
      <c r="AK26" s="1169">
        <f t="shared" si="20"/>
        <v>0</v>
      </c>
      <c r="AL26" s="1169">
        <f t="shared" si="20"/>
        <v>0</v>
      </c>
      <c r="AM26" s="1169">
        <f t="shared" si="20"/>
        <v>0</v>
      </c>
      <c r="AN26" s="1169">
        <f t="shared" si="20"/>
        <v>0</v>
      </c>
      <c r="AO26" s="1169">
        <f t="shared" si="20"/>
        <v>0</v>
      </c>
      <c r="AP26" s="1169">
        <f t="shared" si="20"/>
        <v>0</v>
      </c>
      <c r="AQ26" s="1169">
        <f t="shared" si="20"/>
        <v>0</v>
      </c>
      <c r="AR26" s="1169">
        <f t="shared" si="20"/>
        <v>0</v>
      </c>
      <c r="AS26" s="1169">
        <f t="shared" si="20"/>
        <v>0</v>
      </c>
    </row>
    <row r="27" spans="1:45" ht="13.5" thickBot="1">
      <c r="B27" s="677"/>
      <c r="C27" s="678"/>
      <c r="D27" s="679"/>
      <c r="E27" s="680"/>
      <c r="F27" s="681"/>
      <c r="G27" s="682"/>
      <c r="H27" s="682"/>
      <c r="I27" s="682"/>
      <c r="J27" s="682"/>
      <c r="K27" s="682"/>
      <c r="L27" s="682"/>
      <c r="M27" s="682"/>
      <c r="N27" s="682"/>
      <c r="O27" s="682"/>
      <c r="P27" s="682"/>
      <c r="Q27" s="682"/>
      <c r="R27" s="682"/>
      <c r="S27" s="682"/>
      <c r="T27" s="682"/>
      <c r="U27" s="682"/>
      <c r="V27" s="682"/>
      <c r="W27" s="682"/>
      <c r="X27" s="682"/>
      <c r="Y27" s="682"/>
      <c r="Z27" s="682"/>
      <c r="AA27" s="682"/>
      <c r="AB27" s="682"/>
      <c r="AC27" s="682"/>
      <c r="AD27" s="682"/>
      <c r="AE27" s="682"/>
      <c r="AF27" s="682"/>
      <c r="AG27" s="682"/>
      <c r="AH27" s="682"/>
      <c r="AI27" s="682"/>
      <c r="AJ27" s="682"/>
      <c r="AK27" s="682"/>
      <c r="AL27" s="682"/>
      <c r="AM27" s="682"/>
      <c r="AN27" s="682"/>
      <c r="AO27" s="682"/>
      <c r="AP27" s="682"/>
      <c r="AQ27" s="682"/>
      <c r="AR27" s="682"/>
      <c r="AS27" s="682"/>
    </row>
    <row r="28" spans="1:45" s="105" customFormat="1" ht="13.5" thickTop="1">
      <c r="A28" s="661"/>
      <c r="B28" s="684" t="s">
        <v>302</v>
      </c>
      <c r="C28" s="684"/>
      <c r="D28" s="685">
        <f>-PMT(DiscountRate,BookLife,E28)</f>
        <v>69.127878086358777</v>
      </c>
      <c r="E28" s="686">
        <f>NPV(DiscountRate,F28:AS28)*(1)</f>
        <v>889.83974947720958</v>
      </c>
      <c r="F28" s="687">
        <f t="shared" ref="F28:AS28" si="21">IF(F$1,IF(OwnerType="POU",0,InstalledCostPerkW*F$93),0)</f>
        <v>69.127878086358791</v>
      </c>
      <c r="G28" s="687">
        <f t="shared" si="21"/>
        <v>69.127878086358791</v>
      </c>
      <c r="H28" s="687">
        <f t="shared" si="21"/>
        <v>69.127878086358791</v>
      </c>
      <c r="I28" s="687">
        <f t="shared" si="21"/>
        <v>69.127878086358791</v>
      </c>
      <c r="J28" s="687">
        <f t="shared" si="21"/>
        <v>69.127878086358791</v>
      </c>
      <c r="K28" s="687">
        <f t="shared" si="21"/>
        <v>69.127878086358791</v>
      </c>
      <c r="L28" s="687">
        <f t="shared" si="21"/>
        <v>69.127878086358791</v>
      </c>
      <c r="M28" s="687">
        <f t="shared" si="21"/>
        <v>69.127878086358791</v>
      </c>
      <c r="N28" s="687">
        <f t="shared" si="21"/>
        <v>69.127878086358791</v>
      </c>
      <c r="O28" s="687">
        <f t="shared" si="21"/>
        <v>69.127878086358791</v>
      </c>
      <c r="P28" s="687">
        <f t="shared" si="21"/>
        <v>69.127878086358791</v>
      </c>
      <c r="Q28" s="687">
        <f t="shared" si="21"/>
        <v>69.127878086358791</v>
      </c>
      <c r="R28" s="687">
        <f t="shared" si="21"/>
        <v>69.127878086358791</v>
      </c>
      <c r="S28" s="687">
        <f t="shared" si="21"/>
        <v>69.127878086358791</v>
      </c>
      <c r="T28" s="687">
        <f t="shared" si="21"/>
        <v>69.127878086358791</v>
      </c>
      <c r="U28" s="687">
        <f t="shared" si="21"/>
        <v>69.127878086358791</v>
      </c>
      <c r="V28" s="687">
        <f t="shared" si="21"/>
        <v>69.127878086358791</v>
      </c>
      <c r="W28" s="687">
        <f t="shared" si="21"/>
        <v>69.127878086358791</v>
      </c>
      <c r="X28" s="687">
        <f t="shared" si="21"/>
        <v>69.127878086358791</v>
      </c>
      <c r="Y28" s="687">
        <f t="shared" si="21"/>
        <v>69.127878086358791</v>
      </c>
      <c r="Z28" s="687">
        <f t="shared" si="21"/>
        <v>69.127878086358791</v>
      </c>
      <c r="AA28" s="687">
        <f t="shared" si="21"/>
        <v>69.127878086358791</v>
      </c>
      <c r="AB28" s="687">
        <f t="shared" si="21"/>
        <v>69.127878086358791</v>
      </c>
      <c r="AC28" s="687">
        <f t="shared" si="21"/>
        <v>69.127878086358791</v>
      </c>
      <c r="AD28" s="687">
        <f t="shared" si="21"/>
        <v>69.127878086358791</v>
      </c>
      <c r="AE28" s="687">
        <f t="shared" si="21"/>
        <v>69.127878086358791</v>
      </c>
      <c r="AF28" s="687">
        <f t="shared" si="21"/>
        <v>69.127878086358791</v>
      </c>
      <c r="AG28" s="687">
        <f t="shared" si="21"/>
        <v>69.127878086358791</v>
      </c>
      <c r="AH28" s="687">
        <f t="shared" si="21"/>
        <v>69.127878086358791</v>
      </c>
      <c r="AI28" s="687">
        <f t="shared" si="21"/>
        <v>69.127878086358791</v>
      </c>
      <c r="AJ28" s="687">
        <f t="shared" si="21"/>
        <v>0</v>
      </c>
      <c r="AK28" s="687">
        <f t="shared" si="21"/>
        <v>0</v>
      </c>
      <c r="AL28" s="687">
        <f t="shared" si="21"/>
        <v>0</v>
      </c>
      <c r="AM28" s="687">
        <f t="shared" si="21"/>
        <v>0</v>
      </c>
      <c r="AN28" s="687">
        <f t="shared" si="21"/>
        <v>0</v>
      </c>
      <c r="AO28" s="687">
        <f t="shared" si="21"/>
        <v>0</v>
      </c>
      <c r="AP28" s="687">
        <f t="shared" si="21"/>
        <v>0</v>
      </c>
      <c r="AQ28" s="687">
        <f t="shared" si="21"/>
        <v>0</v>
      </c>
      <c r="AR28" s="687">
        <f t="shared" si="21"/>
        <v>0</v>
      </c>
      <c r="AS28" s="687">
        <f t="shared" si="21"/>
        <v>0</v>
      </c>
    </row>
    <row r="29" spans="1:45" s="105" customFormat="1">
      <c r="A29" s="661"/>
      <c r="B29" s="684"/>
      <c r="C29" s="684"/>
      <c r="D29" s="685"/>
      <c r="E29" s="686"/>
      <c r="F29" s="688"/>
      <c r="G29" s="689"/>
      <c r="H29" s="689"/>
      <c r="I29" s="689"/>
      <c r="J29" s="689"/>
      <c r="K29" s="689"/>
      <c r="L29" s="689"/>
      <c r="M29" s="689"/>
      <c r="N29" s="689"/>
      <c r="O29" s="689"/>
      <c r="P29" s="689"/>
      <c r="Q29" s="689"/>
      <c r="R29" s="689"/>
      <c r="S29" s="689"/>
      <c r="T29" s="689"/>
      <c r="U29" s="689"/>
      <c r="V29" s="689"/>
      <c r="W29" s="689"/>
      <c r="X29" s="689"/>
      <c r="Y29" s="689"/>
      <c r="Z29" s="689"/>
      <c r="AA29" s="689"/>
      <c r="AB29" s="689"/>
      <c r="AC29" s="689"/>
      <c r="AD29" s="689"/>
      <c r="AE29" s="689"/>
      <c r="AF29" s="689"/>
      <c r="AG29" s="689"/>
      <c r="AH29" s="689"/>
      <c r="AI29" s="689"/>
      <c r="AJ29" s="689"/>
      <c r="AK29" s="689"/>
      <c r="AL29" s="689"/>
      <c r="AM29" s="689"/>
      <c r="AN29" s="689"/>
      <c r="AO29" s="689"/>
      <c r="AP29" s="689"/>
      <c r="AQ29" s="689"/>
      <c r="AR29" s="689"/>
      <c r="AS29" s="689"/>
    </row>
    <row r="30" spans="1:45" s="104" customFormat="1">
      <c r="A30" s="638"/>
      <c r="B30" s="687" t="s">
        <v>961</v>
      </c>
      <c r="C30" s="639" t="s">
        <v>980</v>
      </c>
      <c r="D30" s="640">
        <f>-PMT(DiscountRate,BookLife,E30)</f>
        <v>46.655791225612951</v>
      </c>
      <c r="E30" s="641">
        <f>NPV(DiscountRate,F30:AS30)</f>
        <v>600.57069195724296</v>
      </c>
      <c r="F30" s="687">
        <f t="shared" ref="F30:AS30" si="22">IF(OwnerType="Merchant",IF(F$4-StartYr&lt;DebtTerm,-PPMT(DebtRate,F2,DebtTerm,InstalledCostPerkW*Debt_Financed),0),IF(F$4-StartYr&lt;BookLife,InstalledCostPerkW*F$93*Debt_Financed,0))</f>
        <v>34.143401816143978</v>
      </c>
      <c r="G30" s="687">
        <f t="shared" si="22"/>
        <v>36.162301165532575</v>
      </c>
      <c r="H30" s="687">
        <f t="shared" si="22"/>
        <v>38.300578033450513</v>
      </c>
      <c r="I30" s="687">
        <f t="shared" si="22"/>
        <v>40.565291212568447</v>
      </c>
      <c r="J30" s="687">
        <f t="shared" si="22"/>
        <v>42.96391688196762</v>
      </c>
      <c r="K30" s="687">
        <f t="shared" si="22"/>
        <v>45.504373287198362</v>
      </c>
      <c r="L30" s="687">
        <f t="shared" si="22"/>
        <v>48.1950468796704</v>
      </c>
      <c r="M30" s="687">
        <f t="shared" si="22"/>
        <v>51.044820001665322</v>
      </c>
      <c r="N30" s="687">
        <f t="shared" si="22"/>
        <v>54.063100208363785</v>
      </c>
      <c r="O30" s="687">
        <f t="shared" si="22"/>
        <v>57.25985132368433</v>
      </c>
      <c r="P30" s="687">
        <f t="shared" si="22"/>
        <v>60.645626332453787</v>
      </c>
      <c r="Q30" s="687">
        <f t="shared" si="22"/>
        <v>64.231602217491769</v>
      </c>
      <c r="R30" s="687">
        <f t="shared" si="22"/>
        <v>68.029616856612066</v>
      </c>
      <c r="S30" s="687">
        <f t="shared" si="22"/>
        <v>72.052208101343538</v>
      </c>
      <c r="T30" s="687">
        <f t="shared" si="22"/>
        <v>76.31265516637599</v>
      </c>
      <c r="U30" s="687">
        <f t="shared" si="22"/>
        <v>80.825022466363805</v>
      </c>
      <c r="V30" s="687">
        <f t="shared" si="22"/>
        <v>85.604206044799881</v>
      </c>
      <c r="W30" s="687">
        <f t="shared" si="22"/>
        <v>90.665982748228899</v>
      </c>
      <c r="X30" s="687">
        <f t="shared" si="22"/>
        <v>96.027062308131676</v>
      </c>
      <c r="Y30" s="687">
        <f t="shared" si="22"/>
        <v>101.7051425024115</v>
      </c>
      <c r="Z30" s="687">
        <f t="shared" si="22"/>
        <v>0</v>
      </c>
      <c r="AA30" s="687">
        <f t="shared" si="22"/>
        <v>0</v>
      </c>
      <c r="AB30" s="687">
        <f t="shared" si="22"/>
        <v>0</v>
      </c>
      <c r="AC30" s="687">
        <f t="shared" si="22"/>
        <v>0</v>
      </c>
      <c r="AD30" s="687">
        <f t="shared" si="22"/>
        <v>0</v>
      </c>
      <c r="AE30" s="687">
        <f t="shared" si="22"/>
        <v>0</v>
      </c>
      <c r="AF30" s="687">
        <f t="shared" si="22"/>
        <v>0</v>
      </c>
      <c r="AG30" s="687">
        <f t="shared" si="22"/>
        <v>0</v>
      </c>
      <c r="AH30" s="687">
        <f t="shared" si="22"/>
        <v>0</v>
      </c>
      <c r="AI30" s="687">
        <f t="shared" si="22"/>
        <v>0</v>
      </c>
      <c r="AJ30" s="687">
        <f t="shared" si="22"/>
        <v>0</v>
      </c>
      <c r="AK30" s="687">
        <f t="shared" si="22"/>
        <v>0</v>
      </c>
      <c r="AL30" s="687">
        <f t="shared" si="22"/>
        <v>0</v>
      </c>
      <c r="AM30" s="687">
        <f t="shared" si="22"/>
        <v>0</v>
      </c>
      <c r="AN30" s="687">
        <f t="shared" si="22"/>
        <v>0</v>
      </c>
      <c r="AO30" s="687">
        <f t="shared" si="22"/>
        <v>0</v>
      </c>
      <c r="AP30" s="687">
        <f t="shared" si="22"/>
        <v>0</v>
      </c>
      <c r="AQ30" s="687">
        <f t="shared" si="22"/>
        <v>0</v>
      </c>
      <c r="AR30" s="687">
        <f t="shared" si="22"/>
        <v>0</v>
      </c>
      <c r="AS30" s="687">
        <f t="shared" si="22"/>
        <v>0</v>
      </c>
    </row>
    <row r="31" spans="1:45" s="104" customFormat="1">
      <c r="B31" s="690" t="s">
        <v>1267</v>
      </c>
      <c r="C31" s="690" t="s">
        <v>980</v>
      </c>
      <c r="D31" s="691">
        <f>-PMT(DiscountRate,BookLife,E31)</f>
        <v>44.538662895001345</v>
      </c>
      <c r="E31" s="692">
        <f>NPV(DiscountRate,F31:AS31)</f>
        <v>573.318228906532</v>
      </c>
      <c r="F31" s="690">
        <f>IF(OwnerType="Merchant",IF(F$4-StartYr&lt;DebtTerm,-IPMT(DebtRate,F2,DebtTerm,InstalledCostPerkW*Debt_Financed),0),IF(F$4-StartYr&lt;BookLife,DebtRate*Debt_Financed*Income_Rev_Req!F48,0))</f>
        <v>73.575565762435119</v>
      </c>
      <c r="G31" s="690">
        <f>IF(OwnerType="Merchant",IF(G$4-StartYr&lt;DebtTerm,-IPMT(DebtRate,G2,DebtTerm,InstalledCostPerkW*Debt_Financed),0),IF(G$4-StartYr&lt;BookLife,DebtRate*Debt_Financed*Income_Rev_Req!G48,0))</f>
        <v>71.556666413046528</v>
      </c>
      <c r="H31" s="690">
        <f>IF(OwnerType="Merchant",IF(H$4-StartYr&lt;DebtTerm,-IPMT(DebtRate,H2,DebtTerm,InstalledCostPerkW*Debt_Financed),0),IF(H$4-StartYr&lt;BookLife,DebtRate*Debt_Financed*Income_Rev_Req!H48,0))</f>
        <v>69.418389545128591</v>
      </c>
      <c r="I31" s="690">
        <f>IF(OwnerType="Merchant",IF(I$4-StartYr&lt;DebtTerm,-IPMT(DebtRate,I2,DebtTerm,InstalledCostPerkW*Debt_Financed),0),IF(I$4-StartYr&lt;BookLife,DebtRate*Debt_Financed*Income_Rev_Req!I48,0))</f>
        <v>67.153676366010643</v>
      </c>
      <c r="J31" s="690">
        <f>IF(OwnerType="Merchant",IF(J$4-StartYr&lt;DebtTerm,-IPMT(DebtRate,J2,DebtTerm,InstalledCostPerkW*Debt_Financed),0),IF(J$4-StartYr&lt;BookLife,DebtRate*Debt_Financed*Income_Rev_Req!J48,0))</f>
        <v>64.755050696611477</v>
      </c>
      <c r="K31" s="690">
        <f>IF(OwnerType="Merchant",IF(K$4-StartYr&lt;DebtTerm,-IPMT(DebtRate,K2,DebtTerm,InstalledCostPerkW*Debt_Financed),0),IF(K$4-StartYr&lt;BookLife,DebtRate*Debt_Financed*Income_Rev_Req!K48,0))</f>
        <v>62.214594291380735</v>
      </c>
      <c r="L31" s="690">
        <f>IF(OwnerType="Merchant",IF(L$4-StartYr&lt;DebtTerm,-IPMT(DebtRate,L2,DebtTerm,InstalledCostPerkW*Debt_Financed),0),IF(L$4-StartYr&lt;BookLife,DebtRate*Debt_Financed*Income_Rev_Req!L48,0))</f>
        <v>59.523920698908697</v>
      </c>
      <c r="M31" s="690">
        <f>IF(OwnerType="Merchant",IF(M$4-StartYr&lt;DebtTerm,-IPMT(DebtRate,M2,DebtTerm,InstalledCostPerkW*Debt_Financed),0),IF(M$4-StartYr&lt;BookLife,DebtRate*Debt_Financed*Income_Rev_Req!M48,0))</f>
        <v>56.674147576913775</v>
      </c>
      <c r="N31" s="690">
        <f>IF(OwnerType="Merchant",IF(N$4-StartYr&lt;DebtTerm,-IPMT(DebtRate,N2,DebtTerm,InstalledCostPerkW*Debt_Financed),0),IF(N$4-StartYr&lt;BookLife,DebtRate*Debt_Financed*Income_Rev_Req!N48,0))</f>
        <v>53.655867370215319</v>
      </c>
      <c r="O31" s="690">
        <f>IF(OwnerType="Merchant",IF(O$4-StartYr&lt;DebtTerm,-IPMT(DebtRate,O2,DebtTerm,InstalledCostPerkW*Debt_Financed),0),IF(O$4-StartYr&lt;BookLife,DebtRate*Debt_Financed*Income_Rev_Req!O48,0))</f>
        <v>50.459116254894766</v>
      </c>
      <c r="P31" s="690">
        <f>IF(OwnerType="Merchant",IF(P$4-StartYr&lt;DebtTerm,-IPMT(DebtRate,P2,DebtTerm,InstalledCostPerkW*Debt_Financed),0),IF(P$4-StartYr&lt;BookLife,DebtRate*Debt_Financed*Income_Rev_Req!P48,0))</f>
        <v>47.07334124612531</v>
      </c>
      <c r="Q31" s="690">
        <f>IF(OwnerType="Merchant",IF(Q$4-StartYr&lt;DebtTerm,-IPMT(DebtRate,Q2,DebtTerm,InstalledCostPerkW*Debt_Financed),0),IF(Q$4-StartYr&lt;BookLife,DebtRate*Debt_Financed*Income_Rev_Req!Q48,0))</f>
        <v>43.487365361087321</v>
      </c>
      <c r="R31" s="690">
        <f>IF(OwnerType="Merchant",IF(R$4-StartYr&lt;DebtTerm,-IPMT(DebtRate,R2,DebtTerm,InstalledCostPerkW*Debt_Financed),0),IF(R$4-StartYr&lt;BookLife,DebtRate*Debt_Financed*Income_Rev_Req!R48,0))</f>
        <v>39.689350721967031</v>
      </c>
      <c r="S31" s="690">
        <f>IF(OwnerType="Merchant",IF(S$4-StartYr&lt;DebtTerm,-IPMT(DebtRate,S2,DebtTerm,InstalledCostPerkW*Debt_Financed),0),IF(S$4-StartYr&lt;BookLife,DebtRate*Debt_Financed*Income_Rev_Req!S48,0))</f>
        <v>35.666759477235559</v>
      </c>
      <c r="T31" s="690">
        <f>IF(OwnerType="Merchant",IF(T$4-StartYr&lt;DebtTerm,-IPMT(DebtRate,T2,DebtTerm,InstalledCostPerkW*Debt_Financed),0),IF(T$4-StartYr&lt;BookLife,DebtRate*Debt_Financed*Income_Rev_Req!T48,0))</f>
        <v>31.406312412203118</v>
      </c>
      <c r="U31" s="690">
        <f>IF(OwnerType="Merchant",IF(U$4-StartYr&lt;DebtTerm,-IPMT(DebtRate,U2,DebtTerm,InstalledCostPerkW*Debt_Financed),0),IF(U$4-StartYr&lt;BookLife,DebtRate*Debt_Financed*Income_Rev_Req!U48,0))</f>
        <v>26.893945112215309</v>
      </c>
      <c r="V31" s="690">
        <f>IF(OwnerType="Merchant",IF(V$4-StartYr&lt;DebtTerm,-IPMT(DebtRate,V2,DebtTerm,InstalledCostPerkW*Debt_Financed),0),IF(V$4-StartYr&lt;BookLife,DebtRate*Debt_Financed*Income_Rev_Req!V48,0))</f>
        <v>22.114761533779212</v>
      </c>
      <c r="W31" s="690">
        <f>IF(OwnerType="Merchant",IF(W$4-StartYr&lt;DebtTerm,-IPMT(DebtRate,W2,DebtTerm,InstalledCostPerkW*Debt_Financed),0),IF(W$4-StartYr&lt;BookLife,DebtRate*Debt_Financed*Income_Rev_Req!W48,0))</f>
        <v>17.052984830350194</v>
      </c>
      <c r="X31" s="690">
        <f>IF(OwnerType="Merchant",IF(X$4-StartYr&lt;DebtTerm,-IPMT(DebtRate,X2,DebtTerm,InstalledCostPerkW*Debt_Financed),0),IF(X$4-StartYr&lt;BookLife,DebtRate*Debt_Financed*Income_Rev_Req!X48,0))</f>
        <v>11.691905270447419</v>
      </c>
      <c r="Y31" s="690">
        <f>IF(OwnerType="Merchant",IF(Y$4-StartYr&lt;DebtTerm,-IPMT(DebtRate,Y2,DebtTerm,InstalledCostPerkW*Debt_Financed),0),IF(Y$4-StartYr&lt;BookLife,DebtRate*Debt_Financed*Income_Rev_Req!Y48,0))</f>
        <v>6.0138250761675929</v>
      </c>
      <c r="Z31" s="690">
        <f>IF(OwnerType="Merchant",IF(Z$4-StartYr&lt;DebtTerm,-IPMT(DebtRate,Z2,DebtTerm,InstalledCostPerkW*Debt_Financed),0),IF(Z$4-StartYr&lt;BookLife,DebtRate*Debt_Financed*Income_Rev_Req!Z48,0))</f>
        <v>0</v>
      </c>
      <c r="AA31" s="690">
        <f>IF(OwnerType="Merchant",IF(AA$4-StartYr&lt;DebtTerm,-IPMT(DebtRate,AA2,DebtTerm,InstalledCostPerkW*Debt_Financed),0),IF(AA$4-StartYr&lt;BookLife,DebtRate*Debt_Financed*Income_Rev_Req!AA48,0))</f>
        <v>0</v>
      </c>
      <c r="AB31" s="690">
        <f>IF(OwnerType="Merchant",IF(AB$4-StartYr&lt;DebtTerm,-IPMT(DebtRate,AB2,DebtTerm,InstalledCostPerkW*Debt_Financed),0),IF(AB$4-StartYr&lt;BookLife,DebtRate*Debt_Financed*Income_Rev_Req!AB48,0))</f>
        <v>0</v>
      </c>
      <c r="AC31" s="690">
        <f>IF(OwnerType="Merchant",IF(AC$4-StartYr&lt;DebtTerm,-IPMT(DebtRate,AC2,DebtTerm,InstalledCostPerkW*Debt_Financed),0),IF(AC$4-StartYr&lt;BookLife,DebtRate*Debt_Financed*Income_Rev_Req!AC48,0))</f>
        <v>0</v>
      </c>
      <c r="AD31" s="690">
        <f>IF(OwnerType="Merchant",IF(AD$4-StartYr&lt;DebtTerm,-IPMT(DebtRate,AD2,DebtTerm,InstalledCostPerkW*Debt_Financed),0),IF(AD$4-StartYr&lt;BookLife,DebtRate*Debt_Financed*Income_Rev_Req!AD48,0))</f>
        <v>0</v>
      </c>
      <c r="AE31" s="690">
        <f>IF(OwnerType="Merchant",IF(AE$4-StartYr&lt;DebtTerm,-IPMT(DebtRate,AE2,DebtTerm,InstalledCostPerkW*Debt_Financed),0),IF(AE$4-StartYr&lt;BookLife,DebtRate*Debt_Financed*Income_Rev_Req!AE48,0))</f>
        <v>0</v>
      </c>
      <c r="AF31" s="690">
        <f>IF(OwnerType="Merchant",IF(AF$4-StartYr&lt;DebtTerm,-IPMT(DebtRate,AF2,DebtTerm,InstalledCostPerkW*Debt_Financed),0),IF(AF$4-StartYr&lt;BookLife,DebtRate*Debt_Financed*Income_Rev_Req!AF48,0))</f>
        <v>0</v>
      </c>
      <c r="AG31" s="690">
        <f>IF(OwnerType="Merchant",IF(AG$4-StartYr&lt;DebtTerm,-IPMT(DebtRate,AG2,DebtTerm,InstalledCostPerkW*Debt_Financed),0),IF(AG$4-StartYr&lt;BookLife,DebtRate*Debt_Financed*Income_Rev_Req!AG48,0))</f>
        <v>0</v>
      </c>
      <c r="AH31" s="690">
        <f>IF(OwnerType="Merchant",IF(AH$4-StartYr&lt;DebtTerm,-IPMT(DebtRate,AH2,DebtTerm,InstalledCostPerkW*Debt_Financed),0),IF(AH$4-StartYr&lt;BookLife,DebtRate*Debt_Financed*Income_Rev_Req!AH48,0))</f>
        <v>0</v>
      </c>
      <c r="AI31" s="690">
        <f>IF(OwnerType="Merchant",IF(AI$4-StartYr&lt;DebtTerm,-IPMT(DebtRate,AI2,DebtTerm,InstalledCostPerkW*Debt_Financed),0),IF(AI$4-StartYr&lt;BookLife,DebtRate*Debt_Financed*Income_Rev_Req!AI48,0))</f>
        <v>0</v>
      </c>
      <c r="AJ31" s="690">
        <f>IF(OwnerType="Merchant",IF(AJ$4-StartYr&lt;DebtTerm,-IPMT(DebtRate,AJ2,DebtTerm,InstalledCostPerkW*Debt_Financed),0),IF(AJ$4-StartYr&lt;BookLife,DebtRate*Debt_Financed*Income_Rev_Req!AJ48,0))</f>
        <v>0</v>
      </c>
      <c r="AK31" s="690">
        <f>IF(OwnerType="Merchant",IF(AK$4-StartYr&lt;DebtTerm,-IPMT(DebtRate,AK2,DebtTerm,InstalledCostPerkW*Debt_Financed),0),IF(AK$4-StartYr&lt;BookLife,DebtRate*Debt_Financed*Income_Rev_Req!AK48,0))</f>
        <v>0</v>
      </c>
      <c r="AL31" s="690">
        <f>IF(OwnerType="Merchant",IF(AL$4-StartYr&lt;DebtTerm,-IPMT(DebtRate,AL2,DebtTerm,InstalledCostPerkW*Debt_Financed),0),IF(AL$4-StartYr&lt;BookLife,DebtRate*Debt_Financed*Income_Rev_Req!AL48,0))</f>
        <v>0</v>
      </c>
      <c r="AM31" s="690">
        <f>IF(OwnerType="Merchant",IF(AM$4-StartYr&lt;DebtTerm,-IPMT(DebtRate,AM2,DebtTerm,InstalledCostPerkW*Debt_Financed),0),IF(AM$4-StartYr&lt;BookLife,DebtRate*Debt_Financed*Income_Rev_Req!AM48,0))</f>
        <v>0</v>
      </c>
      <c r="AN31" s="690">
        <f>IF(OwnerType="Merchant",IF(AN$4-StartYr&lt;DebtTerm,-IPMT(DebtRate,AN2,DebtTerm,InstalledCostPerkW*Debt_Financed),0),IF(AN$4-StartYr&lt;BookLife,DebtRate*Debt_Financed*Income_Rev_Req!AN48,0))</f>
        <v>0</v>
      </c>
      <c r="AO31" s="690">
        <f>IF(OwnerType="Merchant",IF(AO$4-StartYr&lt;DebtTerm,-IPMT(DebtRate,AO2,DebtTerm,InstalledCostPerkW*Debt_Financed),0),IF(AO$4-StartYr&lt;BookLife,DebtRate*Debt_Financed*Income_Rev_Req!AO48,0))</f>
        <v>0</v>
      </c>
      <c r="AP31" s="690">
        <f>IF(OwnerType="Merchant",IF(AP$4-StartYr&lt;DebtTerm,-IPMT(DebtRate,AP2,DebtTerm,InstalledCostPerkW*Debt_Financed),0),IF(AP$4-StartYr&lt;BookLife,DebtRate*Debt_Financed*Income_Rev_Req!AP48,0))</f>
        <v>0</v>
      </c>
      <c r="AQ31" s="690">
        <f>IF(OwnerType="Merchant",IF(AQ$4-StartYr&lt;DebtTerm,-IPMT(DebtRate,AQ2,DebtTerm,InstalledCostPerkW*Debt_Financed),0),IF(AQ$4-StartYr&lt;BookLife,DebtRate*Debt_Financed*Income_Rev_Req!AQ48,0))</f>
        <v>0</v>
      </c>
      <c r="AR31" s="690">
        <f>IF(OwnerType="Merchant",IF(AR$4-StartYr&lt;DebtTerm,-IPMT(DebtRate,AR2,DebtTerm,InstalledCostPerkW*Debt_Financed),0),IF(AR$4-StartYr&lt;BookLife,DebtRate*Debt_Financed*Income_Rev_Req!AR48,0))</f>
        <v>0</v>
      </c>
      <c r="AS31" s="690">
        <f>IF(OwnerType="Merchant",IF(AS$4-StartYr&lt;DebtTerm,-IPMT(DebtRate,AS2,DebtTerm,InstalledCostPerkW*Debt_Financed),0),IF(AS$4-StartYr&lt;BookLife,DebtRate*Debt_Financed*Income_Rev_Req!AS48,0))</f>
        <v>0</v>
      </c>
    </row>
    <row r="32" spans="1:45" s="1" customFormat="1">
      <c r="B32" s="532" t="s">
        <v>978</v>
      </c>
      <c r="C32" s="532" t="s">
        <v>980</v>
      </c>
      <c r="D32" s="294">
        <f>-PMT(DiscountRate,BookLife,E32,,0)</f>
        <v>91.19445412061431</v>
      </c>
      <c r="E32" s="145">
        <f>NPV(DiscountRate,F32:AS32)</f>
        <v>1173.8889208637752</v>
      </c>
      <c r="F32" s="1025">
        <f t="shared" ref="F32:AS32" si="23">SUM(F30:F31)</f>
        <v>107.7189675785791</v>
      </c>
      <c r="G32" s="1025">
        <f t="shared" si="23"/>
        <v>107.71896757857911</v>
      </c>
      <c r="H32" s="1025">
        <f t="shared" si="23"/>
        <v>107.71896757857911</v>
      </c>
      <c r="I32" s="1025">
        <f t="shared" si="23"/>
        <v>107.71896757857908</v>
      </c>
      <c r="J32" s="1025">
        <f t="shared" si="23"/>
        <v>107.7189675785791</v>
      </c>
      <c r="K32" s="1025">
        <f t="shared" si="23"/>
        <v>107.7189675785791</v>
      </c>
      <c r="L32" s="1025">
        <f t="shared" si="23"/>
        <v>107.7189675785791</v>
      </c>
      <c r="M32" s="1025">
        <f t="shared" si="23"/>
        <v>107.7189675785791</v>
      </c>
      <c r="N32" s="1025">
        <f t="shared" si="23"/>
        <v>107.71896757857911</v>
      </c>
      <c r="O32" s="1025">
        <f t="shared" si="23"/>
        <v>107.7189675785791</v>
      </c>
      <c r="P32" s="1025">
        <f t="shared" si="23"/>
        <v>107.7189675785791</v>
      </c>
      <c r="Q32" s="1025">
        <f t="shared" si="23"/>
        <v>107.71896757857908</v>
      </c>
      <c r="R32" s="1025">
        <f t="shared" si="23"/>
        <v>107.7189675785791</v>
      </c>
      <c r="S32" s="1025">
        <f t="shared" si="23"/>
        <v>107.7189675785791</v>
      </c>
      <c r="T32" s="1025">
        <f t="shared" si="23"/>
        <v>107.71896757857911</v>
      </c>
      <c r="U32" s="1025">
        <f t="shared" si="23"/>
        <v>107.71896757857911</v>
      </c>
      <c r="V32" s="1025">
        <f t="shared" si="23"/>
        <v>107.7189675785791</v>
      </c>
      <c r="W32" s="1025">
        <f t="shared" si="23"/>
        <v>107.7189675785791</v>
      </c>
      <c r="X32" s="1025">
        <f t="shared" si="23"/>
        <v>107.7189675785791</v>
      </c>
      <c r="Y32" s="1025">
        <f t="shared" si="23"/>
        <v>107.7189675785791</v>
      </c>
      <c r="Z32" s="1025">
        <f t="shared" si="23"/>
        <v>0</v>
      </c>
      <c r="AA32" s="1025">
        <f t="shared" si="23"/>
        <v>0</v>
      </c>
      <c r="AB32" s="1025">
        <f t="shared" si="23"/>
        <v>0</v>
      </c>
      <c r="AC32" s="1025">
        <f t="shared" si="23"/>
        <v>0</v>
      </c>
      <c r="AD32" s="1025">
        <f t="shared" si="23"/>
        <v>0</v>
      </c>
      <c r="AE32" s="1025">
        <f t="shared" si="23"/>
        <v>0</v>
      </c>
      <c r="AF32" s="1025">
        <f t="shared" si="23"/>
        <v>0</v>
      </c>
      <c r="AG32" s="1025">
        <f t="shared" si="23"/>
        <v>0</v>
      </c>
      <c r="AH32" s="1025">
        <f t="shared" si="23"/>
        <v>0</v>
      </c>
      <c r="AI32" s="1025">
        <f t="shared" si="23"/>
        <v>0</v>
      </c>
      <c r="AJ32" s="1025">
        <f t="shared" si="23"/>
        <v>0</v>
      </c>
      <c r="AK32" s="1025">
        <f t="shared" si="23"/>
        <v>0</v>
      </c>
      <c r="AL32" s="1025">
        <f t="shared" si="23"/>
        <v>0</v>
      </c>
      <c r="AM32" s="1025">
        <f t="shared" si="23"/>
        <v>0</v>
      </c>
      <c r="AN32" s="1025">
        <f t="shared" si="23"/>
        <v>0</v>
      </c>
      <c r="AO32" s="1025">
        <f t="shared" si="23"/>
        <v>0</v>
      </c>
      <c r="AP32" s="1025">
        <f t="shared" si="23"/>
        <v>0</v>
      </c>
      <c r="AQ32" s="1025">
        <f t="shared" si="23"/>
        <v>0</v>
      </c>
      <c r="AR32" s="1025">
        <f t="shared" si="23"/>
        <v>0</v>
      </c>
      <c r="AS32" s="1025">
        <f t="shared" si="23"/>
        <v>0</v>
      </c>
    </row>
    <row r="33" spans="2:46" s="105" customFormat="1">
      <c r="D33" s="693"/>
      <c r="E33" s="694"/>
      <c r="F33" s="687"/>
      <c r="G33" s="687"/>
      <c r="H33" s="687"/>
      <c r="I33" s="687"/>
      <c r="J33" s="687"/>
      <c r="K33" s="687"/>
      <c r="L33" s="687"/>
      <c r="M33" s="687"/>
      <c r="N33" s="687"/>
      <c r="O33" s="687"/>
      <c r="P33" s="687"/>
      <c r="Q33" s="687"/>
      <c r="R33" s="687"/>
      <c r="S33" s="687"/>
      <c r="T33" s="687"/>
      <c r="U33" s="687"/>
      <c r="V33" s="687"/>
      <c r="W33" s="687"/>
      <c r="X33" s="687"/>
      <c r="Y33" s="687"/>
      <c r="Z33" s="687"/>
      <c r="AA33" s="687"/>
      <c r="AB33" s="687"/>
      <c r="AC33" s="687"/>
      <c r="AD33" s="687"/>
      <c r="AE33" s="687"/>
      <c r="AF33" s="687"/>
      <c r="AG33" s="687"/>
      <c r="AH33" s="687"/>
      <c r="AI33" s="687"/>
      <c r="AJ33" s="687"/>
      <c r="AK33" s="687"/>
      <c r="AL33" s="687"/>
      <c r="AM33" s="687"/>
      <c r="AN33" s="687"/>
      <c r="AO33" s="687"/>
      <c r="AP33" s="687"/>
      <c r="AQ33" s="687"/>
      <c r="AR33" s="687"/>
      <c r="AS33" s="687"/>
    </row>
    <row r="34" spans="2:46" s="2" customFormat="1">
      <c r="B34" s="1013" t="s">
        <v>904</v>
      </c>
      <c r="C34" s="1014" t="s">
        <v>980</v>
      </c>
      <c r="D34" s="1015">
        <f>-PMT(DiscountRate,BookLife,E34)</f>
        <v>73.426210953463212</v>
      </c>
      <c r="E34" s="1016">
        <f>NPV(DiscountRate,F34:AS34)*(1)</f>
        <v>945.1694883251987</v>
      </c>
      <c r="F34" s="1017">
        <f>IF(F$1,IF(OwnerType="POU",0,(EquityRate*F48)*PctEquity),0)</f>
        <v>109.91332615731049</v>
      </c>
      <c r="G34" s="1017">
        <f t="shared" ref="G34:AS34" si="24">IF(G$1,IF(OwnerType="POU",0,(EquityRate*G48)*PctEquity),0)</f>
        <v>106.24954861873346</v>
      </c>
      <c r="H34" s="1017">
        <f t="shared" si="24"/>
        <v>102.58577108015646</v>
      </c>
      <c r="I34" s="1017">
        <f t="shared" si="24"/>
        <v>98.92199354157944</v>
      </c>
      <c r="J34" s="1017">
        <f t="shared" si="24"/>
        <v>95.258216003002417</v>
      </c>
      <c r="K34" s="1017">
        <f t="shared" si="24"/>
        <v>91.594438464425423</v>
      </c>
      <c r="L34" s="1017">
        <f t="shared" si="24"/>
        <v>87.930660925848386</v>
      </c>
      <c r="M34" s="1017">
        <f t="shared" si="24"/>
        <v>84.266883387271378</v>
      </c>
      <c r="N34" s="1017">
        <f t="shared" si="24"/>
        <v>80.603105848694355</v>
      </c>
      <c r="O34" s="1017">
        <f t="shared" si="24"/>
        <v>76.939328310117347</v>
      </c>
      <c r="P34" s="1017">
        <f t="shared" si="24"/>
        <v>73.275550771540324</v>
      </c>
      <c r="Q34" s="1017">
        <f t="shared" si="24"/>
        <v>69.611773232963316</v>
      </c>
      <c r="R34" s="1017">
        <f t="shared" si="24"/>
        <v>65.947995694386293</v>
      </c>
      <c r="S34" s="1017">
        <f t="shared" si="24"/>
        <v>62.284218155809278</v>
      </c>
      <c r="T34" s="1017">
        <f t="shared" si="24"/>
        <v>58.620440617232276</v>
      </c>
      <c r="U34" s="1017">
        <f t="shared" si="24"/>
        <v>54.956663078655254</v>
      </c>
      <c r="V34" s="1017">
        <f t="shared" si="24"/>
        <v>51.292885540078231</v>
      </c>
      <c r="W34" s="1017">
        <f t="shared" si="24"/>
        <v>47.629108001501208</v>
      </c>
      <c r="X34" s="1017">
        <f t="shared" si="24"/>
        <v>43.965330462924193</v>
      </c>
      <c r="Y34" s="1017">
        <f t="shared" si="24"/>
        <v>40.301552924347192</v>
      </c>
      <c r="Z34" s="1017">
        <f t="shared" si="24"/>
        <v>36.637775385770169</v>
      </c>
      <c r="AA34" s="1017">
        <f t="shared" si="24"/>
        <v>32.973997847193154</v>
      </c>
      <c r="AB34" s="1017">
        <f t="shared" si="24"/>
        <v>29.310220308616138</v>
      </c>
      <c r="AC34" s="1017">
        <f t="shared" si="24"/>
        <v>25.646442770039119</v>
      </c>
      <c r="AD34" s="1017">
        <f t="shared" si="24"/>
        <v>21.982665231462104</v>
      </c>
      <c r="AE34" s="1017">
        <f t="shared" si="24"/>
        <v>18.318887692885085</v>
      </c>
      <c r="AF34" s="1017">
        <f t="shared" si="24"/>
        <v>14.655110154308069</v>
      </c>
      <c r="AG34" s="1017">
        <f t="shared" si="24"/>
        <v>10.991332615731062</v>
      </c>
      <c r="AH34" s="1017">
        <f t="shared" si="24"/>
        <v>7.3275550771540452</v>
      </c>
      <c r="AI34" s="1017">
        <f t="shared" si="24"/>
        <v>3.6637775385770293</v>
      </c>
      <c r="AJ34" s="1017">
        <f t="shared" si="24"/>
        <v>0</v>
      </c>
      <c r="AK34" s="1017">
        <f t="shared" si="24"/>
        <v>0</v>
      </c>
      <c r="AL34" s="1017">
        <f t="shared" si="24"/>
        <v>0</v>
      </c>
      <c r="AM34" s="1017">
        <f t="shared" si="24"/>
        <v>0</v>
      </c>
      <c r="AN34" s="1017">
        <f t="shared" si="24"/>
        <v>0</v>
      </c>
      <c r="AO34" s="1017">
        <f t="shared" si="24"/>
        <v>0</v>
      </c>
      <c r="AP34" s="1017">
        <f t="shared" si="24"/>
        <v>0</v>
      </c>
      <c r="AQ34" s="1017">
        <f t="shared" si="24"/>
        <v>0</v>
      </c>
      <c r="AR34" s="1017">
        <f t="shared" si="24"/>
        <v>0</v>
      </c>
      <c r="AS34" s="1017">
        <f t="shared" si="24"/>
        <v>0</v>
      </c>
    </row>
    <row r="35" spans="2:46" s="2" customFormat="1">
      <c r="B35" s="1018" t="s">
        <v>567</v>
      </c>
      <c r="C35" s="1019" t="s">
        <v>980</v>
      </c>
      <c r="D35" s="1020">
        <f>-PMT(DiscountRate,BookLife,E35)</f>
        <v>27.651151234543526</v>
      </c>
      <c r="E35" s="1021">
        <f>NPV(DiscountRate,F35:AS35)*(1)</f>
        <v>355.93589979088398</v>
      </c>
      <c r="F35" s="1022">
        <f t="shared" ref="F35:AS35" si="25">IF(F$1,IF(OwnerType="POU",0,F28*PctEquity),0)</f>
        <v>27.651151234543519</v>
      </c>
      <c r="G35" s="1022">
        <f t="shared" si="25"/>
        <v>27.651151234543519</v>
      </c>
      <c r="H35" s="1022">
        <f t="shared" si="25"/>
        <v>27.651151234543519</v>
      </c>
      <c r="I35" s="1022">
        <f t="shared" si="25"/>
        <v>27.651151234543519</v>
      </c>
      <c r="J35" s="1022">
        <f t="shared" si="25"/>
        <v>27.651151234543519</v>
      </c>
      <c r="K35" s="1022">
        <f t="shared" si="25"/>
        <v>27.651151234543519</v>
      </c>
      <c r="L35" s="1022">
        <f t="shared" si="25"/>
        <v>27.651151234543519</v>
      </c>
      <c r="M35" s="1022">
        <f t="shared" si="25"/>
        <v>27.651151234543519</v>
      </c>
      <c r="N35" s="1022">
        <f t="shared" si="25"/>
        <v>27.651151234543519</v>
      </c>
      <c r="O35" s="1022">
        <f t="shared" si="25"/>
        <v>27.651151234543519</v>
      </c>
      <c r="P35" s="1022">
        <f t="shared" si="25"/>
        <v>27.651151234543519</v>
      </c>
      <c r="Q35" s="1022">
        <f t="shared" si="25"/>
        <v>27.651151234543519</v>
      </c>
      <c r="R35" s="1022">
        <f t="shared" si="25"/>
        <v>27.651151234543519</v>
      </c>
      <c r="S35" s="1022">
        <f t="shared" si="25"/>
        <v>27.651151234543519</v>
      </c>
      <c r="T35" s="1022">
        <f t="shared" si="25"/>
        <v>27.651151234543519</v>
      </c>
      <c r="U35" s="1022">
        <f t="shared" si="25"/>
        <v>27.651151234543519</v>
      </c>
      <c r="V35" s="1022">
        <f t="shared" si="25"/>
        <v>27.651151234543519</v>
      </c>
      <c r="W35" s="1022">
        <f t="shared" si="25"/>
        <v>27.651151234543519</v>
      </c>
      <c r="X35" s="1022">
        <f t="shared" si="25"/>
        <v>27.651151234543519</v>
      </c>
      <c r="Y35" s="1022">
        <f t="shared" si="25"/>
        <v>27.651151234543519</v>
      </c>
      <c r="Z35" s="1022">
        <f t="shared" si="25"/>
        <v>27.651151234543519</v>
      </c>
      <c r="AA35" s="1022">
        <f t="shared" si="25"/>
        <v>27.651151234543519</v>
      </c>
      <c r="AB35" s="1022">
        <f t="shared" si="25"/>
        <v>27.651151234543519</v>
      </c>
      <c r="AC35" s="1022">
        <f t="shared" si="25"/>
        <v>27.651151234543519</v>
      </c>
      <c r="AD35" s="1022">
        <f t="shared" si="25"/>
        <v>27.651151234543519</v>
      </c>
      <c r="AE35" s="1022">
        <f t="shared" si="25"/>
        <v>27.651151234543519</v>
      </c>
      <c r="AF35" s="1022">
        <f t="shared" si="25"/>
        <v>27.651151234543519</v>
      </c>
      <c r="AG35" s="1022">
        <f t="shared" si="25"/>
        <v>27.651151234543519</v>
      </c>
      <c r="AH35" s="1022">
        <f t="shared" si="25"/>
        <v>27.651151234543519</v>
      </c>
      <c r="AI35" s="1022">
        <f t="shared" si="25"/>
        <v>27.651151234543519</v>
      </c>
      <c r="AJ35" s="1022">
        <f t="shared" si="25"/>
        <v>0</v>
      </c>
      <c r="AK35" s="1022">
        <f t="shared" si="25"/>
        <v>0</v>
      </c>
      <c r="AL35" s="1022">
        <f t="shared" si="25"/>
        <v>0</v>
      </c>
      <c r="AM35" s="1022">
        <f t="shared" si="25"/>
        <v>0</v>
      </c>
      <c r="AN35" s="1022">
        <f t="shared" si="25"/>
        <v>0</v>
      </c>
      <c r="AO35" s="1022">
        <f t="shared" si="25"/>
        <v>0</v>
      </c>
      <c r="AP35" s="1022">
        <f t="shared" si="25"/>
        <v>0</v>
      </c>
      <c r="AQ35" s="1022">
        <f t="shared" si="25"/>
        <v>0</v>
      </c>
      <c r="AR35" s="1022">
        <f t="shared" si="25"/>
        <v>0</v>
      </c>
      <c r="AS35" s="1022">
        <f t="shared" si="25"/>
        <v>0</v>
      </c>
    </row>
    <row r="36" spans="2:46" s="1" customFormat="1">
      <c r="B36" s="533" t="s">
        <v>1137</v>
      </c>
      <c r="C36" s="532" t="s">
        <v>980</v>
      </c>
      <c r="D36" s="294">
        <f>-PMT(DiscountRate,BookLife,E36)</f>
        <v>101.07736218800672</v>
      </c>
      <c r="E36" s="1024">
        <f>NPV(DiscountRate,F36:AS36)*(1)</f>
        <v>1301.1053881160824</v>
      </c>
      <c r="F36" s="1025">
        <f>SUM(F34:F35)</f>
        <v>137.56447739185401</v>
      </c>
      <c r="G36" s="1025">
        <f>SUM(G34:G35)</f>
        <v>133.90069985327699</v>
      </c>
      <c r="H36" s="1025">
        <f>SUM(H34:H35)</f>
        <v>130.2369223147</v>
      </c>
      <c r="I36" s="1025">
        <f>SUM(I34:I35)</f>
        <v>126.57314477612296</v>
      </c>
      <c r="J36" s="1025">
        <f>SUM(J34:J35)</f>
        <v>122.90936723754594</v>
      </c>
      <c r="K36" s="1025">
        <f t="shared" ref="K36:AS36" si="26">SUM(K34:K35)</f>
        <v>119.24558969896894</v>
      </c>
      <c r="L36" s="1025">
        <f t="shared" si="26"/>
        <v>115.58181216039191</v>
      </c>
      <c r="M36" s="1025">
        <f t="shared" si="26"/>
        <v>111.9180346218149</v>
      </c>
      <c r="N36" s="1025">
        <f t="shared" si="26"/>
        <v>108.25425708323787</v>
      </c>
      <c r="O36" s="1025">
        <f t="shared" si="26"/>
        <v>104.59047954466087</v>
      </c>
      <c r="P36" s="1025">
        <f t="shared" si="26"/>
        <v>100.92670200608384</v>
      </c>
      <c r="Q36" s="1025">
        <f t="shared" si="26"/>
        <v>97.262924467506835</v>
      </c>
      <c r="R36" s="1025">
        <f t="shared" si="26"/>
        <v>93.599146928929812</v>
      </c>
      <c r="S36" s="1025">
        <f t="shared" si="26"/>
        <v>89.935369390352804</v>
      </c>
      <c r="T36" s="1025">
        <f t="shared" si="26"/>
        <v>86.271591851775796</v>
      </c>
      <c r="U36" s="1025">
        <f t="shared" si="26"/>
        <v>82.607814313198773</v>
      </c>
      <c r="V36" s="1025">
        <f t="shared" si="26"/>
        <v>78.94403677462175</v>
      </c>
      <c r="W36" s="1025">
        <f t="shared" si="26"/>
        <v>75.280259236044728</v>
      </c>
      <c r="X36" s="1025">
        <f t="shared" si="26"/>
        <v>71.616481697467719</v>
      </c>
      <c r="Y36" s="1025">
        <f t="shared" si="26"/>
        <v>67.952704158890711</v>
      </c>
      <c r="Z36" s="1025">
        <f t="shared" si="26"/>
        <v>64.288926620313688</v>
      </c>
      <c r="AA36" s="1025">
        <f t="shared" si="26"/>
        <v>60.625149081736673</v>
      </c>
      <c r="AB36" s="1025">
        <f t="shared" si="26"/>
        <v>56.961371543159657</v>
      </c>
      <c r="AC36" s="1025">
        <f t="shared" si="26"/>
        <v>53.297594004582635</v>
      </c>
      <c r="AD36" s="1025">
        <f t="shared" si="26"/>
        <v>49.633816466005626</v>
      </c>
      <c r="AE36" s="1025">
        <f t="shared" si="26"/>
        <v>45.970038927428604</v>
      </c>
      <c r="AF36" s="1025">
        <f t="shared" si="26"/>
        <v>42.306261388851588</v>
      </c>
      <c r="AG36" s="1025">
        <f t="shared" si="26"/>
        <v>38.64248385027458</v>
      </c>
      <c r="AH36" s="1025">
        <f t="shared" si="26"/>
        <v>34.978706311697565</v>
      </c>
      <c r="AI36" s="1025">
        <f t="shared" si="26"/>
        <v>31.314928773120549</v>
      </c>
      <c r="AJ36" s="1025">
        <f t="shared" si="26"/>
        <v>0</v>
      </c>
      <c r="AK36" s="1025">
        <f t="shared" si="26"/>
        <v>0</v>
      </c>
      <c r="AL36" s="1025">
        <f t="shared" si="26"/>
        <v>0</v>
      </c>
      <c r="AM36" s="1025">
        <f t="shared" si="26"/>
        <v>0</v>
      </c>
      <c r="AN36" s="1025">
        <f t="shared" si="26"/>
        <v>0</v>
      </c>
      <c r="AO36" s="1025">
        <f t="shared" si="26"/>
        <v>0</v>
      </c>
      <c r="AP36" s="1025">
        <f t="shared" si="26"/>
        <v>0</v>
      </c>
      <c r="AQ36" s="1025">
        <f t="shared" si="26"/>
        <v>0</v>
      </c>
      <c r="AR36" s="1025">
        <f t="shared" si="26"/>
        <v>0</v>
      </c>
      <c r="AS36" s="1025">
        <f t="shared" si="26"/>
        <v>0</v>
      </c>
    </row>
    <row r="37" spans="2:46">
      <c r="B37" s="103"/>
      <c r="D37" s="1148">
        <f>SUM(D36,D32,D26,D73)</f>
        <v>235.21949114164701</v>
      </c>
      <c r="E37" s="695"/>
      <c r="F37" s="642"/>
      <c r="S37" s="102"/>
      <c r="T37" s="102"/>
    </row>
    <row r="38" spans="2:46" s="133" customFormat="1">
      <c r="B38" s="132" t="s">
        <v>614</v>
      </c>
      <c r="C38" s="134" t="s">
        <v>1075</v>
      </c>
      <c r="D38" s="1003"/>
      <c r="E38" s="1004"/>
      <c r="F38" s="1005">
        <f t="shared" ref="F38:AS38" si="27">IF(F$1,F34/(MAX(PctEquity*InstalledCostPerkW,1)),"")</f>
        <v>0.13250000000000001</v>
      </c>
      <c r="G38" s="1005">
        <f t="shared" si="27"/>
        <v>0.12808333333333333</v>
      </c>
      <c r="H38" s="1005">
        <f t="shared" si="27"/>
        <v>0.12366666666666667</v>
      </c>
      <c r="I38" s="1005">
        <f t="shared" si="27"/>
        <v>0.11925000000000001</v>
      </c>
      <c r="J38" s="1005">
        <f t="shared" si="27"/>
        <v>0.11483333333333333</v>
      </c>
      <c r="K38" s="1005">
        <f t="shared" si="27"/>
        <v>0.11041666666666669</v>
      </c>
      <c r="L38" s="1005">
        <f t="shared" si="27"/>
        <v>0.106</v>
      </c>
      <c r="M38" s="1005">
        <f t="shared" si="27"/>
        <v>0.10158333333333334</v>
      </c>
      <c r="N38" s="1005">
        <f t="shared" si="27"/>
        <v>9.7166666666666665E-2</v>
      </c>
      <c r="O38" s="1005">
        <f t="shared" si="27"/>
        <v>9.2750000000000013E-2</v>
      </c>
      <c r="P38" s="1005">
        <f t="shared" si="27"/>
        <v>8.8333333333333333E-2</v>
      </c>
      <c r="Q38" s="1005">
        <f t="shared" si="27"/>
        <v>8.3916666666666681E-2</v>
      </c>
      <c r="R38" s="1005">
        <f t="shared" si="27"/>
        <v>7.9500000000000001E-2</v>
      </c>
      <c r="S38" s="1005">
        <f t="shared" si="27"/>
        <v>7.5083333333333335E-2</v>
      </c>
      <c r="T38" s="1005">
        <f t="shared" si="27"/>
        <v>7.0666666666666683E-2</v>
      </c>
      <c r="U38" s="1005">
        <f t="shared" si="27"/>
        <v>6.6250000000000017E-2</v>
      </c>
      <c r="V38" s="1005">
        <f t="shared" si="27"/>
        <v>6.1833333333333337E-2</v>
      </c>
      <c r="W38" s="1005">
        <f t="shared" si="27"/>
        <v>5.7416666666666664E-2</v>
      </c>
      <c r="X38" s="1005">
        <f t="shared" si="27"/>
        <v>5.2999999999999999E-2</v>
      </c>
      <c r="Y38" s="1005">
        <f t="shared" si="27"/>
        <v>4.8583333333333346E-2</v>
      </c>
      <c r="Z38" s="1005">
        <f t="shared" si="27"/>
        <v>4.4166666666666674E-2</v>
      </c>
      <c r="AA38" s="1005">
        <f t="shared" si="27"/>
        <v>3.9750000000000008E-2</v>
      </c>
      <c r="AB38" s="1005">
        <f t="shared" si="27"/>
        <v>3.5333333333333342E-2</v>
      </c>
      <c r="AC38" s="1005">
        <f t="shared" si="27"/>
        <v>3.0916666666666672E-2</v>
      </c>
      <c r="AD38" s="1005">
        <f t="shared" si="27"/>
        <v>2.6500000000000006E-2</v>
      </c>
      <c r="AE38" s="1005">
        <f t="shared" si="27"/>
        <v>2.2083333333333337E-2</v>
      </c>
      <c r="AF38" s="1005">
        <f t="shared" si="27"/>
        <v>1.7666666666666671E-2</v>
      </c>
      <c r="AG38" s="1005">
        <f t="shared" si="27"/>
        <v>1.3250000000000017E-2</v>
      </c>
      <c r="AH38" s="1005">
        <f t="shared" si="27"/>
        <v>8.8333333333333493E-3</v>
      </c>
      <c r="AI38" s="1005">
        <f t="shared" si="27"/>
        <v>4.4166666666666824E-3</v>
      </c>
      <c r="AJ38" s="1005" t="str">
        <f t="shared" si="27"/>
        <v/>
      </c>
      <c r="AK38" s="1005" t="str">
        <f t="shared" si="27"/>
        <v/>
      </c>
      <c r="AL38" s="1005" t="str">
        <f t="shared" si="27"/>
        <v/>
      </c>
      <c r="AM38" s="1005" t="str">
        <f t="shared" si="27"/>
        <v/>
      </c>
      <c r="AN38" s="1005" t="str">
        <f t="shared" si="27"/>
        <v/>
      </c>
      <c r="AO38" s="1005" t="str">
        <f t="shared" si="27"/>
        <v/>
      </c>
      <c r="AP38" s="1005" t="str">
        <f t="shared" si="27"/>
        <v/>
      </c>
      <c r="AQ38" s="1005" t="str">
        <f t="shared" si="27"/>
        <v/>
      </c>
      <c r="AR38" s="1005" t="str">
        <f t="shared" si="27"/>
        <v/>
      </c>
      <c r="AS38" s="1005" t="str">
        <f t="shared" si="27"/>
        <v/>
      </c>
    </row>
    <row r="39" spans="2:46" s="133" customFormat="1">
      <c r="B39" s="132" t="s">
        <v>276</v>
      </c>
      <c r="C39" s="134" t="s">
        <v>1075</v>
      </c>
      <c r="D39" s="1006"/>
      <c r="E39" s="1006"/>
      <c r="F39" s="696">
        <f t="shared" ref="F39:AS39" si="28">IF(F$1,F34/(MAX(F48*PctEquity,1)),0)</f>
        <v>0.13250000000000001</v>
      </c>
      <c r="G39" s="696">
        <f t="shared" si="28"/>
        <v>0.13250000000000001</v>
      </c>
      <c r="H39" s="696">
        <f t="shared" si="28"/>
        <v>0.13250000000000001</v>
      </c>
      <c r="I39" s="696">
        <f t="shared" si="28"/>
        <v>0.13250000000000001</v>
      </c>
      <c r="J39" s="696">
        <f t="shared" si="28"/>
        <v>0.13250000000000001</v>
      </c>
      <c r="K39" s="696">
        <f t="shared" si="28"/>
        <v>0.13250000000000001</v>
      </c>
      <c r="L39" s="696">
        <f t="shared" si="28"/>
        <v>0.13250000000000001</v>
      </c>
      <c r="M39" s="696">
        <f t="shared" si="28"/>
        <v>0.13250000000000001</v>
      </c>
      <c r="N39" s="696">
        <f t="shared" si="28"/>
        <v>0.13250000000000003</v>
      </c>
      <c r="O39" s="696">
        <f t="shared" si="28"/>
        <v>0.13250000000000001</v>
      </c>
      <c r="P39" s="696">
        <f t="shared" si="28"/>
        <v>0.13250000000000001</v>
      </c>
      <c r="Q39" s="696">
        <f t="shared" si="28"/>
        <v>0.13250000000000001</v>
      </c>
      <c r="R39" s="696">
        <f t="shared" si="28"/>
        <v>0.13250000000000001</v>
      </c>
      <c r="S39" s="696">
        <f t="shared" si="28"/>
        <v>0.13250000000000001</v>
      </c>
      <c r="T39" s="696">
        <f t="shared" si="28"/>
        <v>0.13250000000000001</v>
      </c>
      <c r="U39" s="696">
        <f t="shared" si="28"/>
        <v>0.13250000000000001</v>
      </c>
      <c r="V39" s="696">
        <f t="shared" si="28"/>
        <v>0.13250000000000001</v>
      </c>
      <c r="W39" s="696">
        <f t="shared" si="28"/>
        <v>0.13250000000000001</v>
      </c>
      <c r="X39" s="696">
        <f t="shared" si="28"/>
        <v>0.13250000000000001</v>
      </c>
      <c r="Y39" s="696">
        <f t="shared" si="28"/>
        <v>0.13250000000000003</v>
      </c>
      <c r="Z39" s="696">
        <f t="shared" si="28"/>
        <v>0.13250000000000001</v>
      </c>
      <c r="AA39" s="696">
        <f t="shared" si="28"/>
        <v>0.13250000000000001</v>
      </c>
      <c r="AB39" s="696">
        <f t="shared" si="28"/>
        <v>0.13250000000000001</v>
      </c>
      <c r="AC39" s="696">
        <f t="shared" si="28"/>
        <v>0.13250000000000001</v>
      </c>
      <c r="AD39" s="696">
        <f t="shared" si="28"/>
        <v>0.13250000000000001</v>
      </c>
      <c r="AE39" s="696">
        <f t="shared" si="28"/>
        <v>0.13250000000000001</v>
      </c>
      <c r="AF39" s="696">
        <f t="shared" si="28"/>
        <v>0.13250000000000001</v>
      </c>
      <c r="AG39" s="696">
        <f t="shared" si="28"/>
        <v>0.13250000000000001</v>
      </c>
      <c r="AH39" s="696">
        <f t="shared" si="28"/>
        <v>0.13249999999999998</v>
      </c>
      <c r="AI39" s="696">
        <f t="shared" si="28"/>
        <v>0.13250000000000001</v>
      </c>
      <c r="AJ39" s="696">
        <f t="shared" si="28"/>
        <v>0</v>
      </c>
      <c r="AK39" s="696">
        <f t="shared" si="28"/>
        <v>0</v>
      </c>
      <c r="AL39" s="696">
        <f t="shared" si="28"/>
        <v>0</v>
      </c>
      <c r="AM39" s="696">
        <f t="shared" si="28"/>
        <v>0</v>
      </c>
      <c r="AN39" s="696">
        <f t="shared" si="28"/>
        <v>0</v>
      </c>
      <c r="AO39" s="696">
        <f t="shared" si="28"/>
        <v>0</v>
      </c>
      <c r="AP39" s="696">
        <f t="shared" si="28"/>
        <v>0</v>
      </c>
      <c r="AQ39" s="696">
        <f t="shared" si="28"/>
        <v>0</v>
      </c>
      <c r="AR39" s="696">
        <f t="shared" si="28"/>
        <v>0</v>
      </c>
      <c r="AS39" s="696">
        <f t="shared" si="28"/>
        <v>0</v>
      </c>
    </row>
    <row r="40" spans="2:46" s="133" customFormat="1">
      <c r="B40" s="1414" t="s">
        <v>1436</v>
      </c>
      <c r="C40" s="134" t="s">
        <v>1075</v>
      </c>
      <c r="D40" s="1005">
        <f>(D41+D13)/(MAX(InstalledCostPerkW,1))</f>
        <v>0.10085896954630551</v>
      </c>
      <c r="E40" s="1004"/>
      <c r="F40" s="1005">
        <f t="shared" ref="F40:AS40" si="29">IF(F$1,(F41+F13)/(MAX(InstalledCostPerkW,1)),"")</f>
        <v>-0.20726368073564316</v>
      </c>
      <c r="G40" s="1005">
        <f t="shared" si="29"/>
        <v>8.9952178963098303E-2</v>
      </c>
      <c r="H40" s="1005">
        <f t="shared" si="29"/>
        <v>0.11958955126836943</v>
      </c>
      <c r="I40" s="1005">
        <f t="shared" si="29"/>
        <v>0.13044363974549525</v>
      </c>
      <c r="J40" s="1005">
        <f t="shared" si="29"/>
        <v>0.12688045153109734</v>
      </c>
      <c r="K40" s="1005">
        <f t="shared" si="29"/>
        <v>0.16138850191281537</v>
      </c>
      <c r="L40" s="1005">
        <f t="shared" si="29"/>
        <v>0.15965808862710365</v>
      </c>
      <c r="M40" s="1005">
        <f t="shared" si="29"/>
        <v>0.15795128916503864</v>
      </c>
      <c r="N40" s="1005">
        <f t="shared" si="29"/>
        <v>0.15627057021703356</v>
      </c>
      <c r="O40" s="1005">
        <f t="shared" si="29"/>
        <v>0.15461849825772297</v>
      </c>
      <c r="P40" s="1005">
        <f t="shared" si="29"/>
        <v>0.15299774818940631</v>
      </c>
      <c r="Q40" s="1005">
        <f t="shared" si="29"/>
        <v>0.15126596004443804</v>
      </c>
      <c r="R40" s="1005">
        <f t="shared" si="29"/>
        <v>0.14943921009099898</v>
      </c>
      <c r="S40" s="1005">
        <f t="shared" si="29"/>
        <v>0.14779591236673997</v>
      </c>
      <c r="T40" s="1005">
        <f t="shared" si="29"/>
        <v>0.1462024018111962</v>
      </c>
      <c r="U40" s="1005">
        <f t="shared" si="29"/>
        <v>0.14451393481811226</v>
      </c>
      <c r="V40" s="1005">
        <f t="shared" si="29"/>
        <v>0.14302632716821431</v>
      </c>
      <c r="W40" s="1005">
        <f t="shared" si="29"/>
        <v>0.1414443681467519</v>
      </c>
      <c r="X40" s="1005">
        <f t="shared" si="29"/>
        <v>0.14007609936327806</v>
      </c>
      <c r="Y40" s="1005">
        <f t="shared" si="29"/>
        <v>0.13861467495670554</v>
      </c>
      <c r="Z40" s="1005">
        <f t="shared" si="29"/>
        <v>6.0459494971397534E-2</v>
      </c>
      <c r="AA40" s="1005">
        <f t="shared" si="29"/>
        <v>5.7657396426779958E-2</v>
      </c>
      <c r="AB40" s="1005">
        <f t="shared" si="29"/>
        <v>5.4841039093069546E-2</v>
      </c>
      <c r="AC40" s="1005">
        <f t="shared" si="29"/>
        <v>5.2009929380516982E-2</v>
      </c>
      <c r="AD40" s="1005">
        <f t="shared" si="29"/>
        <v>4.9340166107343597E-2</v>
      </c>
      <c r="AE40" s="1005">
        <f t="shared" si="29"/>
        <v>4.6481546625921494E-2</v>
      </c>
      <c r="AF40" s="1005">
        <f t="shared" si="29"/>
        <v>4.3606679169770443E-2</v>
      </c>
      <c r="AG40" s="1005">
        <f t="shared" si="29"/>
        <v>4.0902429481042495E-2</v>
      </c>
      <c r="AH40" s="1005">
        <f t="shared" si="29"/>
        <v>3.7997147743145873E-2</v>
      </c>
      <c r="AI40" s="1005">
        <f t="shared" si="29"/>
        <v>3.526898273864526E-2</v>
      </c>
      <c r="AJ40" s="1005" t="str">
        <f t="shared" si="29"/>
        <v/>
      </c>
      <c r="AK40" s="1005" t="str">
        <f t="shared" si="29"/>
        <v/>
      </c>
      <c r="AL40" s="1005" t="str">
        <f t="shared" si="29"/>
        <v/>
      </c>
      <c r="AM40" s="1005" t="str">
        <f t="shared" si="29"/>
        <v/>
      </c>
      <c r="AN40" s="1005" t="str">
        <f t="shared" si="29"/>
        <v/>
      </c>
      <c r="AO40" s="1005" t="str">
        <f t="shared" si="29"/>
        <v/>
      </c>
      <c r="AP40" s="1005" t="str">
        <f t="shared" si="29"/>
        <v/>
      </c>
      <c r="AQ40" s="1005" t="str">
        <f t="shared" si="29"/>
        <v/>
      </c>
      <c r="AR40" s="1005" t="str">
        <f t="shared" si="29"/>
        <v/>
      </c>
      <c r="AS40" s="1005" t="str">
        <f t="shared" si="29"/>
        <v/>
      </c>
    </row>
    <row r="41" spans="2:46" s="1057" customFormat="1">
      <c r="B41" s="1054" t="s">
        <v>277</v>
      </c>
      <c r="C41" s="1054" t="s">
        <v>980</v>
      </c>
      <c r="D41" s="1055">
        <f>PMT(DiscountRate,BookLife,-E41)</f>
        <v>173.13841588844153</v>
      </c>
      <c r="E41" s="1055">
        <f>NPV(DiscountRate,Income_Rev_Req!F41:AS41)</f>
        <v>2228.7020646949954</v>
      </c>
      <c r="F41" s="1056">
        <f t="shared" ref="F41:AS41" si="30">(F32+F36)+F73</f>
        <v>-464.81698747548063</v>
      </c>
      <c r="G41" s="1056">
        <f t="shared" si="30"/>
        <v>151.37916849879537</v>
      </c>
      <c r="H41" s="1056">
        <f t="shared" si="30"/>
        <v>212.43094783261836</v>
      </c>
      <c r="I41" s="1056">
        <f t="shared" si="30"/>
        <v>234.76829013236474</v>
      </c>
      <c r="J41" s="1056">
        <f t="shared" si="30"/>
        <v>227.2136564683039</v>
      </c>
      <c r="K41" s="1056">
        <f t="shared" si="30"/>
        <v>298.36857916887891</v>
      </c>
      <c r="L41" s="1056">
        <f t="shared" si="30"/>
        <v>294.62504329027843</v>
      </c>
      <c r="M41" s="1056">
        <f t="shared" si="30"/>
        <v>290.93855474867257</v>
      </c>
      <c r="N41" s="1056">
        <f t="shared" si="30"/>
        <v>287.314610074006</v>
      </c>
      <c r="O41" s="1056">
        <f t="shared" si="30"/>
        <v>283.75892468001348</v>
      </c>
      <c r="P41" s="1056">
        <f t="shared" si="30"/>
        <v>280.2774511138266</v>
      </c>
      <c r="Q41" s="1056">
        <f t="shared" si="30"/>
        <v>276.57537594321371</v>
      </c>
      <c r="R41" s="1056">
        <f t="shared" si="30"/>
        <v>272.97525733228241</v>
      </c>
      <c r="S41" s="1056">
        <f t="shared" si="30"/>
        <v>269.483124618055</v>
      </c>
      <c r="T41" s="1056">
        <f t="shared" si="30"/>
        <v>266.10536366364869</v>
      </c>
      <c r="U41" s="1056">
        <f t="shared" si="30"/>
        <v>262.84873793986492</v>
      </c>
      <c r="V41" s="1056">
        <f t="shared" si="30"/>
        <v>259.7204108533366</v>
      </c>
      <c r="W41" s="1056">
        <f t="shared" si="30"/>
        <v>256.72796939494208</v>
      </c>
      <c r="X41" s="1056">
        <f t="shared" si="30"/>
        <v>253.87944918655333</v>
      </c>
      <c r="Y41" s="1056">
        <f t="shared" si="30"/>
        <v>251.18336100880288</v>
      </c>
      <c r="Z41" s="1056">
        <f t="shared" si="30"/>
        <v>89.126333826047471</v>
      </c>
      <c r="AA41" s="1056">
        <f t="shared" si="30"/>
        <v>83.699548753288511</v>
      </c>
      <c r="AB41" s="1056">
        <f t="shared" si="30"/>
        <v>78.272745137945279</v>
      </c>
      <c r="AC41" s="1056">
        <f t="shared" si="30"/>
        <v>72.84592265270507</v>
      </c>
      <c r="AD41" s="1056">
        <f t="shared" si="30"/>
        <v>67.41908096447753</v>
      </c>
      <c r="AE41" s="1056">
        <f t="shared" si="30"/>
        <v>61.992219734292497</v>
      </c>
      <c r="AF41" s="1056">
        <f t="shared" si="30"/>
        <v>56.565338617196431</v>
      </c>
      <c r="AG41" s="1056">
        <f t="shared" si="30"/>
        <v>51.138437262146638</v>
      </c>
      <c r="AH41" s="1056">
        <f t="shared" si="30"/>
        <v>45.711515311903824</v>
      </c>
      <c r="AI41" s="1056">
        <f t="shared" si="30"/>
        <v>40.284572402922777</v>
      </c>
      <c r="AJ41" s="1056">
        <f t="shared" si="30"/>
        <v>0</v>
      </c>
      <c r="AK41" s="1056">
        <f t="shared" si="30"/>
        <v>0</v>
      </c>
      <c r="AL41" s="1056">
        <f t="shared" si="30"/>
        <v>0</v>
      </c>
      <c r="AM41" s="1056">
        <f t="shared" si="30"/>
        <v>0</v>
      </c>
      <c r="AN41" s="1056">
        <f t="shared" si="30"/>
        <v>0</v>
      </c>
      <c r="AO41" s="1056">
        <f t="shared" si="30"/>
        <v>0</v>
      </c>
      <c r="AP41" s="1056">
        <f t="shared" si="30"/>
        <v>0</v>
      </c>
      <c r="AQ41" s="1056">
        <f t="shared" si="30"/>
        <v>0</v>
      </c>
      <c r="AR41" s="1056">
        <f t="shared" si="30"/>
        <v>0</v>
      </c>
      <c r="AS41" s="1056">
        <f t="shared" si="30"/>
        <v>0</v>
      </c>
    </row>
    <row r="42" spans="2:46" s="1102" customFormat="1">
      <c r="B42" s="2766" t="s">
        <v>1708</v>
      </c>
      <c r="C42" s="1103" t="s">
        <v>980</v>
      </c>
      <c r="D42" s="1104">
        <f>PMT(DiscountRate,BookLife,-E42)</f>
        <v>192.27181630862108</v>
      </c>
      <c r="E42" s="1104">
        <f>NPV(DiscountRate,Income_Rev_Req!F42:AS42)</f>
        <v>2474.9943089798585</v>
      </c>
      <c r="F42" s="1105">
        <f>F32+F36</f>
        <v>245.2834449704331</v>
      </c>
      <c r="G42" s="1105">
        <f t="shared" ref="G42:AS42" si="31">G36+G31+G30</f>
        <v>241.61966743185607</v>
      </c>
      <c r="H42" s="1105">
        <f t="shared" si="31"/>
        <v>237.95588989327911</v>
      </c>
      <c r="I42" s="1105">
        <f t="shared" si="31"/>
        <v>234.29211235470203</v>
      </c>
      <c r="J42" s="1105">
        <f t="shared" si="31"/>
        <v>230.62833481612506</v>
      </c>
      <c r="K42" s="1105">
        <f t="shared" si="31"/>
        <v>226.96455727754801</v>
      </c>
      <c r="L42" s="1105">
        <f t="shared" si="31"/>
        <v>223.30077973897099</v>
      </c>
      <c r="M42" s="1105">
        <f t="shared" si="31"/>
        <v>219.63700220039399</v>
      </c>
      <c r="N42" s="1105">
        <f t="shared" si="31"/>
        <v>215.97322466181697</v>
      </c>
      <c r="O42" s="1105">
        <f t="shared" si="31"/>
        <v>212.30944712323995</v>
      </c>
      <c r="P42" s="1105">
        <f t="shared" si="31"/>
        <v>208.64566958466293</v>
      </c>
      <c r="Q42" s="1105">
        <f t="shared" si="31"/>
        <v>204.98189204608593</v>
      </c>
      <c r="R42" s="1105">
        <f t="shared" si="31"/>
        <v>201.31811450750888</v>
      </c>
      <c r="S42" s="1105">
        <f t="shared" si="31"/>
        <v>197.65433696893189</v>
      </c>
      <c r="T42" s="1105">
        <f t="shared" si="31"/>
        <v>193.99055943035489</v>
      </c>
      <c r="U42" s="1105">
        <f t="shared" si="31"/>
        <v>190.3267818917779</v>
      </c>
      <c r="V42" s="1105">
        <f t="shared" si="31"/>
        <v>186.66300435320085</v>
      </c>
      <c r="W42" s="1105">
        <f t="shared" si="31"/>
        <v>182.99922681462382</v>
      </c>
      <c r="X42" s="1105">
        <f t="shared" si="31"/>
        <v>179.3354492760468</v>
      </c>
      <c r="Y42" s="1105">
        <f t="shared" si="31"/>
        <v>175.67167173746981</v>
      </c>
      <c r="Z42" s="1105">
        <f t="shared" si="31"/>
        <v>64.288926620313688</v>
      </c>
      <c r="AA42" s="1105">
        <f t="shared" si="31"/>
        <v>60.625149081736673</v>
      </c>
      <c r="AB42" s="1105">
        <f t="shared" si="31"/>
        <v>56.961371543159657</v>
      </c>
      <c r="AC42" s="1105">
        <f t="shared" si="31"/>
        <v>53.297594004582635</v>
      </c>
      <c r="AD42" s="1105">
        <f t="shared" si="31"/>
        <v>49.633816466005626</v>
      </c>
      <c r="AE42" s="1105">
        <f t="shared" si="31"/>
        <v>45.970038927428604</v>
      </c>
      <c r="AF42" s="1105">
        <f t="shared" si="31"/>
        <v>42.306261388851588</v>
      </c>
      <c r="AG42" s="1105">
        <f t="shared" si="31"/>
        <v>38.64248385027458</v>
      </c>
      <c r="AH42" s="1105">
        <f t="shared" si="31"/>
        <v>34.978706311697565</v>
      </c>
      <c r="AI42" s="1105">
        <f t="shared" si="31"/>
        <v>31.314928773120549</v>
      </c>
      <c r="AJ42" s="1105">
        <f t="shared" si="31"/>
        <v>0</v>
      </c>
      <c r="AK42" s="1105">
        <f t="shared" si="31"/>
        <v>0</v>
      </c>
      <c r="AL42" s="1105">
        <f t="shared" si="31"/>
        <v>0</v>
      </c>
      <c r="AM42" s="1105">
        <f t="shared" si="31"/>
        <v>0</v>
      </c>
      <c r="AN42" s="1105">
        <f t="shared" si="31"/>
        <v>0</v>
      </c>
      <c r="AO42" s="1105">
        <f t="shared" si="31"/>
        <v>0</v>
      </c>
      <c r="AP42" s="1105">
        <f t="shared" si="31"/>
        <v>0</v>
      </c>
      <c r="AQ42" s="1105">
        <f t="shared" si="31"/>
        <v>0</v>
      </c>
      <c r="AR42" s="1105">
        <f t="shared" si="31"/>
        <v>0</v>
      </c>
      <c r="AS42" s="1105">
        <f t="shared" si="31"/>
        <v>0</v>
      </c>
    </row>
    <row r="43" spans="2:46" s="267" customFormat="1">
      <c r="B43" s="632" t="s">
        <v>590</v>
      </c>
      <c r="C43" s="632" t="s">
        <v>980</v>
      </c>
      <c r="D43" s="1080">
        <f>PMT(DiscountRate,BookLife,-E43)</f>
        <v>174.12409272542379</v>
      </c>
      <c r="E43" s="1080">
        <f>NPV(DiscountRate,Income_Rev_Req!F43:AS43)</f>
        <v>2241.3900634296024</v>
      </c>
      <c r="F43" s="1081">
        <f t="shared" ref="F43:AS43" si="32">F36+(1-TotalTaxRate)*F31+F30</f>
        <v>215.3043449448713</v>
      </c>
      <c r="G43" s="1081">
        <f t="shared" si="32"/>
        <v>212.46318813519616</v>
      </c>
      <c r="H43" s="1081">
        <f t="shared" si="32"/>
        <v>209.67067288922101</v>
      </c>
      <c r="I43" s="1081">
        <f t="shared" si="32"/>
        <v>206.92967538260734</v>
      </c>
      <c r="J43" s="1081">
        <f t="shared" si="32"/>
        <v>204.24324185928373</v>
      </c>
      <c r="K43" s="1081">
        <f t="shared" si="32"/>
        <v>201.61459868758203</v>
      </c>
      <c r="L43" s="1081">
        <f t="shared" si="32"/>
        <v>199.04716301099367</v>
      </c>
      <c r="M43" s="1081">
        <f t="shared" si="32"/>
        <v>196.54455402870471</v>
      </c>
      <c r="N43" s="1081">
        <f t="shared" si="32"/>
        <v>194.11060494314904</v>
      </c>
      <c r="O43" s="1081">
        <f t="shared" si="32"/>
        <v>191.74937561402055</v>
      </c>
      <c r="P43" s="1081">
        <f t="shared" si="32"/>
        <v>189.46516596051671</v>
      </c>
      <c r="Q43" s="1081">
        <f t="shared" si="32"/>
        <v>187.2625301560573</v>
      </c>
      <c r="R43" s="1081">
        <f t="shared" si="32"/>
        <v>185.14629166233624</v>
      </c>
      <c r="S43" s="1081">
        <f t="shared" si="32"/>
        <v>183.12155915233751</v>
      </c>
      <c r="T43" s="1081">
        <f t="shared" si="32"/>
        <v>181.19374337487864</v>
      </c>
      <c r="U43" s="1081">
        <f t="shared" si="32"/>
        <v>179.36857501635464</v>
      </c>
      <c r="V43" s="1081">
        <f t="shared" si="32"/>
        <v>177.65212361864718</v>
      </c>
      <c r="W43" s="1081">
        <f t="shared" si="32"/>
        <v>176.05081761564935</v>
      </c>
      <c r="X43" s="1081">
        <f t="shared" si="32"/>
        <v>174.57146555455031</v>
      </c>
      <c r="Y43" s="1081">
        <f t="shared" si="32"/>
        <v>173.22127857193456</v>
      </c>
      <c r="Z43" s="1081">
        <f t="shared" si="32"/>
        <v>64.288926620313688</v>
      </c>
      <c r="AA43" s="1081">
        <f t="shared" si="32"/>
        <v>60.625149081736673</v>
      </c>
      <c r="AB43" s="1081">
        <f t="shared" si="32"/>
        <v>56.961371543159657</v>
      </c>
      <c r="AC43" s="1081">
        <f t="shared" si="32"/>
        <v>53.297594004582635</v>
      </c>
      <c r="AD43" s="1081">
        <f t="shared" si="32"/>
        <v>49.633816466005626</v>
      </c>
      <c r="AE43" s="1081">
        <f t="shared" si="32"/>
        <v>45.970038927428604</v>
      </c>
      <c r="AF43" s="1081">
        <f t="shared" si="32"/>
        <v>42.306261388851588</v>
      </c>
      <c r="AG43" s="1081">
        <f t="shared" si="32"/>
        <v>38.64248385027458</v>
      </c>
      <c r="AH43" s="1081">
        <f t="shared" si="32"/>
        <v>34.978706311697565</v>
      </c>
      <c r="AI43" s="1081">
        <f t="shared" si="32"/>
        <v>31.314928773120549</v>
      </c>
      <c r="AJ43" s="1081">
        <f t="shared" si="32"/>
        <v>0</v>
      </c>
      <c r="AK43" s="1081">
        <f t="shared" si="32"/>
        <v>0</v>
      </c>
      <c r="AL43" s="1081">
        <f t="shared" si="32"/>
        <v>0</v>
      </c>
      <c r="AM43" s="1081">
        <f t="shared" si="32"/>
        <v>0</v>
      </c>
      <c r="AN43" s="1081">
        <f t="shared" si="32"/>
        <v>0</v>
      </c>
      <c r="AO43" s="1081">
        <f t="shared" si="32"/>
        <v>0</v>
      </c>
      <c r="AP43" s="1081">
        <f t="shared" si="32"/>
        <v>0</v>
      </c>
      <c r="AQ43" s="1081">
        <f t="shared" si="32"/>
        <v>0</v>
      </c>
      <c r="AR43" s="1081">
        <f t="shared" si="32"/>
        <v>0</v>
      </c>
      <c r="AS43" s="1081">
        <f t="shared" si="32"/>
        <v>0</v>
      </c>
    </row>
    <row r="44" spans="2:46" s="130" customFormat="1">
      <c r="D44" s="651"/>
      <c r="E44" s="651"/>
      <c r="F44" s="650"/>
      <c r="S44" s="651"/>
      <c r="T44" s="651"/>
    </row>
    <row r="45" spans="2:46" s="133" customFormat="1">
      <c r="B45" s="1380" t="s">
        <v>1755</v>
      </c>
      <c r="D45" s="2874">
        <f>SUM(F45:AI45)/COUNT(F45:AI45)</f>
        <v>2.0728741598898468</v>
      </c>
      <c r="E45" s="2873">
        <f>MIN(F45:AS45)</f>
        <v>-4.3150895141694043</v>
      </c>
      <c r="F45" s="129">
        <f>IF(F32&gt;0,F51/F32,"")</f>
        <v>-4.3150895141694043</v>
      </c>
      <c r="G45" s="129">
        <f t="shared" ref="G45:AS45" si="33">IF(G32&gt;0,G51/G32,"")</f>
        <v>1.4053158130054195</v>
      </c>
      <c r="H45" s="129">
        <f t="shared" si="33"/>
        <v>1.9720848854000912</v>
      </c>
      <c r="I45" s="129">
        <f t="shared" si="33"/>
        <v>2.1794517289734086</v>
      </c>
      <c r="J45" s="129">
        <f t="shared" si="33"/>
        <v>2.1093189210391894</v>
      </c>
      <c r="K45" s="129">
        <f t="shared" si="33"/>
        <v>2.7698796774228667</v>
      </c>
      <c r="L45" s="129">
        <f t="shared" si="33"/>
        <v>2.735126876103362</v>
      </c>
      <c r="M45" s="129">
        <f t="shared" si="33"/>
        <v>2.7009036689516912</v>
      </c>
      <c r="N45" s="129">
        <f t="shared" si="33"/>
        <v>2.6672610825425429</v>
      </c>
      <c r="O45" s="129">
        <f t="shared" si="33"/>
        <v>2.6342521754399129</v>
      </c>
      <c r="P45" s="129">
        <f t="shared" si="33"/>
        <v>2.6019322076157954</v>
      </c>
      <c r="Q45" s="129">
        <f t="shared" si="33"/>
        <v>2.5675643033011513</v>
      </c>
      <c r="R45" s="129">
        <f t="shared" si="33"/>
        <v>2.5341429041561483</v>
      </c>
      <c r="S45" s="129">
        <f t="shared" si="33"/>
        <v>2.5017239830252902</v>
      </c>
      <c r="T45" s="129">
        <f t="shared" si="33"/>
        <v>2.4703668225331756</v>
      </c>
      <c r="U45" s="129">
        <f t="shared" si="33"/>
        <v>2.4401342107936688</v>
      </c>
      <c r="V45" s="129">
        <f t="shared" si="33"/>
        <v>2.4110926486913749</v>
      </c>
      <c r="W45" s="129">
        <f t="shared" si="33"/>
        <v>2.3833125694197128</v>
      </c>
      <c r="X45" s="129">
        <f t="shared" si="33"/>
        <v>2.3568685710002999</v>
      </c>
      <c r="Y45" s="129">
        <f t="shared" si="33"/>
        <v>2.3318396625512494</v>
      </c>
      <c r="Z45" s="129" t="str">
        <f t="shared" si="33"/>
        <v/>
      </c>
      <c r="AA45" s="129" t="str">
        <f t="shared" si="33"/>
        <v/>
      </c>
      <c r="AB45" s="129" t="str">
        <f t="shared" si="33"/>
        <v/>
      </c>
      <c r="AC45" s="129" t="str">
        <f t="shared" si="33"/>
        <v/>
      </c>
      <c r="AD45" s="129" t="str">
        <f t="shared" si="33"/>
        <v/>
      </c>
      <c r="AE45" s="129" t="str">
        <f t="shared" si="33"/>
        <v/>
      </c>
      <c r="AF45" s="129" t="str">
        <f t="shared" si="33"/>
        <v/>
      </c>
      <c r="AG45" s="129" t="str">
        <f t="shared" si="33"/>
        <v/>
      </c>
      <c r="AH45" s="129" t="str">
        <f t="shared" si="33"/>
        <v/>
      </c>
      <c r="AI45" s="129" t="str">
        <f t="shared" si="33"/>
        <v/>
      </c>
      <c r="AJ45" s="129" t="str">
        <f t="shared" si="33"/>
        <v/>
      </c>
      <c r="AK45" s="129" t="str">
        <f t="shared" si="33"/>
        <v/>
      </c>
      <c r="AL45" s="129" t="str">
        <f t="shared" si="33"/>
        <v/>
      </c>
      <c r="AM45" s="129" t="str">
        <f t="shared" si="33"/>
        <v/>
      </c>
      <c r="AN45" s="129" t="str">
        <f t="shared" si="33"/>
        <v/>
      </c>
      <c r="AO45" s="129" t="str">
        <f t="shared" si="33"/>
        <v/>
      </c>
      <c r="AP45" s="129" t="str">
        <f t="shared" si="33"/>
        <v/>
      </c>
      <c r="AQ45" s="129" t="str">
        <f t="shared" si="33"/>
        <v/>
      </c>
      <c r="AR45" s="129" t="str">
        <f t="shared" si="33"/>
        <v/>
      </c>
      <c r="AS45" s="129" t="str">
        <f t="shared" si="33"/>
        <v/>
      </c>
    </row>
    <row r="46" spans="2:46" s="131" customFormat="1">
      <c r="B46" s="1250" t="s">
        <v>983</v>
      </c>
      <c r="C46" s="131" t="s">
        <v>984</v>
      </c>
      <c r="F46" s="1191" t="str">
        <f t="shared" ref="F46:AS46" si="34">IF(F$1,IF(F15&gt;0,((F6-F18)*1000*GrossMW/(F$7*1000)/F16*1000),"NA"),0)</f>
        <v>NA</v>
      </c>
      <c r="G46" s="1191" t="str">
        <f t="shared" si="34"/>
        <v>NA</v>
      </c>
      <c r="H46" s="1191" t="str">
        <f t="shared" si="34"/>
        <v>NA</v>
      </c>
      <c r="I46" s="1191" t="str">
        <f t="shared" si="34"/>
        <v>NA</v>
      </c>
      <c r="J46" s="1191" t="str">
        <f t="shared" si="34"/>
        <v>NA</v>
      </c>
      <c r="K46" s="1191" t="str">
        <f t="shared" si="34"/>
        <v>NA</v>
      </c>
      <c r="L46" s="1191" t="str">
        <f t="shared" si="34"/>
        <v>NA</v>
      </c>
      <c r="M46" s="1191" t="str">
        <f t="shared" si="34"/>
        <v>NA</v>
      </c>
      <c r="N46" s="1191" t="str">
        <f t="shared" si="34"/>
        <v>NA</v>
      </c>
      <c r="O46" s="1191" t="str">
        <f t="shared" si="34"/>
        <v>NA</v>
      </c>
      <c r="P46" s="1191" t="str">
        <f t="shared" si="34"/>
        <v>NA</v>
      </c>
      <c r="Q46" s="1191" t="str">
        <f t="shared" si="34"/>
        <v>NA</v>
      </c>
      <c r="R46" s="1191" t="str">
        <f t="shared" si="34"/>
        <v>NA</v>
      </c>
      <c r="S46" s="1191" t="str">
        <f t="shared" si="34"/>
        <v>NA</v>
      </c>
      <c r="T46" s="1191" t="str">
        <f t="shared" si="34"/>
        <v>NA</v>
      </c>
      <c r="U46" s="1191" t="str">
        <f t="shared" si="34"/>
        <v>NA</v>
      </c>
      <c r="V46" s="1191" t="str">
        <f t="shared" si="34"/>
        <v>NA</v>
      </c>
      <c r="W46" s="1191" t="str">
        <f t="shared" si="34"/>
        <v>NA</v>
      </c>
      <c r="X46" s="1191" t="str">
        <f t="shared" si="34"/>
        <v>NA</v>
      </c>
      <c r="Y46" s="1191" t="str">
        <f t="shared" si="34"/>
        <v>NA</v>
      </c>
      <c r="Z46" s="1191" t="str">
        <f t="shared" si="34"/>
        <v>NA</v>
      </c>
      <c r="AA46" s="1191" t="str">
        <f t="shared" si="34"/>
        <v>NA</v>
      </c>
      <c r="AB46" s="1191" t="str">
        <f t="shared" si="34"/>
        <v>NA</v>
      </c>
      <c r="AC46" s="1191" t="str">
        <f t="shared" si="34"/>
        <v>NA</v>
      </c>
      <c r="AD46" s="1191" t="str">
        <f t="shared" si="34"/>
        <v>NA</v>
      </c>
      <c r="AE46" s="1191" t="str">
        <f t="shared" si="34"/>
        <v>NA</v>
      </c>
      <c r="AF46" s="1191" t="str">
        <f t="shared" si="34"/>
        <v>NA</v>
      </c>
      <c r="AG46" s="1191" t="str">
        <f t="shared" si="34"/>
        <v>NA</v>
      </c>
      <c r="AH46" s="1191" t="str">
        <f t="shared" si="34"/>
        <v>NA</v>
      </c>
      <c r="AI46" s="1191" t="str">
        <f t="shared" si="34"/>
        <v>NA</v>
      </c>
      <c r="AJ46" s="1191">
        <f t="shared" si="34"/>
        <v>0</v>
      </c>
      <c r="AK46" s="1191">
        <f t="shared" si="34"/>
        <v>0</v>
      </c>
      <c r="AL46" s="1191">
        <f t="shared" si="34"/>
        <v>0</v>
      </c>
      <c r="AM46" s="1191">
        <f t="shared" si="34"/>
        <v>0</v>
      </c>
      <c r="AN46" s="1191">
        <f t="shared" si="34"/>
        <v>0</v>
      </c>
      <c r="AO46" s="1191">
        <f t="shared" si="34"/>
        <v>0</v>
      </c>
      <c r="AP46" s="1191">
        <f t="shared" si="34"/>
        <v>0</v>
      </c>
      <c r="AQ46" s="1191">
        <f t="shared" si="34"/>
        <v>0</v>
      </c>
      <c r="AR46" s="1191">
        <f t="shared" si="34"/>
        <v>0</v>
      </c>
      <c r="AS46" s="1191">
        <f t="shared" si="34"/>
        <v>0</v>
      </c>
    </row>
    <row r="47" spans="2:46" s="130" customFormat="1">
      <c r="B47" s="1250" t="s">
        <v>983</v>
      </c>
      <c r="C47" s="130" t="s">
        <v>955</v>
      </c>
      <c r="D47" s="1080">
        <f>PMT(DiscountRate,BookLife,-E47)</f>
        <v>0</v>
      </c>
      <c r="E47" s="1080">
        <f>NPV(DiscountRate,Income_Rev_Req!F47:AS47)</f>
        <v>0</v>
      </c>
      <c r="F47" s="1381" t="str">
        <f t="shared" ref="F47:AS47" si="35">IF(F46="NA","NA",F46*F16/1000)</f>
        <v>NA</v>
      </c>
      <c r="G47" s="1381" t="str">
        <f t="shared" si="35"/>
        <v>NA</v>
      </c>
      <c r="H47" s="1381" t="str">
        <f t="shared" si="35"/>
        <v>NA</v>
      </c>
      <c r="I47" s="1381" t="str">
        <f t="shared" si="35"/>
        <v>NA</v>
      </c>
      <c r="J47" s="1381" t="str">
        <f t="shared" si="35"/>
        <v>NA</v>
      </c>
      <c r="K47" s="1381" t="str">
        <f t="shared" si="35"/>
        <v>NA</v>
      </c>
      <c r="L47" s="1381" t="str">
        <f t="shared" si="35"/>
        <v>NA</v>
      </c>
      <c r="M47" s="1381" t="str">
        <f t="shared" si="35"/>
        <v>NA</v>
      </c>
      <c r="N47" s="1381" t="str">
        <f t="shared" si="35"/>
        <v>NA</v>
      </c>
      <c r="O47" s="1381" t="str">
        <f t="shared" si="35"/>
        <v>NA</v>
      </c>
      <c r="P47" s="1381" t="str">
        <f t="shared" si="35"/>
        <v>NA</v>
      </c>
      <c r="Q47" s="1381" t="str">
        <f t="shared" si="35"/>
        <v>NA</v>
      </c>
      <c r="R47" s="1381" t="str">
        <f t="shared" si="35"/>
        <v>NA</v>
      </c>
      <c r="S47" s="1381" t="str">
        <f t="shared" si="35"/>
        <v>NA</v>
      </c>
      <c r="T47" s="1381" t="str">
        <f t="shared" si="35"/>
        <v>NA</v>
      </c>
      <c r="U47" s="1381" t="str">
        <f t="shared" si="35"/>
        <v>NA</v>
      </c>
      <c r="V47" s="1381" t="str">
        <f t="shared" si="35"/>
        <v>NA</v>
      </c>
      <c r="W47" s="1381" t="str">
        <f t="shared" si="35"/>
        <v>NA</v>
      </c>
      <c r="X47" s="1381" t="str">
        <f t="shared" si="35"/>
        <v>NA</v>
      </c>
      <c r="Y47" s="1381" t="str">
        <f t="shared" si="35"/>
        <v>NA</v>
      </c>
      <c r="Z47" s="1381" t="str">
        <f t="shared" si="35"/>
        <v>NA</v>
      </c>
      <c r="AA47" s="1381" t="str">
        <f t="shared" si="35"/>
        <v>NA</v>
      </c>
      <c r="AB47" s="1381" t="str">
        <f t="shared" si="35"/>
        <v>NA</v>
      </c>
      <c r="AC47" s="1381" t="str">
        <f t="shared" si="35"/>
        <v>NA</v>
      </c>
      <c r="AD47" s="1381" t="str">
        <f t="shared" si="35"/>
        <v>NA</v>
      </c>
      <c r="AE47" s="1381" t="str">
        <f t="shared" si="35"/>
        <v>NA</v>
      </c>
      <c r="AF47" s="1381" t="str">
        <f t="shared" si="35"/>
        <v>NA</v>
      </c>
      <c r="AG47" s="1381" t="str">
        <f t="shared" si="35"/>
        <v>NA</v>
      </c>
      <c r="AH47" s="1381" t="str">
        <f t="shared" si="35"/>
        <v>NA</v>
      </c>
      <c r="AI47" s="1381" t="str">
        <f t="shared" si="35"/>
        <v>NA</v>
      </c>
      <c r="AJ47" s="1381">
        <f t="shared" si="35"/>
        <v>0</v>
      </c>
      <c r="AK47" s="1381">
        <f t="shared" si="35"/>
        <v>0</v>
      </c>
      <c r="AL47" s="1381">
        <f t="shared" si="35"/>
        <v>0</v>
      </c>
      <c r="AM47" s="1381">
        <f t="shared" si="35"/>
        <v>0</v>
      </c>
      <c r="AN47" s="1381">
        <f t="shared" si="35"/>
        <v>0</v>
      </c>
      <c r="AO47" s="1381">
        <f t="shared" si="35"/>
        <v>0</v>
      </c>
      <c r="AP47" s="1381">
        <f t="shared" si="35"/>
        <v>0</v>
      </c>
      <c r="AQ47" s="1381">
        <f t="shared" si="35"/>
        <v>0</v>
      </c>
      <c r="AR47" s="1381">
        <f t="shared" si="35"/>
        <v>0</v>
      </c>
      <c r="AS47" s="1381">
        <f t="shared" si="35"/>
        <v>0</v>
      </c>
    </row>
    <row r="48" spans="2:46" s="130" customFormat="1">
      <c r="B48" s="647" t="s">
        <v>558</v>
      </c>
      <c r="D48" s="698"/>
      <c r="E48" s="699"/>
      <c r="F48" s="700">
        <f>InstalledCostPerkW</f>
        <v>2073.8363425907637</v>
      </c>
      <c r="G48" s="701">
        <f t="shared" ref="G48:AT48" si="36">IF(F$1,$F$48-F49,"")</f>
        <v>2004.7084645044049</v>
      </c>
      <c r="H48" s="701">
        <f t="shared" si="36"/>
        <v>1935.5805864180461</v>
      </c>
      <c r="I48" s="701">
        <f t="shared" si="36"/>
        <v>1866.4527083316873</v>
      </c>
      <c r="J48" s="701">
        <f t="shared" si="36"/>
        <v>1797.3248302453285</v>
      </c>
      <c r="K48" s="701">
        <f t="shared" si="36"/>
        <v>1728.1969521589699</v>
      </c>
      <c r="L48" s="701">
        <f t="shared" si="36"/>
        <v>1659.0690740726109</v>
      </c>
      <c r="M48" s="701">
        <f t="shared" si="36"/>
        <v>1589.9411959862523</v>
      </c>
      <c r="N48" s="701">
        <f t="shared" si="36"/>
        <v>1520.8133178998933</v>
      </c>
      <c r="O48" s="701">
        <f t="shared" si="36"/>
        <v>1451.6854398135347</v>
      </c>
      <c r="P48" s="701">
        <f t="shared" si="36"/>
        <v>1382.5575617271759</v>
      </c>
      <c r="Q48" s="701">
        <f t="shared" si="36"/>
        <v>1313.4296836408171</v>
      </c>
      <c r="R48" s="701">
        <f t="shared" si="36"/>
        <v>1244.3018055544583</v>
      </c>
      <c r="S48" s="701">
        <f t="shared" si="36"/>
        <v>1175.1739274680995</v>
      </c>
      <c r="T48" s="701">
        <f t="shared" si="36"/>
        <v>1106.0460493817409</v>
      </c>
      <c r="U48" s="701">
        <f t="shared" si="36"/>
        <v>1036.9181712953821</v>
      </c>
      <c r="V48" s="701">
        <f t="shared" si="36"/>
        <v>967.79029320902305</v>
      </c>
      <c r="W48" s="701">
        <f t="shared" si="36"/>
        <v>898.66241512266424</v>
      </c>
      <c r="X48" s="701">
        <f t="shared" si="36"/>
        <v>829.53453703630544</v>
      </c>
      <c r="Y48" s="701">
        <f t="shared" si="36"/>
        <v>760.40665894994686</v>
      </c>
      <c r="Z48" s="701">
        <f t="shared" si="36"/>
        <v>691.27878086358805</v>
      </c>
      <c r="AA48" s="701">
        <f t="shared" si="36"/>
        <v>622.15090277722925</v>
      </c>
      <c r="AB48" s="701">
        <f t="shared" si="36"/>
        <v>553.02302469087044</v>
      </c>
      <c r="AC48" s="701">
        <f t="shared" si="36"/>
        <v>483.89514660451164</v>
      </c>
      <c r="AD48" s="701">
        <f t="shared" si="36"/>
        <v>414.76726851815283</v>
      </c>
      <c r="AE48" s="701">
        <f t="shared" si="36"/>
        <v>345.63939043179403</v>
      </c>
      <c r="AF48" s="701">
        <f t="shared" si="36"/>
        <v>276.51151234543522</v>
      </c>
      <c r="AG48" s="701">
        <f t="shared" si="36"/>
        <v>207.38363425907664</v>
      </c>
      <c r="AH48" s="701">
        <f t="shared" si="36"/>
        <v>138.25575617271784</v>
      </c>
      <c r="AI48" s="701">
        <f t="shared" si="36"/>
        <v>69.127878086359033</v>
      </c>
      <c r="AJ48" s="701">
        <f t="shared" si="36"/>
        <v>4.5474735088646412E-13</v>
      </c>
      <c r="AK48" s="701" t="str">
        <f t="shared" si="36"/>
        <v/>
      </c>
      <c r="AL48" s="701" t="str">
        <f t="shared" si="36"/>
        <v/>
      </c>
      <c r="AM48" s="701" t="str">
        <f t="shared" si="36"/>
        <v/>
      </c>
      <c r="AN48" s="701" t="str">
        <f t="shared" si="36"/>
        <v/>
      </c>
      <c r="AO48" s="701" t="str">
        <f t="shared" si="36"/>
        <v/>
      </c>
      <c r="AP48" s="701" t="str">
        <f t="shared" si="36"/>
        <v/>
      </c>
      <c r="AQ48" s="701" t="str">
        <f t="shared" si="36"/>
        <v/>
      </c>
      <c r="AR48" s="701" t="str">
        <f t="shared" si="36"/>
        <v/>
      </c>
      <c r="AS48" s="701" t="str">
        <f t="shared" si="36"/>
        <v/>
      </c>
      <c r="AT48" s="701" t="str">
        <f t="shared" si="36"/>
        <v/>
      </c>
    </row>
    <row r="49" spans="2:86" s="130" customFormat="1">
      <c r="B49" s="670" t="s">
        <v>557</v>
      </c>
      <c r="D49" s="698">
        <f>-PMT(DiscountRate,BookLife,E49)</f>
        <v>757.56401400800542</v>
      </c>
      <c r="E49" s="699">
        <f>NPV(DiscountRate,F49:AS49)*(1)</f>
        <v>9751.6456616199412</v>
      </c>
      <c r="F49" s="702">
        <f>IF(F$1,$F$48*SUM($F$93:F93),"")</f>
        <v>69.127878086358791</v>
      </c>
      <c r="G49" s="703">
        <f>IF(G$1,$F$48*SUM($F$93:G93),"")</f>
        <v>138.25575617271758</v>
      </c>
      <c r="H49" s="703">
        <f>IF(H$1,$F$48*SUM($F$93:H93),"")</f>
        <v>207.38363425907639</v>
      </c>
      <c r="I49" s="703">
        <f>IF(I$1,$F$48*SUM($F$93:I93),"")</f>
        <v>276.51151234543516</v>
      </c>
      <c r="J49" s="703">
        <f>IF(J$1,$F$48*SUM($F$93:J93),"")</f>
        <v>345.63939043179391</v>
      </c>
      <c r="K49" s="703">
        <f>IF(K$1,$F$48*SUM($F$93:K93),"")</f>
        <v>414.76726851815272</v>
      </c>
      <c r="L49" s="703">
        <f>IF(L$1,$F$48*SUM($F$93:L93),"")</f>
        <v>483.89514660451147</v>
      </c>
      <c r="M49" s="703">
        <f>IF(M$1,$F$48*SUM($F$93:M93),"")</f>
        <v>553.02302469087033</v>
      </c>
      <c r="N49" s="703">
        <f>IF(N$1,$F$48*SUM($F$93:N93),"")</f>
        <v>622.15090277722913</v>
      </c>
      <c r="O49" s="703">
        <f>IF(O$1,$F$48*SUM($F$93:O93),"")</f>
        <v>691.27878086358783</v>
      </c>
      <c r="P49" s="703">
        <f>IF(P$1,$F$48*SUM($F$93:P93),"")</f>
        <v>760.40665894994663</v>
      </c>
      <c r="Q49" s="703">
        <f>IF(Q$1,$F$48*SUM($F$93:Q93),"")</f>
        <v>829.53453703630544</v>
      </c>
      <c r="R49" s="703">
        <f>IF(R$1,$F$48*SUM($F$93:R93),"")</f>
        <v>898.66241512266424</v>
      </c>
      <c r="S49" s="703">
        <f>IF(S$1,$F$48*SUM($F$93:S93),"")</f>
        <v>967.79029320902293</v>
      </c>
      <c r="T49" s="703">
        <f>IF(T$1,$F$48*SUM($F$93:T93),"")</f>
        <v>1036.9181712953816</v>
      </c>
      <c r="U49" s="703">
        <f>IF(U$1,$F$48*SUM($F$93:U93),"")</f>
        <v>1106.0460493817407</v>
      </c>
      <c r="V49" s="703">
        <f>IF(V$1,$F$48*SUM($F$93:V93),"")</f>
        <v>1175.1739274680995</v>
      </c>
      <c r="W49" s="703">
        <f>IF(W$1,$F$48*SUM($F$93:W93),"")</f>
        <v>1244.3018055544583</v>
      </c>
      <c r="X49" s="703">
        <f>IF(X$1,$F$48*SUM($F$93:X93),"")</f>
        <v>1313.4296836408168</v>
      </c>
      <c r="Y49" s="703">
        <f>IF(Y$1,$F$48*SUM($F$93:Y93),"")</f>
        <v>1382.5575617271757</v>
      </c>
      <c r="Z49" s="703">
        <f>IF(Z$1,$F$48*SUM($F$93:Z93),"")</f>
        <v>1451.6854398135345</v>
      </c>
      <c r="AA49" s="703">
        <f>IF(AA$1,$F$48*SUM($F$93:AA93),"")</f>
        <v>1520.8133178998933</v>
      </c>
      <c r="AB49" s="703">
        <f>IF(AB$1,$F$48*SUM($F$93:AB93),"")</f>
        <v>1589.9411959862521</v>
      </c>
      <c r="AC49" s="703">
        <f>IF(AC$1,$F$48*SUM($F$93:AC93),"")</f>
        <v>1659.0690740726109</v>
      </c>
      <c r="AD49" s="703">
        <f>IF(AD$1,$F$48*SUM($F$93:AD93),"")</f>
        <v>1728.1969521589697</v>
      </c>
      <c r="AE49" s="703">
        <f>IF(AE$1,$F$48*SUM($F$93:AE93),"")</f>
        <v>1797.3248302453285</v>
      </c>
      <c r="AF49" s="703">
        <f>IF(AF$1,$F$48*SUM($F$93:AF93),"")</f>
        <v>1866.4527083316871</v>
      </c>
      <c r="AG49" s="703">
        <f>IF(AG$1,$F$48*SUM($F$93:AG93),"")</f>
        <v>1935.5805864180459</v>
      </c>
      <c r="AH49" s="703">
        <f>IF(AH$1,$F$48*SUM($F$93:AH93),"")</f>
        <v>2004.7084645044047</v>
      </c>
      <c r="AI49" s="703">
        <f>IF(AI$1,$F$48*SUM($F$93:AI93),"")</f>
        <v>2073.8363425907633</v>
      </c>
      <c r="AJ49" s="703" t="str">
        <f>IF(AJ$1,$F$48*SUM($F$93:AJ93),"")</f>
        <v/>
      </c>
      <c r="AK49" s="703" t="str">
        <f>IF(AK$1,$F$48*SUM($F$93:AK93),"")</f>
        <v/>
      </c>
      <c r="AL49" s="703" t="str">
        <f>IF(AL$1,$F$48*SUM($F$93:AL93),"")</f>
        <v/>
      </c>
      <c r="AM49" s="703" t="str">
        <f>IF(AM$1,$F$48*SUM($F$93:AM93),"")</f>
        <v/>
      </c>
      <c r="AN49" s="703" t="str">
        <f>IF(AN$1,$F$48*SUM($F$93:AN93),"")</f>
        <v/>
      </c>
      <c r="AO49" s="703" t="str">
        <f>IF(AO$1,$F$48*SUM($F$93:AO93),"")</f>
        <v/>
      </c>
      <c r="AP49" s="703" t="str">
        <f>IF(AP$1,$F$48*SUM($F$93:AP93),"")</f>
        <v/>
      </c>
      <c r="AQ49" s="703" t="str">
        <f>IF(AQ$1,$F$48*SUM($F$93:AQ93),"")</f>
        <v/>
      </c>
      <c r="AR49" s="703" t="str">
        <f>IF(AR$1,$F$48*SUM($F$93:AR93),"")</f>
        <v/>
      </c>
      <c r="AS49" s="703" t="str">
        <f>IF(AS$1,$F$48*SUM($F$93:AS93),"")</f>
        <v/>
      </c>
    </row>
    <row r="50" spans="2:86" s="267" customFormat="1">
      <c r="D50" s="1254" t="str">
        <f t="shared" ref="D50:AS50" si="37">IF(D6-D116&lt;0.001,"","Error")</f>
        <v/>
      </c>
      <c r="E50" s="1254" t="str">
        <f t="shared" si="37"/>
        <v/>
      </c>
      <c r="F50" s="1254" t="str">
        <f t="shared" si="37"/>
        <v/>
      </c>
      <c r="G50" s="1254" t="str">
        <f t="shared" si="37"/>
        <v/>
      </c>
      <c r="H50" s="1254" t="str">
        <f t="shared" si="37"/>
        <v/>
      </c>
      <c r="I50" s="1254" t="str">
        <f t="shared" si="37"/>
        <v/>
      </c>
      <c r="J50" s="1254" t="str">
        <f t="shared" si="37"/>
        <v/>
      </c>
      <c r="K50" s="1254" t="str">
        <f t="shared" si="37"/>
        <v/>
      </c>
      <c r="L50" s="1254" t="str">
        <f t="shared" si="37"/>
        <v/>
      </c>
      <c r="M50" s="1254" t="str">
        <f t="shared" si="37"/>
        <v/>
      </c>
      <c r="N50" s="1254" t="str">
        <f t="shared" si="37"/>
        <v/>
      </c>
      <c r="O50" s="1254" t="str">
        <f t="shared" si="37"/>
        <v/>
      </c>
      <c r="P50" s="1254" t="str">
        <f t="shared" si="37"/>
        <v/>
      </c>
      <c r="Q50" s="1254" t="str">
        <f t="shared" si="37"/>
        <v/>
      </c>
      <c r="R50" s="1254" t="str">
        <f t="shared" si="37"/>
        <v/>
      </c>
      <c r="S50" s="1254" t="str">
        <f t="shared" si="37"/>
        <v/>
      </c>
      <c r="T50" s="1254" t="str">
        <f t="shared" si="37"/>
        <v/>
      </c>
      <c r="U50" s="1254" t="str">
        <f t="shared" si="37"/>
        <v/>
      </c>
      <c r="V50" s="1254" t="str">
        <f t="shared" si="37"/>
        <v/>
      </c>
      <c r="W50" s="1254" t="str">
        <f t="shared" si="37"/>
        <v/>
      </c>
      <c r="X50" s="1254" t="str">
        <f t="shared" si="37"/>
        <v/>
      </c>
      <c r="Y50" s="1254" t="str">
        <f t="shared" si="37"/>
        <v/>
      </c>
      <c r="Z50" s="1254" t="str">
        <f t="shared" si="37"/>
        <v/>
      </c>
      <c r="AA50" s="1254" t="str">
        <f t="shared" si="37"/>
        <v/>
      </c>
      <c r="AB50" s="1254" t="str">
        <f t="shared" si="37"/>
        <v/>
      </c>
      <c r="AC50" s="1254" t="str">
        <f t="shared" si="37"/>
        <v/>
      </c>
      <c r="AD50" s="1254" t="str">
        <f t="shared" si="37"/>
        <v/>
      </c>
      <c r="AE50" s="1254" t="str">
        <f t="shared" si="37"/>
        <v/>
      </c>
      <c r="AF50" s="1254" t="str">
        <f t="shared" si="37"/>
        <v/>
      </c>
      <c r="AG50" s="1254" t="str">
        <f t="shared" si="37"/>
        <v/>
      </c>
      <c r="AH50" s="1254" t="str">
        <f t="shared" si="37"/>
        <v/>
      </c>
      <c r="AI50" s="1254" t="str">
        <f t="shared" si="37"/>
        <v/>
      </c>
      <c r="AJ50" s="1254" t="str">
        <f t="shared" si="37"/>
        <v/>
      </c>
      <c r="AK50" s="1254" t="str">
        <f t="shared" si="37"/>
        <v/>
      </c>
      <c r="AL50" s="1254" t="str">
        <f t="shared" si="37"/>
        <v/>
      </c>
      <c r="AM50" s="1254" t="str">
        <f t="shared" si="37"/>
        <v/>
      </c>
      <c r="AN50" s="1254" t="str">
        <f t="shared" si="37"/>
        <v/>
      </c>
      <c r="AO50" s="1254" t="str">
        <f t="shared" si="37"/>
        <v/>
      </c>
      <c r="AP50" s="1254" t="str">
        <f t="shared" si="37"/>
        <v/>
      </c>
      <c r="AQ50" s="1254" t="str">
        <f t="shared" si="37"/>
        <v/>
      </c>
      <c r="AR50" s="1254" t="str">
        <f t="shared" si="37"/>
        <v/>
      </c>
      <c r="AS50" s="1254" t="str">
        <f t="shared" si="37"/>
        <v/>
      </c>
      <c r="AT50" s="277" t="str">
        <f>IF(AT5=AT116,"","Error")</f>
        <v/>
      </c>
    </row>
    <row r="51" spans="2:86" s="1180" customFormat="1">
      <c r="B51" s="1178" t="s">
        <v>584</v>
      </c>
      <c r="C51" s="1178" t="s">
        <v>980</v>
      </c>
      <c r="D51" s="1001">
        <f>-PMT(DiscountRate,BookLife,E51)</f>
        <v>173.1384158884415</v>
      </c>
      <c r="E51" s="1028">
        <f>NPV(DiscountRate,F51:AS51)*(1)</f>
        <v>2228.702064694995</v>
      </c>
      <c r="F51" s="1791">
        <f>F42+F54+F61</f>
        <v>-464.81698747548069</v>
      </c>
      <c r="G51" s="1791">
        <f t="shared" ref="G51:AS51" si="38">G42+G56+G63</f>
        <v>151.37916849879534</v>
      </c>
      <c r="H51" s="1791">
        <f t="shared" si="38"/>
        <v>212.43094783261833</v>
      </c>
      <c r="I51" s="1791">
        <f t="shared" si="38"/>
        <v>234.76829013236471</v>
      </c>
      <c r="J51" s="1791">
        <f t="shared" si="38"/>
        <v>227.2136564683039</v>
      </c>
      <c r="K51" s="1791">
        <f t="shared" si="38"/>
        <v>298.36857916887891</v>
      </c>
      <c r="L51" s="1791">
        <f t="shared" si="38"/>
        <v>294.62504329027837</v>
      </c>
      <c r="M51" s="1791">
        <f t="shared" si="38"/>
        <v>290.93855474867257</v>
      </c>
      <c r="N51" s="1791">
        <f t="shared" si="38"/>
        <v>287.314610074006</v>
      </c>
      <c r="O51" s="1791">
        <f t="shared" si="38"/>
        <v>283.75892468001342</v>
      </c>
      <c r="P51" s="1791">
        <f t="shared" si="38"/>
        <v>280.2774511138266</v>
      </c>
      <c r="Q51" s="1791">
        <f t="shared" si="38"/>
        <v>276.57537594321371</v>
      </c>
      <c r="R51" s="1791">
        <f t="shared" si="38"/>
        <v>272.97525733228241</v>
      </c>
      <c r="S51" s="1791">
        <f t="shared" si="38"/>
        <v>269.483124618055</v>
      </c>
      <c r="T51" s="1791">
        <f t="shared" si="38"/>
        <v>266.10536366364863</v>
      </c>
      <c r="U51" s="1791">
        <f t="shared" si="38"/>
        <v>262.84873793986492</v>
      </c>
      <c r="V51" s="1791">
        <f t="shared" si="38"/>
        <v>259.7204108533366</v>
      </c>
      <c r="W51" s="1791">
        <f t="shared" si="38"/>
        <v>256.72796939494208</v>
      </c>
      <c r="X51" s="1791">
        <f t="shared" si="38"/>
        <v>253.87944918655333</v>
      </c>
      <c r="Y51" s="1791">
        <f t="shared" si="38"/>
        <v>251.18336100880288</v>
      </c>
      <c r="Z51" s="1791">
        <f t="shared" si="38"/>
        <v>89.126333826047471</v>
      </c>
      <c r="AA51" s="1791">
        <f t="shared" si="38"/>
        <v>83.699548753288511</v>
      </c>
      <c r="AB51" s="1791">
        <f t="shared" si="38"/>
        <v>78.272745137945279</v>
      </c>
      <c r="AC51" s="1791">
        <f t="shared" si="38"/>
        <v>72.84592265270507</v>
      </c>
      <c r="AD51" s="1791">
        <f t="shared" si="38"/>
        <v>67.41908096447753</v>
      </c>
      <c r="AE51" s="1791">
        <f t="shared" si="38"/>
        <v>61.992219734292505</v>
      </c>
      <c r="AF51" s="1791">
        <f t="shared" si="38"/>
        <v>56.565338617196424</v>
      </c>
      <c r="AG51" s="1791">
        <f t="shared" si="38"/>
        <v>51.138437262146631</v>
      </c>
      <c r="AH51" s="1791">
        <f t="shared" si="38"/>
        <v>45.711515311903824</v>
      </c>
      <c r="AI51" s="1791">
        <f t="shared" si="38"/>
        <v>40.284572402922777</v>
      </c>
      <c r="AJ51" s="1791">
        <f t="shared" si="38"/>
        <v>0</v>
      </c>
      <c r="AK51" s="1791">
        <f t="shared" si="38"/>
        <v>0</v>
      </c>
      <c r="AL51" s="1791">
        <f t="shared" si="38"/>
        <v>0</v>
      </c>
      <c r="AM51" s="1791">
        <f t="shared" si="38"/>
        <v>0</v>
      </c>
      <c r="AN51" s="1791">
        <f t="shared" si="38"/>
        <v>0</v>
      </c>
      <c r="AO51" s="1791">
        <f t="shared" si="38"/>
        <v>0</v>
      </c>
      <c r="AP51" s="1791">
        <f t="shared" si="38"/>
        <v>0</v>
      </c>
      <c r="AQ51" s="1791">
        <f t="shared" si="38"/>
        <v>0</v>
      </c>
      <c r="AR51" s="1791">
        <f t="shared" si="38"/>
        <v>0</v>
      </c>
      <c r="AS51" s="1791">
        <f t="shared" si="38"/>
        <v>0</v>
      </c>
    </row>
    <row r="52" spans="2:86" s="103" customFormat="1"/>
    <row r="53" spans="2:86" s="1797" customFormat="1">
      <c r="B53" s="1798" t="str">
        <f>IF(D54=D53,"","Error")</f>
        <v/>
      </c>
      <c r="C53" s="1793" t="s">
        <v>182</v>
      </c>
      <c r="D53" s="1794">
        <f t="shared" ref="D53:D59" si="39">-PMT(DiscountRate,BookLife,E53)</f>
        <v>4.7331661101858797</v>
      </c>
      <c r="E53" s="1795">
        <f t="shared" ref="E53:E63" si="40">NPV(DiscountRate,F53:AS53)*(1)</f>
        <v>60.927074030252086</v>
      </c>
      <c r="F53" s="1796">
        <f>IF(OwnerType="POU",-MAX(F58,F59),(F51-F31-F98)*StateTaxRate-MAX(F58:F59))</f>
        <v>-56.760258340482935</v>
      </c>
      <c r="G53" s="1796">
        <f t="shared" ref="G53:AS53" si="41">IF(OwnerType="POU",-G58-G59,(G51-G31-G98)*StateTaxRate)</f>
        <v>-1.6517296181584225</v>
      </c>
      <c r="H53" s="1796">
        <f t="shared" si="41"/>
        <v>4.3696732902024094</v>
      </c>
      <c r="I53" s="1796">
        <f t="shared" si="41"/>
        <v>6.9581268376545982</v>
      </c>
      <c r="J53" s="1796">
        <f t="shared" si="41"/>
        <v>6.8952859818910639</v>
      </c>
      <c r="K53" s="1796">
        <f t="shared" si="41"/>
        <v>13.78326023326062</v>
      </c>
      <c r="L53" s="1796">
        <f t="shared" si="41"/>
        <v>14.044824808662373</v>
      </c>
      <c r="M53" s="1796">
        <f t="shared" si="41"/>
        <v>14.307764886989505</v>
      </c>
      <c r="N53" s="1796">
        <f t="shared" si="41"/>
        <v>14.574284583370821</v>
      </c>
      <c r="O53" s="1796">
        <f t="shared" si="41"/>
        <v>14.846612206718431</v>
      </c>
      <c r="P53" s="1796">
        <f t="shared" si="41"/>
        <v>15.127006997145838</v>
      </c>
      <c r="Q53" s="1796">
        <f t="shared" si="41"/>
        <v>15.116743820301018</v>
      </c>
      <c r="R53" s="1796">
        <f t="shared" si="41"/>
        <v>15.134237829192921</v>
      </c>
      <c r="S53" s="1796">
        <f t="shared" si="41"/>
        <v>15.181130363289482</v>
      </c>
      <c r="T53" s="1796">
        <f t="shared" si="41"/>
        <v>15.259159815468827</v>
      </c>
      <c r="U53" s="1796">
        <f t="shared" si="41"/>
        <v>15.370167370805271</v>
      </c>
      <c r="V53" s="1796">
        <f t="shared" si="41"/>
        <v>15.516103084689915</v>
      </c>
      <c r="W53" s="1796">
        <f t="shared" si="41"/>
        <v>15.699032320350964</v>
      </c>
      <c r="X53" s="1796">
        <f t="shared" si="41"/>
        <v>15.921142567024805</v>
      </c>
      <c r="Y53" s="1796">
        <f t="shared" si="41"/>
        <v>16.184750661286003</v>
      </c>
      <c r="Z53" s="1796">
        <f t="shared" si="41"/>
        <v>2.390531595063639</v>
      </c>
      <c r="AA53" s="1796">
        <f t="shared" si="41"/>
        <v>1.9108037946317469</v>
      </c>
      <c r="AB53" s="1796">
        <f t="shared" si="41"/>
        <v>1.431074355035405</v>
      </c>
      <c r="AC53" s="1796">
        <f t="shared" si="41"/>
        <v>0.95134324734017062</v>
      </c>
      <c r="AD53" s="1796">
        <f t="shared" si="41"/>
        <v>0.47161044210085606</v>
      </c>
      <c r="AE53" s="1796">
        <f t="shared" si="41"/>
        <v>-8.1240906475002362E-3</v>
      </c>
      <c r="AF53" s="1796">
        <f t="shared" si="41"/>
        <v>-0.48786038139879379</v>
      </c>
      <c r="AG53" s="1796">
        <f t="shared" si="41"/>
        <v>-0.96759846118519555</v>
      </c>
      <c r="AH53" s="1796">
        <f t="shared" si="41"/>
        <v>-1.4473383615866597</v>
      </c>
      <c r="AI53" s="1796">
        <f t="shared" si="41"/>
        <v>-1.9270801147405843</v>
      </c>
      <c r="AJ53" s="1796">
        <f t="shared" si="41"/>
        <v>0</v>
      </c>
      <c r="AK53" s="1796">
        <f t="shared" si="41"/>
        <v>0</v>
      </c>
      <c r="AL53" s="1796">
        <f t="shared" si="41"/>
        <v>0</v>
      </c>
      <c r="AM53" s="1796">
        <f t="shared" si="41"/>
        <v>0</v>
      </c>
      <c r="AN53" s="1796">
        <f t="shared" si="41"/>
        <v>0</v>
      </c>
      <c r="AO53" s="1796">
        <f t="shared" si="41"/>
        <v>0</v>
      </c>
      <c r="AP53" s="1796">
        <f t="shared" si="41"/>
        <v>0</v>
      </c>
      <c r="AQ53" s="1796">
        <f t="shared" si="41"/>
        <v>0</v>
      </c>
      <c r="AR53" s="1796">
        <f t="shared" si="41"/>
        <v>0</v>
      </c>
      <c r="AS53" s="1796">
        <f t="shared" si="41"/>
        <v>0</v>
      </c>
    </row>
    <row r="54" spans="2:86" s="651" customFormat="1">
      <c r="B54" s="1013" t="s">
        <v>10</v>
      </c>
      <c r="C54" s="647" t="s">
        <v>980</v>
      </c>
      <c r="D54" s="648">
        <f>-PMT(DiscountRate,BookLife,E54)</f>
        <v>4.7331661101858797</v>
      </c>
      <c r="E54" s="649">
        <f>NPV(DiscountRate,F54:AS54)*(1)</f>
        <v>60.927074030252086</v>
      </c>
      <c r="F54" s="1181">
        <f t="shared" ref="F54:AS54" si="42">IF(OwnerType="POU",-MAX(F$58,F$59),(StateTaxRate*(F$42-(F$31+F$98)+(F$61))-MAX(F$58,F$59))/(1-StateTaxRate))</f>
        <v>-56.760258340482942</v>
      </c>
      <c r="G54" s="1181">
        <f t="shared" si="42"/>
        <v>-1.6517296181584233</v>
      </c>
      <c r="H54" s="1181">
        <f t="shared" si="42"/>
        <v>4.3696732902024102</v>
      </c>
      <c r="I54" s="1181">
        <f t="shared" si="42"/>
        <v>6.9581268376545982</v>
      </c>
      <c r="J54" s="1181">
        <f t="shared" si="42"/>
        <v>6.8952859818910639</v>
      </c>
      <c r="K54" s="1181">
        <f t="shared" si="42"/>
        <v>13.783260233260622</v>
      </c>
      <c r="L54" s="1181">
        <f t="shared" si="42"/>
        <v>14.044824808662369</v>
      </c>
      <c r="M54" s="1181">
        <f t="shared" si="42"/>
        <v>14.307764886989508</v>
      </c>
      <c r="N54" s="1181">
        <f t="shared" si="42"/>
        <v>14.574284583370821</v>
      </c>
      <c r="O54" s="1181">
        <f t="shared" si="42"/>
        <v>14.846612206718431</v>
      </c>
      <c r="P54" s="1181">
        <f t="shared" si="42"/>
        <v>15.127006997145839</v>
      </c>
      <c r="Q54" s="1181">
        <f t="shared" si="42"/>
        <v>15.11674382030102</v>
      </c>
      <c r="R54" s="1181">
        <f t="shared" si="42"/>
        <v>15.134237829192923</v>
      </c>
      <c r="S54" s="1181">
        <f t="shared" si="42"/>
        <v>15.181130363289483</v>
      </c>
      <c r="T54" s="1181">
        <f t="shared" si="42"/>
        <v>15.259159815468831</v>
      </c>
      <c r="U54" s="1181">
        <f t="shared" si="42"/>
        <v>15.370167370805271</v>
      </c>
      <c r="V54" s="1181">
        <f t="shared" si="42"/>
        <v>15.516103084689918</v>
      </c>
      <c r="W54" s="1181">
        <f t="shared" si="42"/>
        <v>15.699032320350966</v>
      </c>
      <c r="X54" s="1181">
        <f t="shared" si="42"/>
        <v>15.921142567024807</v>
      </c>
      <c r="Y54" s="1181">
        <f t="shared" si="42"/>
        <v>16.184750661286003</v>
      </c>
      <c r="Z54" s="1181">
        <f t="shared" si="42"/>
        <v>2.3905315950636394</v>
      </c>
      <c r="AA54" s="1181">
        <f t="shared" si="42"/>
        <v>1.9108037946317464</v>
      </c>
      <c r="AB54" s="1181">
        <f t="shared" si="42"/>
        <v>1.431074355035405</v>
      </c>
      <c r="AC54" s="1181">
        <f t="shared" si="42"/>
        <v>0.95134324734017117</v>
      </c>
      <c r="AD54" s="1181">
        <f t="shared" si="42"/>
        <v>0.47161044210085629</v>
      </c>
      <c r="AE54" s="1181">
        <f t="shared" si="42"/>
        <v>-8.124090647500715E-3</v>
      </c>
      <c r="AF54" s="1181">
        <f t="shared" si="42"/>
        <v>-0.48786038139879356</v>
      </c>
      <c r="AG54" s="1181">
        <f t="shared" si="42"/>
        <v>-0.96759846118519521</v>
      </c>
      <c r="AH54" s="1181">
        <f t="shared" si="42"/>
        <v>-1.4473383615866593</v>
      </c>
      <c r="AI54" s="1181">
        <f t="shared" si="42"/>
        <v>-1.9270801147405845</v>
      </c>
      <c r="AJ54" s="1181">
        <f t="shared" si="42"/>
        <v>0</v>
      </c>
      <c r="AK54" s="1181">
        <f t="shared" si="42"/>
        <v>0</v>
      </c>
      <c r="AL54" s="1181">
        <f t="shared" si="42"/>
        <v>0</v>
      </c>
      <c r="AM54" s="1181">
        <f t="shared" si="42"/>
        <v>0</v>
      </c>
      <c r="AN54" s="1181">
        <f t="shared" si="42"/>
        <v>0</v>
      </c>
      <c r="AO54" s="1181">
        <f t="shared" si="42"/>
        <v>0</v>
      </c>
      <c r="AP54" s="1181">
        <f t="shared" si="42"/>
        <v>0</v>
      </c>
      <c r="AQ54" s="1181">
        <f t="shared" si="42"/>
        <v>0</v>
      </c>
      <c r="AR54" s="1181">
        <f t="shared" si="42"/>
        <v>0</v>
      </c>
      <c r="AS54" s="1181">
        <f t="shared" si="42"/>
        <v>0</v>
      </c>
    </row>
    <row r="55" spans="2:86" s="651" customFormat="1">
      <c r="B55" s="1013" t="s">
        <v>11</v>
      </c>
      <c r="C55" s="647"/>
      <c r="D55" s="648"/>
      <c r="E55" s="649"/>
      <c r="F55" s="1181">
        <f>IF(F$1,MIN(0,SUM($F54:F54)),0)</f>
        <v>-56.760258340482942</v>
      </c>
      <c r="G55" s="1181">
        <f>IF(G$1,MIN(0,SUM($F54:G54)),0)</f>
        <v>-58.411987958641362</v>
      </c>
      <c r="H55" s="1181">
        <f>IF(H$1,MIN(0,SUM($F54:H54)),0)</f>
        <v>-54.042314668438948</v>
      </c>
      <c r="I55" s="1181">
        <f>IF(I$1,MIN(0,SUM($F54:I54)),0)</f>
        <v>-47.084187830784352</v>
      </c>
      <c r="J55" s="1181">
        <f>IF(J$1,MIN(0,SUM($F54:J54)),0)</f>
        <v>-40.188901848893288</v>
      </c>
      <c r="K55" s="1181">
        <f>IF(K$1,MIN(0,SUM($F54:K54)),0)</f>
        <v>-26.405641615632668</v>
      </c>
      <c r="L55" s="1181">
        <f>IF(L$1,MIN(0,SUM($F54:L54)),0)</f>
        <v>-12.360816806970298</v>
      </c>
      <c r="M55" s="1181">
        <f>IF(M$1,MIN(0,SUM($F54:M54)),0)</f>
        <v>0</v>
      </c>
      <c r="N55" s="1181">
        <f>IF(N$1,MIN(0,SUM($F54:N54)),0)</f>
        <v>0</v>
      </c>
      <c r="O55" s="1181">
        <f>IF(O$1,MIN(0,SUM($F54:O54)),0)</f>
        <v>0</v>
      </c>
      <c r="P55" s="1181">
        <f>IF(P$1,MIN(0,SUM($F54:P54)),0)</f>
        <v>0</v>
      </c>
      <c r="Q55" s="1181">
        <f>IF(Q$1,MIN(0,SUM($F54:Q54)),0)</f>
        <v>0</v>
      </c>
      <c r="R55" s="1181">
        <f>IF(R$1,MIN(0,SUM($F54:R54)),0)</f>
        <v>0</v>
      </c>
      <c r="S55" s="1181">
        <f>IF(S$1,MIN(0,SUM($F54:S54)),0)</f>
        <v>0</v>
      </c>
      <c r="T55" s="1181">
        <f>IF(T$1,MIN(0,SUM($F54:T54)),0)</f>
        <v>0</v>
      </c>
      <c r="U55" s="1181">
        <f>IF(U$1,MIN(0,SUM($F54:U54)),0)</f>
        <v>0</v>
      </c>
      <c r="V55" s="1181">
        <f>IF(V$1,MIN(0,SUM($F54:V54)),0)</f>
        <v>0</v>
      </c>
      <c r="W55" s="1181">
        <f>IF(W$1,MIN(0,SUM($F54:W54)),0)</f>
        <v>0</v>
      </c>
      <c r="X55" s="1181">
        <f>IF(X$1,MIN(0,SUM($F54:X54)),0)</f>
        <v>0</v>
      </c>
      <c r="Y55" s="1181">
        <f t="shared" ref="Y55:AS55" si="43">IF(Y$1,MIN(0,SUM(F54:Y54)),0)</f>
        <v>0</v>
      </c>
      <c r="Z55" s="1181">
        <f t="shared" si="43"/>
        <v>0</v>
      </c>
      <c r="AA55" s="1181">
        <f t="shared" si="43"/>
        <v>0</v>
      </c>
      <c r="AB55" s="1181">
        <f t="shared" si="43"/>
        <v>0</v>
      </c>
      <c r="AC55" s="1181">
        <f t="shared" si="43"/>
        <v>0</v>
      </c>
      <c r="AD55" s="1181">
        <f t="shared" si="43"/>
        <v>0</v>
      </c>
      <c r="AE55" s="1181">
        <f t="shared" si="43"/>
        <v>0</v>
      </c>
      <c r="AF55" s="1181">
        <f t="shared" si="43"/>
        <v>0</v>
      </c>
      <c r="AG55" s="1181">
        <f t="shared" si="43"/>
        <v>0</v>
      </c>
      <c r="AH55" s="1181">
        <f t="shared" si="43"/>
        <v>0</v>
      </c>
      <c r="AI55" s="1181">
        <f t="shared" si="43"/>
        <v>0</v>
      </c>
      <c r="AJ55" s="1181">
        <f t="shared" si="43"/>
        <v>0</v>
      </c>
      <c r="AK55" s="1181">
        <f t="shared" si="43"/>
        <v>0</v>
      </c>
      <c r="AL55" s="1181">
        <f t="shared" si="43"/>
        <v>0</v>
      </c>
      <c r="AM55" s="1181">
        <f t="shared" si="43"/>
        <v>0</v>
      </c>
      <c r="AN55" s="1181">
        <f t="shared" si="43"/>
        <v>0</v>
      </c>
      <c r="AO55" s="1181">
        <f t="shared" si="43"/>
        <v>0</v>
      </c>
      <c r="AP55" s="1181">
        <f t="shared" si="43"/>
        <v>0</v>
      </c>
      <c r="AQ55" s="1181">
        <f t="shared" si="43"/>
        <v>0</v>
      </c>
      <c r="AR55" s="1181">
        <f t="shared" si="43"/>
        <v>0</v>
      </c>
      <c r="AS55" s="1181">
        <f t="shared" si="43"/>
        <v>0</v>
      </c>
    </row>
    <row r="56" spans="2:86" s="165" customFormat="1">
      <c r="B56" s="533" t="s">
        <v>976</v>
      </c>
      <c r="C56" s="533" t="s">
        <v>980</v>
      </c>
      <c r="D56" s="294">
        <f t="shared" si="39"/>
        <v>4.7331661101858797</v>
      </c>
      <c r="E56" s="145">
        <f t="shared" si="40"/>
        <v>60.927074030252086</v>
      </c>
      <c r="F56" s="2442">
        <f>IF(AND(F$1,TaxLossTreatment=TaxMinZero),IF(F55&gt;0,F54,IF(F54+E55&gt;0,F54+E55,0)),F54)</f>
        <v>-56.760258340482942</v>
      </c>
      <c r="G56" s="1792">
        <f t="shared" ref="G56:AS56" si="44">IF(AND(G$1,TaxLossTreatment=TaxMinZero),IF(G55&gt;0,G54,IF(G54+F55&gt;0,G54+F55,0)),G54)</f>
        <v>-1.6517296181584233</v>
      </c>
      <c r="H56" s="1792">
        <f t="shared" si="44"/>
        <v>4.3696732902024102</v>
      </c>
      <c r="I56" s="1792">
        <f t="shared" si="44"/>
        <v>6.9581268376545982</v>
      </c>
      <c r="J56" s="1792">
        <f t="shared" si="44"/>
        <v>6.8952859818910639</v>
      </c>
      <c r="K56" s="1792">
        <f t="shared" si="44"/>
        <v>13.783260233260622</v>
      </c>
      <c r="L56" s="1792">
        <f t="shared" si="44"/>
        <v>14.044824808662369</v>
      </c>
      <c r="M56" s="1792">
        <f t="shared" si="44"/>
        <v>14.307764886989508</v>
      </c>
      <c r="N56" s="1792">
        <f t="shared" si="44"/>
        <v>14.574284583370821</v>
      </c>
      <c r="O56" s="1792">
        <f t="shared" si="44"/>
        <v>14.846612206718431</v>
      </c>
      <c r="P56" s="1792">
        <f t="shared" si="44"/>
        <v>15.127006997145839</v>
      </c>
      <c r="Q56" s="1792">
        <f t="shared" si="44"/>
        <v>15.11674382030102</v>
      </c>
      <c r="R56" s="1792">
        <f t="shared" si="44"/>
        <v>15.134237829192923</v>
      </c>
      <c r="S56" s="1792">
        <f t="shared" si="44"/>
        <v>15.181130363289483</v>
      </c>
      <c r="T56" s="1792">
        <f t="shared" si="44"/>
        <v>15.259159815468831</v>
      </c>
      <c r="U56" s="1792">
        <f t="shared" si="44"/>
        <v>15.370167370805271</v>
      </c>
      <c r="V56" s="1792">
        <f t="shared" si="44"/>
        <v>15.516103084689918</v>
      </c>
      <c r="W56" s="1792">
        <f t="shared" si="44"/>
        <v>15.699032320350966</v>
      </c>
      <c r="X56" s="1792">
        <f t="shared" si="44"/>
        <v>15.921142567024807</v>
      </c>
      <c r="Y56" s="1792">
        <f t="shared" si="44"/>
        <v>16.184750661286003</v>
      </c>
      <c r="Z56" s="1792">
        <f t="shared" si="44"/>
        <v>2.3905315950636394</v>
      </c>
      <c r="AA56" s="1792">
        <f t="shared" si="44"/>
        <v>1.9108037946317464</v>
      </c>
      <c r="AB56" s="1792">
        <f t="shared" si="44"/>
        <v>1.431074355035405</v>
      </c>
      <c r="AC56" s="1792">
        <f t="shared" si="44"/>
        <v>0.95134324734017117</v>
      </c>
      <c r="AD56" s="1792">
        <f t="shared" si="44"/>
        <v>0.47161044210085629</v>
      </c>
      <c r="AE56" s="1792">
        <f t="shared" si="44"/>
        <v>-8.124090647500715E-3</v>
      </c>
      <c r="AF56" s="1792">
        <f t="shared" si="44"/>
        <v>-0.48786038139879356</v>
      </c>
      <c r="AG56" s="1792">
        <f t="shared" si="44"/>
        <v>-0.96759846118519521</v>
      </c>
      <c r="AH56" s="1792">
        <f t="shared" si="44"/>
        <v>-1.4473383615866593</v>
      </c>
      <c r="AI56" s="1792">
        <f t="shared" si="44"/>
        <v>-1.9270801147405845</v>
      </c>
      <c r="AJ56" s="1792">
        <f t="shared" si="44"/>
        <v>0</v>
      </c>
      <c r="AK56" s="1792">
        <f t="shared" si="44"/>
        <v>0</v>
      </c>
      <c r="AL56" s="1792">
        <f t="shared" si="44"/>
        <v>0</v>
      </c>
      <c r="AM56" s="1792">
        <f t="shared" si="44"/>
        <v>0</v>
      </c>
      <c r="AN56" s="1792">
        <f t="shared" si="44"/>
        <v>0</v>
      </c>
      <c r="AO56" s="1792">
        <f t="shared" si="44"/>
        <v>0</v>
      </c>
      <c r="AP56" s="1792">
        <f t="shared" si="44"/>
        <v>0</v>
      </c>
      <c r="AQ56" s="1792">
        <f t="shared" si="44"/>
        <v>0</v>
      </c>
      <c r="AR56" s="1792">
        <f t="shared" si="44"/>
        <v>0</v>
      </c>
      <c r="AS56" s="1792">
        <f t="shared" si="44"/>
        <v>0</v>
      </c>
    </row>
    <row r="57" spans="2:86" s="651" customFormat="1">
      <c r="B57" s="1414" t="s">
        <v>1393</v>
      </c>
      <c r="C57" s="1414" t="s">
        <v>143</v>
      </c>
      <c r="D57" s="1428">
        <f>-PMT(DiscountRate,BookLife,E57)</f>
        <v>9.501373155037351</v>
      </c>
      <c r="E57" s="1429">
        <f>NPV(DiscountRate,F57:AS57)*(1)</f>
        <v>122.30520800024836</v>
      </c>
      <c r="F57" s="1450">
        <f>SalesTaxRate*'Financial Data'!$B$11*SalesTaxProportion</f>
        <v>130.42531177337534</v>
      </c>
      <c r="G57" s="1181">
        <v>0</v>
      </c>
      <c r="H57" s="1181">
        <v>0</v>
      </c>
      <c r="I57" s="1181">
        <v>0</v>
      </c>
      <c r="J57" s="1181">
        <v>0</v>
      </c>
      <c r="K57" s="1181">
        <v>0</v>
      </c>
      <c r="L57" s="1181">
        <v>0</v>
      </c>
      <c r="M57" s="1181">
        <v>0</v>
      </c>
      <c r="N57" s="1181">
        <v>0</v>
      </c>
      <c r="O57" s="1181">
        <v>0</v>
      </c>
      <c r="P57" s="1181">
        <v>0</v>
      </c>
      <c r="Q57" s="1181">
        <v>0</v>
      </c>
      <c r="R57" s="1181">
        <v>0</v>
      </c>
      <c r="S57" s="1181">
        <v>0</v>
      </c>
      <c r="T57" s="1181">
        <v>0</v>
      </c>
      <c r="U57" s="1181">
        <v>0</v>
      </c>
      <c r="V57" s="1181">
        <v>0</v>
      </c>
      <c r="W57" s="1181">
        <v>0</v>
      </c>
      <c r="X57" s="1181">
        <v>0</v>
      </c>
      <c r="Y57" s="1181">
        <v>0</v>
      </c>
      <c r="Z57" s="1181">
        <v>0</v>
      </c>
      <c r="AA57" s="1181">
        <v>0</v>
      </c>
      <c r="AB57" s="1181">
        <v>0</v>
      </c>
      <c r="AC57" s="1181">
        <v>0</v>
      </c>
      <c r="AD57" s="1181">
        <v>0</v>
      </c>
      <c r="AE57" s="1181">
        <v>0</v>
      </c>
      <c r="AF57" s="1181">
        <v>0</v>
      </c>
      <c r="AG57" s="1181">
        <v>0</v>
      </c>
      <c r="AH57" s="1181">
        <v>0</v>
      </c>
      <c r="AI57" s="1181">
        <v>0</v>
      </c>
      <c r="AJ57" s="1181">
        <v>0</v>
      </c>
      <c r="AK57" s="1181">
        <v>0</v>
      </c>
      <c r="AL57" s="1181">
        <v>0</v>
      </c>
      <c r="AM57" s="1181">
        <v>0</v>
      </c>
      <c r="AN57" s="1181">
        <v>0</v>
      </c>
      <c r="AO57" s="1181">
        <v>0</v>
      </c>
      <c r="AP57" s="1181">
        <v>0</v>
      </c>
      <c r="AQ57" s="1181">
        <v>0</v>
      </c>
      <c r="AR57" s="1181">
        <v>0</v>
      </c>
      <c r="AS57" s="1181">
        <v>0</v>
      </c>
    </row>
    <row r="58" spans="2:86" s="1029" customFormat="1">
      <c r="B58" s="1091" t="s">
        <v>544</v>
      </c>
      <c r="C58" s="1091" t="s">
        <v>980</v>
      </c>
      <c r="D58" s="1001">
        <f t="shared" si="39"/>
        <v>0</v>
      </c>
      <c r="E58" s="1028">
        <f t="shared" si="40"/>
        <v>0</v>
      </c>
      <c r="F58" s="1170">
        <f t="shared" ref="F58:AS58" si="45">IF(F$1,IF(F$2&lt;=CSIDuration,CSI_PBI*AnnualNetGWh*10^6/(GrossMW*1000),0),0)</f>
        <v>0</v>
      </c>
      <c r="G58" s="1170">
        <f t="shared" si="45"/>
        <v>0</v>
      </c>
      <c r="H58" s="1170">
        <f t="shared" si="45"/>
        <v>0</v>
      </c>
      <c r="I58" s="1170">
        <f t="shared" si="45"/>
        <v>0</v>
      </c>
      <c r="J58" s="1170">
        <f t="shared" si="45"/>
        <v>0</v>
      </c>
      <c r="K58" s="1170">
        <f t="shared" si="45"/>
        <v>0</v>
      </c>
      <c r="L58" s="1170">
        <f t="shared" si="45"/>
        <v>0</v>
      </c>
      <c r="M58" s="1170">
        <f t="shared" si="45"/>
        <v>0</v>
      </c>
      <c r="N58" s="1170">
        <f t="shared" si="45"/>
        <v>0</v>
      </c>
      <c r="O58" s="1170">
        <f t="shared" si="45"/>
        <v>0</v>
      </c>
      <c r="P58" s="1170">
        <f t="shared" si="45"/>
        <v>0</v>
      </c>
      <c r="Q58" s="1170">
        <f t="shared" si="45"/>
        <v>0</v>
      </c>
      <c r="R58" s="1170">
        <f t="shared" si="45"/>
        <v>0</v>
      </c>
      <c r="S58" s="1170">
        <f t="shared" si="45"/>
        <v>0</v>
      </c>
      <c r="T58" s="1170">
        <f t="shared" si="45"/>
        <v>0</v>
      </c>
      <c r="U58" s="1170">
        <f t="shared" si="45"/>
        <v>0</v>
      </c>
      <c r="V58" s="1170">
        <f t="shared" si="45"/>
        <v>0</v>
      </c>
      <c r="W58" s="1170">
        <f t="shared" si="45"/>
        <v>0</v>
      </c>
      <c r="X58" s="1170">
        <f t="shared" si="45"/>
        <v>0</v>
      </c>
      <c r="Y58" s="1170">
        <f t="shared" si="45"/>
        <v>0</v>
      </c>
      <c r="Z58" s="1170">
        <f t="shared" si="45"/>
        <v>0</v>
      </c>
      <c r="AA58" s="1170">
        <f t="shared" si="45"/>
        <v>0</v>
      </c>
      <c r="AB58" s="1170">
        <f t="shared" si="45"/>
        <v>0</v>
      </c>
      <c r="AC58" s="1170">
        <f t="shared" si="45"/>
        <v>0</v>
      </c>
      <c r="AD58" s="1170">
        <f t="shared" si="45"/>
        <v>0</v>
      </c>
      <c r="AE58" s="1170">
        <f t="shared" si="45"/>
        <v>0</v>
      </c>
      <c r="AF58" s="1170">
        <f t="shared" si="45"/>
        <v>0</v>
      </c>
      <c r="AG58" s="1170">
        <f t="shared" si="45"/>
        <v>0</v>
      </c>
      <c r="AH58" s="1170">
        <f t="shared" si="45"/>
        <v>0</v>
      </c>
      <c r="AI58" s="1170">
        <f t="shared" si="45"/>
        <v>0</v>
      </c>
      <c r="AJ58" s="1170">
        <f t="shared" si="45"/>
        <v>0</v>
      </c>
      <c r="AK58" s="1170">
        <f t="shared" si="45"/>
        <v>0</v>
      </c>
      <c r="AL58" s="1170">
        <f t="shared" si="45"/>
        <v>0</v>
      </c>
      <c r="AM58" s="1170">
        <f t="shared" si="45"/>
        <v>0</v>
      </c>
      <c r="AN58" s="1170">
        <f t="shared" si="45"/>
        <v>0</v>
      </c>
      <c r="AO58" s="1170">
        <f t="shared" si="45"/>
        <v>0</v>
      </c>
      <c r="AP58" s="1170">
        <f t="shared" si="45"/>
        <v>0</v>
      </c>
      <c r="AQ58" s="1170">
        <f t="shared" si="45"/>
        <v>0</v>
      </c>
      <c r="AR58" s="1170">
        <f t="shared" si="45"/>
        <v>0</v>
      </c>
      <c r="AS58" s="1170">
        <f t="shared" si="45"/>
        <v>0</v>
      </c>
    </row>
    <row r="59" spans="2:86" s="1029" customFormat="1">
      <c r="B59" s="1091" t="s">
        <v>110</v>
      </c>
      <c r="C59" s="1091" t="s">
        <v>143</v>
      </c>
      <c r="D59" s="1001">
        <f t="shared" si="39"/>
        <v>0</v>
      </c>
      <c r="E59" s="1028">
        <f t="shared" si="40"/>
        <v>0</v>
      </c>
      <c r="F59" s="1170">
        <f t="shared" ref="F59:AS59" si="46">IF(F$1,MIN(SGIPRebate),0)</f>
        <v>0</v>
      </c>
      <c r="G59" s="1170">
        <f t="shared" si="46"/>
        <v>0</v>
      </c>
      <c r="H59" s="1170">
        <f t="shared" si="46"/>
        <v>0</v>
      </c>
      <c r="I59" s="1170">
        <f t="shared" si="46"/>
        <v>0</v>
      </c>
      <c r="J59" s="1170">
        <f t="shared" si="46"/>
        <v>0</v>
      </c>
      <c r="K59" s="1170">
        <f t="shared" si="46"/>
        <v>0</v>
      </c>
      <c r="L59" s="1170">
        <f t="shared" si="46"/>
        <v>0</v>
      </c>
      <c r="M59" s="1170">
        <f t="shared" si="46"/>
        <v>0</v>
      </c>
      <c r="N59" s="1170">
        <f t="shared" si="46"/>
        <v>0</v>
      </c>
      <c r="O59" s="1170">
        <f t="shared" si="46"/>
        <v>0</v>
      </c>
      <c r="P59" s="1170">
        <f t="shared" si="46"/>
        <v>0</v>
      </c>
      <c r="Q59" s="1170">
        <f t="shared" si="46"/>
        <v>0</v>
      </c>
      <c r="R59" s="1170">
        <f t="shared" si="46"/>
        <v>0</v>
      </c>
      <c r="S59" s="1170">
        <f t="shared" si="46"/>
        <v>0</v>
      </c>
      <c r="T59" s="1170">
        <f t="shared" si="46"/>
        <v>0</v>
      </c>
      <c r="U59" s="1170">
        <f t="shared" si="46"/>
        <v>0</v>
      </c>
      <c r="V59" s="1170">
        <f t="shared" si="46"/>
        <v>0</v>
      </c>
      <c r="W59" s="1170">
        <f t="shared" si="46"/>
        <v>0</v>
      </c>
      <c r="X59" s="1170">
        <f t="shared" si="46"/>
        <v>0</v>
      </c>
      <c r="Y59" s="1170">
        <f t="shared" si="46"/>
        <v>0</v>
      </c>
      <c r="Z59" s="1170">
        <f t="shared" si="46"/>
        <v>0</v>
      </c>
      <c r="AA59" s="1170">
        <f t="shared" si="46"/>
        <v>0</v>
      </c>
      <c r="AB59" s="1170">
        <f t="shared" si="46"/>
        <v>0</v>
      </c>
      <c r="AC59" s="1170">
        <f t="shared" si="46"/>
        <v>0</v>
      </c>
      <c r="AD59" s="1170">
        <f t="shared" si="46"/>
        <v>0</v>
      </c>
      <c r="AE59" s="1170">
        <f t="shared" si="46"/>
        <v>0</v>
      </c>
      <c r="AF59" s="1170">
        <f t="shared" si="46"/>
        <v>0</v>
      </c>
      <c r="AG59" s="1170">
        <f t="shared" si="46"/>
        <v>0</v>
      </c>
      <c r="AH59" s="1170">
        <f t="shared" si="46"/>
        <v>0</v>
      </c>
      <c r="AI59" s="1170">
        <f t="shared" si="46"/>
        <v>0</v>
      </c>
      <c r="AJ59" s="1170">
        <f t="shared" si="46"/>
        <v>0</v>
      </c>
      <c r="AK59" s="1170">
        <f t="shared" si="46"/>
        <v>0</v>
      </c>
      <c r="AL59" s="1170">
        <f t="shared" si="46"/>
        <v>0</v>
      </c>
      <c r="AM59" s="1170">
        <f t="shared" si="46"/>
        <v>0</v>
      </c>
      <c r="AN59" s="1170">
        <f t="shared" si="46"/>
        <v>0</v>
      </c>
      <c r="AO59" s="1170">
        <f t="shared" si="46"/>
        <v>0</v>
      </c>
      <c r="AP59" s="1170">
        <f t="shared" si="46"/>
        <v>0</v>
      </c>
      <c r="AQ59" s="1170">
        <f t="shared" si="46"/>
        <v>0</v>
      </c>
      <c r="AR59" s="1170">
        <f t="shared" si="46"/>
        <v>0</v>
      </c>
      <c r="AS59" s="1170">
        <f t="shared" si="46"/>
        <v>0</v>
      </c>
    </row>
    <row r="60" spans="2:86" s="1253" customFormat="1">
      <c r="B60" s="2540"/>
      <c r="C60" s="1091"/>
      <c r="D60" s="2541"/>
      <c r="E60" s="2542"/>
      <c r="F60" s="2543"/>
      <c r="G60" s="2543"/>
      <c r="H60" s="2543"/>
      <c r="I60" s="2543"/>
      <c r="J60" s="2543"/>
      <c r="K60" s="2543"/>
      <c r="L60" s="2543"/>
      <c r="M60" s="2543"/>
      <c r="N60" s="2543"/>
      <c r="O60" s="2543"/>
      <c r="P60" s="2543"/>
      <c r="Q60" s="2543"/>
      <c r="R60" s="2543"/>
      <c r="S60" s="2543"/>
      <c r="T60" s="2543"/>
      <c r="U60" s="2543"/>
      <c r="V60" s="2543"/>
      <c r="W60" s="2543"/>
      <c r="X60" s="2543"/>
      <c r="Y60" s="2543"/>
      <c r="Z60" s="2543"/>
      <c r="AA60" s="2543"/>
      <c r="AB60" s="2543"/>
      <c r="AC60" s="2543"/>
      <c r="AD60" s="2543"/>
      <c r="AE60" s="2543"/>
      <c r="AF60" s="2543"/>
      <c r="AG60" s="2543"/>
      <c r="AH60" s="2543"/>
      <c r="AI60" s="2543"/>
      <c r="AJ60" s="2543"/>
      <c r="AK60" s="2543"/>
      <c r="AL60" s="2543"/>
      <c r="AM60" s="2543"/>
      <c r="AN60" s="2543"/>
      <c r="AO60" s="2543"/>
      <c r="AP60" s="2543"/>
      <c r="AQ60" s="2543"/>
      <c r="AR60" s="2543"/>
      <c r="AS60" s="2543"/>
      <c r="AT60" s="2543"/>
    </row>
    <row r="61" spans="2:86" s="651" customFormat="1">
      <c r="B61" s="1013" t="s">
        <v>9</v>
      </c>
      <c r="C61" s="647" t="s">
        <v>980</v>
      </c>
      <c r="D61" s="648">
        <f>-PMT(DiscountRate,BookLife,E61)</f>
        <v>-23.866566530365386</v>
      </c>
      <c r="E61" s="649">
        <f>NPV(DiscountRate,F61:AS61)*(1)</f>
        <v>-307.21931831511455</v>
      </c>
      <c r="F61" s="1182">
        <f t="shared" ref="F61:AS61" si="47">IF(OwnerType="POU",-F$72,(FedTaxRate*((F$42-(F$66+F$67+F$31+F$96)))-F71))</f>
        <v>-653.34017410543083</v>
      </c>
      <c r="G61" s="1182">
        <f t="shared" si="47"/>
        <v>-88.588769314902322</v>
      </c>
      <c r="H61" s="1182">
        <f t="shared" si="47"/>
        <v>-29.894615350863166</v>
      </c>
      <c r="I61" s="1182">
        <f t="shared" si="47"/>
        <v>-6.4819490599919121</v>
      </c>
      <c r="J61" s="1182">
        <f t="shared" si="47"/>
        <v>-10.309964329712212</v>
      </c>
      <c r="K61" s="1182">
        <f t="shared" si="47"/>
        <v>57.620761658070272</v>
      </c>
      <c r="L61" s="1182">
        <f t="shared" si="47"/>
        <v>57.279438742645006</v>
      </c>
      <c r="M61" s="1182">
        <f t="shared" si="47"/>
        <v>56.993787661289097</v>
      </c>
      <c r="N61" s="1182">
        <f t="shared" si="47"/>
        <v>56.767100828818187</v>
      </c>
      <c r="O61" s="1182">
        <f t="shared" si="47"/>
        <v>56.602865350055062</v>
      </c>
      <c r="P61" s="1182">
        <f t="shared" si="47"/>
        <v>56.504774532017848</v>
      </c>
      <c r="Q61" s="1182">
        <f t="shared" si="47"/>
        <v>56.476740076826779</v>
      </c>
      <c r="R61" s="1182">
        <f t="shared" si="47"/>
        <v>56.522904995580596</v>
      </c>
      <c r="S61" s="1182">
        <f t="shared" si="47"/>
        <v>56.647657285833624</v>
      </c>
      <c r="T61" s="1182">
        <f t="shared" si="47"/>
        <v>56.855644417824948</v>
      </c>
      <c r="U61" s="1182">
        <f t="shared" si="47"/>
        <v>57.151788677281772</v>
      </c>
      <c r="V61" s="1182">
        <f t="shared" si="47"/>
        <v>57.541303415445853</v>
      </c>
      <c r="W61" s="1182">
        <f t="shared" si="47"/>
        <v>58.029710259967274</v>
      </c>
      <c r="X61" s="1182">
        <f t="shared" si="47"/>
        <v>58.622857343481719</v>
      </c>
      <c r="Y61" s="1182">
        <f t="shared" si="47"/>
        <v>59.32693861004708</v>
      </c>
      <c r="Z61" s="1182">
        <f t="shared" si="47"/>
        <v>22.446875610670144</v>
      </c>
      <c r="AA61" s="1182">
        <f t="shared" si="47"/>
        <v>21.163595876920088</v>
      </c>
      <c r="AB61" s="1182">
        <f t="shared" si="47"/>
        <v>19.880299239750215</v>
      </c>
      <c r="AC61" s="1182">
        <f t="shared" si="47"/>
        <v>18.59698540078227</v>
      </c>
      <c r="AD61" s="1182">
        <f t="shared" si="47"/>
        <v>17.31365405637105</v>
      </c>
      <c r="AE61" s="1182">
        <f t="shared" si="47"/>
        <v>16.030304897511396</v>
      </c>
      <c r="AF61" s="1182">
        <f t="shared" si="47"/>
        <v>14.746937609743632</v>
      </c>
      <c r="AG61" s="1182">
        <f t="shared" si="47"/>
        <v>13.46355187305725</v>
      </c>
      <c r="AH61" s="1182">
        <f t="shared" si="47"/>
        <v>12.180147361792923</v>
      </c>
      <c r="AI61" s="1182">
        <f t="shared" si="47"/>
        <v>10.896723744542813</v>
      </c>
      <c r="AJ61" s="1182">
        <f t="shared" si="47"/>
        <v>0</v>
      </c>
      <c r="AK61" s="1182">
        <f t="shared" si="47"/>
        <v>0</v>
      </c>
      <c r="AL61" s="1182">
        <f t="shared" si="47"/>
        <v>0</v>
      </c>
      <c r="AM61" s="1182">
        <f t="shared" si="47"/>
        <v>0</v>
      </c>
      <c r="AN61" s="1182">
        <f t="shared" si="47"/>
        <v>0</v>
      </c>
      <c r="AO61" s="1182">
        <f t="shared" si="47"/>
        <v>0</v>
      </c>
      <c r="AP61" s="1182">
        <f t="shared" si="47"/>
        <v>0</v>
      </c>
      <c r="AQ61" s="1182">
        <f t="shared" si="47"/>
        <v>0</v>
      </c>
      <c r="AR61" s="1182">
        <f t="shared" si="47"/>
        <v>0</v>
      </c>
      <c r="AS61" s="1182">
        <f t="shared" si="47"/>
        <v>0</v>
      </c>
    </row>
    <row r="62" spans="2:86" s="651" customFormat="1">
      <c r="B62" s="1013" t="s">
        <v>11</v>
      </c>
      <c r="C62" s="647"/>
      <c r="D62" s="648"/>
      <c r="E62" s="649"/>
      <c r="F62" s="1181">
        <f>IF(F$1,MIN(0,SUM($F61:F61)),0)</f>
        <v>-653.34017410543083</v>
      </c>
      <c r="G62" s="1181">
        <f>IF(G$1,MIN(0,SUM($F61:G61)),0)</f>
        <v>-741.9289434203331</v>
      </c>
      <c r="H62" s="1181">
        <f>IF(H$1,MIN(0,SUM($F61:H61)),0)</f>
        <v>-771.8235587711963</v>
      </c>
      <c r="I62" s="1181">
        <f>IF(I$1,MIN(0,SUM($F61:I61)),0)</f>
        <v>-778.30550783118827</v>
      </c>
      <c r="J62" s="1181">
        <f>IF(J$1,MIN(0,SUM($F61:J61)),0)</f>
        <v>-788.61547216090048</v>
      </c>
      <c r="K62" s="1181">
        <f>IF(K$1,MIN(0,SUM($F61:K61)),0)</f>
        <v>-730.99471050283023</v>
      </c>
      <c r="L62" s="1181">
        <f>IF(L$1,MIN(0,SUM($F61:L61)),0)</f>
        <v>-673.71527176018526</v>
      </c>
      <c r="M62" s="1181">
        <f>IF(M$1,MIN(0,SUM($F61:M61)),0)</f>
        <v>-616.72148409889621</v>
      </c>
      <c r="N62" s="1181">
        <f>IF(N$1,MIN(0,SUM($F61:N61)),0)</f>
        <v>-559.95438327007798</v>
      </c>
      <c r="O62" s="1181">
        <f>IF(O$1,MIN(0,SUM($F61:O61)),0)</f>
        <v>-503.3515179200229</v>
      </c>
      <c r="P62" s="1181">
        <f>IF(P$1,MIN(0,SUM($F61:P61)),0)</f>
        <v>-446.84674338800505</v>
      </c>
      <c r="Q62" s="1181">
        <f>IF(Q$1,MIN(0,SUM($F61:Q61)),0)</f>
        <v>-390.37000331117827</v>
      </c>
      <c r="R62" s="1181">
        <f>IF(R$1,MIN(0,SUM($F61:R61)),0)</f>
        <v>-333.84709831559769</v>
      </c>
      <c r="S62" s="1181">
        <f>IF(S$1,MIN(0,SUM($F61:S61)),0)</f>
        <v>-277.19944102976405</v>
      </c>
      <c r="T62" s="1181">
        <f>IF(T$1,MIN(0,SUM($F61:T61)),0)</f>
        <v>-220.3437966119391</v>
      </c>
      <c r="U62" s="1181">
        <f>IF(U$1,MIN(0,SUM($F61:U61)),0)</f>
        <v>-163.19200793465734</v>
      </c>
      <c r="V62" s="1181">
        <f>IF(V$1,MIN(0,SUM($F61:V61)),0)</f>
        <v>-105.65070451921149</v>
      </c>
      <c r="W62" s="1181">
        <f>IF(W$1,MIN(0,SUM($F61:W61)),0)</f>
        <v>-47.620994259244213</v>
      </c>
      <c r="X62" s="1181">
        <f>IF(X$1,MIN(0,SUM($F61:X61)),0)</f>
        <v>0</v>
      </c>
      <c r="Y62" s="1181">
        <f>IF(Y$1,MIN(0,SUM(F61:Y61)),0)</f>
        <v>0</v>
      </c>
      <c r="Z62" s="1181">
        <f t="shared" ref="Z62:AS62" si="48">IF(Z$1,MIN(0,SUM(G61:Z61)),0)</f>
        <v>0</v>
      </c>
      <c r="AA62" s="1181">
        <f t="shared" si="48"/>
        <v>0</v>
      </c>
      <c r="AB62" s="1181">
        <f t="shared" si="48"/>
        <v>0</v>
      </c>
      <c r="AC62" s="1181">
        <f t="shared" si="48"/>
        <v>0</v>
      </c>
      <c r="AD62" s="1181">
        <f t="shared" si="48"/>
        <v>0</v>
      </c>
      <c r="AE62" s="1181">
        <f t="shared" si="48"/>
        <v>0</v>
      </c>
      <c r="AF62" s="1181">
        <f t="shared" si="48"/>
        <v>0</v>
      </c>
      <c r="AG62" s="1181">
        <f t="shared" si="48"/>
        <v>0</v>
      </c>
      <c r="AH62" s="1181">
        <f t="shared" si="48"/>
        <v>0</v>
      </c>
      <c r="AI62" s="1181">
        <f t="shared" si="48"/>
        <v>0</v>
      </c>
      <c r="AJ62" s="1181">
        <f t="shared" si="48"/>
        <v>0</v>
      </c>
      <c r="AK62" s="1181">
        <f t="shared" si="48"/>
        <v>0</v>
      </c>
      <c r="AL62" s="1181">
        <f t="shared" si="48"/>
        <v>0</v>
      </c>
      <c r="AM62" s="1181">
        <f t="shared" si="48"/>
        <v>0</v>
      </c>
      <c r="AN62" s="1181">
        <f t="shared" si="48"/>
        <v>0</v>
      </c>
      <c r="AO62" s="1181">
        <f t="shared" si="48"/>
        <v>0</v>
      </c>
      <c r="AP62" s="1181">
        <f t="shared" si="48"/>
        <v>0</v>
      </c>
      <c r="AQ62" s="1181">
        <f t="shared" si="48"/>
        <v>0</v>
      </c>
      <c r="AR62" s="1181">
        <f t="shared" si="48"/>
        <v>0</v>
      </c>
      <c r="AS62" s="1181">
        <f t="shared" si="48"/>
        <v>0</v>
      </c>
    </row>
    <row r="63" spans="2:86" s="165" customFormat="1">
      <c r="B63" s="533" t="s">
        <v>977</v>
      </c>
      <c r="C63" s="533" t="s">
        <v>980</v>
      </c>
      <c r="D63" s="294">
        <f>-PMT(DiscountRate,BookLife,E63)</f>
        <v>-23.866566530365386</v>
      </c>
      <c r="E63" s="145">
        <f t="shared" si="40"/>
        <v>-307.21931831511455</v>
      </c>
      <c r="F63" s="2442">
        <f>IF(AND(F$1,TaxLossTreatment=TaxMinZero),IF(F62&gt;0,F61,IF(F61+E62&gt;0,F61+E62,0)),F61)</f>
        <v>-653.34017410543083</v>
      </c>
      <c r="G63" s="1792">
        <f t="shared" ref="G63:AS63" si="49">IF(AND(G$1,TaxLossTreatment=TaxMinZero),IF(G62&gt;0,G61,IF(G61+F62&gt;0,G61+F62,0)),G61)</f>
        <v>-88.588769314902322</v>
      </c>
      <c r="H63" s="1792">
        <f t="shared" si="49"/>
        <v>-29.894615350863166</v>
      </c>
      <c r="I63" s="1792">
        <f t="shared" si="49"/>
        <v>-6.4819490599919121</v>
      </c>
      <c r="J63" s="1792">
        <f t="shared" si="49"/>
        <v>-10.309964329712212</v>
      </c>
      <c r="K63" s="1792">
        <f t="shared" si="49"/>
        <v>57.620761658070272</v>
      </c>
      <c r="L63" s="1792">
        <f t="shared" si="49"/>
        <v>57.279438742645006</v>
      </c>
      <c r="M63" s="1792">
        <f t="shared" si="49"/>
        <v>56.993787661289097</v>
      </c>
      <c r="N63" s="1792">
        <f t="shared" si="49"/>
        <v>56.767100828818187</v>
      </c>
      <c r="O63" s="1792">
        <f t="shared" si="49"/>
        <v>56.602865350055062</v>
      </c>
      <c r="P63" s="1792">
        <f t="shared" si="49"/>
        <v>56.504774532017848</v>
      </c>
      <c r="Q63" s="1792">
        <f t="shared" si="49"/>
        <v>56.476740076826779</v>
      </c>
      <c r="R63" s="1792">
        <f t="shared" si="49"/>
        <v>56.522904995580596</v>
      </c>
      <c r="S63" s="1792">
        <f t="shared" si="49"/>
        <v>56.647657285833624</v>
      </c>
      <c r="T63" s="1792">
        <f t="shared" si="49"/>
        <v>56.855644417824948</v>
      </c>
      <c r="U63" s="1792">
        <f t="shared" si="49"/>
        <v>57.151788677281772</v>
      </c>
      <c r="V63" s="1792">
        <f t="shared" si="49"/>
        <v>57.541303415445853</v>
      </c>
      <c r="W63" s="1792">
        <f t="shared" si="49"/>
        <v>58.029710259967274</v>
      </c>
      <c r="X63" s="1792">
        <f t="shared" si="49"/>
        <v>58.622857343481719</v>
      </c>
      <c r="Y63" s="1792">
        <f t="shared" si="49"/>
        <v>59.32693861004708</v>
      </c>
      <c r="Z63" s="1792">
        <f t="shared" si="49"/>
        <v>22.446875610670144</v>
      </c>
      <c r="AA63" s="1792">
        <f t="shared" si="49"/>
        <v>21.163595876920088</v>
      </c>
      <c r="AB63" s="1792">
        <f t="shared" si="49"/>
        <v>19.880299239750215</v>
      </c>
      <c r="AC63" s="1792">
        <f t="shared" si="49"/>
        <v>18.59698540078227</v>
      </c>
      <c r="AD63" s="1792">
        <f t="shared" si="49"/>
        <v>17.31365405637105</v>
      </c>
      <c r="AE63" s="1792">
        <f t="shared" si="49"/>
        <v>16.030304897511396</v>
      </c>
      <c r="AF63" s="1792">
        <f t="shared" si="49"/>
        <v>14.746937609743632</v>
      </c>
      <c r="AG63" s="1792">
        <f t="shared" si="49"/>
        <v>13.46355187305725</v>
      </c>
      <c r="AH63" s="1792">
        <f t="shared" si="49"/>
        <v>12.180147361792923</v>
      </c>
      <c r="AI63" s="1792">
        <f t="shared" si="49"/>
        <v>10.896723744542813</v>
      </c>
      <c r="AJ63" s="1792">
        <f t="shared" si="49"/>
        <v>0</v>
      </c>
      <c r="AK63" s="1792">
        <f t="shared" si="49"/>
        <v>0</v>
      </c>
      <c r="AL63" s="1792">
        <f t="shared" si="49"/>
        <v>0</v>
      </c>
      <c r="AM63" s="1792">
        <f t="shared" si="49"/>
        <v>0</v>
      </c>
      <c r="AN63" s="1792">
        <f t="shared" si="49"/>
        <v>0</v>
      </c>
      <c r="AO63" s="1792">
        <f t="shared" si="49"/>
        <v>0</v>
      </c>
      <c r="AP63" s="1792">
        <f t="shared" si="49"/>
        <v>0</v>
      </c>
      <c r="AQ63" s="1792">
        <f t="shared" si="49"/>
        <v>0</v>
      </c>
      <c r="AR63" s="1792">
        <f t="shared" si="49"/>
        <v>0</v>
      </c>
      <c r="AS63" s="1792">
        <f t="shared" si="49"/>
        <v>0</v>
      </c>
    </row>
    <row r="64" spans="2:86" s="705" customFormat="1">
      <c r="B64" s="706" t="s">
        <v>263</v>
      </c>
      <c r="C64" s="706"/>
      <c r="D64" s="706"/>
      <c r="E64" s="706"/>
      <c r="F64" s="707">
        <f t="shared" ref="F64:AS64" si="50">IF(F4-$F4&lt;BookLife,HLOOKUP(F$4,$F$150:$CH$151,2),0)</f>
        <v>0.09</v>
      </c>
      <c r="G64" s="707">
        <f t="shared" si="50"/>
        <v>0.09</v>
      </c>
      <c r="H64" s="707">
        <f t="shared" si="50"/>
        <v>0.09</v>
      </c>
      <c r="I64" s="707">
        <f t="shared" si="50"/>
        <v>0.09</v>
      </c>
      <c r="J64" s="707">
        <f t="shared" si="50"/>
        <v>0.09</v>
      </c>
      <c r="K64" s="707">
        <f t="shared" si="50"/>
        <v>0.09</v>
      </c>
      <c r="L64" s="707">
        <f t="shared" si="50"/>
        <v>0.09</v>
      </c>
      <c r="M64" s="707">
        <f t="shared" si="50"/>
        <v>0.09</v>
      </c>
      <c r="N64" s="707">
        <f t="shared" si="50"/>
        <v>0.09</v>
      </c>
      <c r="O64" s="707">
        <f t="shared" si="50"/>
        <v>0.09</v>
      </c>
      <c r="P64" s="707">
        <f t="shared" si="50"/>
        <v>0.09</v>
      </c>
      <c r="Q64" s="707">
        <f t="shared" si="50"/>
        <v>0.09</v>
      </c>
      <c r="R64" s="707">
        <f t="shared" si="50"/>
        <v>0.09</v>
      </c>
      <c r="S64" s="707">
        <f t="shared" si="50"/>
        <v>0.09</v>
      </c>
      <c r="T64" s="707">
        <f t="shared" si="50"/>
        <v>0.09</v>
      </c>
      <c r="U64" s="707">
        <f t="shared" si="50"/>
        <v>0.09</v>
      </c>
      <c r="V64" s="707">
        <f t="shared" si="50"/>
        <v>0.09</v>
      </c>
      <c r="W64" s="707">
        <f t="shared" si="50"/>
        <v>0.09</v>
      </c>
      <c r="X64" s="707">
        <f t="shared" si="50"/>
        <v>0.09</v>
      </c>
      <c r="Y64" s="707">
        <f t="shared" si="50"/>
        <v>0.09</v>
      </c>
      <c r="Z64" s="707">
        <f t="shared" si="50"/>
        <v>0.09</v>
      </c>
      <c r="AA64" s="707">
        <f t="shared" si="50"/>
        <v>0.09</v>
      </c>
      <c r="AB64" s="707">
        <f t="shared" si="50"/>
        <v>0.09</v>
      </c>
      <c r="AC64" s="707">
        <f t="shared" si="50"/>
        <v>0.09</v>
      </c>
      <c r="AD64" s="707">
        <f t="shared" si="50"/>
        <v>0.09</v>
      </c>
      <c r="AE64" s="707">
        <f t="shared" si="50"/>
        <v>0.09</v>
      </c>
      <c r="AF64" s="707">
        <f t="shared" si="50"/>
        <v>0.09</v>
      </c>
      <c r="AG64" s="707">
        <f t="shared" si="50"/>
        <v>0.09</v>
      </c>
      <c r="AH64" s="707">
        <f t="shared" si="50"/>
        <v>0.09</v>
      </c>
      <c r="AI64" s="707">
        <f t="shared" si="50"/>
        <v>0.09</v>
      </c>
      <c r="AJ64" s="707">
        <f t="shared" si="50"/>
        <v>0</v>
      </c>
      <c r="AK64" s="707">
        <f t="shared" si="50"/>
        <v>0</v>
      </c>
      <c r="AL64" s="707">
        <f t="shared" si="50"/>
        <v>0</v>
      </c>
      <c r="AM64" s="707">
        <f t="shared" si="50"/>
        <v>0</v>
      </c>
      <c r="AN64" s="707">
        <f t="shared" si="50"/>
        <v>0</v>
      </c>
      <c r="AO64" s="707">
        <f t="shared" si="50"/>
        <v>0</v>
      </c>
      <c r="AP64" s="707">
        <f t="shared" si="50"/>
        <v>0</v>
      </c>
      <c r="AQ64" s="707">
        <f t="shared" si="50"/>
        <v>0</v>
      </c>
      <c r="AR64" s="707">
        <f t="shared" si="50"/>
        <v>0</v>
      </c>
      <c r="AS64" s="707">
        <f t="shared" si="50"/>
        <v>0</v>
      </c>
      <c r="AT64" s="707"/>
      <c r="AU64" s="707"/>
      <c r="AV64" s="707"/>
      <c r="AW64" s="707"/>
      <c r="AX64" s="707"/>
      <c r="AY64" s="707"/>
      <c r="AZ64" s="707"/>
      <c r="BA64" s="707"/>
      <c r="BB64" s="707"/>
      <c r="BC64" s="707"/>
      <c r="BD64" s="707"/>
      <c r="BE64" s="707"/>
      <c r="BF64" s="707"/>
      <c r="BG64" s="707"/>
      <c r="BH64" s="707"/>
      <c r="BI64" s="707"/>
      <c r="BJ64" s="707"/>
      <c r="BK64" s="707"/>
      <c r="BL64" s="707"/>
      <c r="BM64" s="707"/>
      <c r="BN64" s="707"/>
      <c r="BO64" s="707"/>
      <c r="BP64" s="707"/>
      <c r="BQ64" s="707"/>
      <c r="BR64" s="707"/>
      <c r="BS64" s="707"/>
      <c r="BT64" s="707"/>
      <c r="BU64" s="707"/>
      <c r="BV64" s="707"/>
      <c r="BW64" s="707"/>
      <c r="BX64" s="707"/>
      <c r="BY64" s="707"/>
      <c r="BZ64" s="707"/>
      <c r="CA64" s="707"/>
      <c r="CB64" s="707"/>
      <c r="CC64" s="707"/>
      <c r="CD64" s="707"/>
      <c r="CE64" s="707"/>
      <c r="CF64" s="707"/>
      <c r="CG64" s="707"/>
      <c r="CH64" s="707"/>
    </row>
    <row r="65" spans="1:86" s="865" customFormat="1" ht="11.25">
      <c r="B65" s="862" t="s">
        <v>266</v>
      </c>
      <c r="C65" s="862"/>
      <c r="D65" s="862"/>
      <c r="E65" s="862"/>
      <c r="F65" s="863">
        <f>IF(F$1,IF('O&amp;M Costs'!$C$15=0,0.224*(F9+F22)*0.5*GrossMW*1000,W2_Wages*((1+HistInflationRate)*(1+LaborEscalation))^(StartYr-BaseYr)*((1+InflationRate)*(1+LaborEscalation))^(F$4-StartYr))*0.5,0)</f>
        <v>121365.00637252728</v>
      </c>
      <c r="G65" s="863">
        <f>IF(G$1,IF('O&amp;M Costs'!$C$15=0,0.224*(G9+G22)*0.5*GrossMW*1000,W2_Wages*((1+HistInflationRate)*(1+LaborEscalation))^(StartYr-BaseYr)*((1+InflationRate)*(1+LaborEscalation))^(G$4-StartYr))*0.5,0)</f>
        <v>123507.33493694852</v>
      </c>
      <c r="H65" s="863">
        <f>IF(H$1,IF('O&amp;M Costs'!$C$15=0,0.224*(H9+H22)*0.5*GrossMW*1000,W2_Wages*((1+HistInflationRate)*(1+LaborEscalation))^(StartYr-BaseYr)*((1+InflationRate)*(1+LaborEscalation))^(H$4-StartYr))*0.5,0)</f>
        <v>125687.47976995583</v>
      </c>
      <c r="I65" s="863">
        <f>IF(I$1,IF('O&amp;M Costs'!$C$15=0,0.224*(I9+I22)*0.5*GrossMW*1000,W2_Wages*((1+HistInflationRate)*(1+LaborEscalation))^(StartYr-BaseYr)*((1+InflationRate)*(1+LaborEscalation))^(I$4-StartYr))*0.5,0)</f>
        <v>127906.10840228827</v>
      </c>
      <c r="J65" s="863">
        <f>IF(J$1,IF('O&amp;M Costs'!$C$15=0,0.224*(J9+J22)*0.5*GrossMW*1000,W2_Wages*((1+HistInflationRate)*(1+LaborEscalation))^(StartYr-BaseYr)*((1+InflationRate)*(1+LaborEscalation))^(J$4-StartYr))*0.5,0)</f>
        <v>130163.90014790141</v>
      </c>
      <c r="K65" s="863">
        <f>IF(K$1,IF('O&amp;M Costs'!$C$15=0,0.224*(K9+K22)*0.5*GrossMW*1000,W2_Wages*((1+HistInflationRate)*(1+LaborEscalation))^(StartYr-BaseYr)*((1+InflationRate)*(1+LaborEscalation))^(K$4-StartYr))*0.5,0)</f>
        <v>132461.54631196446</v>
      </c>
      <c r="L65" s="863">
        <f>IF(L$1,IF('O&amp;M Costs'!$C$15=0,0.224*(L9+L22)*0.5*GrossMW*1000,W2_Wages*((1+HistInflationRate)*(1+LaborEscalation))^(StartYr-BaseYr)*((1+InflationRate)*(1+LaborEscalation))^(L$4-StartYr))*0.5,0)</f>
        <v>134799.75040252818</v>
      </c>
      <c r="M65" s="863">
        <f>IF(M$1,IF('O&amp;M Costs'!$C$15=0,0.224*(M9+M22)*0.5*GrossMW*1000,W2_Wages*((1+HistInflationRate)*(1+LaborEscalation))^(StartYr-BaseYr)*((1+InflationRate)*(1+LaborEscalation))^(M$4-StartYr))*0.5,0)</f>
        <v>137179.22834592953</v>
      </c>
      <c r="N65" s="863">
        <f>IF(N$1,IF('O&amp;M Costs'!$C$15=0,0.224*(N9+N22)*0.5*GrossMW*1000,W2_Wages*((1+HistInflationRate)*(1+LaborEscalation))^(StartYr-BaseYr)*((1+InflationRate)*(1+LaborEscalation))^(N$4-StartYr))*0.5,0)</f>
        <v>139600.70870599875</v>
      </c>
      <c r="O65" s="863">
        <f>IF(O$1,IF('O&amp;M Costs'!$C$15=0,0.224*(O9+O22)*0.5*GrossMW*1000,W2_Wages*((1+HistInflationRate)*(1+LaborEscalation))^(StartYr-BaseYr)*((1+InflationRate)*(1+LaborEscalation))^(O$4-StartYr))*0.5,0)</f>
        <v>142064.93290713558</v>
      </c>
      <c r="P65" s="863">
        <f>IF(P$1,IF('O&amp;M Costs'!$C$15=0,0.224*(P9+P22)*0.5*GrossMW*1000,W2_Wages*((1+HistInflationRate)*(1+LaborEscalation))^(StartYr-BaseYr)*((1+InflationRate)*(1+LaborEscalation))^(P$4-StartYr))*0.5,0)</f>
        <v>144572.65546132351</v>
      </c>
      <c r="Q65" s="863">
        <f>IF(Q$1,IF('O&amp;M Costs'!$C$15=0,0.224*(Q9+Q22)*0.5*GrossMW*1000,W2_Wages*((1+HistInflationRate)*(1+LaborEscalation))^(StartYr-BaseYr)*((1+InflationRate)*(1+LaborEscalation))^(Q$4-StartYr))*0.5,0)</f>
        <v>147124.64419915073</v>
      </c>
      <c r="R65" s="863">
        <f>IF(R$1,IF('O&amp;M Costs'!$C$15=0,0.224*(R9+R22)*0.5*GrossMW*1000,W2_Wages*((1+HistInflationRate)*(1+LaborEscalation))^(StartYr-BaseYr)*((1+InflationRate)*(1+LaborEscalation))^(R$4-StartYr))*0.5,0)</f>
        <v>149721.68050491001</v>
      </c>
      <c r="S65" s="863">
        <f>IF(S$1,IF('O&amp;M Costs'!$C$15=0,0.224*(S9+S22)*0.5*GrossMW*1000,W2_Wages*((1+HistInflationRate)*(1+LaborEscalation))^(StartYr-BaseYr)*((1+InflationRate)*(1+LaborEscalation))^(S$4-StartYr))*0.5,0)</f>
        <v>152364.55955584729</v>
      </c>
      <c r="T65" s="863">
        <f>IF(T$1,IF('O&amp;M Costs'!$C$15=0,0.224*(T9+T22)*0.5*GrossMW*1000,W2_Wages*((1+HistInflationRate)*(1+LaborEscalation))^(StartYr-BaseYr)*((1+InflationRate)*(1+LaborEscalation))^(T$4-StartYr))*0.5,0)</f>
        <v>155054.09056563469</v>
      </c>
      <c r="U65" s="863">
        <f>IF(U$1,IF('O&amp;M Costs'!$C$15=0,0.224*(U9+U22)*0.5*GrossMW*1000,W2_Wages*((1+HistInflationRate)*(1+LaborEscalation))^(StartYr-BaseYr)*((1+InflationRate)*(1+LaborEscalation))^(U$4-StartYr))*0.5,0)</f>
        <v>157791.09703214042</v>
      </c>
      <c r="V65" s="863">
        <f>IF(V$1,IF('O&amp;M Costs'!$C$15=0,0.224*(V9+V22)*0.5*GrossMW*1000,W2_Wages*((1+HistInflationRate)*(1+LaborEscalation))^(StartYr-BaseYr)*((1+InflationRate)*(1+LaborEscalation))^(V$4-StartYr))*0.5,0)</f>
        <v>160576.4169895729</v>
      </c>
      <c r="W65" s="863">
        <f>IF(W$1,IF('O&amp;M Costs'!$C$15=0,0.224*(W9+W22)*0.5*GrossMW*1000,W2_Wages*((1+HistInflationRate)*(1+LaborEscalation))^(StartYr-BaseYr)*((1+InflationRate)*(1+LaborEscalation))^(W$4-StartYr))*0.5,0)</f>
        <v>163410.90326507521</v>
      </c>
      <c r="X65" s="863">
        <f>IF(X$1,IF('O&amp;M Costs'!$C$15=0,0.224*(X9+X22)*0.5*GrossMW*1000,W2_Wages*((1+HistInflationRate)*(1+LaborEscalation))^(StartYr-BaseYr)*((1+InflationRate)*(1+LaborEscalation))^(X$4-StartYr))*0.5,0)</f>
        <v>166295.42373984933</v>
      </c>
      <c r="Y65" s="863">
        <f>IF(Y$1,IF('O&amp;M Costs'!$C$15=0,0.224*(Y9+Y22)*0.5*GrossMW*1000,W2_Wages*((1+HistInflationRate)*(1+LaborEscalation))^(StartYr-BaseYr)*((1+InflationRate)*(1+LaborEscalation))^(Y$4-StartYr))*0.5,0)</f>
        <v>169230.86161488952</v>
      </c>
      <c r="Z65" s="863">
        <f>IF(Z$1,IF('O&amp;M Costs'!$C$15=0,0.224*(Z9+Z22)*0.5*GrossMW*1000,W2_Wages*((1+HistInflationRate)*(1+LaborEscalation))^(StartYr-BaseYr)*((1+InflationRate)*(1+LaborEscalation))^(Z$4-StartYr))*0.5,0)</f>
        <v>172218.11568140663</v>
      </c>
      <c r="AA65" s="863">
        <f>IF(AA$1,IF('O&amp;M Costs'!$C$15=0,0.224*(AA9+AA22)*0.5*GrossMW*1000,W2_Wages*((1+HistInflationRate)*(1+LaborEscalation))^(StartYr-BaseYr)*((1+InflationRate)*(1+LaborEscalation))^(AA$4-StartYr))*0.5,0)</f>
        <v>175258.10059602527</v>
      </c>
      <c r="AB65" s="863">
        <f>IF(AB$1,IF('O&amp;M Costs'!$C$15=0,0.224*(AB9+AB22)*0.5*GrossMW*1000,W2_Wages*((1+HistInflationRate)*(1+LaborEscalation))^(StartYr-BaseYr)*((1+InflationRate)*(1+LaborEscalation))^(AB$4-StartYr))*0.5,0)</f>
        <v>178351.74716083994</v>
      </c>
      <c r="AC65" s="863">
        <f>IF(AC$1,IF('O&amp;M Costs'!$C$15=0,0.224*(AC9+AC22)*0.5*GrossMW*1000,W2_Wages*((1+HistInflationRate)*(1+LaborEscalation))^(StartYr-BaseYr)*((1+InflationRate)*(1+LaborEscalation))^(AC$4-StartYr))*0.5,0)</f>
        <v>181500.00260841346</v>
      </c>
      <c r="AD65" s="863">
        <f>IF(AD$1,IF('O&amp;M Costs'!$C$15=0,0.224*(AD9+AD22)*0.5*GrossMW*1000,W2_Wages*((1+HistInflationRate)*(1+LaborEscalation))^(StartYr-BaseYr)*((1+InflationRate)*(1+LaborEscalation))^(AD$4-StartYr))*0.5,0)</f>
        <v>184703.83089180698</v>
      </c>
      <c r="AE65" s="863">
        <f>IF(AE$1,IF('O&amp;M Costs'!$C$15=0,0.224*(AE9+AE22)*0.5*GrossMW*1000,W2_Wages*((1+HistInflationRate)*(1+LaborEscalation))^(StartYr-BaseYr)*((1+InflationRate)*(1+LaborEscalation))^(AE$4-StartYr))*0.5,0)</f>
        <v>187964.21297972914</v>
      </c>
      <c r="AF65" s="863">
        <f>IF(AF$1,IF('O&amp;M Costs'!$C$15=0,0.224*(AF9+AF22)*0.5*GrossMW*1000,W2_Wages*((1+HistInflationRate)*(1+LaborEscalation))^(StartYr-BaseYr)*((1+InflationRate)*(1+LaborEscalation))^(AF$4-StartYr))*0.5,0)</f>
        <v>191282.14715689563</v>
      </c>
      <c r="AG65" s="863">
        <f>IF(AG$1,IF('O&amp;M Costs'!$C$15=0,0.224*(AG9+AG22)*0.5*GrossMW*1000,W2_Wages*((1+HistInflationRate)*(1+LaborEscalation))^(StartYr-BaseYr)*((1+InflationRate)*(1+LaborEscalation))^(AG$4-StartYr))*0.5,0)</f>
        <v>194658.64932969</v>
      </c>
      <c r="AH65" s="863">
        <f>IF(AH$1,IF('O&amp;M Costs'!$C$15=0,0.224*(AH9+AH22)*0.5*GrossMW*1000,W2_Wages*((1+HistInflationRate)*(1+LaborEscalation))^(StartYr-BaseYr)*((1+InflationRate)*(1+LaborEscalation))^(AH$4-StartYr))*0.5,0)</f>
        <v>198094.75333722096</v>
      </c>
      <c r="AI65" s="863">
        <f>IF(AI$1,IF('O&amp;M Costs'!$C$15=0,0.224*(AI9+AI22)*0.5*GrossMW*1000,W2_Wages*((1+HistInflationRate)*(1+LaborEscalation))^(StartYr-BaseYr)*((1+InflationRate)*(1+LaborEscalation))^(AI$4-StartYr))*0.5,0)</f>
        <v>201591.51126786924</v>
      </c>
      <c r="AJ65" s="863">
        <f>IF(AJ$1,IF('O&amp;M Costs'!$C$15=0,0.224*(AJ9+AJ22)*0.5*GrossMW*1000,W2_Wages*((1+HistInflationRate)*(1+LaborEscalation))^(StartYr-BaseYr)*((1+InflationRate)*(1+LaborEscalation))^(AJ$4-StartYr))*0.5,0)</f>
        <v>0</v>
      </c>
      <c r="AK65" s="863">
        <f>IF(AK$1,IF('O&amp;M Costs'!$C$15=0,0.224*(AK9+AK22)*0.5*GrossMW*1000,W2_Wages*((1+HistInflationRate)*(1+LaborEscalation))^(StartYr-BaseYr)*((1+InflationRate)*(1+LaborEscalation))^(AK$4-StartYr))*0.5,0)</f>
        <v>0</v>
      </c>
      <c r="AL65" s="863">
        <f>IF(AL$1,IF('O&amp;M Costs'!$C$15=0,0.224*(AL9+AL22)*0.5*GrossMW*1000,W2_Wages*((1+HistInflationRate)*(1+LaborEscalation))^(StartYr-BaseYr)*((1+InflationRate)*(1+LaborEscalation))^(AL$4-StartYr))*0.5,0)</f>
        <v>0</v>
      </c>
      <c r="AM65" s="863">
        <f>IF(AM$1,IF('O&amp;M Costs'!$C$15=0,0.224*(AM9+AM22)*0.5*GrossMW*1000,W2_Wages*((1+HistInflationRate)*(1+LaborEscalation))^(StartYr-BaseYr)*((1+InflationRate)*(1+LaborEscalation))^(AM$4-StartYr))*0.5,0)</f>
        <v>0</v>
      </c>
      <c r="AN65" s="863">
        <f>IF(AN$1,IF('O&amp;M Costs'!$C$15=0,0.224*(AN9+AN22)*0.5*GrossMW*1000,W2_Wages*((1+HistInflationRate)*(1+LaborEscalation))^(StartYr-BaseYr)*((1+InflationRate)*(1+LaborEscalation))^(AN$4-StartYr))*0.5,0)</f>
        <v>0</v>
      </c>
      <c r="AO65" s="863">
        <f>IF(AO$1,IF('O&amp;M Costs'!$C$15=0,0.224*(AO9+AO22)*0.5*GrossMW*1000,W2_Wages*((1+HistInflationRate)*(1+LaborEscalation))^(StartYr-BaseYr)*((1+InflationRate)*(1+LaborEscalation))^(AO$4-StartYr))*0.5,0)</f>
        <v>0</v>
      </c>
      <c r="AP65" s="863">
        <f>IF(AP$1,IF('O&amp;M Costs'!$C$15=0,0.224*(AP9+AP22)*0.5*GrossMW*1000,W2_Wages*((1+HistInflationRate)*(1+LaborEscalation))^(StartYr-BaseYr)*((1+InflationRate)*(1+LaborEscalation))^(AP$4-StartYr))*0.5,0)</f>
        <v>0</v>
      </c>
      <c r="AQ65" s="863">
        <f>IF(AQ$1,IF('O&amp;M Costs'!$C$15=0,0.224*(AQ9+AQ22)*0.5*GrossMW*1000,W2_Wages*((1+HistInflationRate)*(1+LaborEscalation))^(StartYr-BaseYr)*((1+InflationRate)*(1+LaborEscalation))^(AQ$4-StartYr))*0.5,0)</f>
        <v>0</v>
      </c>
      <c r="AR65" s="863">
        <f>IF(AR$1,IF('O&amp;M Costs'!$C$15=0,0.224*(AR9+AR22)*0.5*GrossMW*1000,W2_Wages*((1+HistInflationRate)*(1+LaborEscalation))^(StartYr-BaseYr)*((1+InflationRate)*(1+LaborEscalation))^(AR$4-StartYr))*0.5,0)</f>
        <v>0</v>
      </c>
      <c r="AS65" s="863">
        <f>IF(AS$1,IF('O&amp;M Costs'!$C$15=0,0.224*(AS9+AS22)*0.5*GrossMW*1000,W2_Wages*((1+HistInflationRate)*(1+LaborEscalation))^(StartYr-BaseYr)*((1+InflationRate)*(1+LaborEscalation))^(AS$4-StartYr))*0.5,0)</f>
        <v>0</v>
      </c>
      <c r="AT65" s="864"/>
      <c r="AU65" s="864"/>
      <c r="AV65" s="864"/>
      <c r="AW65" s="864"/>
      <c r="AX65" s="864"/>
      <c r="AY65" s="864"/>
      <c r="AZ65" s="864"/>
      <c r="BA65" s="864"/>
      <c r="BB65" s="864"/>
      <c r="BC65" s="864"/>
      <c r="BD65" s="864"/>
      <c r="BE65" s="864"/>
      <c r="BF65" s="864"/>
      <c r="BG65" s="864"/>
      <c r="BH65" s="864"/>
      <c r="BI65" s="864"/>
      <c r="BJ65" s="864"/>
      <c r="BK65" s="864"/>
      <c r="BL65" s="864"/>
      <c r="BM65" s="864"/>
      <c r="BN65" s="864"/>
      <c r="BO65" s="864"/>
      <c r="BP65" s="864"/>
      <c r="BQ65" s="864"/>
      <c r="BR65" s="864"/>
      <c r="BS65" s="864"/>
      <c r="BT65" s="864"/>
      <c r="BU65" s="864"/>
      <c r="BV65" s="864"/>
      <c r="BW65" s="864"/>
      <c r="BX65" s="864"/>
      <c r="BY65" s="864"/>
      <c r="BZ65" s="864"/>
      <c r="CA65" s="864"/>
      <c r="CB65" s="864"/>
      <c r="CC65" s="864"/>
      <c r="CD65" s="864"/>
      <c r="CE65" s="864"/>
      <c r="CF65" s="864"/>
      <c r="CG65" s="864"/>
      <c r="CH65" s="864"/>
    </row>
    <row r="66" spans="1:86" s="651" customFormat="1">
      <c r="B66" s="1183" t="s">
        <v>262</v>
      </c>
      <c r="C66" s="647" t="s">
        <v>980</v>
      </c>
      <c r="D66" s="648">
        <f t="shared" ref="D66:D73" si="51">-PMT(DiscountRate,BookLife,E66)</f>
        <v>0.13131465288612837</v>
      </c>
      <c r="E66" s="649">
        <f t="shared" ref="E66:E73" si="52">NPV(DiscountRate,F66:AS66)*(1)</f>
        <v>1.6903310366463768</v>
      </c>
      <c r="F66" s="1184">
        <f t="shared" ref="F66:AS66" si="53">IF(OwnerType="POU",0,F64*F65/GrossMW/1000)</f>
        <v>0.10922850573527454</v>
      </c>
      <c r="G66" s="1184">
        <f t="shared" si="53"/>
        <v>0.11115660144325366</v>
      </c>
      <c r="H66" s="1184">
        <f t="shared" si="53"/>
        <v>0.11311873179296025</v>
      </c>
      <c r="I66" s="1184">
        <f t="shared" si="53"/>
        <v>0.11511549756205945</v>
      </c>
      <c r="J66" s="1184">
        <f t="shared" si="53"/>
        <v>0.11714751013311127</v>
      </c>
      <c r="K66" s="1184">
        <f t="shared" si="53"/>
        <v>0.119215391680768</v>
      </c>
      <c r="L66" s="1184">
        <f t="shared" si="53"/>
        <v>0.12131977536227537</v>
      </c>
      <c r="M66" s="1184">
        <f t="shared" si="53"/>
        <v>0.12346130551133658</v>
      </c>
      <c r="N66" s="1184">
        <f t="shared" si="53"/>
        <v>0.12564063783539886</v>
      </c>
      <c r="O66" s="1184">
        <f t="shared" si="53"/>
        <v>0.12785843961642201</v>
      </c>
      <c r="P66" s="1184">
        <f t="shared" si="53"/>
        <v>0.13011538991519114</v>
      </c>
      <c r="Q66" s="1184">
        <f t="shared" si="53"/>
        <v>0.13241217977923567</v>
      </c>
      <c r="R66" s="1184">
        <f t="shared" si="53"/>
        <v>0.13474951245441902</v>
      </c>
      <c r="S66" s="1184">
        <f t="shared" si="53"/>
        <v>0.13712810360026254</v>
      </c>
      <c r="T66" s="1184">
        <f t="shared" si="53"/>
        <v>0.13954868150907121</v>
      </c>
      <c r="U66" s="1184">
        <f t="shared" si="53"/>
        <v>0.14201198732892639</v>
      </c>
      <c r="V66" s="1184">
        <f t="shared" si="53"/>
        <v>0.14451877529061563</v>
      </c>
      <c r="W66" s="1184">
        <f t="shared" si="53"/>
        <v>0.14706981293856769</v>
      </c>
      <c r="X66" s="1184">
        <f t="shared" si="53"/>
        <v>0.14966588136586437</v>
      </c>
      <c r="Y66" s="1184">
        <f t="shared" si="53"/>
        <v>0.15230777545340057</v>
      </c>
      <c r="Z66" s="1184">
        <f t="shared" si="53"/>
        <v>0.15499630411326595</v>
      </c>
      <c r="AA66" s="1184">
        <f t="shared" si="53"/>
        <v>0.15773229053642274</v>
      </c>
      <c r="AB66" s="1184">
        <f t="shared" si="53"/>
        <v>0.16051657244475592</v>
      </c>
      <c r="AC66" s="1184">
        <f t="shared" si="53"/>
        <v>0.16335000234757208</v>
      </c>
      <c r="AD66" s="1184">
        <f t="shared" si="53"/>
        <v>0.16623344780262631</v>
      </c>
      <c r="AE66" s="1184">
        <f t="shared" si="53"/>
        <v>0.16916779168175619</v>
      </c>
      <c r="AF66" s="1184">
        <f t="shared" si="53"/>
        <v>0.17215393244120605</v>
      </c>
      <c r="AG66" s="1184">
        <f t="shared" si="53"/>
        <v>0.17519278439672101</v>
      </c>
      <c r="AH66" s="1184">
        <f t="shared" si="53"/>
        <v>0.17828527800349886</v>
      </c>
      <c r="AI66" s="1184">
        <f t="shared" si="53"/>
        <v>0.1814323601410823</v>
      </c>
      <c r="AJ66" s="1184">
        <f t="shared" si="53"/>
        <v>0</v>
      </c>
      <c r="AK66" s="1184">
        <f t="shared" si="53"/>
        <v>0</v>
      </c>
      <c r="AL66" s="1184">
        <f t="shared" si="53"/>
        <v>0</v>
      </c>
      <c r="AM66" s="1184">
        <f t="shared" si="53"/>
        <v>0</v>
      </c>
      <c r="AN66" s="1184">
        <f t="shared" si="53"/>
        <v>0</v>
      </c>
      <c r="AO66" s="1184">
        <f t="shared" si="53"/>
        <v>0</v>
      </c>
      <c r="AP66" s="1184">
        <f t="shared" si="53"/>
        <v>0</v>
      </c>
      <c r="AQ66" s="1184">
        <f t="shared" si="53"/>
        <v>0</v>
      </c>
      <c r="AR66" s="1184">
        <f t="shared" si="53"/>
        <v>0</v>
      </c>
      <c r="AS66" s="1184">
        <f t="shared" si="53"/>
        <v>0</v>
      </c>
    </row>
    <row r="67" spans="1:86" s="2091" customFormat="1" ht="13.5" customHeight="1">
      <c r="B67" s="2091" t="s">
        <v>67</v>
      </c>
      <c r="C67" s="2091" t="s">
        <v>980</v>
      </c>
      <c r="D67" s="2092">
        <f t="shared" si="51"/>
        <v>0</v>
      </c>
      <c r="E67" s="2092">
        <f t="shared" si="52"/>
        <v>0</v>
      </c>
      <c r="F67" s="2093">
        <f t="shared" ref="F67:AS67" si="54">IF(F$1,IF(AND(ApplyGeothermalDepletion="Y",EligibleGeothermalDepletion="Y"),MIN(GeothermalDepletionLimit*F$104,GeothermalDepletionPct*F36),0),0)</f>
        <v>0</v>
      </c>
      <c r="G67" s="2093">
        <f t="shared" si="54"/>
        <v>0</v>
      </c>
      <c r="H67" s="2093">
        <f t="shared" si="54"/>
        <v>0</v>
      </c>
      <c r="I67" s="2093">
        <f t="shared" si="54"/>
        <v>0</v>
      </c>
      <c r="J67" s="2093">
        <f t="shared" si="54"/>
        <v>0</v>
      </c>
      <c r="K67" s="2093">
        <f t="shared" si="54"/>
        <v>0</v>
      </c>
      <c r="L67" s="2093">
        <f t="shared" si="54"/>
        <v>0</v>
      </c>
      <c r="M67" s="2093">
        <f t="shared" si="54"/>
        <v>0</v>
      </c>
      <c r="N67" s="2093">
        <f t="shared" si="54"/>
        <v>0</v>
      </c>
      <c r="O67" s="2093">
        <f t="shared" si="54"/>
        <v>0</v>
      </c>
      <c r="P67" s="2093">
        <f t="shared" si="54"/>
        <v>0</v>
      </c>
      <c r="Q67" s="2093">
        <f t="shared" si="54"/>
        <v>0</v>
      </c>
      <c r="R67" s="2093">
        <f t="shared" si="54"/>
        <v>0</v>
      </c>
      <c r="S67" s="2093">
        <f t="shared" si="54"/>
        <v>0</v>
      </c>
      <c r="T67" s="2093">
        <f t="shared" si="54"/>
        <v>0</v>
      </c>
      <c r="U67" s="2093">
        <f t="shared" si="54"/>
        <v>0</v>
      </c>
      <c r="V67" s="2093">
        <f t="shared" si="54"/>
        <v>0</v>
      </c>
      <c r="W67" s="2093">
        <f t="shared" si="54"/>
        <v>0</v>
      </c>
      <c r="X67" s="2093">
        <f t="shared" si="54"/>
        <v>0</v>
      </c>
      <c r="Y67" s="2093">
        <f t="shared" si="54"/>
        <v>0</v>
      </c>
      <c r="Z67" s="2093">
        <f t="shared" si="54"/>
        <v>0</v>
      </c>
      <c r="AA67" s="2093">
        <f t="shared" si="54"/>
        <v>0</v>
      </c>
      <c r="AB67" s="2093">
        <f t="shared" si="54"/>
        <v>0</v>
      </c>
      <c r="AC67" s="2093">
        <f t="shared" si="54"/>
        <v>0</v>
      </c>
      <c r="AD67" s="2093">
        <f t="shared" si="54"/>
        <v>0</v>
      </c>
      <c r="AE67" s="2093">
        <f t="shared" si="54"/>
        <v>0</v>
      </c>
      <c r="AF67" s="2093">
        <f t="shared" si="54"/>
        <v>0</v>
      </c>
      <c r="AG67" s="2093">
        <f t="shared" si="54"/>
        <v>0</v>
      </c>
      <c r="AH67" s="2093">
        <f t="shared" si="54"/>
        <v>0</v>
      </c>
      <c r="AI67" s="2093">
        <f t="shared" si="54"/>
        <v>0</v>
      </c>
      <c r="AJ67" s="2093">
        <f t="shared" si="54"/>
        <v>0</v>
      </c>
      <c r="AK67" s="2093">
        <f t="shared" si="54"/>
        <v>0</v>
      </c>
      <c r="AL67" s="2093">
        <f t="shared" si="54"/>
        <v>0</v>
      </c>
      <c r="AM67" s="2093">
        <f t="shared" si="54"/>
        <v>0</v>
      </c>
      <c r="AN67" s="2093">
        <f t="shared" si="54"/>
        <v>0</v>
      </c>
      <c r="AO67" s="2093">
        <f t="shared" si="54"/>
        <v>0</v>
      </c>
      <c r="AP67" s="2093">
        <f t="shared" si="54"/>
        <v>0</v>
      </c>
      <c r="AQ67" s="2093">
        <f t="shared" si="54"/>
        <v>0</v>
      </c>
      <c r="AR67" s="2093">
        <f t="shared" si="54"/>
        <v>0</v>
      </c>
      <c r="AS67" s="2093">
        <f t="shared" si="54"/>
        <v>0</v>
      </c>
      <c r="AU67" s="2088">
        <f>E67*FedTaxRate</f>
        <v>0</v>
      </c>
      <c r="AV67" s="2088" t="s">
        <v>68</v>
      </c>
    </row>
    <row r="68" spans="1:86" s="2104" customFormat="1">
      <c r="B68" s="2099" t="s">
        <v>51</v>
      </c>
      <c r="C68" s="2100" t="s">
        <v>143</v>
      </c>
      <c r="D68" s="2101">
        <f t="shared" si="51"/>
        <v>33.992373521988377</v>
      </c>
      <c r="E68" s="2102">
        <f t="shared" si="52"/>
        <v>437.56247083346767</v>
      </c>
      <c r="F68" s="2482">
        <f t="shared" ref="F68:Y68" si="55">IF(F$1,IF(AND(ApplyBETC="Y",EligibleBETC="Y"),IF(F$2=1,BETCPct*(PctSubjectITC*InstalledCostPerkW-F59),0),0),0)</f>
        <v>466.61317708292182</v>
      </c>
      <c r="G68" s="2482">
        <f t="shared" si="55"/>
        <v>0</v>
      </c>
      <c r="H68" s="2482">
        <f t="shared" si="55"/>
        <v>0</v>
      </c>
      <c r="I68" s="2482">
        <f t="shared" si="55"/>
        <v>0</v>
      </c>
      <c r="J68" s="2482">
        <f t="shared" si="55"/>
        <v>0</v>
      </c>
      <c r="K68" s="2482">
        <f t="shared" si="55"/>
        <v>0</v>
      </c>
      <c r="L68" s="2482">
        <f t="shared" si="55"/>
        <v>0</v>
      </c>
      <c r="M68" s="2482">
        <f t="shared" si="55"/>
        <v>0</v>
      </c>
      <c r="N68" s="2482">
        <f t="shared" si="55"/>
        <v>0</v>
      </c>
      <c r="O68" s="2482">
        <f t="shared" si="55"/>
        <v>0</v>
      </c>
      <c r="P68" s="2482">
        <f t="shared" si="55"/>
        <v>0</v>
      </c>
      <c r="Q68" s="2482">
        <f t="shared" si="55"/>
        <v>0</v>
      </c>
      <c r="R68" s="2482">
        <f t="shared" si="55"/>
        <v>0</v>
      </c>
      <c r="S68" s="2482">
        <f t="shared" si="55"/>
        <v>0</v>
      </c>
      <c r="T68" s="2482">
        <f t="shared" si="55"/>
        <v>0</v>
      </c>
      <c r="U68" s="2482">
        <f t="shared" si="55"/>
        <v>0</v>
      </c>
      <c r="V68" s="2482">
        <f t="shared" si="55"/>
        <v>0</v>
      </c>
      <c r="W68" s="2482">
        <f t="shared" si="55"/>
        <v>0</v>
      </c>
      <c r="X68" s="2482">
        <f t="shared" si="55"/>
        <v>0</v>
      </c>
      <c r="Y68" s="2482">
        <f t="shared" si="55"/>
        <v>0</v>
      </c>
      <c r="Z68" s="2103">
        <f t="shared" ref="Z68:AS68" si="56">IF(Z$1,IF(AND(ApplyBETC="Y",EligibleBETC="Y"),IF(Z$2=1,BETCPct*(InstalledCostPerkW-Z59),0),0),0)</f>
        <v>0</v>
      </c>
      <c r="AA68" s="2103">
        <f t="shared" si="56"/>
        <v>0</v>
      </c>
      <c r="AB68" s="2103">
        <f t="shared" si="56"/>
        <v>0</v>
      </c>
      <c r="AC68" s="2103">
        <f t="shared" si="56"/>
        <v>0</v>
      </c>
      <c r="AD68" s="2103">
        <f t="shared" si="56"/>
        <v>0</v>
      </c>
      <c r="AE68" s="2103">
        <f t="shared" si="56"/>
        <v>0</v>
      </c>
      <c r="AF68" s="2103">
        <f t="shared" si="56"/>
        <v>0</v>
      </c>
      <c r="AG68" s="2103">
        <f t="shared" si="56"/>
        <v>0</v>
      </c>
      <c r="AH68" s="2103">
        <f t="shared" si="56"/>
        <v>0</v>
      </c>
      <c r="AI68" s="2103">
        <f t="shared" si="56"/>
        <v>0</v>
      </c>
      <c r="AJ68" s="2103">
        <f t="shared" si="56"/>
        <v>0</v>
      </c>
      <c r="AK68" s="2103">
        <f t="shared" si="56"/>
        <v>0</v>
      </c>
      <c r="AL68" s="2103">
        <f t="shared" si="56"/>
        <v>0</v>
      </c>
      <c r="AM68" s="2103">
        <f t="shared" si="56"/>
        <v>0</v>
      </c>
      <c r="AN68" s="2103">
        <f t="shared" si="56"/>
        <v>0</v>
      </c>
      <c r="AO68" s="2103">
        <f t="shared" si="56"/>
        <v>0</v>
      </c>
      <c r="AP68" s="2103">
        <f t="shared" si="56"/>
        <v>0</v>
      </c>
      <c r="AQ68" s="2103">
        <f t="shared" si="56"/>
        <v>0</v>
      </c>
      <c r="AR68" s="2103">
        <f t="shared" si="56"/>
        <v>0</v>
      </c>
      <c r="AS68" s="2103">
        <f t="shared" si="56"/>
        <v>0</v>
      </c>
      <c r="AU68" s="2242">
        <f>E68+E69*FedTaxRate</f>
        <v>404.53985597307303</v>
      </c>
      <c r="AV68" s="2105" t="s">
        <v>69</v>
      </c>
    </row>
    <row r="69" spans="1:86" s="2104" customFormat="1">
      <c r="B69" s="2099" t="s">
        <v>1513</v>
      </c>
      <c r="C69" s="2100" t="s">
        <v>980</v>
      </c>
      <c r="D69" s="2101">
        <f t="shared" si="51"/>
        <v>-7.3296770425824258</v>
      </c>
      <c r="E69" s="2102">
        <f t="shared" si="52"/>
        <v>-94.350328172556104</v>
      </c>
      <c r="F69" s="2103">
        <f>IF(F1,F95*InstalledCostPerkW*(-BETCDepreciation)*FedTaxRate,0)</f>
        <v>-43.550563194406038</v>
      </c>
      <c r="G69" s="2103">
        <f>IF(G1,G95*InstalledCostPerkW*(-BETCDepreciation)*FedTaxRate,0)</f>
        <v>-26.130337916643622</v>
      </c>
      <c r="H69" s="2103">
        <f>IF(H1,H95*InstalledCostPerkW*(-BETCDepreciation)*FedTaxRate,0)</f>
        <v>-15.678202749986172</v>
      </c>
      <c r="I69" s="2103">
        <f>IF(I1,I95*InstalledCostPerkW*(-BETCDepreciation)*FedTaxRate,0)</f>
        <v>-11.460019629156561</v>
      </c>
      <c r="J69" s="2103">
        <f>IF(J1,J95*InstalledCostPerkW*(-BETCDepreciation)*FedTaxRate,0)</f>
        <v>-12.057284495822712</v>
      </c>
      <c r="K69" s="2103">
        <f t="shared" ref="K69:AI69" si="57">IF(K1,K95*InstalledCostPerkW*(-BETCDepreciation),0)</f>
        <v>0</v>
      </c>
      <c r="L69" s="2103">
        <f t="shared" si="57"/>
        <v>0</v>
      </c>
      <c r="M69" s="2103">
        <f t="shared" si="57"/>
        <v>0</v>
      </c>
      <c r="N69" s="2103">
        <f t="shared" si="57"/>
        <v>0</v>
      </c>
      <c r="O69" s="2103">
        <f t="shared" si="57"/>
        <v>0</v>
      </c>
      <c r="P69" s="2103">
        <f t="shared" si="57"/>
        <v>0</v>
      </c>
      <c r="Q69" s="2103">
        <f t="shared" si="57"/>
        <v>0</v>
      </c>
      <c r="R69" s="2103">
        <f t="shared" si="57"/>
        <v>0</v>
      </c>
      <c r="S69" s="2103">
        <f t="shared" si="57"/>
        <v>0</v>
      </c>
      <c r="T69" s="2103">
        <f t="shared" si="57"/>
        <v>0</v>
      </c>
      <c r="U69" s="2103">
        <f t="shared" si="57"/>
        <v>0</v>
      </c>
      <c r="V69" s="2103">
        <f t="shared" si="57"/>
        <v>0</v>
      </c>
      <c r="W69" s="2103">
        <f t="shared" si="57"/>
        <v>0</v>
      </c>
      <c r="X69" s="2103">
        <f t="shared" si="57"/>
        <v>0</v>
      </c>
      <c r="Y69" s="2103">
        <f t="shared" si="57"/>
        <v>0</v>
      </c>
      <c r="Z69" s="2103">
        <f t="shared" si="57"/>
        <v>0</v>
      </c>
      <c r="AA69" s="2103">
        <f t="shared" si="57"/>
        <v>0</v>
      </c>
      <c r="AB69" s="2103">
        <f t="shared" si="57"/>
        <v>0</v>
      </c>
      <c r="AC69" s="2103">
        <f t="shared" si="57"/>
        <v>0</v>
      </c>
      <c r="AD69" s="2103">
        <f t="shared" si="57"/>
        <v>0</v>
      </c>
      <c r="AE69" s="2103">
        <f t="shared" si="57"/>
        <v>0</v>
      </c>
      <c r="AF69" s="2103">
        <f t="shared" si="57"/>
        <v>0</v>
      </c>
      <c r="AG69" s="2103">
        <f t="shared" si="57"/>
        <v>0</v>
      </c>
      <c r="AH69" s="2103">
        <f t="shared" si="57"/>
        <v>0</v>
      </c>
      <c r="AI69" s="2103">
        <f t="shared" si="57"/>
        <v>0</v>
      </c>
      <c r="AJ69" s="2103"/>
      <c r="AK69" s="2103"/>
      <c r="AL69" s="2103"/>
      <c r="AM69" s="2103"/>
      <c r="AN69" s="2103"/>
      <c r="AO69" s="2103"/>
      <c r="AP69" s="2103"/>
      <c r="AQ69" s="2103"/>
      <c r="AR69" s="2103"/>
      <c r="AS69" s="2103"/>
      <c r="AU69" s="2089"/>
      <c r="AV69" s="2105"/>
    </row>
    <row r="70" spans="1:86" s="2098" customFormat="1">
      <c r="B70" s="2094" t="s">
        <v>650</v>
      </c>
      <c r="C70" s="2094" t="s">
        <v>980</v>
      </c>
      <c r="D70" s="2095">
        <f t="shared" si="51"/>
        <v>29.797463591892917</v>
      </c>
      <c r="E70" s="2096">
        <f t="shared" si="52"/>
        <v>383.56403048480882</v>
      </c>
      <c r="F70" s="2097">
        <f t="shared" ref="F70:O70" si="58">IF(F$1,IF(AND(F$2&lt;=REPTCDuration,EligibleREPTC="Y",ApplyREPTC="Y"),REPTCStartYr*(1+InflationRate)^(F$4-StartYr)*F7*10^6/(GrossMW*1000),0),0)</f>
        <v>51.067061938605534</v>
      </c>
      <c r="G70" s="2097">
        <f t="shared" si="58"/>
        <v>51.709945242900133</v>
      </c>
      <c r="H70" s="2097">
        <f t="shared" si="58"/>
        <v>52.360921805887365</v>
      </c>
      <c r="I70" s="2097">
        <f t="shared" si="58"/>
        <v>53.020093513610625</v>
      </c>
      <c r="J70" s="2097">
        <f t="shared" si="58"/>
        <v>53.687563534756897</v>
      </c>
      <c r="K70" s="2097">
        <f t="shared" si="58"/>
        <v>54.363436336803858</v>
      </c>
      <c r="L70" s="2097">
        <f t="shared" si="58"/>
        <v>55.047817702370409</v>
      </c>
      <c r="M70" s="2097">
        <f t="shared" si="58"/>
        <v>55.74081474577293</v>
      </c>
      <c r="N70" s="2097">
        <f t="shared" si="58"/>
        <v>56.44253592979009</v>
      </c>
      <c r="O70" s="2097">
        <f t="shared" si="58"/>
        <v>57.153091082638603</v>
      </c>
      <c r="P70" s="2097">
        <f t="shared" ref="P70:AS70" si="59">IF(P$1,IF(AND(P$2&lt;=REPTCDuration,EligibleREPTC="Y",ApplyREPTC="Y"),REPTCStartYr*(1+InflationRate)^(P$4-StartYr)*AnnualNetGWh*10^6/(GrossMW*1000),0),0)</f>
        <v>0</v>
      </c>
      <c r="Q70" s="2097">
        <f t="shared" si="59"/>
        <v>0</v>
      </c>
      <c r="R70" s="2097">
        <f t="shared" si="59"/>
        <v>0</v>
      </c>
      <c r="S70" s="2097">
        <f t="shared" si="59"/>
        <v>0</v>
      </c>
      <c r="T70" s="2097">
        <f t="shared" si="59"/>
        <v>0</v>
      </c>
      <c r="U70" s="2097">
        <f t="shared" si="59"/>
        <v>0</v>
      </c>
      <c r="V70" s="2097">
        <f t="shared" si="59"/>
        <v>0</v>
      </c>
      <c r="W70" s="2097">
        <f t="shared" si="59"/>
        <v>0</v>
      </c>
      <c r="X70" s="2097">
        <f t="shared" si="59"/>
        <v>0</v>
      </c>
      <c r="Y70" s="2097">
        <f t="shared" si="59"/>
        <v>0</v>
      </c>
      <c r="Z70" s="2097">
        <f t="shared" si="59"/>
        <v>0</v>
      </c>
      <c r="AA70" s="2097">
        <f t="shared" si="59"/>
        <v>0</v>
      </c>
      <c r="AB70" s="2097">
        <f t="shared" si="59"/>
        <v>0</v>
      </c>
      <c r="AC70" s="2097">
        <f t="shared" si="59"/>
        <v>0</v>
      </c>
      <c r="AD70" s="2097">
        <f t="shared" si="59"/>
        <v>0</v>
      </c>
      <c r="AE70" s="2097">
        <f t="shared" si="59"/>
        <v>0</v>
      </c>
      <c r="AF70" s="2097">
        <f t="shared" si="59"/>
        <v>0</v>
      </c>
      <c r="AG70" s="2097">
        <f t="shared" si="59"/>
        <v>0</v>
      </c>
      <c r="AH70" s="2097">
        <f t="shared" si="59"/>
        <v>0</v>
      </c>
      <c r="AI70" s="2097">
        <f t="shared" si="59"/>
        <v>0</v>
      </c>
      <c r="AJ70" s="2097">
        <f t="shared" si="59"/>
        <v>0</v>
      </c>
      <c r="AK70" s="2097">
        <f t="shared" si="59"/>
        <v>0</v>
      </c>
      <c r="AL70" s="2097">
        <f t="shared" si="59"/>
        <v>0</v>
      </c>
      <c r="AM70" s="2097">
        <f t="shared" si="59"/>
        <v>0</v>
      </c>
      <c r="AN70" s="2097">
        <f t="shared" si="59"/>
        <v>0</v>
      </c>
      <c r="AO70" s="2097">
        <f t="shared" si="59"/>
        <v>0</v>
      </c>
      <c r="AP70" s="2097">
        <f t="shared" si="59"/>
        <v>0</v>
      </c>
      <c r="AQ70" s="2097">
        <f t="shared" si="59"/>
        <v>0</v>
      </c>
      <c r="AR70" s="2097">
        <f t="shared" si="59"/>
        <v>0</v>
      </c>
      <c r="AS70" s="2097">
        <f t="shared" si="59"/>
        <v>0</v>
      </c>
      <c r="AU70" s="2089">
        <f>E70</f>
        <v>383.56403048480882</v>
      </c>
      <c r="AV70" s="2105" t="s">
        <v>70</v>
      </c>
    </row>
    <row r="71" spans="1:86" s="1427" customFormat="1">
      <c r="B71" s="2481" t="str">
        <f>B90</f>
        <v>BEITC (Tax Credit)</v>
      </c>
      <c r="C71" s="647" t="s">
        <v>980</v>
      </c>
      <c r="D71" s="1428">
        <f t="shared" si="51"/>
        <v>33.992373521988377</v>
      </c>
      <c r="E71" s="1429">
        <f t="shared" si="52"/>
        <v>437.56247083346767</v>
      </c>
      <c r="F71" s="2443">
        <f>INDEX(F67:F70,MATCH($B71,$B67:$B70),1)</f>
        <v>466.61317708292182</v>
      </c>
      <c r="G71" s="1450">
        <f t="shared" ref="G71:AS71" si="60">INDEX(G67:G70,MATCH($B71,$B67:$B70),1)</f>
        <v>0</v>
      </c>
      <c r="H71" s="1450">
        <f t="shared" si="60"/>
        <v>0</v>
      </c>
      <c r="I71" s="1450">
        <f t="shared" si="60"/>
        <v>0</v>
      </c>
      <c r="J71" s="1450">
        <f t="shared" si="60"/>
        <v>0</v>
      </c>
      <c r="K71" s="1450">
        <f t="shared" si="60"/>
        <v>0</v>
      </c>
      <c r="L71" s="1450">
        <f t="shared" si="60"/>
        <v>0</v>
      </c>
      <c r="M71" s="1450">
        <f t="shared" si="60"/>
        <v>0</v>
      </c>
      <c r="N71" s="1450">
        <f t="shared" si="60"/>
        <v>0</v>
      </c>
      <c r="O71" s="1450">
        <f t="shared" si="60"/>
        <v>0</v>
      </c>
      <c r="P71" s="1450">
        <f t="shared" si="60"/>
        <v>0</v>
      </c>
      <c r="Q71" s="1450">
        <f t="shared" si="60"/>
        <v>0</v>
      </c>
      <c r="R71" s="1450">
        <f t="shared" si="60"/>
        <v>0</v>
      </c>
      <c r="S71" s="1450">
        <f t="shared" si="60"/>
        <v>0</v>
      </c>
      <c r="T71" s="1450">
        <f t="shared" si="60"/>
        <v>0</v>
      </c>
      <c r="U71" s="1450">
        <f t="shared" si="60"/>
        <v>0</v>
      </c>
      <c r="V71" s="1450">
        <f t="shared" si="60"/>
        <v>0</v>
      </c>
      <c r="W71" s="1450">
        <f t="shared" si="60"/>
        <v>0</v>
      </c>
      <c r="X71" s="1450">
        <f t="shared" si="60"/>
        <v>0</v>
      </c>
      <c r="Y71" s="1450">
        <f t="shared" si="60"/>
        <v>0</v>
      </c>
      <c r="Z71" s="1450">
        <f t="shared" si="60"/>
        <v>0</v>
      </c>
      <c r="AA71" s="1450">
        <f t="shared" si="60"/>
        <v>0</v>
      </c>
      <c r="AB71" s="1450">
        <f t="shared" si="60"/>
        <v>0</v>
      </c>
      <c r="AC71" s="1450">
        <f t="shared" si="60"/>
        <v>0</v>
      </c>
      <c r="AD71" s="1450">
        <f t="shared" si="60"/>
        <v>0</v>
      </c>
      <c r="AE71" s="1450">
        <f t="shared" si="60"/>
        <v>0</v>
      </c>
      <c r="AF71" s="1450">
        <f t="shared" si="60"/>
        <v>0</v>
      </c>
      <c r="AG71" s="1450">
        <f t="shared" si="60"/>
        <v>0</v>
      </c>
      <c r="AH71" s="1450">
        <f t="shared" si="60"/>
        <v>0</v>
      </c>
      <c r="AI71" s="1450">
        <f t="shared" si="60"/>
        <v>0</v>
      </c>
      <c r="AJ71" s="2090">
        <f t="shared" si="60"/>
        <v>0</v>
      </c>
      <c r="AK71" s="2090">
        <f t="shared" si="60"/>
        <v>0</v>
      </c>
      <c r="AL71" s="2090">
        <f t="shared" si="60"/>
        <v>0</v>
      </c>
      <c r="AM71" s="2090">
        <f t="shared" si="60"/>
        <v>0</v>
      </c>
      <c r="AN71" s="2090">
        <f t="shared" si="60"/>
        <v>0</v>
      </c>
      <c r="AO71" s="2090">
        <f t="shared" si="60"/>
        <v>0</v>
      </c>
      <c r="AP71" s="2090">
        <f t="shared" si="60"/>
        <v>0</v>
      </c>
      <c r="AQ71" s="2090">
        <f t="shared" si="60"/>
        <v>0</v>
      </c>
      <c r="AR71" s="2090">
        <f t="shared" si="60"/>
        <v>0</v>
      </c>
      <c r="AS71" s="2090">
        <f t="shared" si="60"/>
        <v>0</v>
      </c>
    </row>
    <row r="72" spans="1:86" s="267" customFormat="1">
      <c r="B72" s="1026" t="s">
        <v>130</v>
      </c>
      <c r="C72" s="980" t="s">
        <v>980</v>
      </c>
      <c r="D72" s="980">
        <f t="shared" si="51"/>
        <v>0</v>
      </c>
      <c r="E72" s="981">
        <f t="shared" si="52"/>
        <v>0</v>
      </c>
      <c r="F72" s="1185">
        <f>IF(F$1,IF(AND(F$2&lt;=REPIDuration,EligibleREPI="Y",REPITier&gt;=1),AnnualNetGWh*10^6*REPIStartYr/(GrossMW*1000)*(1+InflationRate)^(F$4-StartYr),0),0)</f>
        <v>0</v>
      </c>
      <c r="G72" s="1185">
        <f t="shared" ref="G72:AS72" si="61">IF(G$1,IF(AND(G$2&lt;=REPIDuration,EligibleREPI="Y",REPITier&gt;=1),AnnualNetGWh*10^6*REPIStartYr/(GrossMW*1000)*(1+InflationRate)^(G$4-StartYr),0),0)</f>
        <v>0</v>
      </c>
      <c r="H72" s="1185">
        <f t="shared" si="61"/>
        <v>0</v>
      </c>
      <c r="I72" s="1185">
        <f t="shared" si="61"/>
        <v>0</v>
      </c>
      <c r="J72" s="1185">
        <f t="shared" si="61"/>
        <v>0</v>
      </c>
      <c r="K72" s="1185">
        <f t="shared" si="61"/>
        <v>0</v>
      </c>
      <c r="L72" s="1185">
        <f t="shared" si="61"/>
        <v>0</v>
      </c>
      <c r="M72" s="1185">
        <f t="shared" si="61"/>
        <v>0</v>
      </c>
      <c r="N72" s="1185">
        <f t="shared" si="61"/>
        <v>0</v>
      </c>
      <c r="O72" s="1185">
        <f t="shared" si="61"/>
        <v>0</v>
      </c>
      <c r="P72" s="1185">
        <f t="shared" si="61"/>
        <v>0</v>
      </c>
      <c r="Q72" s="1185">
        <f t="shared" si="61"/>
        <v>0</v>
      </c>
      <c r="R72" s="1185">
        <f t="shared" si="61"/>
        <v>0</v>
      </c>
      <c r="S72" s="1185">
        <f t="shared" si="61"/>
        <v>0</v>
      </c>
      <c r="T72" s="1185">
        <f t="shared" si="61"/>
        <v>0</v>
      </c>
      <c r="U72" s="1185">
        <f t="shared" si="61"/>
        <v>0</v>
      </c>
      <c r="V72" s="1185">
        <f t="shared" si="61"/>
        <v>0</v>
      </c>
      <c r="W72" s="1185">
        <f t="shared" si="61"/>
        <v>0</v>
      </c>
      <c r="X72" s="1185">
        <f t="shared" si="61"/>
        <v>0</v>
      </c>
      <c r="Y72" s="1185">
        <f t="shared" si="61"/>
        <v>0</v>
      </c>
      <c r="Z72" s="1185">
        <f t="shared" si="61"/>
        <v>0</v>
      </c>
      <c r="AA72" s="1185">
        <f t="shared" si="61"/>
        <v>0</v>
      </c>
      <c r="AB72" s="1185">
        <f t="shared" si="61"/>
        <v>0</v>
      </c>
      <c r="AC72" s="1185">
        <f t="shared" si="61"/>
        <v>0</v>
      </c>
      <c r="AD72" s="1185">
        <f t="shared" si="61"/>
        <v>0</v>
      </c>
      <c r="AE72" s="1185">
        <f t="shared" si="61"/>
        <v>0</v>
      </c>
      <c r="AF72" s="1185">
        <f t="shared" si="61"/>
        <v>0</v>
      </c>
      <c r="AG72" s="1185">
        <f t="shared" si="61"/>
        <v>0</v>
      </c>
      <c r="AH72" s="1185">
        <f t="shared" si="61"/>
        <v>0</v>
      </c>
      <c r="AI72" s="1185">
        <f t="shared" si="61"/>
        <v>0</v>
      </c>
      <c r="AJ72" s="1185">
        <f t="shared" si="61"/>
        <v>0</v>
      </c>
      <c r="AK72" s="1185">
        <f t="shared" si="61"/>
        <v>0</v>
      </c>
      <c r="AL72" s="1185">
        <f t="shared" si="61"/>
        <v>0</v>
      </c>
      <c r="AM72" s="1185">
        <f t="shared" si="61"/>
        <v>0</v>
      </c>
      <c r="AN72" s="1185">
        <f t="shared" si="61"/>
        <v>0</v>
      </c>
      <c r="AO72" s="1185">
        <f t="shared" si="61"/>
        <v>0</v>
      </c>
      <c r="AP72" s="1185">
        <f t="shared" si="61"/>
        <v>0</v>
      </c>
      <c r="AQ72" s="1185">
        <f t="shared" si="61"/>
        <v>0</v>
      </c>
      <c r="AR72" s="1185">
        <f t="shared" si="61"/>
        <v>0</v>
      </c>
      <c r="AS72" s="1185">
        <f t="shared" si="61"/>
        <v>0</v>
      </c>
    </row>
    <row r="73" spans="1:86" s="140" customFormat="1" ht="13.5" thickBot="1">
      <c r="B73" s="106" t="s">
        <v>1138</v>
      </c>
      <c r="C73" s="1187" t="s">
        <v>980</v>
      </c>
      <c r="D73" s="637">
        <f t="shared" si="51"/>
        <v>-19.133400420179491</v>
      </c>
      <c r="E73" s="1188">
        <f t="shared" si="52"/>
        <v>-246.29224428486228</v>
      </c>
      <c r="F73" s="1437">
        <f>F56+F63</f>
        <v>-710.10043244591373</v>
      </c>
      <c r="G73" s="1437">
        <f t="shared" ref="G73:Y73" si="62">G56+G63</f>
        <v>-90.240498933060749</v>
      </c>
      <c r="H73" s="1437">
        <f t="shared" si="62"/>
        <v>-25.524942060660756</v>
      </c>
      <c r="I73" s="1437">
        <f t="shared" si="62"/>
        <v>0.4761777776626861</v>
      </c>
      <c r="J73" s="1437">
        <f t="shared" si="62"/>
        <v>-3.4146783478211482</v>
      </c>
      <c r="K73" s="1437">
        <f t="shared" si="62"/>
        <v>71.404021891330899</v>
      </c>
      <c r="L73" s="1437">
        <f t="shared" si="62"/>
        <v>71.324263551307382</v>
      </c>
      <c r="M73" s="1437">
        <f t="shared" si="62"/>
        <v>71.301552548278607</v>
      </c>
      <c r="N73" s="1437">
        <f t="shared" si="62"/>
        <v>71.341385412189013</v>
      </c>
      <c r="O73" s="1437">
        <f t="shared" si="62"/>
        <v>71.449477556773488</v>
      </c>
      <c r="P73" s="1437">
        <f t="shared" si="62"/>
        <v>71.631781529163689</v>
      </c>
      <c r="Q73" s="1437">
        <f t="shared" si="62"/>
        <v>71.593483897127797</v>
      </c>
      <c r="R73" s="1437">
        <f t="shared" si="62"/>
        <v>71.657142824773516</v>
      </c>
      <c r="S73" s="1437">
        <f t="shared" si="62"/>
        <v>71.828787649123115</v>
      </c>
      <c r="T73" s="1437">
        <f t="shared" si="62"/>
        <v>72.114804233293782</v>
      </c>
      <c r="U73" s="1437">
        <f t="shared" si="62"/>
        <v>72.521956048087048</v>
      </c>
      <c r="V73" s="1437">
        <f t="shared" si="62"/>
        <v>73.05740650013577</v>
      </c>
      <c r="W73" s="1437">
        <f t="shared" si="62"/>
        <v>73.72874258031824</v>
      </c>
      <c r="X73" s="1437">
        <f t="shared" si="62"/>
        <v>74.543999910506528</v>
      </c>
      <c r="Y73" s="1437">
        <f t="shared" si="62"/>
        <v>75.511689271333083</v>
      </c>
      <c r="Z73" s="1437">
        <f t="shared" ref="Z73:AS73" si="63">Z56+Z63</f>
        <v>24.837407205733783</v>
      </c>
      <c r="AA73" s="1437">
        <f t="shared" si="63"/>
        <v>23.074399671551834</v>
      </c>
      <c r="AB73" s="1437">
        <f t="shared" si="63"/>
        <v>21.311373594785621</v>
      </c>
      <c r="AC73" s="1437">
        <f t="shared" si="63"/>
        <v>19.548328648122443</v>
      </c>
      <c r="AD73" s="1437">
        <f t="shared" si="63"/>
        <v>17.785264498471907</v>
      </c>
      <c r="AE73" s="1437">
        <f t="shared" si="63"/>
        <v>16.022180806863894</v>
      </c>
      <c r="AF73" s="1437">
        <f t="shared" si="63"/>
        <v>14.259077228344839</v>
      </c>
      <c r="AG73" s="1437">
        <f t="shared" si="63"/>
        <v>12.495953411872055</v>
      </c>
      <c r="AH73" s="1437">
        <f t="shared" si="63"/>
        <v>10.732809000206263</v>
      </c>
      <c r="AI73" s="1437">
        <f t="shared" si="63"/>
        <v>8.9696436298022277</v>
      </c>
      <c r="AJ73" s="1437">
        <f t="shared" si="63"/>
        <v>0</v>
      </c>
      <c r="AK73" s="1437">
        <f t="shared" si="63"/>
        <v>0</v>
      </c>
      <c r="AL73" s="1437">
        <f t="shared" si="63"/>
        <v>0</v>
      </c>
      <c r="AM73" s="1437">
        <f t="shared" si="63"/>
        <v>0</v>
      </c>
      <c r="AN73" s="1437">
        <f t="shared" si="63"/>
        <v>0</v>
      </c>
      <c r="AO73" s="1437">
        <f t="shared" si="63"/>
        <v>0</v>
      </c>
      <c r="AP73" s="1437">
        <f t="shared" si="63"/>
        <v>0</v>
      </c>
      <c r="AQ73" s="1437">
        <f t="shared" si="63"/>
        <v>0</v>
      </c>
      <c r="AR73" s="1437">
        <f t="shared" si="63"/>
        <v>0</v>
      </c>
      <c r="AS73" s="1437">
        <f t="shared" si="63"/>
        <v>0</v>
      </c>
    </row>
    <row r="74" spans="1:86" s="44" customFormat="1">
      <c r="A74" s="121"/>
      <c r="B74" s="2453" t="s">
        <v>1631</v>
      </c>
      <c r="C74" s="2454">
        <f>+D53+D60-D72</f>
        <v>4.7331661101858797</v>
      </c>
      <c r="D74" s="2455">
        <f>-PMT(DiscountRate,BookLife,E74)</f>
        <v>-26.151303609048462</v>
      </c>
      <c r="E74" s="2456">
        <f>NPV(DiscountRate,F74:AS74)*(1)</f>
        <v>-336.62930349036947</v>
      </c>
      <c r="F74" s="2457">
        <f>F80+F77</f>
        <v>-394.71741322794441</v>
      </c>
      <c r="G74" s="2457">
        <f t="shared" ref="G74:Y74" si="64">G80+G77</f>
        <v>-229.83616252221242</v>
      </c>
      <c r="H74" s="2457">
        <f t="shared" si="64"/>
        <v>-131.54991451600466</v>
      </c>
      <c r="I74" s="2457">
        <f t="shared" si="64"/>
        <v>-92.831912283105851</v>
      </c>
      <c r="J74" s="2457">
        <f t="shared" si="64"/>
        <v>-100.11034623548471</v>
      </c>
      <c r="K74" s="2457">
        <f t="shared" si="64"/>
        <v>13.692863561970405</v>
      </c>
      <c r="L74" s="2457">
        <f t="shared" si="64"/>
        <v>12.256497421688014</v>
      </c>
      <c r="M74" s="2457">
        <f t="shared" si="64"/>
        <v>10.89552246706595</v>
      </c>
      <c r="N74" s="2457">
        <f t="shared" si="64"/>
        <v>9.6171969359617062</v>
      </c>
      <c r="O74" s="2457">
        <f t="shared" si="64"/>
        <v>8.4291106446336688</v>
      </c>
      <c r="P74" s="2457">
        <f t="shared" si="64"/>
        <v>105.00787611553126</v>
      </c>
      <c r="Q74" s="2457">
        <f t="shared" si="64"/>
        <v>104.95301916375853</v>
      </c>
      <c r="R74" s="2457">
        <f t="shared" si="64"/>
        <v>105.04394666662927</v>
      </c>
      <c r="S74" s="2457">
        <f t="shared" si="64"/>
        <v>105.28927985225161</v>
      </c>
      <c r="T74" s="2457">
        <f t="shared" si="64"/>
        <v>105.69814973948532</v>
      </c>
      <c r="U74" s="2457">
        <f t="shared" si="64"/>
        <v>106.28022728217861</v>
      </c>
      <c r="V74" s="2457">
        <f t="shared" si="64"/>
        <v>107.0457552958391</v>
      </c>
      <c r="W74" s="2457">
        <f t="shared" si="64"/>
        <v>108.00558227213405</v>
      </c>
      <c r="X74" s="2457">
        <f t="shared" si="64"/>
        <v>109.17119819284797</v>
      </c>
      <c r="Y74" s="2457">
        <f t="shared" si="64"/>
        <v>110.55477246152526</v>
      </c>
      <c r="Z74" s="2457">
        <f t="shared" ref="Z74:AS74" si="65">Z80+Z77</f>
        <v>38.096269837344394</v>
      </c>
      <c r="AA74" s="2457">
        <f t="shared" si="65"/>
        <v>35.575257937528868</v>
      </c>
      <c r="AB74" s="2457">
        <f t="shared" si="65"/>
        <v>33.054217510660621</v>
      </c>
      <c r="AC74" s="2457">
        <f t="shared" si="65"/>
        <v>30.533148053181669</v>
      </c>
      <c r="AD74" s="2457">
        <f t="shared" si="65"/>
        <v>28.012049052645242</v>
      </c>
      <c r="AE74" s="2457">
        <f t="shared" si="65"/>
        <v>25.490919987558851</v>
      </c>
      <c r="AF74" s="2457">
        <f t="shared" si="65"/>
        <v>22.969760327224694</v>
      </c>
      <c r="AG74" s="2457">
        <f t="shared" si="65"/>
        <v>20.448569531577114</v>
      </c>
      <c r="AH74" s="2457">
        <f t="shared" si="65"/>
        <v>17.927347051017215</v>
      </c>
      <c r="AI74" s="2457">
        <f t="shared" si="65"/>
        <v>15.406092326244638</v>
      </c>
      <c r="AJ74" s="2457">
        <f t="shared" si="65"/>
        <v>0</v>
      </c>
      <c r="AK74" s="2457">
        <f t="shared" si="65"/>
        <v>0</v>
      </c>
      <c r="AL74" s="2457">
        <f t="shared" si="65"/>
        <v>0</v>
      </c>
      <c r="AM74" s="2457">
        <f t="shared" si="65"/>
        <v>0</v>
      </c>
      <c r="AN74" s="2457">
        <f t="shared" si="65"/>
        <v>0</v>
      </c>
      <c r="AO74" s="2457">
        <f t="shared" si="65"/>
        <v>0</v>
      </c>
      <c r="AP74" s="2457">
        <f t="shared" si="65"/>
        <v>0</v>
      </c>
      <c r="AQ74" s="2457">
        <f t="shared" si="65"/>
        <v>0</v>
      </c>
      <c r="AR74" s="2457">
        <f t="shared" si="65"/>
        <v>0</v>
      </c>
      <c r="AS74" s="2457">
        <f t="shared" si="65"/>
        <v>0</v>
      </c>
    </row>
    <row r="75" spans="1:86" s="2334" customFormat="1">
      <c r="A75" s="12"/>
      <c r="B75" s="2478" t="s">
        <v>9</v>
      </c>
      <c r="D75" s="630"/>
      <c r="F75" s="630">
        <f>IF(OwnerType="POU",-F$72,(FedTaxRate*((F$42-(F$66+F$67+F$31+F$96)))-F70)/(1-FedTaxRate))</f>
        <v>-365.83701378632998</v>
      </c>
      <c r="G75" s="630">
        <f t="shared" ref="G75:Y75" si="66">IF(OwnerType="POU",-G$72,(FedTaxRate*((G$42-(G$66+G$67+G$31+G$96)))-G70)/(1-FedTaxRate))</f>
        <v>-215.84417624277299</v>
      </c>
      <c r="H75" s="630">
        <f t="shared" si="66"/>
        <v>-126.54698024115467</v>
      </c>
      <c r="I75" s="630">
        <f t="shared" si="66"/>
        <v>-91.54160395938851</v>
      </c>
      <c r="J75" s="630">
        <f t="shared" si="66"/>
        <v>-98.457735176106311</v>
      </c>
      <c r="K75" s="630">
        <f t="shared" si="66"/>
        <v>5.0112697250252527</v>
      </c>
      <c r="L75" s="630">
        <f t="shared" si="66"/>
        <v>3.4332631388839947</v>
      </c>
      <c r="M75" s="630">
        <f t="shared" si="66"/>
        <v>1.9276506392556423</v>
      </c>
      <c r="N75" s="630">
        <f t="shared" si="66"/>
        <v>0.49933061388937988</v>
      </c>
      <c r="O75" s="630">
        <f t="shared" si="66"/>
        <v>-0.84650112705160241</v>
      </c>
      <c r="P75" s="630">
        <f t="shared" si="66"/>
        <v>86.93042235695053</v>
      </c>
      <c r="Q75" s="630">
        <f t="shared" si="66"/>
        <v>86.887292425887352</v>
      </c>
      <c r="R75" s="630">
        <f t="shared" si="66"/>
        <v>86.958315377816305</v>
      </c>
      <c r="S75" s="630">
        <f t="shared" si="66"/>
        <v>87.150241978205571</v>
      </c>
      <c r="T75" s="630">
        <f t="shared" si="66"/>
        <v>87.47022218126915</v>
      </c>
      <c r="U75" s="630">
        <f t="shared" si="66"/>
        <v>87.925828734279648</v>
      </c>
      <c r="V75" s="630">
        <f t="shared" si="66"/>
        <v>88.525082177609008</v>
      </c>
      <c r="W75" s="630">
        <f t="shared" si="66"/>
        <v>89.276477323026569</v>
      </c>
      <c r="X75" s="630">
        <f t="shared" si="66"/>
        <v>90.18901129766418</v>
      </c>
      <c r="Y75" s="630">
        <f t="shared" si="66"/>
        <v>91.272213246226272</v>
      </c>
      <c r="Z75" s="630">
        <f t="shared" ref="Z75:AS75" si="67">IF(OwnerType="POU",-Z$72,(FedTaxRate*((Z$42-(Z$66+Z$67+Z$31+Z$96)))-Z70)/(1-FedTaxRate))</f>
        <v>34.533654785646377</v>
      </c>
      <c r="AA75" s="630">
        <f t="shared" si="67"/>
        <v>32.559378272184752</v>
      </c>
      <c r="AB75" s="630">
        <f t="shared" si="67"/>
        <v>30.585075753461869</v>
      </c>
      <c r="AC75" s="630">
        <f t="shared" si="67"/>
        <v>28.610746770434261</v>
      </c>
      <c r="AD75" s="630">
        <f t="shared" si="67"/>
        <v>26.636390855955462</v>
      </c>
      <c r="AE75" s="630">
        <f t="shared" si="67"/>
        <v>24.662007534632917</v>
      </c>
      <c r="AF75" s="630">
        <f t="shared" si="67"/>
        <v>22.687596322682509</v>
      </c>
      <c r="AG75" s="630">
        <f t="shared" si="67"/>
        <v>20.713156727780383</v>
      </c>
      <c r="AH75" s="630">
        <f t="shared" si="67"/>
        <v>18.738688248912187</v>
      </c>
      <c r="AI75" s="630">
        <f t="shared" si="67"/>
        <v>16.764190376219712</v>
      </c>
      <c r="AJ75" s="630">
        <f t="shared" si="67"/>
        <v>0</v>
      </c>
      <c r="AK75" s="630">
        <f t="shared" si="67"/>
        <v>0</v>
      </c>
      <c r="AL75" s="630">
        <f t="shared" si="67"/>
        <v>0</v>
      </c>
      <c r="AM75" s="630">
        <f t="shared" si="67"/>
        <v>0</v>
      </c>
      <c r="AN75" s="630">
        <f t="shared" si="67"/>
        <v>0</v>
      </c>
      <c r="AO75" s="630">
        <f t="shared" si="67"/>
        <v>0</v>
      </c>
      <c r="AP75" s="630">
        <f t="shared" si="67"/>
        <v>0</v>
      </c>
      <c r="AQ75" s="630">
        <f t="shared" si="67"/>
        <v>0</v>
      </c>
      <c r="AR75" s="630">
        <f t="shared" si="67"/>
        <v>0</v>
      </c>
      <c r="AS75" s="630">
        <f t="shared" si="67"/>
        <v>0</v>
      </c>
    </row>
    <row r="76" spans="1:86" s="2334" customFormat="1">
      <c r="A76" s="12"/>
      <c r="B76" s="2479" t="s">
        <v>1632</v>
      </c>
      <c r="D76" s="630"/>
      <c r="F76" s="630">
        <f>IF(F$1,MIN(0,SUM($F75:F75)),0)</f>
        <v>-365.83701378632998</v>
      </c>
      <c r="G76" s="630">
        <f>IF(G$1,MIN(0,SUM($F75:G75)),0)</f>
        <v>-581.68119002910294</v>
      </c>
      <c r="H76" s="630">
        <f>IF(H$1,MIN(0,SUM($F75:H75)),0)</f>
        <v>-708.22817027025758</v>
      </c>
      <c r="I76" s="630">
        <f>IF(I$1,MIN(0,SUM($F75:I75)),0)</f>
        <v>-799.76977422964615</v>
      </c>
      <c r="J76" s="630">
        <f>IF(J$1,MIN(0,SUM($F75:J75)),0)</f>
        <v>-898.22750940575247</v>
      </c>
      <c r="K76" s="630">
        <f>IF(K$1,MIN(0,SUM($F75:K75)),0)</f>
        <v>-893.2162396807272</v>
      </c>
      <c r="L76" s="630">
        <f>IF(L$1,MIN(0,SUM($F75:L75)),0)</f>
        <v>-889.78297654184325</v>
      </c>
      <c r="M76" s="630">
        <f>IF(M$1,MIN(0,SUM($F75:M75)),0)</f>
        <v>-887.85532590258765</v>
      </c>
      <c r="N76" s="630">
        <f>IF(N$1,MIN(0,SUM($F75:N75)),0)</f>
        <v>-887.3559952886983</v>
      </c>
      <c r="O76" s="630">
        <f>IF(O$1,MIN(0,SUM($F75:O75)),0)</f>
        <v>-888.20249641574992</v>
      </c>
      <c r="P76" s="630">
        <f>IF(P$1,MIN(0,SUM($F75:P75)),0)</f>
        <v>-801.27207405879938</v>
      </c>
      <c r="Q76" s="630">
        <f>IF(Q$1,MIN(0,SUM($F75:Q75)),0)</f>
        <v>-714.384781632912</v>
      </c>
      <c r="R76" s="630">
        <f>IF(R$1,MIN(0,SUM($F75:R75)),0)</f>
        <v>-627.42646625509565</v>
      </c>
      <c r="S76" s="630">
        <f>IF(S$1,MIN(0,SUM($F75:S75)),0)</f>
        <v>-540.27622427689005</v>
      </c>
      <c r="T76" s="630">
        <f>IF(T$1,MIN(0,SUM($F75:T75)),0)</f>
        <v>-452.8060020956209</v>
      </c>
      <c r="U76" s="630">
        <f>IF(U$1,MIN(0,SUM($F75:U75)),0)</f>
        <v>-364.88017336134124</v>
      </c>
      <c r="V76" s="630">
        <f>IF(V$1,MIN(0,SUM($F75:V75)),0)</f>
        <v>-276.35509118373221</v>
      </c>
      <c r="W76" s="630">
        <f>IF(W$1,MIN(0,SUM($F75:W75)),0)</f>
        <v>-187.07861386070564</v>
      </c>
      <c r="X76" s="630">
        <f>IF(X$1,MIN(0,SUM($F75:X75)),0)</f>
        <v>-96.889602563041464</v>
      </c>
      <c r="Y76" s="630">
        <f>IF(Y$1,MIN(0,SUM($F75:Y75)),0)</f>
        <v>-5.617389316815192</v>
      </c>
      <c r="Z76" s="630">
        <f>IF(Z$1,MIN(0,SUM($F75:Z75)),0)</f>
        <v>0</v>
      </c>
      <c r="AA76" s="630">
        <f>IF(AA$1,MIN(0,SUM($F75:AA75)),0)</f>
        <v>0</v>
      </c>
      <c r="AB76" s="630">
        <f>IF(AB$1,MIN(0,SUM($F75:AB75)),0)</f>
        <v>0</v>
      </c>
      <c r="AC76" s="630">
        <f>IF(AC$1,MIN(0,SUM($F75:AC75)),0)</f>
        <v>0</v>
      </c>
      <c r="AD76" s="630">
        <f>IF(AD$1,MIN(0,SUM($F75:AD75)),0)</f>
        <v>0</v>
      </c>
      <c r="AE76" s="630">
        <f>IF(AE$1,MIN(0,SUM($F75:AE75)),0)</f>
        <v>0</v>
      </c>
      <c r="AF76" s="630">
        <f>IF(AF$1,MIN(0,SUM($F75:AF75)),0)</f>
        <v>0</v>
      </c>
      <c r="AG76" s="630">
        <f>IF(AG$1,MIN(0,SUM($F75:AG75)),0)</f>
        <v>0</v>
      </c>
      <c r="AH76" s="630">
        <f>IF(AH$1,MIN(0,SUM($F75:AH75)),0)</f>
        <v>0</v>
      </c>
      <c r="AI76" s="630">
        <f>IF(AI$1,MIN(0,SUM($F75:AI75)),0)</f>
        <v>0</v>
      </c>
      <c r="AJ76" s="630">
        <f>IF(AJ$1,MIN(0,SUM($F75:AJ75)),0)</f>
        <v>0</v>
      </c>
      <c r="AK76" s="630">
        <f>IF(AK$1,MIN(0,SUM($F75:AK75)),0)</f>
        <v>0</v>
      </c>
      <c r="AL76" s="630">
        <f>IF(AL$1,MIN(0,SUM($F75:AL75)),0)</f>
        <v>0</v>
      </c>
      <c r="AM76" s="630">
        <f>IF(AM$1,MIN(0,SUM($F75:AM75)),0)</f>
        <v>0</v>
      </c>
      <c r="AN76" s="630">
        <f>IF(AN$1,MIN(0,SUM($F75:AN75)),0)</f>
        <v>0</v>
      </c>
      <c r="AO76" s="630">
        <f>IF(AO$1,MIN(0,SUM($F75:AO75)),0)</f>
        <v>0</v>
      </c>
      <c r="AP76" s="630">
        <f>IF(AP$1,MIN(0,SUM($F75:AP75)),0)</f>
        <v>0</v>
      </c>
      <c r="AQ76" s="630">
        <f>IF(AQ$1,MIN(0,SUM($F75:AQ75)),0)</f>
        <v>0</v>
      </c>
      <c r="AR76" s="630">
        <f>IF(AR$1,MIN(0,SUM($F75:AR75)),0)</f>
        <v>0</v>
      </c>
      <c r="AS76" s="630">
        <f>IF(AS$1,MIN(0,SUM($F75:AS75)),0)</f>
        <v>0</v>
      </c>
    </row>
    <row r="77" spans="1:86" s="2334" customFormat="1">
      <c r="B77" s="2479" t="s">
        <v>977</v>
      </c>
      <c r="D77" s="630"/>
      <c r="F77" s="630">
        <f>IF(AND(F$1,TaxLossTreatment=TaxMinZero),IF(F76&gt;0,F75,IF(F75+E76&gt;0,F75+E76,0)),F75)</f>
        <v>-365.83701378632998</v>
      </c>
      <c r="G77" s="630">
        <f t="shared" ref="G77:Y77" si="68">IF(AND(G$1,TaxLossTreatment=TaxMinZero),IF(G76&gt;0,G75,IF(G75+F76&gt;0,G75+F76,0)),G75)</f>
        <v>-215.84417624277299</v>
      </c>
      <c r="H77" s="630">
        <f t="shared" si="68"/>
        <v>-126.54698024115467</v>
      </c>
      <c r="I77" s="630">
        <f t="shared" si="68"/>
        <v>-91.54160395938851</v>
      </c>
      <c r="J77" s="630">
        <f t="shared" si="68"/>
        <v>-98.457735176106311</v>
      </c>
      <c r="K77" s="630">
        <f t="shared" si="68"/>
        <v>5.0112697250252527</v>
      </c>
      <c r="L77" s="630">
        <f t="shared" si="68"/>
        <v>3.4332631388839947</v>
      </c>
      <c r="M77" s="630">
        <f t="shared" si="68"/>
        <v>1.9276506392556423</v>
      </c>
      <c r="N77" s="630">
        <f t="shared" si="68"/>
        <v>0.49933061388937988</v>
      </c>
      <c r="O77" s="630">
        <f t="shared" si="68"/>
        <v>-0.84650112705160241</v>
      </c>
      <c r="P77" s="630">
        <f t="shared" si="68"/>
        <v>86.93042235695053</v>
      </c>
      <c r="Q77" s="630">
        <f t="shared" si="68"/>
        <v>86.887292425887352</v>
      </c>
      <c r="R77" s="630">
        <f t="shared" si="68"/>
        <v>86.958315377816305</v>
      </c>
      <c r="S77" s="630">
        <f t="shared" si="68"/>
        <v>87.150241978205571</v>
      </c>
      <c r="T77" s="630">
        <f t="shared" si="68"/>
        <v>87.47022218126915</v>
      </c>
      <c r="U77" s="630">
        <f t="shared" si="68"/>
        <v>87.925828734279648</v>
      </c>
      <c r="V77" s="630">
        <f t="shared" si="68"/>
        <v>88.525082177609008</v>
      </c>
      <c r="W77" s="630">
        <f t="shared" si="68"/>
        <v>89.276477323026569</v>
      </c>
      <c r="X77" s="630">
        <f t="shared" si="68"/>
        <v>90.18901129766418</v>
      </c>
      <c r="Y77" s="630">
        <f t="shared" si="68"/>
        <v>91.272213246226272</v>
      </c>
      <c r="Z77" s="630">
        <f t="shared" ref="Z77:AS77" si="69">IF(AND(Z$1,TaxLossTreatment=TaxMinZero),IF(Z76&gt;0,Z75,IF(Z75+Y76&gt;0,Z75+Y76,0)),Z75)</f>
        <v>34.533654785646377</v>
      </c>
      <c r="AA77" s="630">
        <f t="shared" si="69"/>
        <v>32.559378272184752</v>
      </c>
      <c r="AB77" s="630">
        <f t="shared" si="69"/>
        <v>30.585075753461869</v>
      </c>
      <c r="AC77" s="630">
        <f t="shared" si="69"/>
        <v>28.610746770434261</v>
      </c>
      <c r="AD77" s="630">
        <f t="shared" si="69"/>
        <v>26.636390855955462</v>
      </c>
      <c r="AE77" s="630">
        <f t="shared" si="69"/>
        <v>24.662007534632917</v>
      </c>
      <c r="AF77" s="630">
        <f t="shared" si="69"/>
        <v>22.687596322682509</v>
      </c>
      <c r="AG77" s="630">
        <f t="shared" si="69"/>
        <v>20.713156727780383</v>
      </c>
      <c r="AH77" s="630">
        <f t="shared" si="69"/>
        <v>18.738688248912187</v>
      </c>
      <c r="AI77" s="630">
        <f t="shared" si="69"/>
        <v>16.764190376219712</v>
      </c>
      <c r="AJ77" s="630">
        <f t="shared" si="69"/>
        <v>0</v>
      </c>
      <c r="AK77" s="630">
        <f t="shared" si="69"/>
        <v>0</v>
      </c>
      <c r="AL77" s="630">
        <f t="shared" si="69"/>
        <v>0</v>
      </c>
      <c r="AM77" s="630">
        <f t="shared" si="69"/>
        <v>0</v>
      </c>
      <c r="AN77" s="630">
        <f t="shared" si="69"/>
        <v>0</v>
      </c>
      <c r="AO77" s="630">
        <f t="shared" si="69"/>
        <v>0</v>
      </c>
      <c r="AP77" s="630">
        <f t="shared" si="69"/>
        <v>0</v>
      </c>
      <c r="AQ77" s="630">
        <f t="shared" si="69"/>
        <v>0</v>
      </c>
      <c r="AR77" s="630">
        <f t="shared" si="69"/>
        <v>0</v>
      </c>
      <c r="AS77" s="630">
        <f t="shared" si="69"/>
        <v>0</v>
      </c>
    </row>
    <row r="78" spans="1:86" s="2334" customFormat="1">
      <c r="B78" s="2478" t="s">
        <v>10</v>
      </c>
      <c r="D78" s="648">
        <f>-PMT(DiscountRate,BookLife,E78)</f>
        <v>4.1127834682898676</v>
      </c>
      <c r="E78" s="2477">
        <f>NPV(DiscountRate,F78:AS78)*(1)</f>
        <v>52.941277996485304</v>
      </c>
      <c r="F78" s="630">
        <f t="shared" ref="F78:AS78" si="70">IF(OwnerType="POU",-MAX(F$58,F$59),(StateTaxRate*(F$42-(F$31+F$98)+(F$75))-MAX(F$58,F$59))/(1-StateTaxRate))</f>
        <v>-28.880399441614447</v>
      </c>
      <c r="G78" s="630">
        <f t="shared" si="70"/>
        <v>-13.991986279439432</v>
      </c>
      <c r="H78" s="630">
        <f t="shared" si="70"/>
        <v>-5.0029342748499932</v>
      </c>
      <c r="I78" s="630">
        <f t="shared" si="70"/>
        <v>-1.2903083237173425</v>
      </c>
      <c r="J78" s="630">
        <f t="shared" si="70"/>
        <v>-1.6526110593783949</v>
      </c>
      <c r="K78" s="630">
        <f t="shared" si="70"/>
        <v>8.6815938369451526</v>
      </c>
      <c r="L78" s="630">
        <f t="shared" si="70"/>
        <v>8.8232342828040196</v>
      </c>
      <c r="M78" s="630">
        <f t="shared" si="70"/>
        <v>8.967871827810308</v>
      </c>
      <c r="N78" s="630">
        <f t="shared" si="70"/>
        <v>9.1178663220723255</v>
      </c>
      <c r="O78" s="630">
        <f t="shared" si="70"/>
        <v>9.2756117716852717</v>
      </c>
      <c r="P78" s="630">
        <f t="shared" si="70"/>
        <v>18.077453758580734</v>
      </c>
      <c r="Q78" s="630">
        <f t="shared" si="70"/>
        <v>18.065726737871177</v>
      </c>
      <c r="R78" s="630">
        <f t="shared" si="70"/>
        <v>18.085631288812969</v>
      </c>
      <c r="S78" s="630">
        <f t="shared" si="70"/>
        <v>18.139037874046043</v>
      </c>
      <c r="T78" s="630">
        <f t="shared" si="70"/>
        <v>18.227927558216162</v>
      </c>
      <c r="U78" s="630">
        <f t="shared" si="70"/>
        <v>18.354398547898967</v>
      </c>
      <c r="V78" s="630">
        <f t="shared" si="70"/>
        <v>18.520673118230093</v>
      </c>
      <c r="W78" s="630">
        <f t="shared" si="70"/>
        <v>18.72910494910748</v>
      </c>
      <c r="X78" s="630">
        <f t="shared" si="70"/>
        <v>18.982186895183787</v>
      </c>
      <c r="Y78" s="630">
        <f t="shared" si="70"/>
        <v>19.282559215298992</v>
      </c>
      <c r="Z78" s="630">
        <f t="shared" si="70"/>
        <v>3.5626150516980171</v>
      </c>
      <c r="AA78" s="630">
        <f t="shared" si="70"/>
        <v>3.0158796653441167</v>
      </c>
      <c r="AB78" s="630">
        <f t="shared" si="70"/>
        <v>2.4691417571987553</v>
      </c>
      <c r="AC78" s="630">
        <f t="shared" si="70"/>
        <v>1.9224012827474071</v>
      </c>
      <c r="AD78" s="630">
        <f t="shared" si="70"/>
        <v>1.3756581966897792</v>
      </c>
      <c r="AE78" s="630">
        <f t="shared" si="70"/>
        <v>0.82891245292593341</v>
      </c>
      <c r="AF78" s="630">
        <f t="shared" si="70"/>
        <v>0.28216400454218582</v>
      </c>
      <c r="AG78" s="630">
        <f t="shared" si="70"/>
        <v>-0.26458719620326782</v>
      </c>
      <c r="AH78" s="630">
        <f t="shared" si="70"/>
        <v>-0.81134119789497117</v>
      </c>
      <c r="AI78" s="630">
        <f t="shared" si="70"/>
        <v>-1.3580980499750754</v>
      </c>
      <c r="AJ78" s="630">
        <f t="shared" si="70"/>
        <v>0</v>
      </c>
      <c r="AK78" s="630">
        <f t="shared" si="70"/>
        <v>0</v>
      </c>
      <c r="AL78" s="630">
        <f t="shared" si="70"/>
        <v>0</v>
      </c>
      <c r="AM78" s="630">
        <f t="shared" si="70"/>
        <v>0</v>
      </c>
      <c r="AN78" s="630">
        <f t="shared" si="70"/>
        <v>0</v>
      </c>
      <c r="AO78" s="630">
        <f t="shared" si="70"/>
        <v>0</v>
      </c>
      <c r="AP78" s="630">
        <f t="shared" si="70"/>
        <v>0</v>
      </c>
      <c r="AQ78" s="630">
        <f t="shared" si="70"/>
        <v>0</v>
      </c>
      <c r="AR78" s="630">
        <f t="shared" si="70"/>
        <v>0</v>
      </c>
      <c r="AS78" s="630">
        <f t="shared" si="70"/>
        <v>0</v>
      </c>
    </row>
    <row r="79" spans="1:86" s="2334" customFormat="1">
      <c r="B79" s="2479" t="s">
        <v>1632</v>
      </c>
      <c r="D79" s="648"/>
      <c r="E79" s="2477"/>
      <c r="F79" s="630">
        <f>IF(F$1,MIN(0,SUM($F78:F78)),0)</f>
        <v>-28.880399441614447</v>
      </c>
      <c r="G79" s="630">
        <f>IF(G$1,MIN(0,SUM($F78:G78)),0)</f>
        <v>-42.872385721053881</v>
      </c>
      <c r="H79" s="630">
        <f>IF(H$1,MIN(0,SUM($F78:H78)),0)</f>
        <v>-47.875319995903872</v>
      </c>
      <c r="I79" s="630">
        <f>IF(I$1,MIN(0,SUM($F78:I78)),0)</f>
        <v>-49.165628319621213</v>
      </c>
      <c r="J79" s="630">
        <f>IF(J$1,MIN(0,SUM($F78:J78)),0)</f>
        <v>-50.818239378999607</v>
      </c>
      <c r="K79" s="630">
        <f>IF(K$1,MIN(0,SUM($F78:K78)),0)</f>
        <v>-42.136645542054453</v>
      </c>
      <c r="L79" s="630">
        <f>IF(L$1,MIN(0,SUM($F78:L78)),0)</f>
        <v>-33.313411259250429</v>
      </c>
      <c r="M79" s="630">
        <f>IF(M$1,MIN(0,SUM($F78:M78)),0)</f>
        <v>-24.345539431440123</v>
      </c>
      <c r="N79" s="630">
        <f>IF(N$1,MIN(0,SUM($F78:N78)),0)</f>
        <v>-15.227673109367798</v>
      </c>
      <c r="O79" s="630">
        <f>IF(O$1,MIN(0,SUM($F78:O78)),0)</f>
        <v>-5.952061337682526</v>
      </c>
      <c r="P79" s="630">
        <f>IF(P$1,MIN(0,SUM($F78:P78)),0)</f>
        <v>0</v>
      </c>
      <c r="Q79" s="630">
        <f>IF(Q$1,MIN(0,SUM($F78:Q78)),0)</f>
        <v>0</v>
      </c>
      <c r="R79" s="630">
        <f>IF(R$1,MIN(0,SUM($F78:R78)),0)</f>
        <v>0</v>
      </c>
      <c r="S79" s="630">
        <f>IF(S$1,MIN(0,SUM($F78:S78)),0)</f>
        <v>0</v>
      </c>
      <c r="T79" s="630">
        <f>IF(T$1,MIN(0,SUM($F78:T78)),0)</f>
        <v>0</v>
      </c>
      <c r="U79" s="630">
        <f>IF(U$1,MIN(0,SUM($F78:U78)),0)</f>
        <v>0</v>
      </c>
      <c r="V79" s="630">
        <f>IF(V$1,MIN(0,SUM($F78:V78)),0)</f>
        <v>0</v>
      </c>
      <c r="W79" s="630">
        <f>IF(W$1,MIN(0,SUM($F78:W78)),0)</f>
        <v>0</v>
      </c>
      <c r="X79" s="630">
        <f>IF(X$1,MIN(0,SUM($F78:X78)),0)</f>
        <v>0</v>
      </c>
      <c r="Y79" s="630">
        <f>IF(Y$1,MIN(0,SUM($F78:Y78)),0)</f>
        <v>0</v>
      </c>
      <c r="Z79" s="630">
        <f>IF(Z$1,MIN(0,SUM($F78:Z78)),0)</f>
        <v>0</v>
      </c>
      <c r="AA79" s="630">
        <f>IF(AA$1,MIN(0,SUM($F78:AA78)),0)</f>
        <v>0</v>
      </c>
      <c r="AB79" s="630">
        <f>IF(AB$1,MIN(0,SUM($F78:AB78)),0)</f>
        <v>0</v>
      </c>
      <c r="AC79" s="630">
        <f>IF(AC$1,MIN(0,SUM($F78:AC78)),0)</f>
        <v>0</v>
      </c>
      <c r="AD79" s="630">
        <f>IF(AD$1,MIN(0,SUM($F78:AD78)),0)</f>
        <v>0</v>
      </c>
      <c r="AE79" s="630">
        <f>IF(AE$1,MIN(0,SUM($F78:AE78)),0)</f>
        <v>0</v>
      </c>
      <c r="AF79" s="630">
        <f>IF(AF$1,MIN(0,SUM($F78:AF78)),0)</f>
        <v>0</v>
      </c>
      <c r="AG79" s="630">
        <f>IF(AG$1,MIN(0,SUM($F78:AG78)),0)</f>
        <v>0</v>
      </c>
      <c r="AH79" s="630">
        <f>IF(AH$1,MIN(0,SUM($F78:AH78)),0)</f>
        <v>0</v>
      </c>
      <c r="AI79" s="630">
        <f>IF(AI$1,MIN(0,SUM($F78:AI78)),0)</f>
        <v>0</v>
      </c>
      <c r="AJ79" s="630">
        <f>IF(AJ$1,MIN(0,SUM($F78:AJ78)),0)</f>
        <v>0</v>
      </c>
      <c r="AK79" s="630">
        <f>IF(AK$1,MIN(0,SUM($F78:AK78)),0)</f>
        <v>0</v>
      </c>
      <c r="AL79" s="630">
        <f>IF(AL$1,MIN(0,SUM($F78:AL78)),0)</f>
        <v>0</v>
      </c>
      <c r="AM79" s="630">
        <f>IF(AM$1,MIN(0,SUM($F78:AM78)),0)</f>
        <v>0</v>
      </c>
      <c r="AN79" s="630">
        <f>IF(AN$1,MIN(0,SUM($F78:AN78)),0)</f>
        <v>0</v>
      </c>
      <c r="AO79" s="630">
        <f>IF(AO$1,MIN(0,SUM($F78:AO78)),0)</f>
        <v>0</v>
      </c>
      <c r="AP79" s="630">
        <f>IF(AP$1,MIN(0,SUM($F78:AP78)),0)</f>
        <v>0</v>
      </c>
      <c r="AQ79" s="630">
        <f>IF(AQ$1,MIN(0,SUM($F78:AQ78)),0)</f>
        <v>0</v>
      </c>
      <c r="AR79" s="630">
        <f>IF(AR$1,MIN(0,SUM($F78:AR78)),0)</f>
        <v>0</v>
      </c>
      <c r="AS79" s="630">
        <f>IF(AS$1,MIN(0,SUM($F78:AS78)),0)</f>
        <v>0</v>
      </c>
    </row>
    <row r="80" spans="1:86" s="2334" customFormat="1">
      <c r="B80" s="2479" t="s">
        <v>976</v>
      </c>
      <c r="D80" s="294">
        <f>-PMT(DiscountRate,BookLife,E80)</f>
        <v>4.1127834682898676</v>
      </c>
      <c r="E80" s="145">
        <f>NPV(DiscountRate,F80:AS80)*(1)</f>
        <v>52.941277996485304</v>
      </c>
      <c r="F80" s="630">
        <f t="shared" ref="F80:AS80" si="71">IF(AND(F$1,TaxLossTreatment=TaxMinZero),IF(F79&gt;0,F78,IF(F78+E79&gt;0,F78+E79,0)),F78)</f>
        <v>-28.880399441614447</v>
      </c>
      <c r="G80" s="630">
        <f t="shared" si="71"/>
        <v>-13.991986279439432</v>
      </c>
      <c r="H80" s="630">
        <f t="shared" si="71"/>
        <v>-5.0029342748499932</v>
      </c>
      <c r="I80" s="630">
        <f t="shared" si="71"/>
        <v>-1.2903083237173425</v>
      </c>
      <c r="J80" s="630">
        <f t="shared" si="71"/>
        <v>-1.6526110593783949</v>
      </c>
      <c r="K80" s="630">
        <f t="shared" si="71"/>
        <v>8.6815938369451526</v>
      </c>
      <c r="L80" s="630">
        <f t="shared" si="71"/>
        <v>8.8232342828040196</v>
      </c>
      <c r="M80" s="630">
        <f t="shared" si="71"/>
        <v>8.967871827810308</v>
      </c>
      <c r="N80" s="630">
        <f t="shared" si="71"/>
        <v>9.1178663220723255</v>
      </c>
      <c r="O80" s="630">
        <f t="shared" si="71"/>
        <v>9.2756117716852717</v>
      </c>
      <c r="P80" s="630">
        <f t="shared" si="71"/>
        <v>18.077453758580734</v>
      </c>
      <c r="Q80" s="630">
        <f t="shared" si="71"/>
        <v>18.065726737871177</v>
      </c>
      <c r="R80" s="630">
        <f t="shared" si="71"/>
        <v>18.085631288812969</v>
      </c>
      <c r="S80" s="630">
        <f t="shared" si="71"/>
        <v>18.139037874046043</v>
      </c>
      <c r="T80" s="630">
        <f t="shared" si="71"/>
        <v>18.227927558216162</v>
      </c>
      <c r="U80" s="630">
        <f t="shared" si="71"/>
        <v>18.354398547898967</v>
      </c>
      <c r="V80" s="630">
        <f t="shared" si="71"/>
        <v>18.520673118230093</v>
      </c>
      <c r="W80" s="630">
        <f t="shared" si="71"/>
        <v>18.72910494910748</v>
      </c>
      <c r="X80" s="630">
        <f t="shared" si="71"/>
        <v>18.982186895183787</v>
      </c>
      <c r="Y80" s="630">
        <f t="shared" si="71"/>
        <v>19.282559215298992</v>
      </c>
      <c r="Z80" s="630">
        <f t="shared" si="71"/>
        <v>3.5626150516980171</v>
      </c>
      <c r="AA80" s="630">
        <f t="shared" si="71"/>
        <v>3.0158796653441167</v>
      </c>
      <c r="AB80" s="630">
        <f t="shared" si="71"/>
        <v>2.4691417571987553</v>
      </c>
      <c r="AC80" s="630">
        <f t="shared" si="71"/>
        <v>1.9224012827474071</v>
      </c>
      <c r="AD80" s="630">
        <f t="shared" si="71"/>
        <v>1.3756581966897792</v>
      </c>
      <c r="AE80" s="630">
        <f t="shared" si="71"/>
        <v>0.82891245292593341</v>
      </c>
      <c r="AF80" s="630">
        <f t="shared" si="71"/>
        <v>0.28216400454218582</v>
      </c>
      <c r="AG80" s="630">
        <f t="shared" si="71"/>
        <v>-0.26458719620326782</v>
      </c>
      <c r="AH80" s="630">
        <f t="shared" si="71"/>
        <v>-0.81134119789497117</v>
      </c>
      <c r="AI80" s="630">
        <f t="shared" si="71"/>
        <v>-1.3580980499750754</v>
      </c>
      <c r="AJ80" s="630">
        <f t="shared" si="71"/>
        <v>0</v>
      </c>
      <c r="AK80" s="630">
        <f t="shared" si="71"/>
        <v>0</v>
      </c>
      <c r="AL80" s="630">
        <f t="shared" si="71"/>
        <v>0</v>
      </c>
      <c r="AM80" s="630">
        <f t="shared" si="71"/>
        <v>0</v>
      </c>
      <c r="AN80" s="630">
        <f t="shared" si="71"/>
        <v>0</v>
      </c>
      <c r="AO80" s="630">
        <f t="shared" si="71"/>
        <v>0</v>
      </c>
      <c r="AP80" s="630">
        <f t="shared" si="71"/>
        <v>0</v>
      </c>
      <c r="AQ80" s="630">
        <f t="shared" si="71"/>
        <v>0</v>
      </c>
      <c r="AR80" s="630">
        <f t="shared" si="71"/>
        <v>0</v>
      </c>
      <c r="AS80" s="630">
        <f t="shared" si="71"/>
        <v>0</v>
      </c>
    </row>
    <row r="81" spans="1:45" s="43" customFormat="1" ht="13.5" thickBot="1">
      <c r="A81" s="36"/>
      <c r="B81" s="2480" t="s">
        <v>1633</v>
      </c>
      <c r="D81" s="2458">
        <f>-PMT(DiscountRate,BookLife,E81)</f>
        <v>0</v>
      </c>
      <c r="E81" s="2459">
        <f>NPV(DiscountRate,F81:AS81)*(1)</f>
        <v>0</v>
      </c>
      <c r="F81" s="2458">
        <f t="shared" ref="F81:Y81" si="72">IF(F8,F97*InstalledCostPerkW,0)</f>
        <v>0</v>
      </c>
      <c r="G81" s="2458">
        <f t="shared" si="72"/>
        <v>0</v>
      </c>
      <c r="H81" s="2458">
        <f t="shared" si="72"/>
        <v>0</v>
      </c>
      <c r="I81" s="2458">
        <f t="shared" si="72"/>
        <v>0</v>
      </c>
      <c r="J81" s="2458">
        <f t="shared" si="72"/>
        <v>0</v>
      </c>
      <c r="K81" s="2458">
        <f t="shared" si="72"/>
        <v>0</v>
      </c>
      <c r="L81" s="2458">
        <f t="shared" si="72"/>
        <v>0</v>
      </c>
      <c r="M81" s="2458">
        <f t="shared" si="72"/>
        <v>0</v>
      </c>
      <c r="N81" s="2458">
        <f t="shared" si="72"/>
        <v>0</v>
      </c>
      <c r="O81" s="2458">
        <f t="shared" si="72"/>
        <v>0</v>
      </c>
      <c r="P81" s="2458">
        <f t="shared" si="72"/>
        <v>0</v>
      </c>
      <c r="Q81" s="2458">
        <f t="shared" si="72"/>
        <v>0</v>
      </c>
      <c r="R81" s="2458">
        <f t="shared" si="72"/>
        <v>0</v>
      </c>
      <c r="S81" s="2458">
        <f t="shared" si="72"/>
        <v>0</v>
      </c>
      <c r="T81" s="2458">
        <f t="shared" si="72"/>
        <v>0</v>
      </c>
      <c r="U81" s="2458">
        <f t="shared" si="72"/>
        <v>0</v>
      </c>
      <c r="V81" s="2458">
        <f t="shared" si="72"/>
        <v>0</v>
      </c>
      <c r="W81" s="2458">
        <f t="shared" si="72"/>
        <v>0</v>
      </c>
      <c r="X81" s="2458">
        <f t="shared" si="72"/>
        <v>0</v>
      </c>
      <c r="Y81" s="2458">
        <f t="shared" si="72"/>
        <v>0</v>
      </c>
      <c r="Z81" s="2458">
        <f t="shared" ref="Z81:AS81" si="73">IF(Z8,Z97*InstalledCostPerkW,0)</f>
        <v>0</v>
      </c>
      <c r="AA81" s="2458">
        <f t="shared" si="73"/>
        <v>0</v>
      </c>
      <c r="AB81" s="2458">
        <f t="shared" si="73"/>
        <v>0</v>
      </c>
      <c r="AC81" s="2458">
        <f t="shared" si="73"/>
        <v>0</v>
      </c>
      <c r="AD81" s="2458">
        <f t="shared" si="73"/>
        <v>0</v>
      </c>
      <c r="AE81" s="2458">
        <f t="shared" si="73"/>
        <v>0</v>
      </c>
      <c r="AF81" s="2458">
        <f t="shared" si="73"/>
        <v>0</v>
      </c>
      <c r="AG81" s="2458">
        <f t="shared" si="73"/>
        <v>0</v>
      </c>
      <c r="AH81" s="2458">
        <f t="shared" si="73"/>
        <v>0</v>
      </c>
      <c r="AI81" s="2458">
        <f t="shared" si="73"/>
        <v>0</v>
      </c>
      <c r="AJ81" s="2458">
        <f t="shared" si="73"/>
        <v>0</v>
      </c>
      <c r="AK81" s="2458">
        <f t="shared" si="73"/>
        <v>0</v>
      </c>
      <c r="AL81" s="2458">
        <f t="shared" si="73"/>
        <v>0</v>
      </c>
      <c r="AM81" s="2458">
        <f t="shared" si="73"/>
        <v>0</v>
      </c>
      <c r="AN81" s="2458">
        <f t="shared" si="73"/>
        <v>0</v>
      </c>
      <c r="AO81" s="2458">
        <f t="shared" si="73"/>
        <v>0</v>
      </c>
      <c r="AP81" s="2458">
        <f t="shared" si="73"/>
        <v>0</v>
      </c>
      <c r="AQ81" s="2458">
        <f t="shared" si="73"/>
        <v>0</v>
      </c>
      <c r="AR81" s="2458">
        <f t="shared" si="73"/>
        <v>0</v>
      </c>
      <c r="AS81" s="2458">
        <f t="shared" si="73"/>
        <v>0</v>
      </c>
    </row>
    <row r="82" spans="1:45" s="2334" customFormat="1">
      <c r="A82" s="12"/>
      <c r="B82" s="2206" t="s">
        <v>1634</v>
      </c>
      <c r="D82" s="630">
        <f>-PMT(DiscountRate,BookLife,E82)</f>
        <v>-33.230842425154492</v>
      </c>
      <c r="E82" s="314">
        <f>NPV(DiscountRate,F82:AS82)*(1)</f>
        <v>-427.75975940669395</v>
      </c>
      <c r="F82" s="2460">
        <f>F88+F85</f>
        <v>-1096.0137225814333</v>
      </c>
      <c r="G82" s="2460">
        <f t="shared" ref="G82:Y82" si="74">G88+G85</f>
        <v>-142.56788486517638</v>
      </c>
      <c r="H82" s="2460">
        <f t="shared" si="74"/>
        <v>-43.183016406362498</v>
      </c>
      <c r="I82" s="2460">
        <f t="shared" si="74"/>
        <v>-3.3525631866556216</v>
      </c>
      <c r="J82" s="2460">
        <f t="shared" si="74"/>
        <v>-9.5045415054126572</v>
      </c>
      <c r="K82" s="2460">
        <f t="shared" si="74"/>
        <v>105.43930487699362</v>
      </c>
      <c r="L82" s="2460">
        <f t="shared" si="74"/>
        <v>105.15793479700514</v>
      </c>
      <c r="M82" s="2460">
        <f t="shared" si="74"/>
        <v>104.96649614947208</v>
      </c>
      <c r="N82" s="2460">
        <f t="shared" si="74"/>
        <v>104.87243021943638</v>
      </c>
      <c r="O82" s="2460">
        <f t="shared" si="74"/>
        <v>104.88351217472211</v>
      </c>
      <c r="P82" s="2460">
        <f t="shared" si="74"/>
        <v>105.00787611553126</v>
      </c>
      <c r="Q82" s="2460">
        <f t="shared" si="74"/>
        <v>104.95301916375853</v>
      </c>
      <c r="R82" s="2460">
        <f t="shared" si="74"/>
        <v>105.04394666662927</v>
      </c>
      <c r="S82" s="2460">
        <f t="shared" si="74"/>
        <v>105.28927985225161</v>
      </c>
      <c r="T82" s="2460">
        <f t="shared" si="74"/>
        <v>105.69814973948532</v>
      </c>
      <c r="U82" s="2460">
        <f t="shared" si="74"/>
        <v>106.28022728217861</v>
      </c>
      <c r="V82" s="2460">
        <f t="shared" si="74"/>
        <v>107.0457552958391</v>
      </c>
      <c r="W82" s="2460">
        <f t="shared" si="74"/>
        <v>108.00558227213405</v>
      </c>
      <c r="X82" s="2460">
        <f t="shared" si="74"/>
        <v>109.17119819284797</v>
      </c>
      <c r="Y82" s="2460">
        <f t="shared" si="74"/>
        <v>110.55477246152526</v>
      </c>
      <c r="Z82" s="2460">
        <f t="shared" ref="Z82:AS82" si="75">Z88+Z85</f>
        <v>38.096269837344394</v>
      </c>
      <c r="AA82" s="2460">
        <f t="shared" si="75"/>
        <v>35.575257937528868</v>
      </c>
      <c r="AB82" s="2460">
        <f t="shared" si="75"/>
        <v>33.054217510660621</v>
      </c>
      <c r="AC82" s="2460">
        <f t="shared" si="75"/>
        <v>30.533148053181669</v>
      </c>
      <c r="AD82" s="2460">
        <f t="shared" si="75"/>
        <v>28.012049052645242</v>
      </c>
      <c r="AE82" s="2460">
        <f t="shared" si="75"/>
        <v>25.490919987558851</v>
      </c>
      <c r="AF82" s="2460">
        <f t="shared" si="75"/>
        <v>22.969760327224694</v>
      </c>
      <c r="AG82" s="2460">
        <f t="shared" si="75"/>
        <v>20.448569531577114</v>
      </c>
      <c r="AH82" s="2460">
        <f t="shared" si="75"/>
        <v>17.927347051017215</v>
      </c>
      <c r="AI82" s="2460">
        <f t="shared" si="75"/>
        <v>15.406092326244638</v>
      </c>
      <c r="AJ82" s="2460">
        <f t="shared" si="75"/>
        <v>0</v>
      </c>
      <c r="AK82" s="2460">
        <f t="shared" si="75"/>
        <v>0</v>
      </c>
      <c r="AL82" s="2460">
        <f t="shared" si="75"/>
        <v>0</v>
      </c>
      <c r="AM82" s="2460">
        <f t="shared" si="75"/>
        <v>0</v>
      </c>
      <c r="AN82" s="2460">
        <f t="shared" si="75"/>
        <v>0</v>
      </c>
      <c r="AO82" s="2460">
        <f t="shared" si="75"/>
        <v>0</v>
      </c>
      <c r="AP82" s="2460">
        <f t="shared" si="75"/>
        <v>0</v>
      </c>
      <c r="AQ82" s="2460">
        <f t="shared" si="75"/>
        <v>0</v>
      </c>
      <c r="AR82" s="2460">
        <f t="shared" si="75"/>
        <v>0</v>
      </c>
      <c r="AS82" s="2460">
        <f t="shared" si="75"/>
        <v>0</v>
      </c>
    </row>
    <row r="83" spans="1:45" s="2334" customFormat="1">
      <c r="A83" s="12"/>
      <c r="B83" s="2478" t="s">
        <v>9</v>
      </c>
      <c r="D83" s="630"/>
      <c r="F83" s="630">
        <f t="shared" ref="F83:Y83" si="76">IF(OwnerType="POU",-F$72,(FedTaxRate*((F$42-(F$66+F$67+F$31+F$96)))-F68)/(1-FedTaxRate))</f>
        <v>-1005.1387293929705</v>
      </c>
      <c r="G83" s="630">
        <f t="shared" si="76"/>
        <v>-136.29041433061894</v>
      </c>
      <c r="H83" s="630">
        <f t="shared" si="76"/>
        <v>-45.991715924404872</v>
      </c>
      <c r="I83" s="630">
        <f t="shared" si="76"/>
        <v>-9.9722293230644805</v>
      </c>
      <c r="J83" s="630">
        <f t="shared" si="76"/>
        <v>-15.861483584172634</v>
      </c>
      <c r="K83" s="630">
        <f t="shared" si="76"/>
        <v>88.647325627800413</v>
      </c>
      <c r="L83" s="630">
        <f t="shared" si="76"/>
        <v>88.122213450223086</v>
      </c>
      <c r="M83" s="630">
        <f t="shared" si="76"/>
        <v>87.682750248137069</v>
      </c>
      <c r="N83" s="630">
        <f t="shared" si="76"/>
        <v>87.334001275104896</v>
      </c>
      <c r="O83" s="630">
        <f t="shared" si="76"/>
        <v>87.08133130777702</v>
      </c>
      <c r="P83" s="630">
        <f t="shared" si="76"/>
        <v>86.93042235695053</v>
      </c>
      <c r="Q83" s="630">
        <f t="shared" si="76"/>
        <v>86.887292425887352</v>
      </c>
      <c r="R83" s="630">
        <f t="shared" si="76"/>
        <v>86.958315377816305</v>
      </c>
      <c r="S83" s="630">
        <f t="shared" si="76"/>
        <v>87.150241978205571</v>
      </c>
      <c r="T83" s="630">
        <f t="shared" si="76"/>
        <v>87.47022218126915</v>
      </c>
      <c r="U83" s="630">
        <f t="shared" si="76"/>
        <v>87.925828734279648</v>
      </c>
      <c r="V83" s="630">
        <f t="shared" si="76"/>
        <v>88.525082177609008</v>
      </c>
      <c r="W83" s="630">
        <f t="shared" si="76"/>
        <v>89.276477323026569</v>
      </c>
      <c r="X83" s="630">
        <f t="shared" si="76"/>
        <v>90.18901129766418</v>
      </c>
      <c r="Y83" s="630">
        <f t="shared" si="76"/>
        <v>91.272213246226272</v>
      </c>
      <c r="Z83" s="630">
        <f t="shared" ref="Z83:AS83" si="77">IF(OwnerType="POU",-Z$72,(FedTaxRate*((Z$42-(Z$66+Z$67+Z$31+Z$96)))-Z68)/(1-FedTaxRate))</f>
        <v>34.533654785646377</v>
      </c>
      <c r="AA83" s="630">
        <f t="shared" si="77"/>
        <v>32.559378272184752</v>
      </c>
      <c r="AB83" s="630">
        <f t="shared" si="77"/>
        <v>30.585075753461869</v>
      </c>
      <c r="AC83" s="630">
        <f t="shared" si="77"/>
        <v>28.610746770434261</v>
      </c>
      <c r="AD83" s="630">
        <f t="shared" si="77"/>
        <v>26.636390855955462</v>
      </c>
      <c r="AE83" s="630">
        <f t="shared" si="77"/>
        <v>24.662007534632917</v>
      </c>
      <c r="AF83" s="630">
        <f t="shared" si="77"/>
        <v>22.687596322682509</v>
      </c>
      <c r="AG83" s="630">
        <f t="shared" si="77"/>
        <v>20.713156727780383</v>
      </c>
      <c r="AH83" s="630">
        <f t="shared" si="77"/>
        <v>18.738688248912187</v>
      </c>
      <c r="AI83" s="630">
        <f t="shared" si="77"/>
        <v>16.764190376219712</v>
      </c>
      <c r="AJ83" s="630">
        <f t="shared" si="77"/>
        <v>0</v>
      </c>
      <c r="AK83" s="630">
        <f t="shared" si="77"/>
        <v>0</v>
      </c>
      <c r="AL83" s="630">
        <f t="shared" si="77"/>
        <v>0</v>
      </c>
      <c r="AM83" s="630">
        <f t="shared" si="77"/>
        <v>0</v>
      </c>
      <c r="AN83" s="630">
        <f t="shared" si="77"/>
        <v>0</v>
      </c>
      <c r="AO83" s="630">
        <f t="shared" si="77"/>
        <v>0</v>
      </c>
      <c r="AP83" s="630">
        <f t="shared" si="77"/>
        <v>0</v>
      </c>
      <c r="AQ83" s="630">
        <f t="shared" si="77"/>
        <v>0</v>
      </c>
      <c r="AR83" s="630">
        <f t="shared" si="77"/>
        <v>0</v>
      </c>
      <c r="AS83" s="630">
        <f t="shared" si="77"/>
        <v>0</v>
      </c>
    </row>
    <row r="84" spans="1:45" s="2334" customFormat="1">
      <c r="A84" s="12"/>
      <c r="B84" s="2479" t="s">
        <v>1632</v>
      </c>
      <c r="D84" s="630"/>
      <c r="F84" s="630">
        <f>IF(F$1,MIN(0,SUM($F83:F83)),0)</f>
        <v>-1005.1387293929705</v>
      </c>
      <c r="G84" s="630">
        <f>IF(G$1,MIN(0,SUM($F83:G83)),0)</f>
        <v>-1141.4291437235895</v>
      </c>
      <c r="H84" s="630">
        <f>IF(H$1,MIN(0,SUM($F83:H83)),0)</f>
        <v>-1187.4208596479943</v>
      </c>
      <c r="I84" s="630">
        <f>IF(I$1,MIN(0,SUM($F83:I83)),0)</f>
        <v>-1197.3930889710589</v>
      </c>
      <c r="J84" s="630">
        <f>IF(J$1,MIN(0,SUM($F83:J83)),0)</f>
        <v>-1213.2545725552316</v>
      </c>
      <c r="K84" s="630">
        <f>IF(K$1,MIN(0,SUM($F83:K83)),0)</f>
        <v>-1124.6072469274311</v>
      </c>
      <c r="L84" s="630">
        <f>IF(L$1,MIN(0,SUM($F83:L83)),0)</f>
        <v>-1036.4850334772079</v>
      </c>
      <c r="M84" s="630">
        <f>IF(M$1,MIN(0,SUM($F83:M83)),0)</f>
        <v>-948.80228322907089</v>
      </c>
      <c r="N84" s="630">
        <f>IF(N$1,MIN(0,SUM($F83:N83)),0)</f>
        <v>-861.46828195396597</v>
      </c>
      <c r="O84" s="630">
        <f>IF(O$1,MIN(0,SUM($F83:O83)),0)</f>
        <v>-774.38695064618901</v>
      </c>
      <c r="P84" s="630">
        <f>IF(P$1,MIN(0,SUM($F83:P83)),0)</f>
        <v>-687.45652828923846</v>
      </c>
      <c r="Q84" s="630">
        <f>IF(Q$1,MIN(0,SUM($F83:Q83)),0)</f>
        <v>-600.56923586335108</v>
      </c>
      <c r="R84" s="630">
        <f>IF(R$1,MIN(0,SUM($F83:R83)),0)</f>
        <v>-513.61092048553473</v>
      </c>
      <c r="S84" s="630">
        <f>IF(S$1,MIN(0,SUM($F83:S83)),0)</f>
        <v>-426.46067850732913</v>
      </c>
      <c r="T84" s="630">
        <f>IF(T$1,MIN(0,SUM($F83:T83)),0)</f>
        <v>-338.99045632605998</v>
      </c>
      <c r="U84" s="630">
        <f>IF(U$1,MIN(0,SUM($F83:U83)),0)</f>
        <v>-251.06462759178032</v>
      </c>
      <c r="V84" s="630">
        <f>IF(V$1,MIN(0,SUM($F83:V83)),0)</f>
        <v>-162.5395454141713</v>
      </c>
      <c r="W84" s="630">
        <f>IF(W$1,MIN(0,SUM($F83:W83)),0)</f>
        <v>-73.263068091144731</v>
      </c>
      <c r="X84" s="630">
        <f>IF(X$1,MIN(0,SUM($F83:X83)),0)</f>
        <v>0</v>
      </c>
      <c r="Y84" s="630">
        <f>IF(Y$1,MIN(0,SUM($F83:Y83)),0)</f>
        <v>0</v>
      </c>
      <c r="Z84" s="630">
        <f>IF(Z$1,MIN(0,SUM($F83:Z83)),0)</f>
        <v>0</v>
      </c>
      <c r="AA84" s="630">
        <f>IF(AA$1,MIN(0,SUM($F83:AA83)),0)</f>
        <v>0</v>
      </c>
      <c r="AB84" s="630">
        <f>IF(AB$1,MIN(0,SUM($F83:AB83)),0)</f>
        <v>0</v>
      </c>
      <c r="AC84" s="630">
        <f>IF(AC$1,MIN(0,SUM($F83:AC83)),0)</f>
        <v>0</v>
      </c>
      <c r="AD84" s="630">
        <f>IF(AD$1,MIN(0,SUM($F83:AD83)),0)</f>
        <v>0</v>
      </c>
      <c r="AE84" s="630">
        <f>IF(AE$1,MIN(0,SUM($F83:AE83)),0)</f>
        <v>0</v>
      </c>
      <c r="AF84" s="630">
        <f>IF(AF$1,MIN(0,SUM($F83:AF83)),0)</f>
        <v>0</v>
      </c>
      <c r="AG84" s="630">
        <f>IF(AG$1,MIN(0,SUM($F83:AG83)),0)</f>
        <v>0</v>
      </c>
      <c r="AH84" s="630">
        <f>IF(AH$1,MIN(0,SUM($F83:AH83)),0)</f>
        <v>0</v>
      </c>
      <c r="AI84" s="630">
        <f>IF(AI$1,MIN(0,SUM($F83:AI83)),0)</f>
        <v>0</v>
      </c>
      <c r="AJ84" s="630">
        <f>IF(AJ$1,MIN(0,SUM($F83:AJ83)),0)</f>
        <v>0</v>
      </c>
      <c r="AK84" s="630">
        <f>IF(AK$1,MIN(0,SUM($F83:AK83)),0)</f>
        <v>0</v>
      </c>
      <c r="AL84" s="630">
        <f>IF(AL$1,MIN(0,SUM($F83:AL83)),0)</f>
        <v>0</v>
      </c>
      <c r="AM84" s="630">
        <f>IF(AM$1,MIN(0,SUM($F83:AM83)),0)</f>
        <v>0</v>
      </c>
      <c r="AN84" s="630">
        <f>IF(AN$1,MIN(0,SUM($F83:AN83)),0)</f>
        <v>0</v>
      </c>
      <c r="AO84" s="630">
        <f>IF(AO$1,MIN(0,SUM($F83:AO83)),0)</f>
        <v>0</v>
      </c>
      <c r="AP84" s="630">
        <f>IF(AP$1,MIN(0,SUM($F83:AP83)),0)</f>
        <v>0</v>
      </c>
      <c r="AQ84" s="630">
        <f>IF(AQ$1,MIN(0,SUM($F83:AQ83)),0)</f>
        <v>0</v>
      </c>
      <c r="AR84" s="630">
        <f>IF(AR$1,MIN(0,SUM($F83:AR83)),0)</f>
        <v>0</v>
      </c>
      <c r="AS84" s="630">
        <f>IF(AS$1,MIN(0,SUM($F83:AS83)),0)</f>
        <v>0</v>
      </c>
    </row>
    <row r="85" spans="1:45" s="2334" customFormat="1">
      <c r="B85" s="2479" t="s">
        <v>977</v>
      </c>
      <c r="D85" s="630"/>
      <c r="F85" s="630">
        <f>IF(AND(F$1,TaxLossTreatment=TaxMinZero),IF(F84&gt;0,F83,IF(F83+E84&gt;0,F83+E84,0)),F83)</f>
        <v>-1005.1387293929705</v>
      </c>
      <c r="G85" s="630">
        <f t="shared" ref="G85:Y85" si="78">IF(AND(G$1,TaxLossTreatment=TaxMinZero),IF(G84&gt;0,G83,IF(G83+F84&gt;0,G83+F84,0)),G83)</f>
        <v>-136.29041433061894</v>
      </c>
      <c r="H85" s="630">
        <f t="shared" si="78"/>
        <v>-45.991715924404872</v>
      </c>
      <c r="I85" s="630">
        <f t="shared" si="78"/>
        <v>-9.9722293230644805</v>
      </c>
      <c r="J85" s="630">
        <f t="shared" si="78"/>
        <v>-15.861483584172634</v>
      </c>
      <c r="K85" s="630">
        <f t="shared" si="78"/>
        <v>88.647325627800413</v>
      </c>
      <c r="L85" s="630">
        <f t="shared" si="78"/>
        <v>88.122213450223086</v>
      </c>
      <c r="M85" s="630">
        <f t="shared" si="78"/>
        <v>87.682750248137069</v>
      </c>
      <c r="N85" s="630">
        <f t="shared" si="78"/>
        <v>87.334001275104896</v>
      </c>
      <c r="O85" s="630">
        <f t="shared" si="78"/>
        <v>87.08133130777702</v>
      </c>
      <c r="P85" s="630">
        <f t="shared" si="78"/>
        <v>86.93042235695053</v>
      </c>
      <c r="Q85" s="630">
        <f t="shared" si="78"/>
        <v>86.887292425887352</v>
      </c>
      <c r="R85" s="630">
        <f t="shared" si="78"/>
        <v>86.958315377816305</v>
      </c>
      <c r="S85" s="630">
        <f t="shared" si="78"/>
        <v>87.150241978205571</v>
      </c>
      <c r="T85" s="630">
        <f t="shared" si="78"/>
        <v>87.47022218126915</v>
      </c>
      <c r="U85" s="630">
        <f t="shared" si="78"/>
        <v>87.925828734279648</v>
      </c>
      <c r="V85" s="630">
        <f t="shared" si="78"/>
        <v>88.525082177609008</v>
      </c>
      <c r="W85" s="630">
        <f t="shared" si="78"/>
        <v>89.276477323026569</v>
      </c>
      <c r="X85" s="630">
        <f t="shared" si="78"/>
        <v>90.18901129766418</v>
      </c>
      <c r="Y85" s="630">
        <f t="shared" si="78"/>
        <v>91.272213246226272</v>
      </c>
      <c r="Z85" s="630">
        <f t="shared" ref="Z85:AS85" si="79">IF(AND(Z$1,TaxLossTreatment=TaxMinZero),IF(Z84&gt;0,Z83,IF(Z83+Y84&gt;0,Z83+Y84,0)),Z83)</f>
        <v>34.533654785646377</v>
      </c>
      <c r="AA85" s="630">
        <f t="shared" si="79"/>
        <v>32.559378272184752</v>
      </c>
      <c r="AB85" s="630">
        <f t="shared" si="79"/>
        <v>30.585075753461869</v>
      </c>
      <c r="AC85" s="630">
        <f t="shared" si="79"/>
        <v>28.610746770434261</v>
      </c>
      <c r="AD85" s="630">
        <f t="shared" si="79"/>
        <v>26.636390855955462</v>
      </c>
      <c r="AE85" s="630">
        <f t="shared" si="79"/>
        <v>24.662007534632917</v>
      </c>
      <c r="AF85" s="630">
        <f t="shared" si="79"/>
        <v>22.687596322682509</v>
      </c>
      <c r="AG85" s="630">
        <f t="shared" si="79"/>
        <v>20.713156727780383</v>
      </c>
      <c r="AH85" s="630">
        <f t="shared" si="79"/>
        <v>18.738688248912187</v>
      </c>
      <c r="AI85" s="630">
        <f t="shared" si="79"/>
        <v>16.764190376219712</v>
      </c>
      <c r="AJ85" s="630">
        <f t="shared" si="79"/>
        <v>0</v>
      </c>
      <c r="AK85" s="630">
        <f t="shared" si="79"/>
        <v>0</v>
      </c>
      <c r="AL85" s="630">
        <f t="shared" si="79"/>
        <v>0</v>
      </c>
      <c r="AM85" s="630">
        <f t="shared" si="79"/>
        <v>0</v>
      </c>
      <c r="AN85" s="630">
        <f t="shared" si="79"/>
        <v>0</v>
      </c>
      <c r="AO85" s="630">
        <f t="shared" si="79"/>
        <v>0</v>
      </c>
      <c r="AP85" s="630">
        <f t="shared" si="79"/>
        <v>0</v>
      </c>
      <c r="AQ85" s="630">
        <f t="shared" si="79"/>
        <v>0</v>
      </c>
      <c r="AR85" s="630">
        <f t="shared" si="79"/>
        <v>0</v>
      </c>
      <c r="AS85" s="630">
        <f t="shared" si="79"/>
        <v>0</v>
      </c>
    </row>
    <row r="86" spans="1:45" s="2334" customFormat="1">
      <c r="B86" s="2478" t="s">
        <v>10</v>
      </c>
      <c r="D86" s="648">
        <f>-PMT(DiscountRate,BookLife,E86)</f>
        <v>3.486952236946093</v>
      </c>
      <c r="E86" s="2477">
        <f>NPV(DiscountRate,F86:AS86)*(1)</f>
        <v>44.885345693482208</v>
      </c>
      <c r="F86" s="630">
        <f t="shared" ref="F86:AS86" si="80">IF(OwnerType="POU",-MAX(F$58,F$59),(StateTaxRate*(F$42-(F$31+F$98)+(F$83))-MAX(F$58,F$59))/(1-StateTaxRate))</f>
        <v>-90.874993188462881</v>
      </c>
      <c r="G86" s="630">
        <f t="shared" si="80"/>
        <v>-6.2774705345574473</v>
      </c>
      <c r="H86" s="630">
        <f t="shared" si="80"/>
        <v>2.8086995180423755</v>
      </c>
      <c r="I86" s="630">
        <f t="shared" si="80"/>
        <v>6.6196661364088589</v>
      </c>
      <c r="J86" s="630">
        <f t="shared" si="80"/>
        <v>6.3569420787599755</v>
      </c>
      <c r="K86" s="630">
        <f t="shared" si="80"/>
        <v>16.791979249193204</v>
      </c>
      <c r="L86" s="630">
        <f t="shared" si="80"/>
        <v>17.035721346782051</v>
      </c>
      <c r="M86" s="630">
        <f t="shared" si="80"/>
        <v>17.28374590133501</v>
      </c>
      <c r="N86" s="630">
        <f t="shared" si="80"/>
        <v>17.538428944331489</v>
      </c>
      <c r="O86" s="630">
        <f t="shared" si="80"/>
        <v>17.802180866945093</v>
      </c>
      <c r="P86" s="630">
        <f t="shared" si="80"/>
        <v>18.077453758580734</v>
      </c>
      <c r="Q86" s="630">
        <f t="shared" si="80"/>
        <v>18.065726737871177</v>
      </c>
      <c r="R86" s="630">
        <f t="shared" si="80"/>
        <v>18.085631288812969</v>
      </c>
      <c r="S86" s="630">
        <f t="shared" si="80"/>
        <v>18.139037874046043</v>
      </c>
      <c r="T86" s="630">
        <f t="shared" si="80"/>
        <v>18.227927558216162</v>
      </c>
      <c r="U86" s="630">
        <f t="shared" si="80"/>
        <v>18.354398547898967</v>
      </c>
      <c r="V86" s="630">
        <f t="shared" si="80"/>
        <v>18.520673118230093</v>
      </c>
      <c r="W86" s="630">
        <f t="shared" si="80"/>
        <v>18.72910494910748</v>
      </c>
      <c r="X86" s="630">
        <f t="shared" si="80"/>
        <v>18.982186895183787</v>
      </c>
      <c r="Y86" s="630">
        <f t="shared" si="80"/>
        <v>19.282559215298992</v>
      </c>
      <c r="Z86" s="630">
        <f t="shared" si="80"/>
        <v>3.5626150516980171</v>
      </c>
      <c r="AA86" s="630">
        <f t="shared" si="80"/>
        <v>3.0158796653441167</v>
      </c>
      <c r="AB86" s="630">
        <f t="shared" si="80"/>
        <v>2.4691417571987553</v>
      </c>
      <c r="AC86" s="630">
        <f t="shared" si="80"/>
        <v>1.9224012827474071</v>
      </c>
      <c r="AD86" s="630">
        <f t="shared" si="80"/>
        <v>1.3756581966897792</v>
      </c>
      <c r="AE86" s="630">
        <f t="shared" si="80"/>
        <v>0.82891245292593341</v>
      </c>
      <c r="AF86" s="630">
        <f t="shared" si="80"/>
        <v>0.28216400454218582</v>
      </c>
      <c r="AG86" s="630">
        <f t="shared" si="80"/>
        <v>-0.26458719620326782</v>
      </c>
      <c r="AH86" s="630">
        <f t="shared" si="80"/>
        <v>-0.81134119789497117</v>
      </c>
      <c r="AI86" s="630">
        <f t="shared" si="80"/>
        <v>-1.3580980499750754</v>
      </c>
      <c r="AJ86" s="630">
        <f t="shared" si="80"/>
        <v>0</v>
      </c>
      <c r="AK86" s="630">
        <f t="shared" si="80"/>
        <v>0</v>
      </c>
      <c r="AL86" s="630">
        <f t="shared" si="80"/>
        <v>0</v>
      </c>
      <c r="AM86" s="630">
        <f t="shared" si="80"/>
        <v>0</v>
      </c>
      <c r="AN86" s="630">
        <f t="shared" si="80"/>
        <v>0</v>
      </c>
      <c r="AO86" s="630">
        <f t="shared" si="80"/>
        <v>0</v>
      </c>
      <c r="AP86" s="630">
        <f t="shared" si="80"/>
        <v>0</v>
      </c>
      <c r="AQ86" s="630">
        <f t="shared" si="80"/>
        <v>0</v>
      </c>
      <c r="AR86" s="630">
        <f t="shared" si="80"/>
        <v>0</v>
      </c>
      <c r="AS86" s="630">
        <f t="shared" si="80"/>
        <v>0</v>
      </c>
    </row>
    <row r="87" spans="1:45" s="2334" customFormat="1">
      <c r="B87" s="2479" t="s">
        <v>1632</v>
      </c>
      <c r="D87" s="648"/>
      <c r="E87" s="2477"/>
      <c r="F87" s="630">
        <f>IF(F$1,MIN(0,SUM($F86:F86)),0)</f>
        <v>-90.874993188462881</v>
      </c>
      <c r="G87" s="630">
        <f>IF(G$1,MIN(0,SUM($F86:G86)),0)</f>
        <v>-97.152463723020333</v>
      </c>
      <c r="H87" s="630">
        <f>IF(H$1,MIN(0,SUM($F86:H86)),0)</f>
        <v>-94.343764204977958</v>
      </c>
      <c r="I87" s="630">
        <f>IF(I$1,MIN(0,SUM($F86:I86)),0)</f>
        <v>-87.724098068569106</v>
      </c>
      <c r="J87" s="630">
        <f>IF(J$1,MIN(0,SUM($F86:J86)),0)</f>
        <v>-81.367155989809135</v>
      </c>
      <c r="K87" s="630">
        <f>IF(K$1,MIN(0,SUM($F86:K86)),0)</f>
        <v>-64.57517674061593</v>
      </c>
      <c r="L87" s="630">
        <f>IF(L$1,MIN(0,SUM($F86:L86)),0)</f>
        <v>-47.539455393833876</v>
      </c>
      <c r="M87" s="630">
        <f>IF(M$1,MIN(0,SUM($F86:M86)),0)</f>
        <v>-30.255709492498866</v>
      </c>
      <c r="N87" s="630">
        <f>IF(N$1,MIN(0,SUM($F86:N86)),0)</f>
        <v>-12.717280548167377</v>
      </c>
      <c r="O87" s="630">
        <f>IF(O$1,MIN(0,SUM($F86:O86)),0)</f>
        <v>0</v>
      </c>
      <c r="P87" s="630">
        <f>IF(P$1,MIN(0,SUM($F86:P86)),0)</f>
        <v>0</v>
      </c>
      <c r="Q87" s="630">
        <f>IF(Q$1,MIN(0,SUM($F86:Q86)),0)</f>
        <v>0</v>
      </c>
      <c r="R87" s="630">
        <f>IF(R$1,MIN(0,SUM($F86:R86)),0)</f>
        <v>0</v>
      </c>
      <c r="S87" s="630">
        <f>IF(S$1,MIN(0,SUM($F86:S86)),0)</f>
        <v>0</v>
      </c>
      <c r="T87" s="630">
        <f>IF(T$1,MIN(0,SUM($F86:T86)),0)</f>
        <v>0</v>
      </c>
      <c r="U87" s="630">
        <f>IF(U$1,MIN(0,SUM($F86:U86)),0)</f>
        <v>0</v>
      </c>
      <c r="V87" s="630">
        <f>IF(V$1,MIN(0,SUM($F86:V86)),0)</f>
        <v>0</v>
      </c>
      <c r="W87" s="630">
        <f>IF(W$1,MIN(0,SUM($F86:W86)),0)</f>
        <v>0</v>
      </c>
      <c r="X87" s="630">
        <f>IF(X$1,MIN(0,SUM($F86:X86)),0)</f>
        <v>0</v>
      </c>
      <c r="Y87" s="630">
        <f>IF(Y$1,MIN(0,SUM($F86:Y86)),0)</f>
        <v>0</v>
      </c>
      <c r="Z87" s="630">
        <f>IF(Z$1,MIN(0,SUM($F86:Z86)),0)</f>
        <v>0</v>
      </c>
      <c r="AA87" s="630">
        <f>IF(AA$1,MIN(0,SUM($F86:AA86)),0)</f>
        <v>0</v>
      </c>
      <c r="AB87" s="630">
        <f>IF(AB$1,MIN(0,SUM($F86:AB86)),0)</f>
        <v>0</v>
      </c>
      <c r="AC87" s="630">
        <f>IF(AC$1,MIN(0,SUM($F86:AC86)),0)</f>
        <v>0</v>
      </c>
      <c r="AD87" s="630">
        <f>IF(AD$1,MIN(0,SUM($F86:AD86)),0)</f>
        <v>0</v>
      </c>
      <c r="AE87" s="630">
        <f>IF(AE$1,MIN(0,SUM($F86:AE86)),0)</f>
        <v>0</v>
      </c>
      <c r="AF87" s="630">
        <f>IF(AF$1,MIN(0,SUM($F86:AF86)),0)</f>
        <v>0</v>
      </c>
      <c r="AG87" s="630">
        <f>IF(AG$1,MIN(0,SUM($F86:AG86)),0)</f>
        <v>0</v>
      </c>
      <c r="AH87" s="630">
        <f>IF(AH$1,MIN(0,SUM($F86:AH86)),0)</f>
        <v>0</v>
      </c>
      <c r="AI87" s="630">
        <f>IF(AI$1,MIN(0,SUM($F86:AI86)),0)</f>
        <v>0</v>
      </c>
      <c r="AJ87" s="630">
        <f>IF(AJ$1,MIN(0,SUM($F86:AJ86)),0)</f>
        <v>0</v>
      </c>
      <c r="AK87" s="630">
        <f>IF(AK$1,MIN(0,SUM($F86:AK86)),0)</f>
        <v>0</v>
      </c>
      <c r="AL87" s="630">
        <f>IF(AL$1,MIN(0,SUM($F86:AL86)),0)</f>
        <v>0</v>
      </c>
      <c r="AM87" s="630">
        <f>IF(AM$1,MIN(0,SUM($F86:AM86)),0)</f>
        <v>0</v>
      </c>
      <c r="AN87" s="630">
        <f>IF(AN$1,MIN(0,SUM($F86:AN86)),0)</f>
        <v>0</v>
      </c>
      <c r="AO87" s="630">
        <f>IF(AO$1,MIN(0,SUM($F86:AO86)),0)</f>
        <v>0</v>
      </c>
      <c r="AP87" s="630">
        <f>IF(AP$1,MIN(0,SUM($F86:AP86)),0)</f>
        <v>0</v>
      </c>
      <c r="AQ87" s="630">
        <f>IF(AQ$1,MIN(0,SUM($F86:AQ86)),0)</f>
        <v>0</v>
      </c>
      <c r="AR87" s="630">
        <f>IF(AR$1,MIN(0,SUM($F86:AR86)),0)</f>
        <v>0</v>
      </c>
      <c r="AS87" s="630">
        <f>IF(AS$1,MIN(0,SUM($F86:AS86)),0)</f>
        <v>0</v>
      </c>
    </row>
    <row r="88" spans="1:45" s="2334" customFormat="1">
      <c r="B88" s="2479" t="s">
        <v>976</v>
      </c>
      <c r="D88" s="294">
        <f>-PMT(DiscountRate,BookLife,E88)</f>
        <v>3.486952236946093</v>
      </c>
      <c r="E88" s="145">
        <f>NPV(DiscountRate,F88:AS88)*(1)</f>
        <v>44.885345693482208</v>
      </c>
      <c r="F88" s="630">
        <f t="shared" ref="F88:AS88" si="81">IF(AND(F$1,TaxLossTreatment=TaxMinZero),IF(F87&gt;0,F86,IF(F86+E87&gt;0,F86+E87,0)),F86)</f>
        <v>-90.874993188462881</v>
      </c>
      <c r="G88" s="630">
        <f t="shared" si="81"/>
        <v>-6.2774705345574473</v>
      </c>
      <c r="H88" s="630">
        <f t="shared" si="81"/>
        <v>2.8086995180423755</v>
      </c>
      <c r="I88" s="630">
        <f t="shared" si="81"/>
        <v>6.6196661364088589</v>
      </c>
      <c r="J88" s="630">
        <f t="shared" si="81"/>
        <v>6.3569420787599755</v>
      </c>
      <c r="K88" s="630">
        <f t="shared" si="81"/>
        <v>16.791979249193204</v>
      </c>
      <c r="L88" s="630">
        <f t="shared" si="81"/>
        <v>17.035721346782051</v>
      </c>
      <c r="M88" s="630">
        <f t="shared" si="81"/>
        <v>17.28374590133501</v>
      </c>
      <c r="N88" s="630">
        <f t="shared" si="81"/>
        <v>17.538428944331489</v>
      </c>
      <c r="O88" s="630">
        <f t="shared" si="81"/>
        <v>17.802180866945093</v>
      </c>
      <c r="P88" s="630">
        <f t="shared" si="81"/>
        <v>18.077453758580734</v>
      </c>
      <c r="Q88" s="630">
        <f t="shared" si="81"/>
        <v>18.065726737871177</v>
      </c>
      <c r="R88" s="630">
        <f t="shared" si="81"/>
        <v>18.085631288812969</v>
      </c>
      <c r="S88" s="630">
        <f t="shared" si="81"/>
        <v>18.139037874046043</v>
      </c>
      <c r="T88" s="630">
        <f t="shared" si="81"/>
        <v>18.227927558216162</v>
      </c>
      <c r="U88" s="630">
        <f t="shared" si="81"/>
        <v>18.354398547898967</v>
      </c>
      <c r="V88" s="630">
        <f t="shared" si="81"/>
        <v>18.520673118230093</v>
      </c>
      <c r="W88" s="630">
        <f t="shared" si="81"/>
        <v>18.72910494910748</v>
      </c>
      <c r="X88" s="630">
        <f t="shared" si="81"/>
        <v>18.982186895183787</v>
      </c>
      <c r="Y88" s="630">
        <f t="shared" si="81"/>
        <v>19.282559215298992</v>
      </c>
      <c r="Z88" s="630">
        <f t="shared" si="81"/>
        <v>3.5626150516980171</v>
      </c>
      <c r="AA88" s="630">
        <f t="shared" si="81"/>
        <v>3.0158796653441167</v>
      </c>
      <c r="AB88" s="630">
        <f t="shared" si="81"/>
        <v>2.4691417571987553</v>
      </c>
      <c r="AC88" s="630">
        <f t="shared" si="81"/>
        <v>1.9224012827474071</v>
      </c>
      <c r="AD88" s="630">
        <f t="shared" si="81"/>
        <v>1.3756581966897792</v>
      </c>
      <c r="AE88" s="630">
        <f t="shared" si="81"/>
        <v>0.82891245292593341</v>
      </c>
      <c r="AF88" s="630">
        <f t="shared" si="81"/>
        <v>0.28216400454218582</v>
      </c>
      <c r="AG88" s="630">
        <f t="shared" si="81"/>
        <v>-0.26458719620326782</v>
      </c>
      <c r="AH88" s="630">
        <f t="shared" si="81"/>
        <v>-0.81134119789497117</v>
      </c>
      <c r="AI88" s="630">
        <f t="shared" si="81"/>
        <v>-1.3580980499750754</v>
      </c>
      <c r="AJ88" s="630">
        <f t="shared" si="81"/>
        <v>0</v>
      </c>
      <c r="AK88" s="630">
        <f t="shared" si="81"/>
        <v>0</v>
      </c>
      <c r="AL88" s="630">
        <f t="shared" si="81"/>
        <v>0</v>
      </c>
      <c r="AM88" s="630">
        <f t="shared" si="81"/>
        <v>0</v>
      </c>
      <c r="AN88" s="630">
        <f t="shared" si="81"/>
        <v>0</v>
      </c>
      <c r="AO88" s="630">
        <f t="shared" si="81"/>
        <v>0</v>
      </c>
      <c r="AP88" s="630">
        <f t="shared" si="81"/>
        <v>0</v>
      </c>
      <c r="AQ88" s="630">
        <f t="shared" si="81"/>
        <v>0</v>
      </c>
      <c r="AR88" s="630">
        <f t="shared" si="81"/>
        <v>0</v>
      </c>
      <c r="AS88" s="630">
        <f t="shared" si="81"/>
        <v>0</v>
      </c>
    </row>
    <row r="89" spans="1:45" s="43" customFormat="1" ht="13.5" thickBot="1">
      <c r="B89" s="2480" t="s">
        <v>1635</v>
      </c>
      <c r="D89" s="2458">
        <f>-PMT(DiscountRate,BookLife,E89)</f>
        <v>0</v>
      </c>
      <c r="E89" s="2459">
        <f>NPV(DiscountRate,F89:AS89)*(1)</f>
        <v>0</v>
      </c>
      <c r="F89" s="2461">
        <f t="shared" ref="F89:Y89" si="82">IF(F8,F97*InstalledCostPerkW*(1-BETCDepreciation),0)</f>
        <v>0</v>
      </c>
      <c r="G89" s="2461">
        <f t="shared" si="82"/>
        <v>0</v>
      </c>
      <c r="H89" s="2461">
        <f t="shared" si="82"/>
        <v>0</v>
      </c>
      <c r="I89" s="2461">
        <f t="shared" si="82"/>
        <v>0</v>
      </c>
      <c r="J89" s="2461">
        <f t="shared" si="82"/>
        <v>0</v>
      </c>
      <c r="K89" s="2461">
        <f t="shared" si="82"/>
        <v>0</v>
      </c>
      <c r="L89" s="2461">
        <f t="shared" si="82"/>
        <v>0</v>
      </c>
      <c r="M89" s="2461">
        <f t="shared" si="82"/>
        <v>0</v>
      </c>
      <c r="N89" s="2461">
        <f t="shared" si="82"/>
        <v>0</v>
      </c>
      <c r="O89" s="2461">
        <f t="shared" si="82"/>
        <v>0</v>
      </c>
      <c r="P89" s="2461">
        <f t="shared" si="82"/>
        <v>0</v>
      </c>
      <c r="Q89" s="2461">
        <f t="shared" si="82"/>
        <v>0</v>
      </c>
      <c r="R89" s="2461">
        <f t="shared" si="82"/>
        <v>0</v>
      </c>
      <c r="S89" s="2461">
        <f t="shared" si="82"/>
        <v>0</v>
      </c>
      <c r="T89" s="2461">
        <f t="shared" si="82"/>
        <v>0</v>
      </c>
      <c r="U89" s="2461">
        <f t="shared" si="82"/>
        <v>0</v>
      </c>
      <c r="V89" s="2461">
        <f t="shared" si="82"/>
        <v>0</v>
      </c>
      <c r="W89" s="2461">
        <f t="shared" si="82"/>
        <v>0</v>
      </c>
      <c r="X89" s="2461">
        <f t="shared" si="82"/>
        <v>0</v>
      </c>
      <c r="Y89" s="2461">
        <f t="shared" si="82"/>
        <v>0</v>
      </c>
      <c r="Z89" s="2461">
        <f t="shared" ref="Z89:AS89" si="83">IF(Z8,Z97*InstalledCostPerkW*(1-BETCDepreciation),0)</f>
        <v>0</v>
      </c>
      <c r="AA89" s="2461">
        <f t="shared" si="83"/>
        <v>0</v>
      </c>
      <c r="AB89" s="2461">
        <f t="shared" si="83"/>
        <v>0</v>
      </c>
      <c r="AC89" s="2461">
        <f t="shared" si="83"/>
        <v>0</v>
      </c>
      <c r="AD89" s="2461">
        <f t="shared" si="83"/>
        <v>0</v>
      </c>
      <c r="AE89" s="2461">
        <f t="shared" si="83"/>
        <v>0</v>
      </c>
      <c r="AF89" s="2461">
        <f t="shared" si="83"/>
        <v>0</v>
      </c>
      <c r="AG89" s="2461">
        <f t="shared" si="83"/>
        <v>0</v>
      </c>
      <c r="AH89" s="2461">
        <f t="shared" si="83"/>
        <v>0</v>
      </c>
      <c r="AI89" s="2461">
        <f t="shared" si="83"/>
        <v>0</v>
      </c>
      <c r="AJ89" s="2461">
        <f t="shared" si="83"/>
        <v>0</v>
      </c>
      <c r="AK89" s="2461">
        <f t="shared" si="83"/>
        <v>0</v>
      </c>
      <c r="AL89" s="2461">
        <f t="shared" si="83"/>
        <v>0</v>
      </c>
      <c r="AM89" s="2461">
        <f t="shared" si="83"/>
        <v>0</v>
      </c>
      <c r="AN89" s="2461">
        <f t="shared" si="83"/>
        <v>0</v>
      </c>
      <c r="AO89" s="2461">
        <f t="shared" si="83"/>
        <v>0</v>
      </c>
      <c r="AP89" s="2461">
        <f t="shared" si="83"/>
        <v>0</v>
      </c>
      <c r="AQ89" s="2461">
        <f t="shared" si="83"/>
        <v>0</v>
      </c>
      <c r="AR89" s="2461">
        <f t="shared" si="83"/>
        <v>0</v>
      </c>
      <c r="AS89" s="2461">
        <f t="shared" si="83"/>
        <v>0</v>
      </c>
    </row>
    <row r="90" spans="1:45" s="2334" customFormat="1">
      <c r="B90" s="2206" t="str">
        <f>IF(AND(F$1,TaxLossTreatment=TaxMinZero,EligibleREPTC="Y",E74&lt;E82),B70,B68)</f>
        <v>BEITC (Tax Credit)</v>
      </c>
      <c r="D90" s="630"/>
      <c r="E90" s="314"/>
      <c r="F90" s="2460"/>
      <c r="G90" s="630"/>
      <c r="H90" s="630"/>
      <c r="I90" s="630"/>
      <c r="J90" s="630"/>
      <c r="K90" s="630"/>
      <c r="L90" s="630"/>
      <c r="M90" s="630"/>
      <c r="N90" s="630"/>
      <c r="O90" s="630"/>
      <c r="P90" s="630"/>
      <c r="Q90" s="630"/>
      <c r="R90" s="630"/>
      <c r="S90" s="630"/>
      <c r="T90" s="630"/>
      <c r="U90" s="630"/>
      <c r="V90" s="630"/>
      <c r="W90" s="630"/>
      <c r="X90" s="630"/>
      <c r="Y90" s="630"/>
      <c r="Z90" s="630"/>
      <c r="AA90" s="630"/>
      <c r="AB90" s="630"/>
      <c r="AC90" s="630"/>
      <c r="AD90" s="630"/>
      <c r="AE90" s="630"/>
      <c r="AF90" s="630"/>
      <c r="AG90" s="630"/>
      <c r="AH90" s="630"/>
      <c r="AI90" s="630"/>
      <c r="AJ90" s="630"/>
      <c r="AK90" s="630"/>
      <c r="AL90" s="630"/>
      <c r="AM90" s="630"/>
      <c r="AN90" s="630"/>
      <c r="AO90" s="630"/>
      <c r="AP90" s="630"/>
      <c r="AQ90" s="630"/>
      <c r="AR90" s="630"/>
      <c r="AS90" s="630"/>
    </row>
    <row r="91" spans="1:45" s="1102" customFormat="1">
      <c r="B91" s="1103" t="s">
        <v>979</v>
      </c>
      <c r="C91" s="1103" t="s">
        <v>980</v>
      </c>
      <c r="D91" s="1027">
        <f>-PMT(DiscountRate,BookLife,E91)</f>
        <v>192.27181630862108</v>
      </c>
      <c r="E91" s="1408">
        <f>NPV(DiscountRate,F91:AS91)*(1)</f>
        <v>2474.9943089798585</v>
      </c>
      <c r="F91" s="1030">
        <f t="shared" ref="F91:AS91" si="84">F51-F73</f>
        <v>245.28344497043304</v>
      </c>
      <c r="G91" s="1030">
        <f t="shared" si="84"/>
        <v>241.6196674318561</v>
      </c>
      <c r="H91" s="1030">
        <f t="shared" si="84"/>
        <v>237.95588989327908</v>
      </c>
      <c r="I91" s="1030">
        <f t="shared" si="84"/>
        <v>234.29211235470203</v>
      </c>
      <c r="J91" s="1030">
        <f t="shared" si="84"/>
        <v>230.62833481612503</v>
      </c>
      <c r="K91" s="1030">
        <f t="shared" si="84"/>
        <v>226.96455727754801</v>
      </c>
      <c r="L91" s="1030">
        <f t="shared" si="84"/>
        <v>223.30077973897099</v>
      </c>
      <c r="M91" s="1030">
        <f t="shared" si="84"/>
        <v>219.63700220039397</v>
      </c>
      <c r="N91" s="1030">
        <f t="shared" si="84"/>
        <v>215.97322466181697</v>
      </c>
      <c r="O91" s="1030">
        <f t="shared" si="84"/>
        <v>212.30944712323992</v>
      </c>
      <c r="P91" s="1030">
        <f t="shared" si="84"/>
        <v>208.64566958466293</v>
      </c>
      <c r="Q91" s="1030">
        <f t="shared" si="84"/>
        <v>204.98189204608593</v>
      </c>
      <c r="R91" s="1030">
        <f t="shared" si="84"/>
        <v>201.31811450750888</v>
      </c>
      <c r="S91" s="1030">
        <f t="shared" si="84"/>
        <v>197.65433696893189</v>
      </c>
      <c r="T91" s="1030">
        <f t="shared" si="84"/>
        <v>193.99055943035484</v>
      </c>
      <c r="U91" s="1030">
        <f t="shared" si="84"/>
        <v>190.32678189177787</v>
      </c>
      <c r="V91" s="1030">
        <f t="shared" si="84"/>
        <v>186.66300435320085</v>
      </c>
      <c r="W91" s="1030">
        <f t="shared" si="84"/>
        <v>182.99922681462385</v>
      </c>
      <c r="X91" s="1030">
        <f t="shared" si="84"/>
        <v>179.3354492760468</v>
      </c>
      <c r="Y91" s="1030">
        <f t="shared" si="84"/>
        <v>175.67167173746981</v>
      </c>
      <c r="Z91" s="1030">
        <f t="shared" si="84"/>
        <v>64.288926620313688</v>
      </c>
      <c r="AA91" s="1030">
        <f t="shared" si="84"/>
        <v>60.62514908173668</v>
      </c>
      <c r="AB91" s="1030">
        <f t="shared" si="84"/>
        <v>56.961371543159657</v>
      </c>
      <c r="AC91" s="1030">
        <f t="shared" si="84"/>
        <v>53.297594004582628</v>
      </c>
      <c r="AD91" s="1030">
        <f t="shared" si="84"/>
        <v>49.633816466005626</v>
      </c>
      <c r="AE91" s="1030">
        <f t="shared" si="84"/>
        <v>45.970038927428611</v>
      </c>
      <c r="AF91" s="1030">
        <f t="shared" si="84"/>
        <v>42.306261388851581</v>
      </c>
      <c r="AG91" s="1030">
        <f t="shared" si="84"/>
        <v>38.642483850274573</v>
      </c>
      <c r="AH91" s="1030">
        <f t="shared" si="84"/>
        <v>34.978706311697565</v>
      </c>
      <c r="AI91" s="1030">
        <f t="shared" si="84"/>
        <v>31.314928773120549</v>
      </c>
      <c r="AJ91" s="1030">
        <f t="shared" si="84"/>
        <v>0</v>
      </c>
      <c r="AK91" s="1030">
        <f t="shared" si="84"/>
        <v>0</v>
      </c>
      <c r="AL91" s="1030">
        <f t="shared" si="84"/>
        <v>0</v>
      </c>
      <c r="AM91" s="1030">
        <f t="shared" si="84"/>
        <v>0</v>
      </c>
      <c r="AN91" s="1030">
        <f t="shared" si="84"/>
        <v>0</v>
      </c>
      <c r="AO91" s="1030">
        <f t="shared" si="84"/>
        <v>0</v>
      </c>
      <c r="AP91" s="1030">
        <f t="shared" si="84"/>
        <v>0</v>
      </c>
      <c r="AQ91" s="1030">
        <f t="shared" si="84"/>
        <v>0</v>
      </c>
      <c r="AR91" s="1030">
        <f t="shared" si="84"/>
        <v>0</v>
      </c>
      <c r="AS91" s="1030">
        <f t="shared" si="84"/>
        <v>0</v>
      </c>
    </row>
    <row r="92" spans="1:45" s="103" customFormat="1">
      <c r="B92" s="639"/>
      <c r="E92" s="1409"/>
      <c r="F92" s="642"/>
    </row>
    <row r="93" spans="1:45" s="131" customFormat="1">
      <c r="B93" s="132" t="s">
        <v>989</v>
      </c>
      <c r="E93" s="710">
        <f>SUM(F93:AS93)</f>
        <v>0.99999999999999989</v>
      </c>
      <c r="F93" s="696">
        <f>IF(F2&lt;=BookLife,1/BookLife,"")</f>
        <v>3.3333333333333333E-2</v>
      </c>
      <c r="G93" s="696">
        <f t="shared" ref="G93:AS93" si="85">IF(G2&lt;=BookLife,1/BookLife,"")</f>
        <v>3.3333333333333333E-2</v>
      </c>
      <c r="H93" s="696">
        <f t="shared" si="85"/>
        <v>3.3333333333333333E-2</v>
      </c>
      <c r="I93" s="696">
        <f t="shared" si="85"/>
        <v>3.3333333333333333E-2</v>
      </c>
      <c r="J93" s="696">
        <f t="shared" si="85"/>
        <v>3.3333333333333333E-2</v>
      </c>
      <c r="K93" s="696">
        <f t="shared" si="85"/>
        <v>3.3333333333333333E-2</v>
      </c>
      <c r="L93" s="696">
        <f t="shared" si="85"/>
        <v>3.3333333333333333E-2</v>
      </c>
      <c r="M93" s="696">
        <f t="shared" si="85"/>
        <v>3.3333333333333333E-2</v>
      </c>
      <c r="N93" s="696">
        <f t="shared" si="85"/>
        <v>3.3333333333333333E-2</v>
      </c>
      <c r="O93" s="696">
        <f t="shared" si="85"/>
        <v>3.3333333333333333E-2</v>
      </c>
      <c r="P93" s="696">
        <f t="shared" si="85"/>
        <v>3.3333333333333333E-2</v>
      </c>
      <c r="Q93" s="696">
        <f t="shared" si="85"/>
        <v>3.3333333333333333E-2</v>
      </c>
      <c r="R93" s="696">
        <f t="shared" si="85"/>
        <v>3.3333333333333333E-2</v>
      </c>
      <c r="S93" s="696">
        <f t="shared" si="85"/>
        <v>3.3333333333333333E-2</v>
      </c>
      <c r="T93" s="696">
        <f t="shared" si="85"/>
        <v>3.3333333333333333E-2</v>
      </c>
      <c r="U93" s="696">
        <f t="shared" si="85"/>
        <v>3.3333333333333333E-2</v>
      </c>
      <c r="V93" s="696">
        <f t="shared" si="85"/>
        <v>3.3333333333333333E-2</v>
      </c>
      <c r="W93" s="696">
        <f t="shared" si="85"/>
        <v>3.3333333333333333E-2</v>
      </c>
      <c r="X93" s="696">
        <f t="shared" si="85"/>
        <v>3.3333333333333333E-2</v>
      </c>
      <c r="Y93" s="696">
        <f t="shared" si="85"/>
        <v>3.3333333333333333E-2</v>
      </c>
      <c r="Z93" s="696">
        <f t="shared" si="85"/>
        <v>3.3333333333333333E-2</v>
      </c>
      <c r="AA93" s="696">
        <f t="shared" si="85"/>
        <v>3.3333333333333333E-2</v>
      </c>
      <c r="AB93" s="696">
        <f t="shared" si="85"/>
        <v>3.3333333333333333E-2</v>
      </c>
      <c r="AC93" s="696">
        <f t="shared" si="85"/>
        <v>3.3333333333333333E-2</v>
      </c>
      <c r="AD93" s="696">
        <f t="shared" si="85"/>
        <v>3.3333333333333333E-2</v>
      </c>
      <c r="AE93" s="696">
        <f t="shared" si="85"/>
        <v>3.3333333333333333E-2</v>
      </c>
      <c r="AF93" s="696">
        <f t="shared" si="85"/>
        <v>3.3333333333333333E-2</v>
      </c>
      <c r="AG93" s="696">
        <f t="shared" si="85"/>
        <v>3.3333333333333333E-2</v>
      </c>
      <c r="AH93" s="696">
        <f t="shared" si="85"/>
        <v>3.3333333333333333E-2</v>
      </c>
      <c r="AI93" s="696">
        <f t="shared" si="85"/>
        <v>3.3333333333333333E-2</v>
      </c>
      <c r="AJ93" s="696" t="str">
        <f t="shared" si="85"/>
        <v/>
      </c>
      <c r="AK93" s="696" t="str">
        <f t="shared" si="85"/>
        <v/>
      </c>
      <c r="AL93" s="696" t="str">
        <f t="shared" si="85"/>
        <v/>
      </c>
      <c r="AM93" s="696" t="str">
        <f t="shared" si="85"/>
        <v/>
      </c>
      <c r="AN93" s="696" t="str">
        <f t="shared" si="85"/>
        <v/>
      </c>
      <c r="AO93" s="696" t="str">
        <f t="shared" si="85"/>
        <v/>
      </c>
      <c r="AP93" s="696" t="str">
        <f t="shared" si="85"/>
        <v/>
      </c>
      <c r="AQ93" s="696" t="str">
        <f t="shared" si="85"/>
        <v/>
      </c>
      <c r="AR93" s="696" t="str">
        <f t="shared" si="85"/>
        <v/>
      </c>
      <c r="AS93" s="696" t="str">
        <f t="shared" si="85"/>
        <v/>
      </c>
    </row>
    <row r="94" spans="1:45" s="651" customFormat="1">
      <c r="B94" s="712" t="s">
        <v>302</v>
      </c>
      <c r="D94" s="698">
        <f>-PMT(DiscountRate,BookLife,E94)</f>
        <v>69.127878086358777</v>
      </c>
      <c r="E94" s="699">
        <f>NPV(DiscountRate,F94:AS94)*(1)</f>
        <v>889.83974947720958</v>
      </c>
      <c r="F94" s="704">
        <f t="shared" ref="F94:AS94" si="86">IF(F1,F93*InstalledCostPerkW,0)</f>
        <v>69.127878086358791</v>
      </c>
      <c r="G94" s="704">
        <f t="shared" si="86"/>
        <v>69.127878086358791</v>
      </c>
      <c r="H94" s="704">
        <f t="shared" si="86"/>
        <v>69.127878086358791</v>
      </c>
      <c r="I94" s="704">
        <f t="shared" si="86"/>
        <v>69.127878086358791</v>
      </c>
      <c r="J94" s="704">
        <f t="shared" si="86"/>
        <v>69.127878086358791</v>
      </c>
      <c r="K94" s="704">
        <f t="shared" si="86"/>
        <v>69.127878086358791</v>
      </c>
      <c r="L94" s="704">
        <f t="shared" si="86"/>
        <v>69.127878086358791</v>
      </c>
      <c r="M94" s="704">
        <f t="shared" si="86"/>
        <v>69.127878086358791</v>
      </c>
      <c r="N94" s="704">
        <f t="shared" si="86"/>
        <v>69.127878086358791</v>
      </c>
      <c r="O94" s="704">
        <f t="shared" si="86"/>
        <v>69.127878086358791</v>
      </c>
      <c r="P94" s="704">
        <f t="shared" si="86"/>
        <v>69.127878086358791</v>
      </c>
      <c r="Q94" s="704">
        <f t="shared" si="86"/>
        <v>69.127878086358791</v>
      </c>
      <c r="R94" s="704">
        <f t="shared" si="86"/>
        <v>69.127878086358791</v>
      </c>
      <c r="S94" s="704">
        <f t="shared" si="86"/>
        <v>69.127878086358791</v>
      </c>
      <c r="T94" s="704">
        <f t="shared" si="86"/>
        <v>69.127878086358791</v>
      </c>
      <c r="U94" s="704">
        <f t="shared" si="86"/>
        <v>69.127878086358791</v>
      </c>
      <c r="V94" s="704">
        <f t="shared" si="86"/>
        <v>69.127878086358791</v>
      </c>
      <c r="W94" s="704">
        <f t="shared" si="86"/>
        <v>69.127878086358791</v>
      </c>
      <c r="X94" s="704">
        <f t="shared" si="86"/>
        <v>69.127878086358791</v>
      </c>
      <c r="Y94" s="704">
        <f t="shared" si="86"/>
        <v>69.127878086358791</v>
      </c>
      <c r="Z94" s="704">
        <f t="shared" si="86"/>
        <v>69.127878086358791</v>
      </c>
      <c r="AA94" s="704">
        <f t="shared" si="86"/>
        <v>69.127878086358791</v>
      </c>
      <c r="AB94" s="704">
        <f t="shared" si="86"/>
        <v>69.127878086358791</v>
      </c>
      <c r="AC94" s="704">
        <f t="shared" si="86"/>
        <v>69.127878086358791</v>
      </c>
      <c r="AD94" s="704">
        <f t="shared" si="86"/>
        <v>69.127878086358791</v>
      </c>
      <c r="AE94" s="704">
        <f t="shared" si="86"/>
        <v>69.127878086358791</v>
      </c>
      <c r="AF94" s="704">
        <f t="shared" si="86"/>
        <v>69.127878086358791</v>
      </c>
      <c r="AG94" s="704">
        <f t="shared" si="86"/>
        <v>69.127878086358791</v>
      </c>
      <c r="AH94" s="704">
        <f t="shared" si="86"/>
        <v>69.127878086358791</v>
      </c>
      <c r="AI94" s="704">
        <f t="shared" si="86"/>
        <v>69.127878086358791</v>
      </c>
      <c r="AJ94" s="704">
        <f t="shared" si="86"/>
        <v>0</v>
      </c>
      <c r="AK94" s="704">
        <f t="shared" si="86"/>
        <v>0</v>
      </c>
      <c r="AL94" s="704">
        <f t="shared" si="86"/>
        <v>0</v>
      </c>
      <c r="AM94" s="704">
        <f t="shared" si="86"/>
        <v>0</v>
      </c>
      <c r="AN94" s="704">
        <f t="shared" si="86"/>
        <v>0</v>
      </c>
      <c r="AO94" s="704">
        <f t="shared" si="86"/>
        <v>0</v>
      </c>
      <c r="AP94" s="704">
        <f t="shared" si="86"/>
        <v>0</v>
      </c>
      <c r="AQ94" s="704">
        <f t="shared" si="86"/>
        <v>0</v>
      </c>
      <c r="AR94" s="704">
        <f t="shared" si="86"/>
        <v>0</v>
      </c>
      <c r="AS94" s="704">
        <f t="shared" si="86"/>
        <v>0</v>
      </c>
    </row>
    <row r="95" spans="1:45" s="131" customFormat="1">
      <c r="B95" s="669" t="s">
        <v>992</v>
      </c>
      <c r="E95" s="710">
        <f>SUM(F95:AS95)</f>
        <v>1</v>
      </c>
      <c r="F95" s="710">
        <f>VLOOKUP(FedTaxLife,$D$135:$AS$140,(2+(F$4-$F$4)+1),1)</f>
        <v>0.4</v>
      </c>
      <c r="G95" s="710">
        <f t="shared" ref="G95:AS95" si="87">VLOOKUP(FedTaxLife,$D$135:$AS$140,(2+(G$4-$F$4)+1))</f>
        <v>0.24</v>
      </c>
      <c r="H95" s="710">
        <f t="shared" si="87"/>
        <v>0.14399999999999999</v>
      </c>
      <c r="I95" s="710">
        <f t="shared" si="87"/>
        <v>0.10525714285714287</v>
      </c>
      <c r="J95" s="710">
        <f t="shared" si="87"/>
        <v>0.11074285714285725</v>
      </c>
      <c r="K95" s="710">
        <f t="shared" si="87"/>
        <v>0</v>
      </c>
      <c r="L95" s="710">
        <f t="shared" si="87"/>
        <v>0</v>
      </c>
      <c r="M95" s="710">
        <f t="shared" si="87"/>
        <v>0</v>
      </c>
      <c r="N95" s="710">
        <f t="shared" si="87"/>
        <v>0</v>
      </c>
      <c r="O95" s="710">
        <f t="shared" si="87"/>
        <v>0</v>
      </c>
      <c r="P95" s="710">
        <f t="shared" si="87"/>
        <v>0</v>
      </c>
      <c r="Q95" s="710">
        <f t="shared" si="87"/>
        <v>0</v>
      </c>
      <c r="R95" s="710">
        <f t="shared" si="87"/>
        <v>0</v>
      </c>
      <c r="S95" s="710">
        <f t="shared" si="87"/>
        <v>0</v>
      </c>
      <c r="T95" s="710">
        <f t="shared" si="87"/>
        <v>0</v>
      </c>
      <c r="U95" s="710">
        <f t="shared" si="87"/>
        <v>0</v>
      </c>
      <c r="V95" s="710">
        <f t="shared" si="87"/>
        <v>0</v>
      </c>
      <c r="W95" s="710">
        <f t="shared" si="87"/>
        <v>0</v>
      </c>
      <c r="X95" s="710">
        <f t="shared" si="87"/>
        <v>0</v>
      </c>
      <c r="Y95" s="710">
        <f t="shared" si="87"/>
        <v>0</v>
      </c>
      <c r="Z95" s="710">
        <f t="shared" si="87"/>
        <v>0</v>
      </c>
      <c r="AA95" s="710">
        <f t="shared" si="87"/>
        <v>0</v>
      </c>
      <c r="AB95" s="710">
        <f t="shared" si="87"/>
        <v>0</v>
      </c>
      <c r="AC95" s="710">
        <f t="shared" si="87"/>
        <v>0</v>
      </c>
      <c r="AD95" s="710">
        <f t="shared" si="87"/>
        <v>0</v>
      </c>
      <c r="AE95" s="710">
        <f t="shared" si="87"/>
        <v>0</v>
      </c>
      <c r="AF95" s="710">
        <f t="shared" si="87"/>
        <v>0</v>
      </c>
      <c r="AG95" s="710">
        <f t="shared" si="87"/>
        <v>0</v>
      </c>
      <c r="AH95" s="710">
        <f t="shared" si="87"/>
        <v>0</v>
      </c>
      <c r="AI95" s="710">
        <f t="shared" si="87"/>
        <v>0</v>
      </c>
      <c r="AJ95" s="710">
        <f t="shared" si="87"/>
        <v>0</v>
      </c>
      <c r="AK95" s="710">
        <f t="shared" si="87"/>
        <v>0</v>
      </c>
      <c r="AL95" s="710">
        <f t="shared" si="87"/>
        <v>0</v>
      </c>
      <c r="AM95" s="710">
        <f t="shared" si="87"/>
        <v>0</v>
      </c>
      <c r="AN95" s="710">
        <f t="shared" si="87"/>
        <v>0</v>
      </c>
      <c r="AO95" s="710">
        <f t="shared" si="87"/>
        <v>0</v>
      </c>
      <c r="AP95" s="710">
        <f t="shared" si="87"/>
        <v>0</v>
      </c>
      <c r="AQ95" s="710">
        <f t="shared" si="87"/>
        <v>0</v>
      </c>
      <c r="AR95" s="710">
        <f t="shared" si="87"/>
        <v>0</v>
      </c>
      <c r="AS95" s="710">
        <f t="shared" si="87"/>
        <v>0</v>
      </c>
    </row>
    <row r="96" spans="1:45" s="2528" customFormat="1">
      <c r="B96" s="2529" t="s">
        <v>993</v>
      </c>
      <c r="D96" s="2530">
        <f>-PMT(DiscountRate,BookLife,E96)</f>
        <v>118.67096164181071</v>
      </c>
      <c r="E96" s="2531">
        <f>NPV(DiscountRate,F96:AS96)*(1)</f>
        <v>1527.5767418413843</v>
      </c>
      <c r="F96" s="2532">
        <f t="shared" ref="F96:AS96" si="88">IF(F1,F95*InstalledCostPerkW*(1-BETCDepreciation),0)</f>
        <v>705.10435648085968</v>
      </c>
      <c r="G96" s="2532">
        <f t="shared" si="88"/>
        <v>423.06261388851578</v>
      </c>
      <c r="H96" s="2532">
        <f t="shared" si="88"/>
        <v>253.83756833310946</v>
      </c>
      <c r="I96" s="2532">
        <f t="shared" si="88"/>
        <v>185.54317494824909</v>
      </c>
      <c r="J96" s="2532">
        <f t="shared" si="88"/>
        <v>195.21317755141536</v>
      </c>
      <c r="K96" s="2532">
        <f t="shared" si="88"/>
        <v>0</v>
      </c>
      <c r="L96" s="2532">
        <f t="shared" si="88"/>
        <v>0</v>
      </c>
      <c r="M96" s="2532">
        <f t="shared" si="88"/>
        <v>0</v>
      </c>
      <c r="N96" s="2532">
        <f t="shared" si="88"/>
        <v>0</v>
      </c>
      <c r="O96" s="2532">
        <f t="shared" si="88"/>
        <v>0</v>
      </c>
      <c r="P96" s="2532">
        <f t="shared" si="88"/>
        <v>0</v>
      </c>
      <c r="Q96" s="2532">
        <f t="shared" si="88"/>
        <v>0</v>
      </c>
      <c r="R96" s="2532">
        <f t="shared" si="88"/>
        <v>0</v>
      </c>
      <c r="S96" s="2532">
        <f t="shared" si="88"/>
        <v>0</v>
      </c>
      <c r="T96" s="2532">
        <f t="shared" si="88"/>
        <v>0</v>
      </c>
      <c r="U96" s="2532">
        <f t="shared" si="88"/>
        <v>0</v>
      </c>
      <c r="V96" s="2532">
        <f t="shared" si="88"/>
        <v>0</v>
      </c>
      <c r="W96" s="2532">
        <f t="shared" si="88"/>
        <v>0</v>
      </c>
      <c r="X96" s="2532">
        <f t="shared" si="88"/>
        <v>0</v>
      </c>
      <c r="Y96" s="2532">
        <f t="shared" si="88"/>
        <v>0</v>
      </c>
      <c r="Z96" s="2532">
        <f t="shared" si="88"/>
        <v>0</v>
      </c>
      <c r="AA96" s="2532">
        <f t="shared" si="88"/>
        <v>0</v>
      </c>
      <c r="AB96" s="2532">
        <f t="shared" si="88"/>
        <v>0</v>
      </c>
      <c r="AC96" s="2532">
        <f t="shared" si="88"/>
        <v>0</v>
      </c>
      <c r="AD96" s="2532">
        <f t="shared" si="88"/>
        <v>0</v>
      </c>
      <c r="AE96" s="2532">
        <f t="shared" si="88"/>
        <v>0</v>
      </c>
      <c r="AF96" s="2532">
        <f t="shared" si="88"/>
        <v>0</v>
      </c>
      <c r="AG96" s="2532">
        <f t="shared" si="88"/>
        <v>0</v>
      </c>
      <c r="AH96" s="2532">
        <f t="shared" si="88"/>
        <v>0</v>
      </c>
      <c r="AI96" s="2532">
        <f t="shared" si="88"/>
        <v>0</v>
      </c>
      <c r="AJ96" s="2532">
        <f t="shared" si="88"/>
        <v>0</v>
      </c>
      <c r="AK96" s="2532">
        <f t="shared" si="88"/>
        <v>0</v>
      </c>
      <c r="AL96" s="2532">
        <f t="shared" si="88"/>
        <v>0</v>
      </c>
      <c r="AM96" s="2532">
        <f t="shared" si="88"/>
        <v>0</v>
      </c>
      <c r="AN96" s="2532">
        <f t="shared" si="88"/>
        <v>0</v>
      </c>
      <c r="AO96" s="2532">
        <f t="shared" si="88"/>
        <v>0</v>
      </c>
      <c r="AP96" s="2532">
        <f t="shared" si="88"/>
        <v>0</v>
      </c>
      <c r="AQ96" s="2532">
        <f t="shared" si="88"/>
        <v>0</v>
      </c>
      <c r="AR96" s="2532">
        <f t="shared" si="88"/>
        <v>0</v>
      </c>
      <c r="AS96" s="2532">
        <f t="shared" si="88"/>
        <v>0</v>
      </c>
    </row>
    <row r="97" spans="1:46" s="131" customFormat="1">
      <c r="B97" s="131" t="s">
        <v>994</v>
      </c>
      <c r="C97" s="1003"/>
      <c r="D97" s="669"/>
      <c r="E97" s="710">
        <f>SUM(F97:AS97)</f>
        <v>0.99999999999999922</v>
      </c>
      <c r="F97" s="696">
        <f t="shared" ref="F97:AS97" si="89">F153</f>
        <v>0.05</v>
      </c>
      <c r="G97" s="696">
        <f t="shared" si="89"/>
        <v>4.7500000000000001E-2</v>
      </c>
      <c r="H97" s="696">
        <f t="shared" si="89"/>
        <v>4.5124999999999998E-2</v>
      </c>
      <c r="I97" s="696">
        <f t="shared" si="89"/>
        <v>4.2868750000000004E-2</v>
      </c>
      <c r="J97" s="696">
        <f t="shared" si="89"/>
        <v>4.0725312499999999E-2</v>
      </c>
      <c r="K97" s="696">
        <f t="shared" si="89"/>
        <v>3.8689046875000001E-2</v>
      </c>
      <c r="L97" s="696">
        <f t="shared" si="89"/>
        <v>3.6754594531250004E-2</v>
      </c>
      <c r="M97" s="696">
        <f t="shared" si="89"/>
        <v>3.4916864804687503E-2</v>
      </c>
      <c r="N97" s="696">
        <f t="shared" si="89"/>
        <v>3.3171021564453132E-2</v>
      </c>
      <c r="O97" s="696">
        <f t="shared" si="89"/>
        <v>3.1512470486230473E-2</v>
      </c>
      <c r="P97" s="696">
        <f t="shared" si="89"/>
        <v>2.9936846961918947E-2</v>
      </c>
      <c r="Q97" s="696">
        <f t="shared" si="89"/>
        <v>2.9936846961918947E-2</v>
      </c>
      <c r="R97" s="696">
        <f t="shared" si="89"/>
        <v>2.9936846961918947E-2</v>
      </c>
      <c r="S97" s="696">
        <f t="shared" si="89"/>
        <v>2.9936846961918947E-2</v>
      </c>
      <c r="T97" s="696">
        <f t="shared" si="89"/>
        <v>2.9936846961918947E-2</v>
      </c>
      <c r="U97" s="696">
        <f t="shared" si="89"/>
        <v>2.9936846961918947E-2</v>
      </c>
      <c r="V97" s="696">
        <f t="shared" si="89"/>
        <v>2.9936846961918947E-2</v>
      </c>
      <c r="W97" s="696">
        <f t="shared" si="89"/>
        <v>2.9936846961918947E-2</v>
      </c>
      <c r="X97" s="696">
        <f t="shared" si="89"/>
        <v>2.9936846961918947E-2</v>
      </c>
      <c r="Y97" s="696">
        <f t="shared" si="89"/>
        <v>2.9936846961918947E-2</v>
      </c>
      <c r="Z97" s="696">
        <f t="shared" si="89"/>
        <v>2.9936846961918947E-2</v>
      </c>
      <c r="AA97" s="696">
        <f t="shared" si="89"/>
        <v>2.9936846961918947E-2</v>
      </c>
      <c r="AB97" s="696">
        <f t="shared" si="89"/>
        <v>2.9936846961918947E-2</v>
      </c>
      <c r="AC97" s="696">
        <f t="shared" si="89"/>
        <v>2.9936846961918947E-2</v>
      </c>
      <c r="AD97" s="696">
        <f t="shared" si="89"/>
        <v>2.9936846961918947E-2</v>
      </c>
      <c r="AE97" s="696">
        <f t="shared" si="89"/>
        <v>2.9936846961918947E-2</v>
      </c>
      <c r="AF97" s="696">
        <f t="shared" si="89"/>
        <v>2.9936846961918947E-2</v>
      </c>
      <c r="AG97" s="696">
        <f t="shared" si="89"/>
        <v>2.9936846961918947E-2</v>
      </c>
      <c r="AH97" s="696">
        <f t="shared" si="89"/>
        <v>2.9936846961918947E-2</v>
      </c>
      <c r="AI97" s="696">
        <f t="shared" si="89"/>
        <v>2.9936846961918947E-2</v>
      </c>
      <c r="AJ97" s="696">
        <f t="shared" si="89"/>
        <v>0</v>
      </c>
      <c r="AK97" s="696">
        <f t="shared" si="89"/>
        <v>0</v>
      </c>
      <c r="AL97" s="696">
        <f t="shared" si="89"/>
        <v>0</v>
      </c>
      <c r="AM97" s="696">
        <f t="shared" si="89"/>
        <v>0</v>
      </c>
      <c r="AN97" s="696">
        <f t="shared" si="89"/>
        <v>0</v>
      </c>
      <c r="AO97" s="696">
        <f t="shared" si="89"/>
        <v>0</v>
      </c>
      <c r="AP97" s="696">
        <f t="shared" si="89"/>
        <v>0</v>
      </c>
      <c r="AQ97" s="696">
        <f t="shared" si="89"/>
        <v>0</v>
      </c>
      <c r="AR97" s="696">
        <f t="shared" si="89"/>
        <v>0</v>
      </c>
      <c r="AS97" s="696">
        <f t="shared" si="89"/>
        <v>0</v>
      </c>
      <c r="AT97" s="129"/>
    </row>
    <row r="98" spans="1:46" s="2533" customFormat="1">
      <c r="B98" s="2533" t="s">
        <v>554</v>
      </c>
      <c r="C98" s="2534"/>
      <c r="D98" s="2535">
        <f>-PMT(DiscountRate,BookLife,E98)</f>
        <v>75.05714993703883</v>
      </c>
      <c r="E98" s="2536">
        <f>NPV(DiscountRate,F98:AS98)*(1)</f>
        <v>966.16354132859794</v>
      </c>
      <c r="F98" s="2544">
        <f t="shared" ref="F98:AS98" si="90">IF(F1,F97*InstalledCostPerkW,0)</f>
        <v>103.69181712953819</v>
      </c>
      <c r="G98" s="2544">
        <f t="shared" si="90"/>
        <v>98.507226273061278</v>
      </c>
      <c r="H98" s="2544">
        <f t="shared" si="90"/>
        <v>93.581864959408207</v>
      </c>
      <c r="I98" s="2544">
        <f t="shared" si="90"/>
        <v>88.902771711437808</v>
      </c>
      <c r="J98" s="2544">
        <f t="shared" si="90"/>
        <v>84.457633125865911</v>
      </c>
      <c r="K98" s="2544">
        <f t="shared" si="90"/>
        <v>80.234751469572615</v>
      </c>
      <c r="L98" s="2544">
        <f t="shared" si="90"/>
        <v>76.223013896093988</v>
      </c>
      <c r="M98" s="2544">
        <f t="shared" si="90"/>
        <v>72.411863201289293</v>
      </c>
      <c r="N98" s="2544">
        <f t="shared" si="90"/>
        <v>68.791270041224834</v>
      </c>
      <c r="O98" s="2544">
        <f t="shared" si="90"/>
        <v>65.351706539163587</v>
      </c>
      <c r="P98" s="2544">
        <f t="shared" si="90"/>
        <v>62.084121212205403</v>
      </c>
      <c r="Q98" s="2544">
        <f t="shared" si="90"/>
        <v>62.084121212205403</v>
      </c>
      <c r="R98" s="2544">
        <f t="shared" si="90"/>
        <v>62.084121212205403</v>
      </c>
      <c r="S98" s="2544">
        <f t="shared" si="90"/>
        <v>62.084121212205403</v>
      </c>
      <c r="T98" s="2544">
        <f t="shared" si="90"/>
        <v>62.084121212205403</v>
      </c>
      <c r="U98" s="2544">
        <f t="shared" si="90"/>
        <v>62.084121212205403</v>
      </c>
      <c r="V98" s="2544">
        <f t="shared" si="90"/>
        <v>62.084121212205403</v>
      </c>
      <c r="W98" s="2544">
        <f t="shared" si="90"/>
        <v>62.084121212205403</v>
      </c>
      <c r="X98" s="2544">
        <f t="shared" si="90"/>
        <v>62.084121212205403</v>
      </c>
      <c r="Y98" s="2544">
        <f t="shared" si="90"/>
        <v>62.084121212205403</v>
      </c>
      <c r="Z98" s="2544">
        <f t="shared" si="90"/>
        <v>62.084121212205403</v>
      </c>
      <c r="AA98" s="2544">
        <f t="shared" si="90"/>
        <v>62.084121212205403</v>
      </c>
      <c r="AB98" s="2544">
        <f t="shared" si="90"/>
        <v>62.084121212205403</v>
      </c>
      <c r="AC98" s="2544">
        <f t="shared" si="90"/>
        <v>62.084121212205403</v>
      </c>
      <c r="AD98" s="2544">
        <f t="shared" si="90"/>
        <v>62.084121212205403</v>
      </c>
      <c r="AE98" s="2544">
        <f t="shared" si="90"/>
        <v>62.084121212205403</v>
      </c>
      <c r="AF98" s="2544">
        <f t="shared" si="90"/>
        <v>62.084121212205403</v>
      </c>
      <c r="AG98" s="2544">
        <f t="shared" si="90"/>
        <v>62.084121212205403</v>
      </c>
      <c r="AH98" s="2544">
        <f t="shared" si="90"/>
        <v>62.084121212205403</v>
      </c>
      <c r="AI98" s="2544">
        <f t="shared" si="90"/>
        <v>62.084121212205403</v>
      </c>
      <c r="AJ98" s="2544">
        <f t="shared" si="90"/>
        <v>0</v>
      </c>
      <c r="AK98" s="2544">
        <f t="shared" si="90"/>
        <v>0</v>
      </c>
      <c r="AL98" s="2544">
        <f t="shared" si="90"/>
        <v>0</v>
      </c>
      <c r="AM98" s="2544">
        <f t="shared" si="90"/>
        <v>0</v>
      </c>
      <c r="AN98" s="2544">
        <f t="shared" si="90"/>
        <v>0</v>
      </c>
      <c r="AO98" s="2544">
        <f t="shared" si="90"/>
        <v>0</v>
      </c>
      <c r="AP98" s="2544">
        <f t="shared" si="90"/>
        <v>0</v>
      </c>
      <c r="AQ98" s="2544">
        <f t="shared" si="90"/>
        <v>0</v>
      </c>
      <c r="AR98" s="2544">
        <f t="shared" si="90"/>
        <v>0</v>
      </c>
      <c r="AS98" s="2544">
        <f t="shared" si="90"/>
        <v>0</v>
      </c>
      <c r="AT98" s="2539"/>
    </row>
    <row r="99" spans="1:46" s="651" customFormat="1">
      <c r="B99" s="646"/>
      <c r="F99" s="716"/>
      <c r="G99" s="716"/>
      <c r="H99" s="716"/>
      <c r="I99" s="716"/>
      <c r="J99" s="716"/>
      <c r="K99" s="716"/>
      <c r="L99" s="716"/>
      <c r="M99" s="716"/>
      <c r="N99" s="716"/>
      <c r="O99" s="716"/>
      <c r="P99" s="716"/>
      <c r="Q99" s="716"/>
      <c r="R99" s="716"/>
      <c r="S99" s="716"/>
      <c r="T99" s="716"/>
      <c r="U99" s="716"/>
      <c r="V99" s="716"/>
      <c r="W99" s="716"/>
      <c r="X99" s="716"/>
      <c r="Y99" s="716"/>
      <c r="Z99" s="716"/>
      <c r="AA99" s="716"/>
      <c r="AB99" s="716"/>
      <c r="AC99" s="716"/>
      <c r="AD99" s="716"/>
      <c r="AE99" s="716"/>
      <c r="AF99" s="716"/>
      <c r="AG99" s="716"/>
      <c r="AH99" s="716"/>
      <c r="AI99" s="716"/>
      <c r="AJ99" s="716"/>
      <c r="AK99" s="716"/>
      <c r="AL99" s="716"/>
      <c r="AM99" s="716"/>
      <c r="AN99" s="716"/>
      <c r="AO99" s="716"/>
      <c r="AP99" s="716"/>
      <c r="AQ99" s="716"/>
      <c r="AR99" s="716"/>
      <c r="AS99" s="716"/>
    </row>
    <row r="100" spans="1:46" s="651" customFormat="1">
      <c r="A100" s="753"/>
      <c r="B100" s="647" t="s">
        <v>641</v>
      </c>
      <c r="C100" s="647" t="s">
        <v>980</v>
      </c>
      <c r="D100" s="1410">
        <f>-PMT(DiscountRate,BookLife,E100)</f>
        <v>46.655791225612951</v>
      </c>
      <c r="E100" s="702">
        <f>NPV(DiscountRate,F100:AS100)*(1)</f>
        <v>600.57069195724296</v>
      </c>
      <c r="F100" s="650">
        <f t="shared" ref="F100:AS100" si="91">IF(F$4-StartYr&lt;DebtTerm,-PPMT(DebtRate,F$4+1-StartYr,DebtTerm,InstalledCostPerkW*DebtRatio),0)</f>
        <v>34.143401816143978</v>
      </c>
      <c r="G100" s="650">
        <f t="shared" si="91"/>
        <v>36.162301165532575</v>
      </c>
      <c r="H100" s="650">
        <f t="shared" si="91"/>
        <v>38.300578033450513</v>
      </c>
      <c r="I100" s="650">
        <f t="shared" si="91"/>
        <v>40.565291212568447</v>
      </c>
      <c r="J100" s="650">
        <f t="shared" si="91"/>
        <v>42.96391688196762</v>
      </c>
      <c r="K100" s="650">
        <f t="shared" si="91"/>
        <v>45.504373287198362</v>
      </c>
      <c r="L100" s="650">
        <f t="shared" si="91"/>
        <v>48.1950468796704</v>
      </c>
      <c r="M100" s="650">
        <f t="shared" si="91"/>
        <v>51.044820001665322</v>
      </c>
      <c r="N100" s="650">
        <f t="shared" si="91"/>
        <v>54.063100208363785</v>
      </c>
      <c r="O100" s="650">
        <f t="shared" si="91"/>
        <v>57.25985132368433</v>
      </c>
      <c r="P100" s="650">
        <f t="shared" si="91"/>
        <v>60.645626332453787</v>
      </c>
      <c r="Q100" s="650">
        <f t="shared" si="91"/>
        <v>64.231602217491769</v>
      </c>
      <c r="R100" s="650">
        <f t="shared" si="91"/>
        <v>68.029616856612066</v>
      </c>
      <c r="S100" s="650">
        <f t="shared" si="91"/>
        <v>72.052208101343538</v>
      </c>
      <c r="T100" s="650">
        <f t="shared" si="91"/>
        <v>76.31265516637599</v>
      </c>
      <c r="U100" s="650">
        <f t="shared" si="91"/>
        <v>80.825022466363805</v>
      </c>
      <c r="V100" s="650">
        <f t="shared" si="91"/>
        <v>85.604206044799881</v>
      </c>
      <c r="W100" s="650">
        <f t="shared" si="91"/>
        <v>90.665982748228899</v>
      </c>
      <c r="X100" s="650">
        <f t="shared" si="91"/>
        <v>96.027062308131676</v>
      </c>
      <c r="Y100" s="650">
        <f t="shared" si="91"/>
        <v>101.7051425024115</v>
      </c>
      <c r="Z100" s="650">
        <f t="shared" si="91"/>
        <v>0</v>
      </c>
      <c r="AA100" s="650">
        <f t="shared" si="91"/>
        <v>0</v>
      </c>
      <c r="AB100" s="650">
        <f t="shared" si="91"/>
        <v>0</v>
      </c>
      <c r="AC100" s="650">
        <f t="shared" si="91"/>
        <v>0</v>
      </c>
      <c r="AD100" s="650">
        <f t="shared" si="91"/>
        <v>0</v>
      </c>
      <c r="AE100" s="650">
        <f t="shared" si="91"/>
        <v>0</v>
      </c>
      <c r="AF100" s="650">
        <f t="shared" si="91"/>
        <v>0</v>
      </c>
      <c r="AG100" s="650">
        <f t="shared" si="91"/>
        <v>0</v>
      </c>
      <c r="AH100" s="650">
        <f t="shared" si="91"/>
        <v>0</v>
      </c>
      <c r="AI100" s="650">
        <f t="shared" si="91"/>
        <v>0</v>
      </c>
      <c r="AJ100" s="650">
        <f t="shared" si="91"/>
        <v>0</v>
      </c>
      <c r="AK100" s="650">
        <f t="shared" si="91"/>
        <v>0</v>
      </c>
      <c r="AL100" s="650">
        <f t="shared" si="91"/>
        <v>0</v>
      </c>
      <c r="AM100" s="650">
        <f t="shared" si="91"/>
        <v>0</v>
      </c>
      <c r="AN100" s="650">
        <f t="shared" si="91"/>
        <v>0</v>
      </c>
      <c r="AO100" s="650">
        <f t="shared" si="91"/>
        <v>0</v>
      </c>
      <c r="AP100" s="650">
        <f t="shared" si="91"/>
        <v>0</v>
      </c>
      <c r="AQ100" s="650">
        <f t="shared" si="91"/>
        <v>0</v>
      </c>
      <c r="AR100" s="650">
        <f t="shared" si="91"/>
        <v>0</v>
      </c>
      <c r="AS100" s="650">
        <f t="shared" si="91"/>
        <v>0</v>
      </c>
    </row>
    <row r="101" spans="1:46" s="131" customFormat="1" ht="12" customHeight="1">
      <c r="B101" s="132" t="s">
        <v>164</v>
      </c>
      <c r="C101" s="66" t="s">
        <v>955</v>
      </c>
      <c r="D101" s="1410">
        <f>-PMT(DiscountRate,BookLife,E101)</f>
        <v>11.831224366931542</v>
      </c>
      <c r="E101" s="702">
        <f>NPV(DiscountRate,F101:AS101)*(1)</f>
        <v>152.29591907228703</v>
      </c>
      <c r="F101" s="719">
        <f t="shared" ref="F101:AS101" si="92">IF(F$1,TotalVariableOMPerMWh*((1+HistInflationRate)*(1+OMEscalation))^(StartYr-BaseYr)*((1+InflationRate)*(1+OMEscalation))^(F$4-StartYr),0)</f>
        <v>9.5154208669312972</v>
      </c>
      <c r="G101" s="719">
        <f t="shared" si="92"/>
        <v>9.7125241366621822</v>
      </c>
      <c r="H101" s="719">
        <f t="shared" si="92"/>
        <v>9.9137102209613257</v>
      </c>
      <c r="I101" s="719">
        <f t="shared" si="92"/>
        <v>10.119063691610927</v>
      </c>
      <c r="J101" s="719">
        <f t="shared" si="92"/>
        <v>10.328670872220567</v>
      </c>
      <c r="K101" s="719">
        <f t="shared" si="92"/>
        <v>10.542619874514711</v>
      </c>
      <c r="L101" s="719">
        <f t="shared" si="92"/>
        <v>10.761000635371884</v>
      </c>
      <c r="M101" s="719">
        <f t="shared" si="92"/>
        <v>10.983904954631067</v>
      </c>
      <c r="N101" s="719">
        <f t="shared" si="92"/>
        <v>11.211426533681228</v>
      </c>
      <c r="O101" s="719">
        <f t="shared" si="92"/>
        <v>11.443661014850196</v>
      </c>
      <c r="P101" s="719">
        <f t="shared" si="92"/>
        <v>11.680706021609447</v>
      </c>
      <c r="Q101" s="719">
        <f t="shared" si="92"/>
        <v>11.922661199611674</v>
      </c>
      <c r="R101" s="719">
        <f t="shared" si="92"/>
        <v>12.169628258578443</v>
      </c>
      <c r="S101" s="719">
        <f t="shared" si="92"/>
        <v>12.421711015055484</v>
      </c>
      <c r="T101" s="719">
        <f t="shared" si="92"/>
        <v>12.679015436053648</v>
      </c>
      <c r="U101" s="719">
        <f t="shared" si="92"/>
        <v>12.941649683593818</v>
      </c>
      <c r="V101" s="719">
        <f t="shared" si="92"/>
        <v>13.209724160174556</v>
      </c>
      <c r="W101" s="719">
        <f t="shared" si="92"/>
        <v>13.483351555181537</v>
      </c>
      <c r="X101" s="719">
        <f t="shared" si="92"/>
        <v>13.762646892258347</v>
      </c>
      <c r="Y101" s="719">
        <f t="shared" si="92"/>
        <v>14.047727577658504</v>
      </c>
      <c r="Z101" s="719">
        <f t="shared" si="92"/>
        <v>14.338713449599048</v>
      </c>
      <c r="AA101" s="719">
        <f t="shared" si="92"/>
        <v>14.635726828636441</v>
      </c>
      <c r="AB101" s="719">
        <f t="shared" si="92"/>
        <v>14.93889256908599</v>
      </c>
      <c r="AC101" s="719">
        <f t="shared" si="92"/>
        <v>15.248338111506319</v>
      </c>
      <c r="AD101" s="719">
        <f t="shared" si="92"/>
        <v>15.564193536271073</v>
      </c>
      <c r="AE101" s="719">
        <f t="shared" si="92"/>
        <v>15.886591618250256</v>
      </c>
      <c r="AF101" s="719">
        <f t="shared" si="92"/>
        <v>16.215667882624281</v>
      </c>
      <c r="AG101" s="719">
        <f t="shared" si="92"/>
        <v>16.551560661854143</v>
      </c>
      <c r="AH101" s="719">
        <f t="shared" si="92"/>
        <v>16.894411153831665</v>
      </c>
      <c r="AI101" s="719">
        <f t="shared" si="92"/>
        <v>17.244363481234295</v>
      </c>
      <c r="AJ101" s="719">
        <f t="shared" si="92"/>
        <v>0</v>
      </c>
      <c r="AK101" s="719">
        <f t="shared" si="92"/>
        <v>0</v>
      </c>
      <c r="AL101" s="719">
        <f t="shared" si="92"/>
        <v>0</v>
      </c>
      <c r="AM101" s="719">
        <f t="shared" si="92"/>
        <v>0</v>
      </c>
      <c r="AN101" s="719">
        <f t="shared" si="92"/>
        <v>0</v>
      </c>
      <c r="AO101" s="719">
        <f t="shared" si="92"/>
        <v>0</v>
      </c>
      <c r="AP101" s="719">
        <f t="shared" si="92"/>
        <v>0</v>
      </c>
      <c r="AQ101" s="719">
        <f t="shared" si="92"/>
        <v>0</v>
      </c>
      <c r="AR101" s="719">
        <f t="shared" si="92"/>
        <v>0</v>
      </c>
      <c r="AS101" s="719">
        <f t="shared" si="92"/>
        <v>0</v>
      </c>
    </row>
    <row r="102" spans="1:46" s="131" customFormat="1" ht="12" customHeight="1">
      <c r="B102" s="1414" t="s">
        <v>1423</v>
      </c>
      <c r="C102" s="66" t="s">
        <v>955</v>
      </c>
      <c r="D102" s="1410">
        <f>-PMT(DiscountRate,BookLife,E102)</f>
        <v>0</v>
      </c>
      <c r="E102" s="702">
        <f>NPV(DiscountRate,F102:AS102)*(1)</f>
        <v>0</v>
      </c>
      <c r="F102" s="719">
        <f t="shared" ref="F102:AS102" si="93">IF(F$1,Transmission_Service*((1+HistInflationRate)*(1+TransEscalation))^(StartYr-BaseYr)*((1+InflationRate)*(1+TransEscalation))^(F$4-StartYr),0)</f>
        <v>0</v>
      </c>
      <c r="G102" s="719">
        <f t="shared" si="93"/>
        <v>0</v>
      </c>
      <c r="H102" s="719">
        <f t="shared" si="93"/>
        <v>0</v>
      </c>
      <c r="I102" s="719">
        <f t="shared" si="93"/>
        <v>0</v>
      </c>
      <c r="J102" s="719">
        <f t="shared" si="93"/>
        <v>0</v>
      </c>
      <c r="K102" s="719">
        <f t="shared" si="93"/>
        <v>0</v>
      </c>
      <c r="L102" s="719">
        <f t="shared" si="93"/>
        <v>0</v>
      </c>
      <c r="M102" s="719">
        <f t="shared" si="93"/>
        <v>0</v>
      </c>
      <c r="N102" s="719">
        <f t="shared" si="93"/>
        <v>0</v>
      </c>
      <c r="O102" s="719">
        <f t="shared" si="93"/>
        <v>0</v>
      </c>
      <c r="P102" s="719">
        <f t="shared" si="93"/>
        <v>0</v>
      </c>
      <c r="Q102" s="719">
        <f t="shared" si="93"/>
        <v>0</v>
      </c>
      <c r="R102" s="719">
        <f t="shared" si="93"/>
        <v>0</v>
      </c>
      <c r="S102" s="719">
        <f t="shared" si="93"/>
        <v>0</v>
      </c>
      <c r="T102" s="719">
        <f t="shared" si="93"/>
        <v>0</v>
      </c>
      <c r="U102" s="719">
        <f t="shared" si="93"/>
        <v>0</v>
      </c>
      <c r="V102" s="719">
        <f t="shared" si="93"/>
        <v>0</v>
      </c>
      <c r="W102" s="719">
        <f t="shared" si="93"/>
        <v>0</v>
      </c>
      <c r="X102" s="719">
        <f t="shared" si="93"/>
        <v>0</v>
      </c>
      <c r="Y102" s="719">
        <f t="shared" si="93"/>
        <v>0</v>
      </c>
      <c r="Z102" s="719">
        <f t="shared" si="93"/>
        <v>0</v>
      </c>
      <c r="AA102" s="719">
        <f t="shared" si="93"/>
        <v>0</v>
      </c>
      <c r="AB102" s="719">
        <f t="shared" si="93"/>
        <v>0</v>
      </c>
      <c r="AC102" s="719">
        <f t="shared" si="93"/>
        <v>0</v>
      </c>
      <c r="AD102" s="719">
        <f t="shared" si="93"/>
        <v>0</v>
      </c>
      <c r="AE102" s="719">
        <f t="shared" si="93"/>
        <v>0</v>
      </c>
      <c r="AF102" s="719">
        <f t="shared" si="93"/>
        <v>0</v>
      </c>
      <c r="AG102" s="719">
        <f t="shared" si="93"/>
        <v>0</v>
      </c>
      <c r="AH102" s="719">
        <f t="shared" si="93"/>
        <v>0</v>
      </c>
      <c r="AI102" s="719">
        <f t="shared" si="93"/>
        <v>0</v>
      </c>
      <c r="AJ102" s="719">
        <f t="shared" si="93"/>
        <v>0</v>
      </c>
      <c r="AK102" s="719">
        <f t="shared" si="93"/>
        <v>0</v>
      </c>
      <c r="AL102" s="719">
        <f t="shared" si="93"/>
        <v>0</v>
      </c>
      <c r="AM102" s="719">
        <f t="shared" si="93"/>
        <v>0</v>
      </c>
      <c r="AN102" s="719">
        <f t="shared" si="93"/>
        <v>0</v>
      </c>
      <c r="AO102" s="719">
        <f t="shared" si="93"/>
        <v>0</v>
      </c>
      <c r="AP102" s="719">
        <f t="shared" si="93"/>
        <v>0</v>
      </c>
      <c r="AQ102" s="719">
        <f t="shared" si="93"/>
        <v>0</v>
      </c>
      <c r="AR102" s="719">
        <f t="shared" si="93"/>
        <v>0</v>
      </c>
      <c r="AS102" s="719">
        <f t="shared" si="93"/>
        <v>0</v>
      </c>
    </row>
    <row r="103" spans="1:46" s="651" customFormat="1">
      <c r="B103" s="1253" t="s">
        <v>572</v>
      </c>
    </row>
    <row r="104" spans="1:46" s="131" customFormat="1">
      <c r="B104" s="132" t="s">
        <v>481</v>
      </c>
      <c r="C104" s="132"/>
      <c r="D104" s="1411">
        <f>-PMT(DiscountRate,BookLife,E104)</f>
        <v>75.58187443220325</v>
      </c>
      <c r="E104" s="1412">
        <f>NPV(DiscountRate,F104:AS104)*(1)</f>
        <v>972.91799013054674</v>
      </c>
      <c r="F104" s="129">
        <f t="shared" ref="F104:AS104" si="94">IF(F$1,IF(OwnerType="POU",0,TotalTaxRate*EquityRate/(1-TotalTaxRate)*PctEquity*InstalledCostPerkW),0)</f>
        <v>75.58187443220325</v>
      </c>
      <c r="G104" s="129">
        <f t="shared" si="94"/>
        <v>75.58187443220325</v>
      </c>
      <c r="H104" s="129">
        <f t="shared" si="94"/>
        <v>75.58187443220325</v>
      </c>
      <c r="I104" s="129">
        <f t="shared" si="94"/>
        <v>75.58187443220325</v>
      </c>
      <c r="J104" s="129">
        <f t="shared" si="94"/>
        <v>75.58187443220325</v>
      </c>
      <c r="K104" s="129">
        <f t="shared" si="94"/>
        <v>75.58187443220325</v>
      </c>
      <c r="L104" s="129">
        <f t="shared" si="94"/>
        <v>75.58187443220325</v>
      </c>
      <c r="M104" s="129">
        <f t="shared" si="94"/>
        <v>75.58187443220325</v>
      </c>
      <c r="N104" s="129">
        <f t="shared" si="94"/>
        <v>75.58187443220325</v>
      </c>
      <c r="O104" s="129">
        <f t="shared" si="94"/>
        <v>75.58187443220325</v>
      </c>
      <c r="P104" s="129">
        <f t="shared" si="94"/>
        <v>75.58187443220325</v>
      </c>
      <c r="Q104" s="129">
        <f t="shared" si="94"/>
        <v>75.58187443220325</v>
      </c>
      <c r="R104" s="129">
        <f t="shared" si="94"/>
        <v>75.58187443220325</v>
      </c>
      <c r="S104" s="129">
        <f t="shared" si="94"/>
        <v>75.58187443220325</v>
      </c>
      <c r="T104" s="129">
        <f t="shared" si="94"/>
        <v>75.58187443220325</v>
      </c>
      <c r="U104" s="129">
        <f t="shared" si="94"/>
        <v>75.58187443220325</v>
      </c>
      <c r="V104" s="129">
        <f t="shared" si="94"/>
        <v>75.58187443220325</v>
      </c>
      <c r="W104" s="129">
        <f t="shared" si="94"/>
        <v>75.58187443220325</v>
      </c>
      <c r="X104" s="129">
        <f t="shared" si="94"/>
        <v>75.58187443220325</v>
      </c>
      <c r="Y104" s="129">
        <f t="shared" si="94"/>
        <v>75.58187443220325</v>
      </c>
      <c r="Z104" s="129">
        <f t="shared" si="94"/>
        <v>75.58187443220325</v>
      </c>
      <c r="AA104" s="129">
        <f t="shared" si="94"/>
        <v>75.58187443220325</v>
      </c>
      <c r="AB104" s="129">
        <f t="shared" si="94"/>
        <v>75.58187443220325</v>
      </c>
      <c r="AC104" s="129">
        <f t="shared" si="94"/>
        <v>75.58187443220325</v>
      </c>
      <c r="AD104" s="129">
        <f t="shared" si="94"/>
        <v>75.58187443220325</v>
      </c>
      <c r="AE104" s="129">
        <f t="shared" si="94"/>
        <v>75.58187443220325</v>
      </c>
      <c r="AF104" s="129">
        <f t="shared" si="94"/>
        <v>75.58187443220325</v>
      </c>
      <c r="AG104" s="129">
        <f t="shared" si="94"/>
        <v>75.58187443220325</v>
      </c>
      <c r="AH104" s="129">
        <f t="shared" si="94"/>
        <v>75.58187443220325</v>
      </c>
      <c r="AI104" s="129">
        <f t="shared" si="94"/>
        <v>75.58187443220325</v>
      </c>
      <c r="AJ104" s="129">
        <f t="shared" si="94"/>
        <v>0</v>
      </c>
      <c r="AK104" s="129">
        <f t="shared" si="94"/>
        <v>0</v>
      </c>
      <c r="AL104" s="129">
        <f t="shared" si="94"/>
        <v>0</v>
      </c>
      <c r="AM104" s="129">
        <f t="shared" si="94"/>
        <v>0</v>
      </c>
      <c r="AN104" s="129">
        <f t="shared" si="94"/>
        <v>0</v>
      </c>
      <c r="AO104" s="129">
        <f t="shared" si="94"/>
        <v>0</v>
      </c>
      <c r="AP104" s="129">
        <f t="shared" si="94"/>
        <v>0</v>
      </c>
      <c r="AQ104" s="129">
        <f t="shared" si="94"/>
        <v>0</v>
      </c>
      <c r="AR104" s="129">
        <f t="shared" si="94"/>
        <v>0</v>
      </c>
      <c r="AS104" s="129">
        <f t="shared" si="94"/>
        <v>0</v>
      </c>
    </row>
    <row r="105" spans="1:46" s="1383" customFormat="1">
      <c r="D105" s="1385"/>
    </row>
    <row r="106" spans="1:46" s="1382" customFormat="1">
      <c r="B106" s="1382" t="s">
        <v>901</v>
      </c>
      <c r="D106" s="1386">
        <f>-PMT(DiscountRate,BookLife,E106)</f>
        <v>68.255388937784758</v>
      </c>
      <c r="E106" s="1384">
        <f>NPV(DiscountRate,F106:AS106)*(1)</f>
        <v>878.60874475262085</v>
      </c>
      <c r="F106" s="1387">
        <f t="shared" ref="F106:Y106" si="95">F116-F51</f>
        <v>467.79641135191639</v>
      </c>
      <c r="G106" s="1387">
        <f t="shared" si="95"/>
        <v>19.1669136823065</v>
      </c>
      <c r="H106" s="1387">
        <f t="shared" si="95"/>
        <v>30.419640878028048</v>
      </c>
      <c r="I106" s="1387">
        <f t="shared" si="95"/>
        <v>35.206268533015475</v>
      </c>
      <c r="J106" s="1387">
        <f t="shared" si="95"/>
        <v>35.177345213331648</v>
      </c>
      <c r="K106" s="1387">
        <f t="shared" si="95"/>
        <v>48.05404996000766</v>
      </c>
      <c r="L106" s="1387">
        <f t="shared" si="95"/>
        <v>48.626528323740843</v>
      </c>
      <c r="M106" s="1387">
        <f t="shared" si="95"/>
        <v>49.198300887009282</v>
      </c>
      <c r="N106" s="1387">
        <f t="shared" si="95"/>
        <v>49.76911673277715</v>
      </c>
      <c r="O106" s="1387">
        <f t="shared" si="95"/>
        <v>50.338715292893596</v>
      </c>
      <c r="P106" s="1387">
        <f t="shared" si="95"/>
        <v>50.906826064110987</v>
      </c>
      <c r="Q106" s="1387">
        <f t="shared" si="95"/>
        <v>51.473168316632893</v>
      </c>
      <c r="R106" s="1387">
        <f t="shared" si="95"/>
        <v>51.748662968467499</v>
      </c>
      <c r="S106" s="1387">
        <f t="shared" si="95"/>
        <v>52.304807828097296</v>
      </c>
      <c r="T106" s="1387">
        <f t="shared" si="95"/>
        <v>52.858162074719928</v>
      </c>
      <c r="U106" s="1387">
        <f t="shared" si="95"/>
        <v>53.101934739714409</v>
      </c>
      <c r="V106" s="1387">
        <f t="shared" si="95"/>
        <v>53.642585582195579</v>
      </c>
      <c r="W106" s="1387">
        <f t="shared" si="95"/>
        <v>53.860461192874538</v>
      </c>
      <c r="X106" s="1387">
        <f t="shared" si="95"/>
        <v>54.386508813586687</v>
      </c>
      <c r="Y106" s="1387">
        <f t="shared" si="95"/>
        <v>54.576027279866594</v>
      </c>
    </row>
    <row r="107" spans="1:46" s="130" customFormat="1" ht="13.5" thickBot="1">
      <c r="D107" s="651"/>
      <c r="E107" s="651"/>
      <c r="F107" s="704"/>
    </row>
    <row r="108" spans="1:46" s="802" customFormat="1">
      <c r="B108" s="1416" t="s">
        <v>1141</v>
      </c>
      <c r="C108" s="1417"/>
      <c r="D108" s="1418">
        <f>D42</f>
        <v>192.27181630862108</v>
      </c>
      <c r="F108" s="1464">
        <f t="shared" ref="F108:AS108" si="96">F42</f>
        <v>245.2834449704331</v>
      </c>
      <c r="G108" s="1464">
        <f t="shared" si="96"/>
        <v>241.61966743185607</v>
      </c>
      <c r="H108" s="1464">
        <f t="shared" si="96"/>
        <v>237.95588989327911</v>
      </c>
      <c r="I108" s="1464">
        <f t="shared" si="96"/>
        <v>234.29211235470203</v>
      </c>
      <c r="J108" s="1464">
        <f t="shared" si="96"/>
        <v>230.62833481612506</v>
      </c>
      <c r="K108" s="1464">
        <f t="shared" si="96"/>
        <v>226.96455727754801</v>
      </c>
      <c r="L108" s="1464">
        <f t="shared" si="96"/>
        <v>223.30077973897099</v>
      </c>
      <c r="M108" s="1464">
        <f t="shared" si="96"/>
        <v>219.63700220039399</v>
      </c>
      <c r="N108" s="1464">
        <f t="shared" si="96"/>
        <v>215.97322466181697</v>
      </c>
      <c r="O108" s="1464">
        <f t="shared" si="96"/>
        <v>212.30944712323995</v>
      </c>
      <c r="P108" s="1464">
        <f t="shared" si="96"/>
        <v>208.64566958466293</v>
      </c>
      <c r="Q108" s="1464">
        <f t="shared" si="96"/>
        <v>204.98189204608593</v>
      </c>
      <c r="R108" s="1464">
        <f t="shared" si="96"/>
        <v>201.31811450750888</v>
      </c>
      <c r="S108" s="1464">
        <f t="shared" si="96"/>
        <v>197.65433696893189</v>
      </c>
      <c r="T108" s="1464">
        <f t="shared" si="96"/>
        <v>193.99055943035489</v>
      </c>
      <c r="U108" s="1464">
        <f t="shared" si="96"/>
        <v>190.3267818917779</v>
      </c>
      <c r="V108" s="1464">
        <f t="shared" si="96"/>
        <v>186.66300435320085</v>
      </c>
      <c r="W108" s="1464">
        <f t="shared" si="96"/>
        <v>182.99922681462382</v>
      </c>
      <c r="X108" s="1464">
        <f t="shared" si="96"/>
        <v>179.3354492760468</v>
      </c>
      <c r="Y108" s="1464">
        <f t="shared" si="96"/>
        <v>175.67167173746981</v>
      </c>
      <c r="Z108" s="1464">
        <f t="shared" si="96"/>
        <v>64.288926620313688</v>
      </c>
      <c r="AA108" s="1464">
        <f t="shared" si="96"/>
        <v>60.625149081736673</v>
      </c>
      <c r="AB108" s="1464">
        <f t="shared" si="96"/>
        <v>56.961371543159657</v>
      </c>
      <c r="AC108" s="1464">
        <f t="shared" si="96"/>
        <v>53.297594004582635</v>
      </c>
      <c r="AD108" s="1464">
        <f t="shared" si="96"/>
        <v>49.633816466005626</v>
      </c>
      <c r="AE108" s="1464">
        <f t="shared" si="96"/>
        <v>45.970038927428604</v>
      </c>
      <c r="AF108" s="1464">
        <f t="shared" si="96"/>
        <v>42.306261388851588</v>
      </c>
      <c r="AG108" s="1464">
        <f t="shared" si="96"/>
        <v>38.64248385027458</v>
      </c>
      <c r="AH108" s="1464">
        <f t="shared" si="96"/>
        <v>34.978706311697565</v>
      </c>
      <c r="AI108" s="1464">
        <f t="shared" si="96"/>
        <v>31.314928773120549</v>
      </c>
      <c r="AJ108" s="1464">
        <f t="shared" si="96"/>
        <v>0</v>
      </c>
      <c r="AK108" s="1464">
        <f t="shared" si="96"/>
        <v>0</v>
      </c>
      <c r="AL108" s="1464">
        <f t="shared" si="96"/>
        <v>0</v>
      </c>
      <c r="AM108" s="1464">
        <f t="shared" si="96"/>
        <v>0</v>
      </c>
      <c r="AN108" s="1464">
        <f t="shared" si="96"/>
        <v>0</v>
      </c>
      <c r="AO108" s="1464">
        <f t="shared" si="96"/>
        <v>0</v>
      </c>
      <c r="AP108" s="1464">
        <f t="shared" si="96"/>
        <v>0</v>
      </c>
      <c r="AQ108" s="1464">
        <f t="shared" si="96"/>
        <v>0</v>
      </c>
      <c r="AR108" s="1464">
        <f t="shared" si="96"/>
        <v>0</v>
      </c>
      <c r="AS108" s="1464">
        <f t="shared" si="96"/>
        <v>0</v>
      </c>
    </row>
    <row r="109" spans="1:46" s="1102" customFormat="1">
      <c r="B109" s="1419" t="s">
        <v>196</v>
      </c>
      <c r="C109" s="1420"/>
      <c r="D109" s="1421">
        <f>D12</f>
        <v>14.635139806572186</v>
      </c>
      <c r="F109" s="1157">
        <f t="shared" ref="F109:AS109" si="97">F12</f>
        <v>12.443018055544583</v>
      </c>
      <c r="G109" s="1157">
        <f t="shared" si="97"/>
        <v>12.637575952701111</v>
      </c>
      <c r="H109" s="1157">
        <f t="shared" si="97"/>
        <v>12.835175939419591</v>
      </c>
      <c r="I109" s="1157">
        <f t="shared" si="97"/>
        <v>13.035865581535377</v>
      </c>
      <c r="J109" s="1157">
        <f t="shared" si="97"/>
        <v>13.239693188618897</v>
      </c>
      <c r="K109" s="1157">
        <f t="shared" si="97"/>
        <v>13.446707825604614</v>
      </c>
      <c r="L109" s="1157">
        <f t="shared" si="97"/>
        <v>13.656959324601845</v>
      </c>
      <c r="M109" s="1157">
        <f t="shared" si="97"/>
        <v>13.870498296890224</v>
      </c>
      <c r="N109" s="1157">
        <f t="shared" si="97"/>
        <v>14.087376145102754</v>
      </c>
      <c r="O109" s="1157">
        <f t="shared" si="97"/>
        <v>14.307645075599316</v>
      </c>
      <c r="P109" s="1157">
        <f t="shared" si="97"/>
        <v>14.531358111033684</v>
      </c>
      <c r="Q109" s="1157">
        <f t="shared" si="97"/>
        <v>14.75856910311702</v>
      </c>
      <c r="R109" s="1157">
        <f t="shared" si="97"/>
        <v>14.989332745580938</v>
      </c>
      <c r="S109" s="1157">
        <f t="shared" si="97"/>
        <v>15.223704587343251</v>
      </c>
      <c r="T109" s="1157">
        <f t="shared" si="97"/>
        <v>15.461741045879601</v>
      </c>
      <c r="U109" s="1157">
        <f t="shared" si="97"/>
        <v>15.703499420804134</v>
      </c>
      <c r="V109" s="1157">
        <f t="shared" si="97"/>
        <v>15.94903790766255</v>
      </c>
      <c r="W109" s="1157">
        <f t="shared" si="97"/>
        <v>16.198415611940806</v>
      </c>
      <c r="X109" s="1157">
        <f t="shared" si="97"/>
        <v>16.451692563292838</v>
      </c>
      <c r="Y109" s="1157">
        <f t="shared" si="97"/>
        <v>16.708929729990807</v>
      </c>
      <c r="Z109" s="1157">
        <f t="shared" si="97"/>
        <v>16.970189033601205</v>
      </c>
      <c r="AA109" s="1157">
        <f t="shared" si="97"/>
        <v>17.235533363890507</v>
      </c>
      <c r="AB109" s="1157">
        <f t="shared" si="97"/>
        <v>17.505026593963859</v>
      </c>
      <c r="AC109" s="1157">
        <f t="shared" si="97"/>
        <v>17.778733595640439</v>
      </c>
      <c r="AD109" s="1157">
        <f t="shared" si="97"/>
        <v>18.056720255069308</v>
      </c>
      <c r="AE109" s="1157">
        <f t="shared" si="97"/>
        <v>18.339053488589332</v>
      </c>
      <c r="AF109" s="1157">
        <f t="shared" si="97"/>
        <v>18.625801258837168</v>
      </c>
      <c r="AG109" s="1157">
        <f t="shared" si="97"/>
        <v>18.917032591107073</v>
      </c>
      <c r="AH109" s="1157">
        <f t="shared" si="97"/>
        <v>19.212817589966519</v>
      </c>
      <c r="AI109" s="1157">
        <f t="shared" si="97"/>
        <v>19.513227456131599</v>
      </c>
      <c r="AJ109" s="1157">
        <f t="shared" si="97"/>
        <v>0</v>
      </c>
      <c r="AK109" s="1157">
        <f t="shared" si="97"/>
        <v>0</v>
      </c>
      <c r="AL109" s="1157">
        <f t="shared" si="97"/>
        <v>0</v>
      </c>
      <c r="AM109" s="1157">
        <f t="shared" si="97"/>
        <v>0</v>
      </c>
      <c r="AN109" s="1157">
        <f t="shared" si="97"/>
        <v>0</v>
      </c>
      <c r="AO109" s="1157">
        <f t="shared" si="97"/>
        <v>0</v>
      </c>
      <c r="AP109" s="1157">
        <f t="shared" si="97"/>
        <v>0</v>
      </c>
      <c r="AQ109" s="1157">
        <f t="shared" si="97"/>
        <v>0</v>
      </c>
      <c r="AR109" s="1157">
        <f t="shared" si="97"/>
        <v>0</v>
      </c>
      <c r="AS109" s="1157">
        <f t="shared" si="97"/>
        <v>0</v>
      </c>
    </row>
    <row r="110" spans="1:46" s="1102" customFormat="1">
      <c r="B110" s="1419" t="s">
        <v>303</v>
      </c>
      <c r="C110" s="1420"/>
      <c r="D110" s="1421">
        <f>D11</f>
        <v>21.391440826369717</v>
      </c>
      <c r="F110" s="1157">
        <f t="shared" ref="F110:AS110" si="98">F11</f>
        <v>22.54301581123012</v>
      </c>
      <c r="G110" s="1157">
        <f t="shared" si="98"/>
        <v>22.529353377405133</v>
      </c>
      <c r="H110" s="1157">
        <f t="shared" si="98"/>
        <v>22.743033842427945</v>
      </c>
      <c r="I110" s="1157">
        <f t="shared" si="98"/>
        <v>22.714605050124906</v>
      </c>
      <c r="J110" s="1157">
        <f t="shared" si="98"/>
        <v>22.675941892592785</v>
      </c>
      <c r="K110" s="1157">
        <f t="shared" si="98"/>
        <v>22.878053548591982</v>
      </c>
      <c r="L110" s="1157">
        <f t="shared" si="98"/>
        <v>22.822743968584394</v>
      </c>
      <c r="M110" s="1157">
        <f t="shared" si="98"/>
        <v>22.756070783957068</v>
      </c>
      <c r="N110" s="1157">
        <f t="shared" si="98"/>
        <v>22.677601574357215</v>
      </c>
      <c r="O110" s="1157">
        <f t="shared" si="98"/>
        <v>22.586891168059786</v>
      </c>
      <c r="P110" s="1157">
        <f t="shared" si="98"/>
        <v>22.483481304880719</v>
      </c>
      <c r="Q110" s="1157">
        <f t="shared" si="98"/>
        <v>22.366900290707257</v>
      </c>
      <c r="R110" s="1157">
        <f t="shared" si="98"/>
        <v>21.947874816906669</v>
      </c>
      <c r="S110" s="1157">
        <f t="shared" si="98"/>
        <v>21.797705147106779</v>
      </c>
      <c r="T110" s="1157">
        <f t="shared" si="98"/>
        <v>21.632749540588136</v>
      </c>
      <c r="U110" s="1157">
        <f t="shared" si="98"/>
        <v>21.146012675924897</v>
      </c>
      <c r="V110" s="1157">
        <f t="shared" si="98"/>
        <v>20.943746467720405</v>
      </c>
      <c r="W110" s="1157">
        <f t="shared" si="98"/>
        <v>20.406086110638629</v>
      </c>
      <c r="X110" s="1157">
        <f t="shared" si="98"/>
        <v>20.163763838074793</v>
      </c>
      <c r="Y110" s="1157">
        <f t="shared" si="98"/>
        <v>19.571859802828076</v>
      </c>
      <c r="Z110" s="1157">
        <f t="shared" si="98"/>
        <v>19.28657506671906</v>
      </c>
      <c r="AA110" s="1157">
        <f t="shared" si="98"/>
        <v>18.636922011840102</v>
      </c>
      <c r="AB110" s="1157">
        <f t="shared" si="98"/>
        <v>17.953568204739302</v>
      </c>
      <c r="AC110" s="1157">
        <f t="shared" si="98"/>
        <v>17.235425476549725</v>
      </c>
      <c r="AD110" s="1157">
        <f t="shared" si="98"/>
        <v>16.847628403327359</v>
      </c>
      <c r="AE110" s="1157">
        <f t="shared" si="98"/>
        <v>16.063847429781259</v>
      </c>
      <c r="AF110" s="1157">
        <f t="shared" si="98"/>
        <v>15.241976165931986</v>
      </c>
      <c r="AG110" s="1157">
        <f t="shared" si="98"/>
        <v>14.769474904788092</v>
      </c>
      <c r="AH110" s="1157">
        <f t="shared" si="98"/>
        <v>13.875533002656184</v>
      </c>
      <c r="AI110" s="1157">
        <f t="shared" si="98"/>
        <v>13.344298310554489</v>
      </c>
      <c r="AJ110" s="1157">
        <f t="shared" si="98"/>
        <v>0</v>
      </c>
      <c r="AK110" s="1157">
        <f t="shared" si="98"/>
        <v>0</v>
      </c>
      <c r="AL110" s="1157">
        <f t="shared" si="98"/>
        <v>0</v>
      </c>
      <c r="AM110" s="1157">
        <f t="shared" si="98"/>
        <v>0</v>
      </c>
      <c r="AN110" s="1157">
        <f t="shared" si="98"/>
        <v>0</v>
      </c>
      <c r="AO110" s="1157">
        <f t="shared" si="98"/>
        <v>0</v>
      </c>
      <c r="AP110" s="1157">
        <f t="shared" si="98"/>
        <v>0</v>
      </c>
      <c r="AQ110" s="1157">
        <f t="shared" si="98"/>
        <v>0</v>
      </c>
      <c r="AR110" s="1157">
        <f t="shared" si="98"/>
        <v>0</v>
      </c>
      <c r="AS110" s="1157">
        <f t="shared" si="98"/>
        <v>0</v>
      </c>
    </row>
    <row r="111" spans="1:46" s="802" customFormat="1">
      <c r="B111" s="1422" t="s">
        <v>301</v>
      </c>
      <c r="C111" s="992"/>
      <c r="D111" s="1421">
        <f>D9</f>
        <v>0</v>
      </c>
      <c r="F111" s="1465">
        <f t="shared" ref="F111:AS111" si="99">F9</f>
        <v>0</v>
      </c>
      <c r="G111" s="1465">
        <f t="shared" si="99"/>
        <v>0</v>
      </c>
      <c r="H111" s="1465">
        <f t="shared" si="99"/>
        <v>0</v>
      </c>
      <c r="I111" s="1465">
        <f t="shared" si="99"/>
        <v>0</v>
      </c>
      <c r="J111" s="1465">
        <f t="shared" si="99"/>
        <v>0</v>
      </c>
      <c r="K111" s="1465">
        <f t="shared" si="99"/>
        <v>0</v>
      </c>
      <c r="L111" s="1465">
        <f t="shared" si="99"/>
        <v>0</v>
      </c>
      <c r="M111" s="1465">
        <f t="shared" si="99"/>
        <v>0</v>
      </c>
      <c r="N111" s="1465">
        <f t="shared" si="99"/>
        <v>0</v>
      </c>
      <c r="O111" s="1465">
        <f t="shared" si="99"/>
        <v>0</v>
      </c>
      <c r="P111" s="1465">
        <f t="shared" si="99"/>
        <v>0</v>
      </c>
      <c r="Q111" s="1465">
        <f t="shared" si="99"/>
        <v>0</v>
      </c>
      <c r="R111" s="1465">
        <f t="shared" si="99"/>
        <v>0</v>
      </c>
      <c r="S111" s="1465">
        <f t="shared" si="99"/>
        <v>0</v>
      </c>
      <c r="T111" s="1465">
        <f t="shared" si="99"/>
        <v>0</v>
      </c>
      <c r="U111" s="1465">
        <f t="shared" si="99"/>
        <v>0</v>
      </c>
      <c r="V111" s="1465">
        <f t="shared" si="99"/>
        <v>0</v>
      </c>
      <c r="W111" s="1465">
        <f t="shared" si="99"/>
        <v>0</v>
      </c>
      <c r="X111" s="1465">
        <f t="shared" si="99"/>
        <v>0</v>
      </c>
      <c r="Y111" s="1465">
        <f t="shared" si="99"/>
        <v>0</v>
      </c>
      <c r="Z111" s="1465">
        <f t="shared" si="99"/>
        <v>0</v>
      </c>
      <c r="AA111" s="1465">
        <f t="shared" si="99"/>
        <v>0</v>
      </c>
      <c r="AB111" s="1465">
        <f t="shared" si="99"/>
        <v>0</v>
      </c>
      <c r="AC111" s="1465">
        <f t="shared" si="99"/>
        <v>0</v>
      </c>
      <c r="AD111" s="1465">
        <f t="shared" si="99"/>
        <v>0</v>
      </c>
      <c r="AE111" s="1465">
        <f t="shared" si="99"/>
        <v>0</v>
      </c>
      <c r="AF111" s="1465">
        <f t="shared" si="99"/>
        <v>0</v>
      </c>
      <c r="AG111" s="1465">
        <f t="shared" si="99"/>
        <v>0</v>
      </c>
      <c r="AH111" s="1465">
        <f t="shared" si="99"/>
        <v>0</v>
      </c>
      <c r="AI111" s="1465">
        <f t="shared" si="99"/>
        <v>0</v>
      </c>
      <c r="AJ111" s="1465">
        <f t="shared" si="99"/>
        <v>0</v>
      </c>
      <c r="AK111" s="1465">
        <f t="shared" si="99"/>
        <v>0</v>
      </c>
      <c r="AL111" s="1465">
        <f t="shared" si="99"/>
        <v>0</v>
      </c>
      <c r="AM111" s="1465">
        <f t="shared" si="99"/>
        <v>0</v>
      </c>
      <c r="AN111" s="1465">
        <f t="shared" si="99"/>
        <v>0</v>
      </c>
      <c r="AO111" s="1465">
        <f t="shared" si="99"/>
        <v>0</v>
      </c>
      <c r="AP111" s="1465">
        <f t="shared" si="99"/>
        <v>0</v>
      </c>
      <c r="AQ111" s="1465">
        <f t="shared" si="99"/>
        <v>0</v>
      </c>
      <c r="AR111" s="1465">
        <f t="shared" si="99"/>
        <v>0</v>
      </c>
      <c r="AS111" s="1465">
        <f t="shared" si="99"/>
        <v>0</v>
      </c>
    </row>
    <row r="112" spans="1:46" s="802" customFormat="1">
      <c r="B112" s="1422" t="s">
        <v>1433</v>
      </c>
      <c r="C112" s="992"/>
      <c r="D112" s="1421">
        <f>D18+D21</f>
        <v>0</v>
      </c>
      <c r="F112" s="1465">
        <f t="shared" ref="F112:AS112" si="100">F18</f>
        <v>0</v>
      </c>
      <c r="G112" s="1465">
        <f t="shared" si="100"/>
        <v>0</v>
      </c>
      <c r="H112" s="1465">
        <f t="shared" si="100"/>
        <v>0</v>
      </c>
      <c r="I112" s="1465">
        <f t="shared" si="100"/>
        <v>0</v>
      </c>
      <c r="J112" s="1465">
        <f t="shared" si="100"/>
        <v>0</v>
      </c>
      <c r="K112" s="1465">
        <f t="shared" si="100"/>
        <v>0</v>
      </c>
      <c r="L112" s="1465">
        <f t="shared" si="100"/>
        <v>0</v>
      </c>
      <c r="M112" s="1465">
        <f t="shared" si="100"/>
        <v>0</v>
      </c>
      <c r="N112" s="1465">
        <f t="shared" si="100"/>
        <v>0</v>
      </c>
      <c r="O112" s="1465">
        <f t="shared" si="100"/>
        <v>0</v>
      </c>
      <c r="P112" s="1465">
        <f t="shared" si="100"/>
        <v>0</v>
      </c>
      <c r="Q112" s="1465">
        <f t="shared" si="100"/>
        <v>0</v>
      </c>
      <c r="R112" s="1465">
        <f t="shared" si="100"/>
        <v>0</v>
      </c>
      <c r="S112" s="1465">
        <f t="shared" si="100"/>
        <v>0</v>
      </c>
      <c r="T112" s="1465">
        <f t="shared" si="100"/>
        <v>0</v>
      </c>
      <c r="U112" s="1465">
        <f t="shared" si="100"/>
        <v>0</v>
      </c>
      <c r="V112" s="1465">
        <f t="shared" si="100"/>
        <v>0</v>
      </c>
      <c r="W112" s="1465">
        <f t="shared" si="100"/>
        <v>0</v>
      </c>
      <c r="X112" s="1465">
        <f t="shared" si="100"/>
        <v>0</v>
      </c>
      <c r="Y112" s="1465">
        <f t="shared" si="100"/>
        <v>0</v>
      </c>
      <c r="Z112" s="1465">
        <f t="shared" si="100"/>
        <v>0</v>
      </c>
      <c r="AA112" s="1465">
        <f t="shared" si="100"/>
        <v>0</v>
      </c>
      <c r="AB112" s="1465">
        <f t="shared" si="100"/>
        <v>0</v>
      </c>
      <c r="AC112" s="1465">
        <f t="shared" si="100"/>
        <v>0</v>
      </c>
      <c r="AD112" s="1465">
        <f t="shared" si="100"/>
        <v>0</v>
      </c>
      <c r="AE112" s="1465">
        <f t="shared" si="100"/>
        <v>0</v>
      </c>
      <c r="AF112" s="1465">
        <f t="shared" si="100"/>
        <v>0</v>
      </c>
      <c r="AG112" s="1465">
        <f t="shared" si="100"/>
        <v>0</v>
      </c>
      <c r="AH112" s="1465">
        <f t="shared" si="100"/>
        <v>0</v>
      </c>
      <c r="AI112" s="1465">
        <f t="shared" si="100"/>
        <v>0</v>
      </c>
      <c r="AJ112" s="1465">
        <f t="shared" si="100"/>
        <v>0</v>
      </c>
      <c r="AK112" s="1465">
        <f t="shared" si="100"/>
        <v>0</v>
      </c>
      <c r="AL112" s="1465">
        <f t="shared" si="100"/>
        <v>0</v>
      </c>
      <c r="AM112" s="1465">
        <f t="shared" si="100"/>
        <v>0</v>
      </c>
      <c r="AN112" s="1465">
        <f t="shared" si="100"/>
        <v>0</v>
      </c>
      <c r="AO112" s="1465">
        <f t="shared" si="100"/>
        <v>0</v>
      </c>
      <c r="AP112" s="1465">
        <f t="shared" si="100"/>
        <v>0</v>
      </c>
      <c r="AQ112" s="1465">
        <f t="shared" si="100"/>
        <v>0</v>
      </c>
      <c r="AR112" s="1465">
        <f t="shared" si="100"/>
        <v>0</v>
      </c>
      <c r="AS112" s="1465">
        <f t="shared" si="100"/>
        <v>0</v>
      </c>
    </row>
    <row r="113" spans="2:256" s="802" customFormat="1">
      <c r="B113" s="1422" t="s">
        <v>164</v>
      </c>
      <c r="C113" s="992"/>
      <c r="D113" s="1421">
        <f>D22</f>
        <v>26.054494620263569</v>
      </c>
      <c r="F113" s="1465">
        <f t="shared" ref="F113:AS113" si="101">F22</f>
        <v>21.672322566522727</v>
      </c>
      <c r="G113" s="1465">
        <f t="shared" si="101"/>
        <v>22.054881238740805</v>
      </c>
      <c r="H113" s="1465">
        <f t="shared" si="101"/>
        <v>22.444192816063541</v>
      </c>
      <c r="I113" s="1465">
        <f t="shared" si="101"/>
        <v>22.840376500408617</v>
      </c>
      <c r="J113" s="1465">
        <f t="shared" si="101"/>
        <v>23.24355359783954</v>
      </c>
      <c r="K113" s="1465">
        <f t="shared" si="101"/>
        <v>23.653847555707941</v>
      </c>
      <c r="L113" s="1465">
        <f t="shared" si="101"/>
        <v>24.071384000451459</v>
      </c>
      <c r="M113" s="1465">
        <f t="shared" si="101"/>
        <v>24.496290776058842</v>
      </c>
      <c r="N113" s="1465">
        <f t="shared" si="101"/>
        <v>24.928697983214061</v>
      </c>
      <c r="O113" s="1465">
        <f t="shared" si="101"/>
        <v>25.368738019131353</v>
      </c>
      <c r="P113" s="1465">
        <f t="shared" si="101"/>
        <v>25.816545618093482</v>
      </c>
      <c r="Q113" s="1465">
        <f t="shared" si="101"/>
        <v>26.27225789270549</v>
      </c>
      <c r="R113" s="1465">
        <f t="shared" si="101"/>
        <v>26.736014375876788</v>
      </c>
      <c r="S113" s="1465">
        <f t="shared" si="101"/>
        <v>27.207957063544157</v>
      </c>
      <c r="T113" s="1465">
        <f t="shared" si="101"/>
        <v>27.68823045814905</v>
      </c>
      <c r="U113" s="1465">
        <f t="shared" si="101"/>
        <v>28.176981612882216</v>
      </c>
      <c r="V113" s="1465">
        <f t="shared" si="101"/>
        <v>28.674360176709442</v>
      </c>
      <c r="W113" s="1465">
        <f t="shared" si="101"/>
        <v>29.180518440191999</v>
      </c>
      <c r="X113" s="1465">
        <f t="shared" si="101"/>
        <v>29.695611382115949</v>
      </c>
      <c r="Y113" s="1465">
        <f t="shared" si="101"/>
        <v>30.219796716944561</v>
      </c>
      <c r="Z113" s="1465">
        <f t="shared" si="101"/>
        <v>30.753234943108328</v>
      </c>
      <c r="AA113" s="1465">
        <f t="shared" si="101"/>
        <v>31.296089392147366</v>
      </c>
      <c r="AB113" s="1465">
        <f t="shared" si="101"/>
        <v>31.848526278721419</v>
      </c>
      <c r="AC113" s="1465">
        <f t="shared" si="101"/>
        <v>32.410714751502404</v>
      </c>
      <c r="AD113" s="1465">
        <f t="shared" si="101"/>
        <v>32.982826944965531</v>
      </c>
      <c r="AE113" s="1465">
        <f t="shared" si="101"/>
        <v>33.565038032094492</v>
      </c>
      <c r="AF113" s="1465">
        <f t="shared" si="101"/>
        <v>34.157526278017073</v>
      </c>
      <c r="AG113" s="1465">
        <f t="shared" si="101"/>
        <v>34.760473094587503</v>
      </c>
      <c r="AH113" s="1465">
        <f t="shared" si="101"/>
        <v>35.374063095932314</v>
      </c>
      <c r="AI113" s="1465">
        <f t="shared" si="101"/>
        <v>35.998484154976644</v>
      </c>
      <c r="AJ113" s="1465">
        <f t="shared" si="101"/>
        <v>0</v>
      </c>
      <c r="AK113" s="1465">
        <f t="shared" si="101"/>
        <v>0</v>
      </c>
      <c r="AL113" s="1465">
        <f t="shared" si="101"/>
        <v>0</v>
      </c>
      <c r="AM113" s="1465">
        <f t="shared" si="101"/>
        <v>0</v>
      </c>
      <c r="AN113" s="1465">
        <f t="shared" si="101"/>
        <v>0</v>
      </c>
      <c r="AO113" s="1465">
        <f t="shared" si="101"/>
        <v>0</v>
      </c>
      <c r="AP113" s="1465">
        <f t="shared" si="101"/>
        <v>0</v>
      </c>
      <c r="AQ113" s="1465">
        <f t="shared" si="101"/>
        <v>0</v>
      </c>
      <c r="AR113" s="1465">
        <f t="shared" si="101"/>
        <v>0</v>
      </c>
      <c r="AS113" s="1465">
        <f t="shared" si="101"/>
        <v>0</v>
      </c>
    </row>
    <row r="114" spans="2:256" s="802" customFormat="1">
      <c r="B114" s="1422" t="s">
        <v>1424</v>
      </c>
      <c r="C114" s="992"/>
      <c r="D114" s="1421">
        <f>D24</f>
        <v>0</v>
      </c>
      <c r="F114" s="1465">
        <f t="shared" ref="F114:AS114" si="102">F24</f>
        <v>0</v>
      </c>
      <c r="G114" s="1465">
        <f t="shared" si="102"/>
        <v>0</v>
      </c>
      <c r="H114" s="1465">
        <f t="shared" si="102"/>
        <v>0</v>
      </c>
      <c r="I114" s="1465">
        <f t="shared" si="102"/>
        <v>0</v>
      </c>
      <c r="J114" s="1465">
        <f t="shared" si="102"/>
        <v>0</v>
      </c>
      <c r="K114" s="1465">
        <f t="shared" si="102"/>
        <v>0</v>
      </c>
      <c r="L114" s="1465">
        <f t="shared" si="102"/>
        <v>0</v>
      </c>
      <c r="M114" s="1465">
        <f t="shared" si="102"/>
        <v>0</v>
      </c>
      <c r="N114" s="1465">
        <f t="shared" si="102"/>
        <v>0</v>
      </c>
      <c r="O114" s="1465">
        <f t="shared" si="102"/>
        <v>0</v>
      </c>
      <c r="P114" s="1465">
        <f t="shared" si="102"/>
        <v>0</v>
      </c>
      <c r="Q114" s="1465">
        <f t="shared" si="102"/>
        <v>0</v>
      </c>
      <c r="R114" s="1465">
        <f t="shared" si="102"/>
        <v>0</v>
      </c>
      <c r="S114" s="1465">
        <f t="shared" si="102"/>
        <v>0</v>
      </c>
      <c r="T114" s="1465">
        <f t="shared" si="102"/>
        <v>0</v>
      </c>
      <c r="U114" s="1465">
        <f t="shared" si="102"/>
        <v>0</v>
      </c>
      <c r="V114" s="1465">
        <f t="shared" si="102"/>
        <v>0</v>
      </c>
      <c r="W114" s="1465">
        <f t="shared" si="102"/>
        <v>0</v>
      </c>
      <c r="X114" s="1465">
        <f t="shared" si="102"/>
        <v>0</v>
      </c>
      <c r="Y114" s="1465">
        <f t="shared" si="102"/>
        <v>0</v>
      </c>
      <c r="Z114" s="1465">
        <f t="shared" si="102"/>
        <v>0</v>
      </c>
      <c r="AA114" s="1465">
        <f t="shared" si="102"/>
        <v>0</v>
      </c>
      <c r="AB114" s="1465">
        <f t="shared" si="102"/>
        <v>0</v>
      </c>
      <c r="AC114" s="1465">
        <f t="shared" si="102"/>
        <v>0</v>
      </c>
      <c r="AD114" s="1465">
        <f t="shared" si="102"/>
        <v>0</v>
      </c>
      <c r="AE114" s="1465">
        <f t="shared" si="102"/>
        <v>0</v>
      </c>
      <c r="AF114" s="1465">
        <f t="shared" si="102"/>
        <v>0</v>
      </c>
      <c r="AG114" s="1465">
        <f t="shared" si="102"/>
        <v>0</v>
      </c>
      <c r="AH114" s="1465">
        <f t="shared" si="102"/>
        <v>0</v>
      </c>
      <c r="AI114" s="1465">
        <f t="shared" si="102"/>
        <v>0</v>
      </c>
      <c r="AJ114" s="1465">
        <f t="shared" si="102"/>
        <v>0</v>
      </c>
      <c r="AK114" s="1465">
        <f t="shared" si="102"/>
        <v>0</v>
      </c>
      <c r="AL114" s="1465">
        <f t="shared" si="102"/>
        <v>0</v>
      </c>
      <c r="AM114" s="1465">
        <f t="shared" si="102"/>
        <v>0</v>
      </c>
      <c r="AN114" s="1465">
        <f t="shared" si="102"/>
        <v>0</v>
      </c>
      <c r="AO114" s="1465">
        <f t="shared" si="102"/>
        <v>0</v>
      </c>
      <c r="AP114" s="1465">
        <f t="shared" si="102"/>
        <v>0</v>
      </c>
      <c r="AQ114" s="1465">
        <f t="shared" si="102"/>
        <v>0</v>
      </c>
      <c r="AR114" s="1465">
        <f t="shared" si="102"/>
        <v>0</v>
      </c>
      <c r="AS114" s="1465">
        <f t="shared" si="102"/>
        <v>0</v>
      </c>
    </row>
    <row r="115" spans="2:256" s="802" customFormat="1" ht="13.5" thickBot="1">
      <c r="B115" s="1423" t="s">
        <v>1712</v>
      </c>
      <c r="C115" s="1424"/>
      <c r="D115" s="1425">
        <f>D73+IF($B71="BEITC (Tax Credit)",(D68+D69)-D132,0)</f>
        <v>-4.3952629106704286</v>
      </c>
      <c r="E115" s="993"/>
      <c r="F115" s="1466">
        <f>F73+IF($B71="BEITC (Tax Credit)",(F68+F69)-F132,0)</f>
        <v>-298.96237752729485</v>
      </c>
      <c r="G115" s="1466">
        <f t="shared" ref="G115:AS115" si="103">G73+IF($B71="BEITC (Tax Credit)",(G68+G69)-G132,0)</f>
        <v>-128.29539581960125</v>
      </c>
      <c r="H115" s="1466">
        <f t="shared" si="103"/>
        <v>-53.127703780543818</v>
      </c>
      <c r="I115" s="1466">
        <f t="shared" si="103"/>
        <v>-22.908400821390764</v>
      </c>
      <c r="J115" s="1466">
        <f t="shared" si="103"/>
        <v>-27.396521813540751</v>
      </c>
      <c r="K115" s="1466">
        <f t="shared" si="103"/>
        <v>59.479462921434006</v>
      </c>
      <c r="L115" s="1466">
        <f t="shared" si="103"/>
        <v>59.399704581410489</v>
      </c>
      <c r="M115" s="1466">
        <f t="shared" si="103"/>
        <v>59.376993578381715</v>
      </c>
      <c r="N115" s="1466">
        <f t="shared" si="103"/>
        <v>59.41682644229212</v>
      </c>
      <c r="O115" s="1466">
        <f t="shared" si="103"/>
        <v>59.524918586876595</v>
      </c>
      <c r="P115" s="1466">
        <f t="shared" si="103"/>
        <v>59.707222559266796</v>
      </c>
      <c r="Q115" s="1466">
        <f t="shared" si="103"/>
        <v>59.668924927230904</v>
      </c>
      <c r="R115" s="1466">
        <f t="shared" si="103"/>
        <v>59.732583854876623</v>
      </c>
      <c r="S115" s="1466">
        <f t="shared" si="103"/>
        <v>59.904228679226222</v>
      </c>
      <c r="T115" s="1466">
        <f t="shared" si="103"/>
        <v>60.190245263396889</v>
      </c>
      <c r="U115" s="1466">
        <f t="shared" si="103"/>
        <v>60.597397078190156</v>
      </c>
      <c r="V115" s="1466">
        <f t="shared" si="103"/>
        <v>61.132847530238877</v>
      </c>
      <c r="W115" s="1466">
        <f t="shared" si="103"/>
        <v>61.804183610421347</v>
      </c>
      <c r="X115" s="1466">
        <f t="shared" si="103"/>
        <v>62.619440940609636</v>
      </c>
      <c r="Y115" s="1466">
        <f t="shared" si="103"/>
        <v>63.58713030143619</v>
      </c>
      <c r="Z115" s="1466">
        <f t="shared" si="103"/>
        <v>12.912848235836892</v>
      </c>
      <c r="AA115" s="1466">
        <f t="shared" si="103"/>
        <v>11.149840701654943</v>
      </c>
      <c r="AB115" s="1466">
        <f t="shared" si="103"/>
        <v>9.3868146248887303</v>
      </c>
      <c r="AC115" s="1466">
        <f t="shared" si="103"/>
        <v>7.6237696782255515</v>
      </c>
      <c r="AD115" s="1466">
        <f t="shared" si="103"/>
        <v>5.860705528575016</v>
      </c>
      <c r="AE115" s="1466">
        <f t="shared" si="103"/>
        <v>4.0976218369670026</v>
      </c>
      <c r="AF115" s="1466">
        <f t="shared" si="103"/>
        <v>2.3345182584479485</v>
      </c>
      <c r="AG115" s="1466">
        <f t="shared" si="103"/>
        <v>0.57139444197516376</v>
      </c>
      <c r="AH115" s="1466">
        <f t="shared" si="103"/>
        <v>-1.191749969690628</v>
      </c>
      <c r="AI115" s="1466">
        <f t="shared" si="103"/>
        <v>-2.9549153400946633</v>
      </c>
      <c r="AJ115" s="1466">
        <f t="shared" si="103"/>
        <v>0</v>
      </c>
      <c r="AK115" s="1466">
        <f t="shared" si="103"/>
        <v>0</v>
      </c>
      <c r="AL115" s="1466">
        <f t="shared" si="103"/>
        <v>0</v>
      </c>
      <c r="AM115" s="1466">
        <f t="shared" si="103"/>
        <v>0</v>
      </c>
      <c r="AN115" s="1466">
        <f t="shared" si="103"/>
        <v>0</v>
      </c>
      <c r="AO115" s="1466">
        <f t="shared" si="103"/>
        <v>0</v>
      </c>
      <c r="AP115" s="1466">
        <f t="shared" si="103"/>
        <v>0</v>
      </c>
      <c r="AQ115" s="1466">
        <f t="shared" si="103"/>
        <v>0</v>
      </c>
      <c r="AR115" s="1466">
        <f t="shared" si="103"/>
        <v>0</v>
      </c>
      <c r="AS115" s="1466">
        <f t="shared" si="103"/>
        <v>0</v>
      </c>
    </row>
    <row r="116" spans="2:256" s="1258" customFormat="1">
      <c r="B116" s="1257" t="s">
        <v>259</v>
      </c>
      <c r="D116" s="1259">
        <f>SUM(D108:D115)</f>
        <v>249.95762865115614</v>
      </c>
      <c r="E116" s="1163">
        <f>NPV(DiscountRate,F116:AS116)*(1)</f>
        <v>3217.5475338762558</v>
      </c>
      <c r="F116" s="1259">
        <f>SUM(F108:F115)</f>
        <v>2.9794238764357033</v>
      </c>
      <c r="G116" s="1260">
        <f t="shared" ref="G116:Y116" si="104">SUM(G108:G115)</f>
        <v>170.54608218110184</v>
      </c>
      <c r="H116" s="1259">
        <f t="shared" si="104"/>
        <v>242.85058871064638</v>
      </c>
      <c r="I116" s="1260">
        <f t="shared" si="104"/>
        <v>269.97455866538019</v>
      </c>
      <c r="J116" s="1260">
        <f t="shared" si="104"/>
        <v>262.39100168163554</v>
      </c>
      <c r="K116" s="1260">
        <f t="shared" si="104"/>
        <v>346.42262912888657</v>
      </c>
      <c r="L116" s="1260">
        <f t="shared" si="104"/>
        <v>343.25157161401921</v>
      </c>
      <c r="M116" s="1260">
        <f t="shared" si="104"/>
        <v>340.13685563568185</v>
      </c>
      <c r="N116" s="1260">
        <f t="shared" si="104"/>
        <v>337.08372680678315</v>
      </c>
      <c r="O116" s="1260">
        <f t="shared" si="104"/>
        <v>334.09763997290702</v>
      </c>
      <c r="P116" s="1260">
        <f t="shared" si="104"/>
        <v>331.18427717793759</v>
      </c>
      <c r="Q116" s="1260">
        <f t="shared" si="104"/>
        <v>328.04854425984661</v>
      </c>
      <c r="R116" s="1260">
        <f t="shared" si="104"/>
        <v>324.72392030074991</v>
      </c>
      <c r="S116" s="1260">
        <f t="shared" si="104"/>
        <v>321.7879324461523</v>
      </c>
      <c r="T116" s="1260">
        <f t="shared" si="104"/>
        <v>318.96352573836856</v>
      </c>
      <c r="U116" s="1260">
        <f t="shared" si="104"/>
        <v>315.95067267957933</v>
      </c>
      <c r="V116" s="1260">
        <f t="shared" si="104"/>
        <v>313.36299643553218</v>
      </c>
      <c r="W116" s="1260">
        <f t="shared" si="104"/>
        <v>310.58843058781662</v>
      </c>
      <c r="X116" s="1260">
        <f t="shared" si="104"/>
        <v>308.26595800014002</v>
      </c>
      <c r="Y116" s="1260">
        <f t="shared" si="104"/>
        <v>305.75938828866947</v>
      </c>
      <c r="Z116" s="1260">
        <f t="shared" ref="Z116:AS116" si="105">SUM(Z108:Z115)</f>
        <v>144.21177389957919</v>
      </c>
      <c r="AA116" s="1260">
        <f t="shared" si="105"/>
        <v>138.94353455126958</v>
      </c>
      <c r="AB116" s="1260">
        <f t="shared" si="105"/>
        <v>133.65530724547298</v>
      </c>
      <c r="AC116" s="1260">
        <f t="shared" si="105"/>
        <v>128.34623750650076</v>
      </c>
      <c r="AD116" s="1260">
        <f t="shared" si="105"/>
        <v>123.38169759794283</v>
      </c>
      <c r="AE116" s="1260">
        <f t="shared" si="105"/>
        <v>118.03559971486069</v>
      </c>
      <c r="AF116" s="1260">
        <f t="shared" si="105"/>
        <v>112.66608335008576</v>
      </c>
      <c r="AG116" s="1260">
        <f t="shared" si="105"/>
        <v>107.6608588827324</v>
      </c>
      <c r="AH116" s="1260">
        <f t="shared" si="105"/>
        <v>102.24937003056195</v>
      </c>
      <c r="AI116" s="1260">
        <f t="shared" si="105"/>
        <v>97.216023354688616</v>
      </c>
      <c r="AJ116" s="1260">
        <f t="shared" si="105"/>
        <v>0</v>
      </c>
      <c r="AK116" s="1260">
        <f t="shared" si="105"/>
        <v>0</v>
      </c>
      <c r="AL116" s="1260">
        <f t="shared" si="105"/>
        <v>0</v>
      </c>
      <c r="AM116" s="1260">
        <f t="shared" si="105"/>
        <v>0</v>
      </c>
      <c r="AN116" s="1260">
        <f t="shared" si="105"/>
        <v>0</v>
      </c>
      <c r="AO116" s="1260">
        <f t="shared" si="105"/>
        <v>0</v>
      </c>
      <c r="AP116" s="1260">
        <f t="shared" si="105"/>
        <v>0</v>
      </c>
      <c r="AQ116" s="1260">
        <f t="shared" si="105"/>
        <v>0</v>
      </c>
      <c r="AR116" s="1260">
        <f t="shared" si="105"/>
        <v>0</v>
      </c>
      <c r="AS116" s="1260">
        <f t="shared" si="105"/>
        <v>0</v>
      </c>
    </row>
    <row r="117" spans="2:256">
      <c r="D117" s="2152" t="str">
        <f>IF(D116=D6,"","error")</f>
        <v/>
      </c>
    </row>
    <row r="118" spans="2:256" s="1396" customFormat="1">
      <c r="B118" s="1389" t="s">
        <v>146</v>
      </c>
    </row>
    <row r="119" spans="2:256" s="1396" customFormat="1">
      <c r="B119" s="1396" t="s">
        <v>1266</v>
      </c>
      <c r="C119" s="1396" t="s">
        <v>955</v>
      </c>
      <c r="D119" s="1401">
        <f>-PMT(DiscountRate,BookLife,E119)</f>
        <v>104.86566244476934</v>
      </c>
      <c r="E119" s="1402">
        <f>NPV(DiscountRate,F119:AS119)*(1)</f>
        <v>1349.8697975662158</v>
      </c>
      <c r="F119" s="1403">
        <f t="shared" ref="F119:AT119" si="106">IF(F$1,(F108+F109+F110+F111+F115)*GrossMW/StudyGWH,0)</f>
        <v>-8.7548716664165873</v>
      </c>
      <c r="G119" s="1403">
        <f t="shared" si="106"/>
        <v>69.546271522450368</v>
      </c>
      <c r="H119" s="1403">
        <f t="shared" si="106"/>
        <v>103.22795530571067</v>
      </c>
      <c r="I119" s="1403">
        <f t="shared" si="106"/>
        <v>115.74598916467315</v>
      </c>
      <c r="J119" s="1403">
        <f t="shared" si="106"/>
        <v>112.00537979885188</v>
      </c>
      <c r="K119" s="1403">
        <f t="shared" si="106"/>
        <v>151.16966648395561</v>
      </c>
      <c r="L119" s="1403">
        <f t="shared" si="106"/>
        <v>149.48893841175288</v>
      </c>
      <c r="M119" s="1403">
        <f t="shared" si="106"/>
        <v>147.83114614143219</v>
      </c>
      <c r="N119" s="1403">
        <f t="shared" si="106"/>
        <v>146.19868553752892</v>
      </c>
      <c r="O119" s="1403">
        <f t="shared" si="106"/>
        <v>144.59404938370383</v>
      </c>
      <c r="P119" s="1403">
        <f t="shared" si="106"/>
        <v>143.01983577800794</v>
      </c>
      <c r="Q119" s="1403">
        <f t="shared" si="106"/>
        <v>141.33777232276879</v>
      </c>
      <c r="R119" s="1403">
        <f t="shared" si="106"/>
        <v>139.56347368960883</v>
      </c>
      <c r="S119" s="1403">
        <f t="shared" si="106"/>
        <v>137.96735983695027</v>
      </c>
      <c r="T119" s="1403">
        <f t="shared" si="106"/>
        <v>136.41960361815066</v>
      </c>
      <c r="U119" s="1403">
        <f t="shared" si="106"/>
        <v>134.77961743814589</v>
      </c>
      <c r="V119" s="1403">
        <f t="shared" si="106"/>
        <v>133.33472334362403</v>
      </c>
      <c r="W119" s="1403">
        <f t="shared" si="106"/>
        <v>131.79818698066342</v>
      </c>
      <c r="X119" s="1403">
        <f t="shared" si="106"/>
        <v>130.46920518556738</v>
      </c>
      <c r="Y119" s="1403">
        <f t="shared" si="106"/>
        <v>129.04974253707161</v>
      </c>
      <c r="Z119" s="1403">
        <f t="shared" si="106"/>
        <v>53.138625768607589</v>
      </c>
      <c r="AA119" s="1403">
        <f t="shared" si="106"/>
        <v>50.416983647673383</v>
      </c>
      <c r="AB119" s="1403">
        <f t="shared" si="106"/>
        <v>47.68149214907789</v>
      </c>
      <c r="AC119" s="1403">
        <f t="shared" si="106"/>
        <v>44.931671855473418</v>
      </c>
      <c r="AD119" s="1403">
        <f t="shared" si="106"/>
        <v>42.338565274283027</v>
      </c>
      <c r="AE119" s="1403">
        <f t="shared" si="106"/>
        <v>39.562025097526586</v>
      </c>
      <c r="AF119" s="1403">
        <f t="shared" si="106"/>
        <v>36.769703472795314</v>
      </c>
      <c r="AG119" s="1403">
        <f t="shared" si="106"/>
        <v>34.143100681646992</v>
      </c>
      <c r="AH119" s="1403">
        <f t="shared" si="106"/>
        <v>31.32123805792563</v>
      </c>
      <c r="AI119" s="1403">
        <f t="shared" si="106"/>
        <v>28.671406629487819</v>
      </c>
      <c r="AJ119" s="1403">
        <f t="shared" si="106"/>
        <v>0</v>
      </c>
      <c r="AK119" s="1403">
        <f t="shared" si="106"/>
        <v>0</v>
      </c>
      <c r="AL119" s="1403">
        <f t="shared" si="106"/>
        <v>0</v>
      </c>
      <c r="AM119" s="1403">
        <f t="shared" si="106"/>
        <v>0</v>
      </c>
      <c r="AN119" s="1403">
        <f t="shared" si="106"/>
        <v>0</v>
      </c>
      <c r="AO119" s="1403">
        <f t="shared" si="106"/>
        <v>0</v>
      </c>
      <c r="AP119" s="1403">
        <f t="shared" si="106"/>
        <v>0</v>
      </c>
      <c r="AQ119" s="1403">
        <f t="shared" si="106"/>
        <v>0</v>
      </c>
      <c r="AR119" s="1403">
        <f t="shared" si="106"/>
        <v>0</v>
      </c>
      <c r="AS119" s="1403">
        <f t="shared" si="106"/>
        <v>0</v>
      </c>
      <c r="AT119" s="1403">
        <f t="shared" si="106"/>
        <v>0</v>
      </c>
      <c r="AU119" s="1403"/>
      <c r="AV119" s="1403"/>
      <c r="AW119" s="1403"/>
      <c r="AX119" s="1403"/>
      <c r="AY119" s="1403"/>
      <c r="AZ119" s="1403"/>
      <c r="BA119" s="1403"/>
      <c r="BB119" s="1403"/>
      <c r="BC119" s="1403"/>
      <c r="BD119" s="1403"/>
      <c r="BE119" s="1403"/>
      <c r="BF119" s="1403"/>
      <c r="BG119" s="1403"/>
      <c r="BH119" s="1403"/>
      <c r="BI119" s="1403"/>
      <c r="BJ119" s="1403"/>
      <c r="BK119" s="1403"/>
      <c r="BL119" s="1403"/>
      <c r="BM119" s="1403"/>
      <c r="BN119" s="1403"/>
      <c r="BO119" s="1403"/>
      <c r="BP119" s="1403"/>
      <c r="BQ119" s="1403"/>
      <c r="BR119" s="1403"/>
      <c r="BS119" s="1403"/>
      <c r="BT119" s="1403"/>
      <c r="BU119" s="1403"/>
      <c r="BV119" s="1403"/>
      <c r="BW119" s="1403"/>
      <c r="BX119" s="1403"/>
      <c r="BY119" s="1403"/>
      <c r="BZ119" s="1403"/>
      <c r="CA119" s="1403"/>
      <c r="CB119" s="1403"/>
      <c r="CC119" s="1403"/>
      <c r="CD119" s="1403"/>
      <c r="CE119" s="1403"/>
      <c r="CF119" s="1403"/>
      <c r="CG119" s="1403"/>
      <c r="CH119" s="1403"/>
      <c r="CI119" s="1403"/>
      <c r="CJ119" s="1403"/>
      <c r="CK119" s="1403"/>
      <c r="CL119" s="1403"/>
      <c r="CM119" s="1403"/>
      <c r="CN119" s="1403"/>
      <c r="CO119" s="1403"/>
      <c r="CP119" s="1403"/>
      <c r="CQ119" s="1403"/>
      <c r="CR119" s="1403"/>
      <c r="CS119" s="1403"/>
      <c r="CT119" s="1403"/>
      <c r="CU119" s="1403"/>
      <c r="CV119" s="1403"/>
      <c r="CW119" s="1403"/>
      <c r="CX119" s="1403"/>
      <c r="CY119" s="1403"/>
      <c r="CZ119" s="1403"/>
      <c r="DA119" s="1403"/>
      <c r="DB119" s="1403"/>
      <c r="DC119" s="1403"/>
      <c r="DD119" s="1403"/>
      <c r="DE119" s="1403"/>
      <c r="DF119" s="1403"/>
      <c r="DG119" s="1403"/>
      <c r="DH119" s="1403"/>
      <c r="DI119" s="1403"/>
      <c r="DJ119" s="1403"/>
      <c r="DK119" s="1403"/>
      <c r="DL119" s="1403"/>
      <c r="DM119" s="1403"/>
      <c r="DN119" s="1403"/>
      <c r="DO119" s="1403"/>
      <c r="DP119" s="1403"/>
      <c r="DQ119" s="1403"/>
      <c r="DR119" s="1403"/>
      <c r="DS119" s="1403"/>
      <c r="DT119" s="1403"/>
      <c r="DU119" s="1403"/>
      <c r="DV119" s="1403"/>
      <c r="DW119" s="1403"/>
      <c r="DX119" s="1403"/>
      <c r="DY119" s="1403"/>
      <c r="DZ119" s="1403"/>
      <c r="EA119" s="1403"/>
      <c r="EB119" s="1403"/>
      <c r="EC119" s="1403"/>
      <c r="ED119" s="1403"/>
      <c r="EE119" s="1403"/>
      <c r="EF119" s="1403"/>
      <c r="EG119" s="1403"/>
      <c r="EH119" s="1403"/>
      <c r="EI119" s="1403"/>
      <c r="EJ119" s="1403"/>
      <c r="EK119" s="1403"/>
      <c r="EL119" s="1403"/>
      <c r="EM119" s="1403"/>
      <c r="EN119" s="1403"/>
      <c r="EO119" s="1403"/>
      <c r="EP119" s="1403"/>
      <c r="EQ119" s="1403"/>
      <c r="ER119" s="1403"/>
      <c r="ES119" s="1403"/>
      <c r="ET119" s="1403"/>
      <c r="EU119" s="1403"/>
      <c r="EV119" s="1403"/>
      <c r="EW119" s="1403"/>
      <c r="EX119" s="1403"/>
      <c r="EY119" s="1403"/>
      <c r="EZ119" s="1403"/>
      <c r="FA119" s="1403"/>
      <c r="FB119" s="1403"/>
      <c r="FC119" s="1403"/>
      <c r="FD119" s="1403"/>
      <c r="FE119" s="1403"/>
      <c r="FF119" s="1403"/>
      <c r="FG119" s="1403"/>
      <c r="FH119" s="1403"/>
      <c r="FI119" s="1403"/>
      <c r="FJ119" s="1403"/>
      <c r="FK119" s="1403"/>
      <c r="FL119" s="1403"/>
      <c r="FM119" s="1403"/>
      <c r="FN119" s="1403"/>
      <c r="FO119" s="1403"/>
      <c r="FP119" s="1403"/>
      <c r="FQ119" s="1403"/>
      <c r="FR119" s="1403"/>
      <c r="FS119" s="1403"/>
      <c r="FT119" s="1403"/>
      <c r="FU119" s="1403"/>
      <c r="FV119" s="1403"/>
      <c r="FW119" s="1403"/>
      <c r="FX119" s="1403"/>
      <c r="FY119" s="1403"/>
      <c r="FZ119" s="1403"/>
      <c r="GA119" s="1403"/>
      <c r="GB119" s="1403"/>
      <c r="GC119" s="1403"/>
      <c r="GD119" s="1403"/>
      <c r="GE119" s="1403"/>
      <c r="GF119" s="1403"/>
      <c r="GG119" s="1403"/>
      <c r="GH119" s="1403"/>
      <c r="GI119" s="1403"/>
      <c r="GJ119" s="1403"/>
      <c r="GK119" s="1403"/>
      <c r="GL119" s="1403"/>
      <c r="GM119" s="1403"/>
      <c r="GN119" s="1403"/>
      <c r="GO119" s="1403"/>
      <c r="GP119" s="1403"/>
      <c r="GQ119" s="1403"/>
      <c r="GR119" s="1403"/>
      <c r="GS119" s="1403"/>
      <c r="GT119" s="1403"/>
      <c r="GU119" s="1403"/>
      <c r="GV119" s="1403"/>
      <c r="GW119" s="1403"/>
      <c r="GX119" s="1403"/>
      <c r="GY119" s="1403"/>
      <c r="GZ119" s="1403"/>
      <c r="HA119" s="1403"/>
      <c r="HB119" s="1403"/>
      <c r="HC119" s="1403"/>
      <c r="HD119" s="1403"/>
      <c r="HE119" s="1403"/>
      <c r="HF119" s="1403"/>
      <c r="HG119" s="1403"/>
      <c r="HH119" s="1403"/>
      <c r="HI119" s="1403"/>
      <c r="HJ119" s="1403"/>
      <c r="HK119" s="1403"/>
      <c r="HL119" s="1403"/>
      <c r="HM119" s="1403"/>
      <c r="HN119" s="1403"/>
      <c r="HO119" s="1403"/>
      <c r="HP119" s="1403"/>
      <c r="HQ119" s="1403"/>
      <c r="HR119" s="1403"/>
      <c r="HS119" s="1403"/>
      <c r="HT119" s="1403"/>
      <c r="HU119" s="1403"/>
      <c r="HV119" s="1403"/>
      <c r="HW119" s="1403"/>
      <c r="HX119" s="1403"/>
      <c r="HY119" s="1403"/>
      <c r="HZ119" s="1403"/>
      <c r="IA119" s="1403"/>
      <c r="IB119" s="1403"/>
      <c r="IC119" s="1403"/>
      <c r="ID119" s="1403"/>
      <c r="IE119" s="1403"/>
      <c r="IF119" s="1403"/>
      <c r="IG119" s="1403"/>
      <c r="IH119" s="1403"/>
      <c r="II119" s="1403"/>
      <c r="IJ119" s="1403"/>
      <c r="IK119" s="1403"/>
      <c r="IL119" s="1403"/>
      <c r="IM119" s="1403"/>
      <c r="IN119" s="1403"/>
      <c r="IO119" s="1403"/>
      <c r="IP119" s="1403"/>
      <c r="IQ119" s="1403"/>
      <c r="IR119" s="1403"/>
      <c r="IS119" s="1403"/>
      <c r="IT119" s="1403"/>
      <c r="IU119" s="1403"/>
      <c r="IV119" s="1403"/>
    </row>
    <row r="120" spans="2:256" s="1396" customFormat="1">
      <c r="B120" s="1396" t="s">
        <v>163</v>
      </c>
      <c r="C120" s="1396" t="s">
        <v>955</v>
      </c>
      <c r="D120" s="1401">
        <f>-PMT(DiscountRate,BookLife,E120)</f>
        <v>12.202695821312826</v>
      </c>
      <c r="E120" s="1402">
        <f>NPV(DiscountRate,F120:AS120)*(1)</f>
        <v>157.07763775156766</v>
      </c>
      <c r="F120" s="1403">
        <f t="shared" ref="F120:AT120" si="107">IF(F$1,(F112+F113+F114)*GrossMW/StudyGWH,0)</f>
        <v>10.15029321716221</v>
      </c>
      <c r="G120" s="1403">
        <f t="shared" si="107"/>
        <v>10.329465647060422</v>
      </c>
      <c r="H120" s="1403">
        <f t="shared" si="107"/>
        <v>10.511800819053745</v>
      </c>
      <c r="I120" s="1403">
        <f t="shared" si="107"/>
        <v>10.697354561695523</v>
      </c>
      <c r="J120" s="1403">
        <f t="shared" si="107"/>
        <v>10.886183689021717</v>
      </c>
      <c r="K120" s="1403">
        <f t="shared" si="107"/>
        <v>11.078346017946597</v>
      </c>
      <c r="L120" s="1403">
        <f t="shared" si="107"/>
        <v>11.273900385965499</v>
      </c>
      <c r="M120" s="1403">
        <f t="shared" si="107"/>
        <v>11.472906669170055</v>
      </c>
      <c r="N120" s="1403">
        <f t="shared" si="107"/>
        <v>11.675425800581445</v>
      </c>
      <c r="O120" s="1403">
        <f t="shared" si="107"/>
        <v>11.881519788807266</v>
      </c>
      <c r="P120" s="1403">
        <f t="shared" si="107"/>
        <v>12.091251737027724</v>
      </c>
      <c r="Q120" s="1403">
        <f t="shared" si="107"/>
        <v>12.304685862316953</v>
      </c>
      <c r="R120" s="1403">
        <f t="shared" si="107"/>
        <v>12.521887515305451</v>
      </c>
      <c r="S120" s="1403">
        <f t="shared" si="107"/>
        <v>12.742923200189502</v>
      </c>
      <c r="T120" s="1403">
        <f t="shared" si="107"/>
        <v>12.967860595093903</v>
      </c>
      <c r="U120" s="1403">
        <f t="shared" si="107"/>
        <v>13.196768572794062</v>
      </c>
      <c r="V120" s="1403">
        <f t="shared" si="107"/>
        <v>13.429717221803923</v>
      </c>
      <c r="W120" s="1403">
        <f t="shared" si="107"/>
        <v>13.6667778678361</v>
      </c>
      <c r="X120" s="1403">
        <f t="shared" si="107"/>
        <v>13.908023095640848</v>
      </c>
      <c r="Y120" s="1403">
        <f t="shared" si="107"/>
        <v>14.153526771230542</v>
      </c>
      <c r="Z120" s="1403">
        <f t="shared" si="107"/>
        <v>14.403364064496422</v>
      </c>
      <c r="AA120" s="1403">
        <f t="shared" si="107"/>
        <v>14.6576114722246</v>
      </c>
      <c r="AB120" s="1403">
        <f t="shared" si="107"/>
        <v>14.916346841518363</v>
      </c>
      <c r="AC120" s="1403">
        <f t="shared" si="107"/>
        <v>15.179649393633856</v>
      </c>
      <c r="AD120" s="1403">
        <f t="shared" si="107"/>
        <v>15.447599748236589</v>
      </c>
      <c r="AE120" s="1403">
        <f t="shared" si="107"/>
        <v>15.720279948086064</v>
      </c>
      <c r="AF120" s="1403">
        <f t="shared" si="107"/>
        <v>15.997773484156168</v>
      </c>
      <c r="AG120" s="1403">
        <f t="shared" si="107"/>
        <v>16.280165321198965</v>
      </c>
      <c r="AH120" s="1403">
        <f t="shared" si="107"/>
        <v>16.567541923759752</v>
      </c>
      <c r="AI120" s="1403">
        <f t="shared" si="107"/>
        <v>16.859991282651325</v>
      </c>
      <c r="AJ120" s="1403">
        <f t="shared" si="107"/>
        <v>0</v>
      </c>
      <c r="AK120" s="1403">
        <f t="shared" si="107"/>
        <v>0</v>
      </c>
      <c r="AL120" s="1403">
        <f t="shared" si="107"/>
        <v>0</v>
      </c>
      <c r="AM120" s="1403">
        <f t="shared" si="107"/>
        <v>0</v>
      </c>
      <c r="AN120" s="1403">
        <f t="shared" si="107"/>
        <v>0</v>
      </c>
      <c r="AO120" s="1403">
        <f t="shared" si="107"/>
        <v>0</v>
      </c>
      <c r="AP120" s="1403">
        <f t="shared" si="107"/>
        <v>0</v>
      </c>
      <c r="AQ120" s="1403">
        <f t="shared" si="107"/>
        <v>0</v>
      </c>
      <c r="AR120" s="1403">
        <f t="shared" si="107"/>
        <v>0</v>
      </c>
      <c r="AS120" s="1403">
        <f t="shared" si="107"/>
        <v>0</v>
      </c>
      <c r="AT120" s="1403">
        <f t="shared" si="107"/>
        <v>0</v>
      </c>
    </row>
    <row r="121" spans="2:256" s="1396" customFormat="1">
      <c r="B121" s="1396" t="s">
        <v>1268</v>
      </c>
      <c r="C121" s="1396" t="s">
        <v>955</v>
      </c>
      <c r="D121" s="1401">
        <f>-PMT(DiscountRate,BookLife,E121)</f>
        <v>117.06835826608219</v>
      </c>
      <c r="E121" s="1402">
        <f>NPV(DiscountRate,F121:AS121)*(1)</f>
        <v>1506.9474353177836</v>
      </c>
      <c r="F121" s="1403">
        <f t="shared" ref="F121:AS121" si="108">SUM(F119:F120)</f>
        <v>1.3954215507456222</v>
      </c>
      <c r="G121" s="1403">
        <f t="shared" si="108"/>
        <v>79.875737169510785</v>
      </c>
      <c r="H121" s="1403">
        <f t="shared" si="108"/>
        <v>113.73975612476441</v>
      </c>
      <c r="I121" s="1403">
        <f t="shared" si="108"/>
        <v>126.44334372636867</v>
      </c>
      <c r="J121" s="1403">
        <f t="shared" si="108"/>
        <v>122.8915634878736</v>
      </c>
      <c r="K121" s="1403">
        <f t="shared" si="108"/>
        <v>162.2480125019022</v>
      </c>
      <c r="L121" s="1403">
        <f t="shared" si="108"/>
        <v>160.76283879771839</v>
      </c>
      <c r="M121" s="1403">
        <f t="shared" si="108"/>
        <v>159.30405281060223</v>
      </c>
      <c r="N121" s="1403">
        <f t="shared" si="108"/>
        <v>157.87411133811037</v>
      </c>
      <c r="O121" s="1403">
        <f t="shared" si="108"/>
        <v>156.47556917251109</v>
      </c>
      <c r="P121" s="1403">
        <f t="shared" si="108"/>
        <v>155.11108751503568</v>
      </c>
      <c r="Q121" s="1403">
        <f t="shared" si="108"/>
        <v>153.64245818508573</v>
      </c>
      <c r="R121" s="1403">
        <f t="shared" si="108"/>
        <v>152.08536120491428</v>
      </c>
      <c r="S121" s="1403">
        <f t="shared" si="108"/>
        <v>150.71028303713976</v>
      </c>
      <c r="T121" s="1403">
        <f t="shared" si="108"/>
        <v>149.38746421324456</v>
      </c>
      <c r="U121" s="1403">
        <f t="shared" si="108"/>
        <v>147.97638601093996</v>
      </c>
      <c r="V121" s="1403">
        <f t="shared" si="108"/>
        <v>146.76444056542795</v>
      </c>
      <c r="W121" s="1403">
        <f t="shared" si="108"/>
        <v>145.46496484849951</v>
      </c>
      <c r="X121" s="1403">
        <f t="shared" si="108"/>
        <v>144.37722828120823</v>
      </c>
      <c r="Y121" s="1403">
        <f t="shared" si="108"/>
        <v>143.20326930830214</v>
      </c>
      <c r="Z121" s="1403">
        <f t="shared" si="108"/>
        <v>67.541989833104012</v>
      </c>
      <c r="AA121" s="1403">
        <f t="shared" si="108"/>
        <v>65.074595119897978</v>
      </c>
      <c r="AB121" s="1403">
        <f t="shared" si="108"/>
        <v>62.597838990596252</v>
      </c>
      <c r="AC121" s="1403">
        <f t="shared" si="108"/>
        <v>60.111321249107277</v>
      </c>
      <c r="AD121" s="1403">
        <f t="shared" si="108"/>
        <v>57.786165022519619</v>
      </c>
      <c r="AE121" s="1403">
        <f t="shared" si="108"/>
        <v>55.282305045612652</v>
      </c>
      <c r="AF121" s="1403">
        <f t="shared" si="108"/>
        <v>52.767476956951484</v>
      </c>
      <c r="AG121" s="1403">
        <f t="shared" si="108"/>
        <v>50.423266002845956</v>
      </c>
      <c r="AH121" s="1403">
        <f t="shared" si="108"/>
        <v>47.888779981685381</v>
      </c>
      <c r="AI121" s="1403">
        <f t="shared" si="108"/>
        <v>45.531397912139141</v>
      </c>
      <c r="AJ121" s="1403">
        <f t="shared" si="108"/>
        <v>0</v>
      </c>
      <c r="AK121" s="1403">
        <f t="shared" si="108"/>
        <v>0</v>
      </c>
      <c r="AL121" s="1403">
        <f t="shared" si="108"/>
        <v>0</v>
      </c>
      <c r="AM121" s="1403">
        <f t="shared" si="108"/>
        <v>0</v>
      </c>
      <c r="AN121" s="1403">
        <f t="shared" si="108"/>
        <v>0</v>
      </c>
      <c r="AO121" s="1403">
        <f t="shared" si="108"/>
        <v>0</v>
      </c>
      <c r="AP121" s="1403">
        <f t="shared" si="108"/>
        <v>0</v>
      </c>
      <c r="AQ121" s="1403">
        <f t="shared" si="108"/>
        <v>0</v>
      </c>
      <c r="AR121" s="1403">
        <f t="shared" si="108"/>
        <v>0</v>
      </c>
      <c r="AS121" s="1403">
        <f t="shared" si="108"/>
        <v>0</v>
      </c>
    </row>
    <row r="122" spans="2:256" s="1388" customFormat="1">
      <c r="D122" s="1392" t="str">
        <f>IF(OwnerType="Merchant","",IF(D121=LevelizedMWh,"","Error"))</f>
        <v/>
      </c>
      <c r="E122" s="1393"/>
      <c r="G122" s="1394"/>
      <c r="H122" s="1394"/>
      <c r="I122" s="1394"/>
      <c r="J122" s="1394"/>
      <c r="K122" s="1394"/>
      <c r="L122" s="1394"/>
      <c r="M122" s="1394"/>
      <c r="N122" s="1394"/>
      <c r="O122" s="1394"/>
      <c r="P122" s="1394"/>
      <c r="Q122" s="1394"/>
      <c r="R122" s="1394"/>
      <c r="S122" s="1394"/>
      <c r="T122" s="1394"/>
      <c r="AT122" s="1395"/>
    </row>
    <row r="123" spans="2:256" s="1390" customFormat="1">
      <c r="B123" s="1396" t="s">
        <v>236</v>
      </c>
      <c r="E123" s="1397">
        <f>NPV(DiscountRate,F123:AS123)*(1)</f>
        <v>1220.9048323238924</v>
      </c>
      <c r="F123" s="1398">
        <f t="shared" ref="F123:AS123" si="109">IF(F$1,(F108+F109+F115)*GrossMW/StudyGWH,0)</f>
        <v>-19.312956513149423</v>
      </c>
      <c r="G123" s="1398">
        <f t="shared" si="109"/>
        <v>58.994585515018592</v>
      </c>
      <c r="H123" s="1398">
        <f t="shared" si="109"/>
        <v>92.57619145161047</v>
      </c>
      <c r="I123" s="1398">
        <f t="shared" si="109"/>
        <v>105.10754001539057</v>
      </c>
      <c r="J123" s="1398">
        <f t="shared" si="109"/>
        <v>101.38503864812128</v>
      </c>
      <c r="K123" s="1398">
        <f t="shared" si="109"/>
        <v>140.45466577079458</v>
      </c>
      <c r="L123" s="1398">
        <f t="shared" si="109"/>
        <v>138.79984209592038</v>
      </c>
      <c r="M123" s="1398">
        <f t="shared" si="109"/>
        <v>137.17327639910661</v>
      </c>
      <c r="N123" s="1398">
        <f t="shared" si="109"/>
        <v>135.57756707017683</v>
      </c>
      <c r="O123" s="1398">
        <f t="shared" si="109"/>
        <v>134.01541539022119</v>
      </c>
      <c r="P123" s="1398">
        <f t="shared" si="109"/>
        <v>132.48963408473642</v>
      </c>
      <c r="Q123" s="1398">
        <f t="shared" si="109"/>
        <v>130.86217167531424</v>
      </c>
      <c r="R123" s="1398">
        <f t="shared" si="109"/>
        <v>129.28412480111925</v>
      </c>
      <c r="S123" s="1398">
        <f t="shared" si="109"/>
        <v>127.75834333559244</v>
      </c>
      <c r="T123" s="1398">
        <f t="shared" si="109"/>
        <v>126.2878445389653</v>
      </c>
      <c r="U123" s="1398">
        <f t="shared" si="109"/>
        <v>124.87582293824218</v>
      </c>
      <c r="V123" s="1398">
        <f t="shared" si="109"/>
        <v>123.52566079111072</v>
      </c>
      <c r="W123" s="1398">
        <f t="shared" si="109"/>
        <v>122.24093916830417</v>
      </c>
      <c r="X123" s="1398">
        <f t="shared" si="109"/>
        <v>121.0254496909799</v>
      </c>
      <c r="Y123" s="1398">
        <f t="shared" si="109"/>
        <v>119.88320696184138</v>
      </c>
      <c r="Z123" s="1398">
        <f t="shared" si="109"/>
        <v>44.105704101762072</v>
      </c>
      <c r="AA123" s="1398">
        <f t="shared" si="109"/>
        <v>41.688328815921608</v>
      </c>
      <c r="AB123" s="1398">
        <f t="shared" si="109"/>
        <v>39.272887994490347</v>
      </c>
      <c r="AC123" s="1398">
        <f t="shared" si="109"/>
        <v>36.859411867069369</v>
      </c>
      <c r="AD123" s="1398">
        <f t="shared" si="109"/>
        <v>34.447931135618077</v>
      </c>
      <c r="AE123" s="1398">
        <f t="shared" si="109"/>
        <v>32.0384769818343</v>
      </c>
      <c r="AF123" s="1398">
        <f t="shared" si="109"/>
        <v>29.631081074650087</v>
      </c>
      <c r="AG123" s="1398">
        <f t="shared" si="109"/>
        <v>27.225775577844267</v>
      </c>
      <c r="AH123" s="1398">
        <f t="shared" si="109"/>
        <v>24.822593157774122</v>
      </c>
      <c r="AI123" s="1398">
        <f t="shared" si="109"/>
        <v>22.421566991227817</v>
      </c>
      <c r="AJ123" s="1398">
        <f t="shared" si="109"/>
        <v>0</v>
      </c>
      <c r="AK123" s="1398">
        <f t="shared" si="109"/>
        <v>0</v>
      </c>
      <c r="AL123" s="1398">
        <f t="shared" si="109"/>
        <v>0</v>
      </c>
      <c r="AM123" s="1398">
        <f t="shared" si="109"/>
        <v>0</v>
      </c>
      <c r="AN123" s="1398">
        <f t="shared" si="109"/>
        <v>0</v>
      </c>
      <c r="AO123" s="1398">
        <f t="shared" si="109"/>
        <v>0</v>
      </c>
      <c r="AP123" s="1398">
        <f t="shared" si="109"/>
        <v>0</v>
      </c>
      <c r="AQ123" s="1398">
        <f t="shared" si="109"/>
        <v>0</v>
      </c>
      <c r="AR123" s="1398">
        <f t="shared" si="109"/>
        <v>0</v>
      </c>
      <c r="AS123" s="1398">
        <f t="shared" si="109"/>
        <v>0</v>
      </c>
      <c r="AT123" s="1391"/>
      <c r="AU123" s="1391"/>
      <c r="AV123" s="1391"/>
      <c r="AW123" s="1391"/>
      <c r="AX123" s="1391"/>
      <c r="AY123" s="1391"/>
      <c r="AZ123" s="1391"/>
      <c r="BA123" s="1391"/>
      <c r="BB123" s="1391"/>
      <c r="BC123" s="1391"/>
      <c r="BD123" s="1391"/>
      <c r="BE123" s="1391"/>
      <c r="BF123" s="1391"/>
      <c r="BG123" s="1391"/>
      <c r="BH123" s="1391"/>
      <c r="BI123" s="1391"/>
      <c r="BJ123" s="1391"/>
      <c r="BK123" s="1391"/>
      <c r="BL123" s="1391"/>
      <c r="BM123" s="1391"/>
      <c r="BN123" s="1391"/>
      <c r="BO123" s="1391"/>
      <c r="BP123" s="1391"/>
      <c r="BQ123" s="1391"/>
      <c r="BR123" s="1391"/>
      <c r="BS123" s="1391"/>
      <c r="BT123" s="1391"/>
      <c r="BU123" s="1391"/>
      <c r="BV123" s="1391"/>
      <c r="BW123" s="1391"/>
      <c r="BX123" s="1391"/>
      <c r="BY123" s="1391"/>
      <c r="BZ123" s="1391"/>
      <c r="CA123" s="1391"/>
      <c r="CB123" s="1391"/>
      <c r="CC123" s="1391"/>
      <c r="CD123" s="1391"/>
      <c r="CE123" s="1391"/>
      <c r="CF123" s="1391"/>
      <c r="CG123" s="1391"/>
      <c r="CH123" s="1391"/>
      <c r="CI123" s="1391"/>
      <c r="CJ123" s="1391"/>
      <c r="CK123" s="1391"/>
      <c r="CL123" s="1391"/>
      <c r="CM123" s="1391"/>
      <c r="CN123" s="1391"/>
      <c r="CO123" s="1391"/>
      <c r="CP123" s="1391"/>
      <c r="CQ123" s="1391"/>
      <c r="CR123" s="1391"/>
      <c r="CS123" s="1391"/>
      <c r="CT123" s="1391"/>
      <c r="CU123" s="1391"/>
      <c r="CV123" s="1391"/>
      <c r="CW123" s="1391"/>
      <c r="CX123" s="1391"/>
      <c r="CY123" s="1391"/>
      <c r="CZ123" s="1391"/>
      <c r="DA123" s="1391"/>
      <c r="DB123" s="1391"/>
      <c r="DC123" s="1391"/>
      <c r="DD123" s="1391"/>
      <c r="DE123" s="1391"/>
      <c r="DF123" s="1391"/>
      <c r="DG123" s="1391"/>
      <c r="DH123" s="1391"/>
      <c r="DI123" s="1391"/>
      <c r="DJ123" s="1391"/>
      <c r="DK123" s="1391"/>
      <c r="DL123" s="1391"/>
      <c r="DM123" s="1391"/>
      <c r="DN123" s="1391"/>
      <c r="DO123" s="1391"/>
      <c r="DP123" s="1391"/>
      <c r="DQ123" s="1391"/>
      <c r="DR123" s="1391"/>
      <c r="DS123" s="1391"/>
      <c r="DT123" s="1391"/>
      <c r="DU123" s="1391"/>
      <c r="DV123" s="1391"/>
      <c r="DW123" s="1391"/>
      <c r="DX123" s="1391"/>
      <c r="DY123" s="1391"/>
      <c r="DZ123" s="1391"/>
      <c r="EA123" s="1391"/>
      <c r="EB123" s="1391"/>
      <c r="EC123" s="1391"/>
      <c r="ED123" s="1391"/>
      <c r="EE123" s="1391"/>
      <c r="EF123" s="1391"/>
      <c r="EG123" s="1391"/>
      <c r="EH123" s="1391"/>
      <c r="EI123" s="1391"/>
      <c r="EJ123" s="1391"/>
      <c r="EK123" s="1391"/>
      <c r="EL123" s="1391"/>
      <c r="EM123" s="1391"/>
      <c r="EN123" s="1391"/>
      <c r="EO123" s="1391"/>
      <c r="EP123" s="1391"/>
      <c r="EQ123" s="1391"/>
      <c r="ER123" s="1391"/>
      <c r="ES123" s="1391"/>
      <c r="ET123" s="1391"/>
      <c r="EU123" s="1391"/>
    </row>
    <row r="124" spans="2:256" s="1388" customFormat="1">
      <c r="E124" s="1397"/>
      <c r="F124" s="1399"/>
      <c r="G124" s="1399"/>
      <c r="H124" s="1399"/>
      <c r="I124" s="1399"/>
      <c r="J124" s="1399"/>
      <c r="K124" s="1399"/>
      <c r="L124" s="1399"/>
      <c r="M124" s="1399"/>
      <c r="N124" s="1399"/>
      <c r="O124" s="1399"/>
      <c r="P124" s="1399"/>
      <c r="Q124" s="1399"/>
      <c r="R124" s="1399"/>
      <c r="S124" s="1399"/>
      <c r="T124" s="1399"/>
      <c r="U124" s="1399"/>
      <c r="V124" s="1399"/>
      <c r="W124" s="1399"/>
      <c r="X124" s="1399"/>
      <c r="Y124" s="1399"/>
      <c r="Z124" s="1399"/>
      <c r="AA124" s="1399"/>
      <c r="AB124" s="1399"/>
      <c r="AC124" s="1399"/>
      <c r="AD124" s="1399"/>
      <c r="AE124" s="1399"/>
      <c r="AF124" s="1399"/>
      <c r="AG124" s="1399"/>
      <c r="AH124" s="1399"/>
      <c r="AI124" s="1399"/>
      <c r="AJ124" s="1399"/>
      <c r="AK124" s="1399"/>
      <c r="AL124" s="1399"/>
      <c r="AM124" s="1399"/>
      <c r="AN124" s="1399"/>
      <c r="AO124" s="1399"/>
      <c r="AP124" s="1399"/>
      <c r="AQ124" s="1399"/>
      <c r="AR124" s="1399"/>
      <c r="AS124" s="1399"/>
      <c r="AT124" s="1395"/>
    </row>
    <row r="125" spans="2:256" s="1400" customFormat="1">
      <c r="B125" s="1400" t="s">
        <v>237</v>
      </c>
      <c r="C125" s="1400" t="s">
        <v>955</v>
      </c>
      <c r="D125" s="1404">
        <f>-PMT(DiscountRate,BookLife,E125)</f>
        <v>120.75219369093548</v>
      </c>
      <c r="E125" s="1405">
        <f>NPV(DiscountRate,F125:AS125)*(1)</f>
        <v>1554.3671346100377</v>
      </c>
      <c r="F125" s="1406">
        <f>IF(F$1,($E$123*((1+InflationRate+CapitalCostEscalationRate))^(Income_Rev_Req!F$2-1))*(DiscountRate+Income_Rev_Req!F93-InflationRate-CapitalCostEscalationRate),0)</f>
        <v>102.66534834660004</v>
      </c>
      <c r="G125" s="1406">
        <f>IF(G$1,($E$123*((1+InflationRate+CapitalCostEscalationRate))^(Income_Rev_Req!G$2-1))*(DiscountRate+Income_Rev_Req!G93-InflationRate-CapitalCostEscalationRate),0)</f>
        <v>104.27061438382614</v>
      </c>
      <c r="H125" s="1406">
        <f>IF(H$1,($E$123*((1+InflationRate+CapitalCostEscalationRate))^(Income_Rev_Req!H$2-1))*(DiscountRate+Income_Rev_Req!H93-InflationRate-CapitalCostEscalationRate),0)</f>
        <v>105.90098021462204</v>
      </c>
      <c r="I125" s="1406">
        <f>IF(I$1,($E$123*((1+InflationRate+CapitalCostEscalationRate))^(Income_Rev_Req!I$2-1))*(DiscountRate+Income_Rev_Req!I93-InflationRate-CapitalCostEscalationRate),0)</f>
        <v>107.55683829707422</v>
      </c>
      <c r="J125" s="1406">
        <f>IF(J$1,($E$123*((1+InflationRate+CapitalCostEscalationRate))^(Income_Rev_Req!J$2-1))*(DiscountRate+Income_Rev_Req!J93-InflationRate-CapitalCostEscalationRate),0)</f>
        <v>109.23858722570803</v>
      </c>
      <c r="K125" s="1406">
        <f>IF(K$1,($E$123*((1+InflationRate+CapitalCostEscalationRate))^(Income_Rev_Req!K$2-1))*(DiscountRate+Income_Rev_Req!K93-InflationRate-CapitalCostEscalationRate),0)</f>
        <v>110.94663182743656</v>
      </c>
      <c r="L125" s="1406">
        <f>IF(L$1,($E$123*((1+InflationRate+CapitalCostEscalationRate))^(Income_Rev_Req!L$2-1))*(DiscountRate+Income_Rev_Req!L93-InflationRate-CapitalCostEscalationRate),0)</f>
        <v>112.68138325900965</v>
      </c>
      <c r="M125" s="1406">
        <f>IF(M$1,($E$123*((1+InflationRate+CapitalCostEscalationRate))^(Income_Rev_Req!M$2-1))*(DiscountRate+Income_Rev_Req!M93-InflationRate-CapitalCostEscalationRate),0)</f>
        <v>114.44325910598654</v>
      </c>
      <c r="N125" s="1406">
        <f>IF(N$1,($E$123*((1+InflationRate+CapitalCostEscalationRate))^(Income_Rev_Req!N$2-1))*(DiscountRate+Income_Rev_Req!N93-InflationRate-CapitalCostEscalationRate),0)</f>
        <v>116.23268348325639</v>
      </c>
      <c r="O125" s="1406">
        <f>IF(O$1,($E$123*((1+InflationRate+CapitalCostEscalationRate))^(Income_Rev_Req!O$2-1))*(DiscountRate+Income_Rev_Req!O93-InflationRate-CapitalCostEscalationRate),0)</f>
        <v>118.05008713713005</v>
      </c>
      <c r="P125" s="1406">
        <f>IF(P$1,($E$123*((1+InflationRate+CapitalCostEscalationRate))^(Income_Rev_Req!P$2-1))*(DiscountRate+Income_Rev_Req!P93-InflationRate-CapitalCostEscalationRate),0)</f>
        <v>119.89590754902846</v>
      </c>
      <c r="Q125" s="1406">
        <f>IF(Q$1,($E$123*((1+InflationRate+CapitalCostEscalationRate))^(Income_Rev_Req!Q$2-1))*(DiscountRate+Income_Rev_Req!Q93-InflationRate-CapitalCostEscalationRate),0)</f>
        <v>121.77058904079227</v>
      </c>
      <c r="R125" s="1406">
        <f>IF(R$1,($E$123*((1+InflationRate+CapitalCostEscalationRate))^(Income_Rev_Req!R$2-1))*(DiscountRate+Income_Rev_Req!R93-InflationRate-CapitalCostEscalationRate),0)</f>
        <v>123.67458288163795</v>
      </c>
      <c r="S125" s="1406">
        <f>IF(S$1,($E$123*((1+InflationRate+CapitalCostEscalationRate))^(Income_Rev_Req!S$2-1))*(DiscountRate+Income_Rev_Req!S93-InflationRate-CapitalCostEscalationRate),0)</f>
        <v>125.60834739678627</v>
      </c>
      <c r="T125" s="1406">
        <f>IF(T$1,($E$123*((1+InflationRate+CapitalCostEscalationRate))^(Income_Rev_Req!T$2-1))*(DiscountRate+Income_Rev_Req!T93-InflationRate-CapitalCostEscalationRate),0)</f>
        <v>127.57234807778953</v>
      </c>
      <c r="U125" s="1406">
        <f>IF(U$1,($E$123*((1+InflationRate+CapitalCostEscalationRate))^(Income_Rev_Req!U$2-1))*(DiscountRate+Income_Rev_Req!U93-InflationRate-CapitalCostEscalationRate),0)</f>
        <v>129.56705769458344</v>
      </c>
      <c r="V125" s="1406">
        <f>IF(V$1,($E$123*((1+InflationRate+CapitalCostEscalationRate))^(Income_Rev_Req!V$2-1))*(DiscountRate+Income_Rev_Req!V93-InflationRate-CapitalCostEscalationRate),0)</f>
        <v>131.59295640929145</v>
      </c>
      <c r="W125" s="1406">
        <f>IF(W$1,($E$123*((1+InflationRate+CapitalCostEscalationRate))^(Income_Rev_Req!W$2-1))*(DiscountRate+Income_Rev_Req!W93-InflationRate-CapitalCostEscalationRate),0)</f>
        <v>133.65053189180827</v>
      </c>
      <c r="X125" s="1406">
        <f>IF(X$1,($E$123*((1+InflationRate+CapitalCostEscalationRate))^(Income_Rev_Req!X$2-1))*(DiscountRate+Income_Rev_Req!X93-InflationRate-CapitalCostEscalationRate),0)</f>
        <v>135.74027943719054</v>
      </c>
      <c r="Y125" s="1406">
        <f>IF(Y$1,($E$123*((1+InflationRate+CapitalCostEscalationRate))^(Income_Rev_Req!Y$2-1))*(DiscountRate+Income_Rev_Req!Y93-InflationRate-CapitalCostEscalationRate),0)</f>
        <v>137.86270208488341</v>
      </c>
      <c r="Z125" s="1406">
        <f>IF(Z$1,($E$123*((1+InflationRate+CapitalCostEscalationRate))^(Income_Rev_Req!Z$2-1))*(DiscountRate+Income_Rev_Req!Z93-InflationRate-CapitalCostEscalationRate),0)</f>
        <v>140.01831073981094</v>
      </c>
      <c r="AA125" s="1406">
        <f>IF(AA$1,($E$123*((1+InflationRate+CapitalCostEscalationRate))^(Income_Rev_Req!AA$2-1))*(DiscountRate+Income_Rev_Req!AA93-InflationRate-CapitalCostEscalationRate),0)</f>
        <v>142.20762429536012</v>
      </c>
      <c r="AB125" s="1406">
        <f>IF(AB$1,($E$123*((1+InflationRate+CapitalCostEscalationRate))^(Income_Rev_Req!AB$2-1))*(DiscountRate+Income_Rev_Req!AB93-InflationRate-CapitalCostEscalationRate),0)</f>
        <v>144.43116975828758</v>
      </c>
      <c r="AC125" s="1406">
        <f>IF(AC$1,($E$123*((1+InflationRate+CapitalCostEscalationRate))^(Income_Rev_Req!AC$2-1))*(DiscountRate+Income_Rev_Req!AC93-InflationRate-CapitalCostEscalationRate),0)</f>
        <v>146.68948237557967</v>
      </c>
      <c r="AD125" s="1406">
        <f>IF(AD$1,($E$123*((1+InflationRate+CapitalCostEscalationRate))^(Income_Rev_Req!AD$2-1))*(DiscountRate+Income_Rev_Req!AD93-InflationRate-CapitalCostEscalationRate),0)</f>
        <v>148.9831057632959</v>
      </c>
      <c r="AE125" s="1406">
        <f>IF(AE$1,($E$123*((1+InflationRate+CapitalCostEscalationRate))^(Income_Rev_Req!AE$2-1))*(DiscountRate+Income_Rev_Req!AE93-InflationRate-CapitalCostEscalationRate),0)</f>
        <v>151.31259203742692</v>
      </c>
      <c r="AF125" s="1406">
        <f>IF(AF$1,($E$123*((1+InflationRate+CapitalCostEscalationRate))^(Income_Rev_Req!AF$2-1))*(DiscountRate+Income_Rev_Req!AF93-InflationRate-CapitalCostEscalationRate),0)</f>
        <v>153.67850194679869</v>
      </c>
      <c r="AG125" s="1406">
        <f>IF(AG$1,($E$123*((1+InflationRate+CapitalCostEscalationRate))^(Income_Rev_Req!AG$2-1))*(DiscountRate+Income_Rev_Req!AG93-InflationRate-CapitalCostEscalationRate),0)</f>
        <v>156.0814050080549</v>
      </c>
      <c r="AH125" s="1406">
        <f>IF(AH$1,($E$123*((1+InflationRate+CapitalCostEscalationRate))^(Income_Rev_Req!AH$2-1))*(DiscountRate+Income_Rev_Req!AH93-InflationRate-CapitalCostEscalationRate),0)</f>
        <v>158.52187964274952</v>
      </c>
      <c r="AI125" s="1406">
        <f>IF(AI$1,($E$123*((1+InflationRate+CapitalCostEscalationRate))^(Income_Rev_Req!AI$2-1))*(DiscountRate+Income_Rev_Req!AI93-InflationRate-CapitalCostEscalationRate),0)</f>
        <v>161.00051331658321</v>
      </c>
      <c r="AJ125" s="1406">
        <f>IF(AJ$1,($E$123*((1+InflationRate+CapitalCostEscalationRate))^(Income_Rev_Req!AJ$2-1))*(DiscountRate+Income_Rev_Req!AJ93-InflationRate-CapitalCostEscalationRate),0)</f>
        <v>0</v>
      </c>
      <c r="AK125" s="1406">
        <f>IF(AK$1,($E$123*((1+InflationRate+CapitalCostEscalationRate))^(Income_Rev_Req!AK$2-1))*(DiscountRate+Income_Rev_Req!AK93-InflationRate-CapitalCostEscalationRate),0)</f>
        <v>0</v>
      </c>
      <c r="AL125" s="1406">
        <f>IF(AL$1,($E$123*((1+InflationRate+CapitalCostEscalationRate))^(Income_Rev_Req!AL$2-1))*(DiscountRate+Income_Rev_Req!AL93-InflationRate-CapitalCostEscalationRate),0)</f>
        <v>0</v>
      </c>
      <c r="AM125" s="1406">
        <f>IF(AM$1,($E$123*((1+InflationRate+CapitalCostEscalationRate))^(Income_Rev_Req!AM$2-1))*(DiscountRate+Income_Rev_Req!AM93-InflationRate-CapitalCostEscalationRate),0)</f>
        <v>0</v>
      </c>
      <c r="AN125" s="1406">
        <f>IF(AN$1,($E$123*((1+InflationRate+CapitalCostEscalationRate))^(Income_Rev_Req!AN$2-1))*(DiscountRate+Income_Rev_Req!AN93-InflationRate-CapitalCostEscalationRate),0)</f>
        <v>0</v>
      </c>
      <c r="AO125" s="1406">
        <f>IF(AO$1,($E$123*((1+InflationRate+CapitalCostEscalationRate))^(Income_Rev_Req!AO$2-1))*(DiscountRate+Income_Rev_Req!AO93-InflationRate-CapitalCostEscalationRate),0)</f>
        <v>0</v>
      </c>
      <c r="AP125" s="1406">
        <f>IF(AP$1,($E$123*((1+InflationRate+CapitalCostEscalationRate))^(Income_Rev_Req!AP$2-1))*(DiscountRate+Income_Rev_Req!AP93-InflationRate-CapitalCostEscalationRate),0)</f>
        <v>0</v>
      </c>
      <c r="AQ125" s="1406">
        <f>IF(AQ$1,($E$123*((1+InflationRate+CapitalCostEscalationRate))^(Income_Rev_Req!AQ$2-1))*(DiscountRate+Income_Rev_Req!AQ93-InflationRate-CapitalCostEscalationRate),0)</f>
        <v>0</v>
      </c>
      <c r="AR125" s="1406">
        <f>IF(AR$1,($E$123*((1+InflationRate+CapitalCostEscalationRate))^(Income_Rev_Req!AR$2-1))*(DiscountRate+Income_Rev_Req!AR93-InflationRate-CapitalCostEscalationRate),0)</f>
        <v>0</v>
      </c>
      <c r="AS125" s="1406">
        <f>IF(AS$1,($E$123*((1+InflationRate+CapitalCostEscalationRate))^(Income_Rev_Req!AS$2-1))*(DiscountRate+Income_Rev_Req!AS93-InflationRate-CapitalCostEscalationRate),0)</f>
        <v>0</v>
      </c>
      <c r="AT125" s="1406">
        <f>IF(AT$1,($E$123*((1+InflationRate+CapitalCostEscalationRate))^(Income_Rev_Req!AT$2-1))*(DiscountRate+Income_Rev_Req!AT93-InflationRate-CapitalCostEscalationRate),0)</f>
        <v>0</v>
      </c>
    </row>
    <row r="126" spans="2:256" s="1400" customFormat="1">
      <c r="B126" s="1400" t="s">
        <v>235</v>
      </c>
      <c r="C126" s="1400" t="s">
        <v>955</v>
      </c>
      <c r="D126" s="1404">
        <f>-PMT(DiscountRate,BookLife,E126)</f>
        <v>22.221437285627655</v>
      </c>
      <c r="E126" s="1405">
        <f>NPV(DiscountRate,F126:AS126)*(1)</f>
        <v>286.04260299389119</v>
      </c>
      <c r="F126" s="1406">
        <f t="shared" ref="F126:AS126" si="110">F121-F123</f>
        <v>20.708378063895047</v>
      </c>
      <c r="G126" s="1406">
        <f t="shared" si="110"/>
        <v>20.881151654492193</v>
      </c>
      <c r="H126" s="1406">
        <f t="shared" si="110"/>
        <v>21.163564673153942</v>
      </c>
      <c r="I126" s="1406">
        <f t="shared" si="110"/>
        <v>21.335803710978098</v>
      </c>
      <c r="J126" s="1406">
        <f t="shared" si="110"/>
        <v>21.506524839752316</v>
      </c>
      <c r="K126" s="1406">
        <f t="shared" si="110"/>
        <v>21.793346731107619</v>
      </c>
      <c r="L126" s="1406">
        <f t="shared" si="110"/>
        <v>21.962996701798005</v>
      </c>
      <c r="M126" s="1406">
        <f t="shared" si="110"/>
        <v>22.130776411495617</v>
      </c>
      <c r="N126" s="1406">
        <f t="shared" si="110"/>
        <v>22.296544267933541</v>
      </c>
      <c r="O126" s="1406">
        <f t="shared" si="110"/>
        <v>22.460153782289893</v>
      </c>
      <c r="P126" s="1406">
        <f t="shared" si="110"/>
        <v>22.621453430299255</v>
      </c>
      <c r="Q126" s="1406">
        <f t="shared" si="110"/>
        <v>22.780286509771486</v>
      </c>
      <c r="R126" s="1406">
        <f t="shared" si="110"/>
        <v>22.801236403795031</v>
      </c>
      <c r="S126" s="1406">
        <f t="shared" si="110"/>
        <v>22.951939701547317</v>
      </c>
      <c r="T126" s="1406">
        <f t="shared" si="110"/>
        <v>23.099619674279253</v>
      </c>
      <c r="U126" s="1406">
        <f t="shared" si="110"/>
        <v>23.100563072697781</v>
      </c>
      <c r="V126" s="1406">
        <f t="shared" si="110"/>
        <v>23.238779774317223</v>
      </c>
      <c r="W126" s="1406">
        <f t="shared" si="110"/>
        <v>23.224025680195339</v>
      </c>
      <c r="X126" s="1406">
        <f t="shared" si="110"/>
        <v>23.351778590228335</v>
      </c>
      <c r="Y126" s="1406">
        <f t="shared" si="110"/>
        <v>23.320062346460759</v>
      </c>
      <c r="Z126" s="1406">
        <f t="shared" si="110"/>
        <v>23.43628573134194</v>
      </c>
      <c r="AA126" s="1406">
        <f t="shared" si="110"/>
        <v>23.38626630397637</v>
      </c>
      <c r="AB126" s="1406">
        <f t="shared" si="110"/>
        <v>23.324950996105905</v>
      </c>
      <c r="AC126" s="1406">
        <f t="shared" si="110"/>
        <v>23.251909382037908</v>
      </c>
      <c r="AD126" s="1406">
        <f t="shared" si="110"/>
        <v>23.338233886901541</v>
      </c>
      <c r="AE126" s="1406">
        <f t="shared" si="110"/>
        <v>23.243828063778352</v>
      </c>
      <c r="AF126" s="1406">
        <f t="shared" si="110"/>
        <v>23.136395882301397</v>
      </c>
      <c r="AG126" s="1406">
        <f t="shared" si="110"/>
        <v>23.197490425001689</v>
      </c>
      <c r="AH126" s="1406">
        <f t="shared" si="110"/>
        <v>23.066186823911259</v>
      </c>
      <c r="AI126" s="1406">
        <f t="shared" si="110"/>
        <v>23.109830920911325</v>
      </c>
      <c r="AJ126" s="1406">
        <f t="shared" si="110"/>
        <v>0</v>
      </c>
      <c r="AK126" s="1406">
        <f t="shared" si="110"/>
        <v>0</v>
      </c>
      <c r="AL126" s="1406">
        <f t="shared" si="110"/>
        <v>0</v>
      </c>
      <c r="AM126" s="1406">
        <f t="shared" si="110"/>
        <v>0</v>
      </c>
      <c r="AN126" s="1406">
        <f t="shared" si="110"/>
        <v>0</v>
      </c>
      <c r="AO126" s="1406">
        <f t="shared" si="110"/>
        <v>0</v>
      </c>
      <c r="AP126" s="1406">
        <f t="shared" si="110"/>
        <v>0</v>
      </c>
      <c r="AQ126" s="1406">
        <f t="shared" si="110"/>
        <v>0</v>
      </c>
      <c r="AR126" s="1406">
        <f t="shared" si="110"/>
        <v>0</v>
      </c>
      <c r="AS126" s="1406">
        <f t="shared" si="110"/>
        <v>0</v>
      </c>
      <c r="AT126" s="1407"/>
    </row>
    <row r="127" spans="2:256" s="1400" customFormat="1">
      <c r="B127" s="1400" t="s">
        <v>610</v>
      </c>
      <c r="C127" s="1400" t="s">
        <v>955</v>
      </c>
      <c r="D127" s="1404">
        <f>-PMT(DiscountRate,BookLife,E127)</f>
        <v>142.97363097656313</v>
      </c>
      <c r="E127" s="1405">
        <f>NPV(DiscountRate,F127:AS127)*(1)</f>
        <v>1840.4097376039288</v>
      </c>
      <c r="F127" s="1406">
        <f t="shared" ref="F127:AS127" si="111">SUM(F125:F126)</f>
        <v>123.3737264104951</v>
      </c>
      <c r="G127" s="1406">
        <f t="shared" si="111"/>
        <v>125.15176603831833</v>
      </c>
      <c r="H127" s="1406">
        <f t="shared" si="111"/>
        <v>127.06454488777598</v>
      </c>
      <c r="I127" s="1406">
        <f t="shared" si="111"/>
        <v>128.89264200805232</v>
      </c>
      <c r="J127" s="1406">
        <f t="shared" si="111"/>
        <v>130.74511206546035</v>
      </c>
      <c r="K127" s="1406">
        <f t="shared" si="111"/>
        <v>132.73997855854418</v>
      </c>
      <c r="L127" s="1406">
        <f t="shared" si="111"/>
        <v>134.64437996080767</v>
      </c>
      <c r="M127" s="1406">
        <f t="shared" si="111"/>
        <v>136.57403551748217</v>
      </c>
      <c r="N127" s="1406">
        <f t="shared" si="111"/>
        <v>138.52922775118992</v>
      </c>
      <c r="O127" s="1406">
        <f t="shared" si="111"/>
        <v>140.51024091941994</v>
      </c>
      <c r="P127" s="1406">
        <f t="shared" si="111"/>
        <v>142.51736097932772</v>
      </c>
      <c r="Q127" s="1406">
        <f t="shared" si="111"/>
        <v>144.55087555056377</v>
      </c>
      <c r="R127" s="1406">
        <f t="shared" si="111"/>
        <v>146.47581928543298</v>
      </c>
      <c r="S127" s="1406">
        <f t="shared" si="111"/>
        <v>148.56028709833359</v>
      </c>
      <c r="T127" s="1406">
        <f t="shared" si="111"/>
        <v>150.67196775206878</v>
      </c>
      <c r="U127" s="1406">
        <f t="shared" si="111"/>
        <v>152.66762076728122</v>
      </c>
      <c r="V127" s="1406">
        <f t="shared" si="111"/>
        <v>154.83173618360865</v>
      </c>
      <c r="W127" s="1406">
        <f t="shared" si="111"/>
        <v>156.8745575720036</v>
      </c>
      <c r="X127" s="1406">
        <f t="shared" si="111"/>
        <v>159.09205802741889</v>
      </c>
      <c r="Y127" s="1406">
        <f t="shared" si="111"/>
        <v>161.18276443134417</v>
      </c>
      <c r="Z127" s="1406">
        <f t="shared" si="111"/>
        <v>163.45459647115288</v>
      </c>
      <c r="AA127" s="1406">
        <f t="shared" si="111"/>
        <v>165.59389059933648</v>
      </c>
      <c r="AB127" s="1406">
        <f t="shared" si="111"/>
        <v>167.75612075439349</v>
      </c>
      <c r="AC127" s="1406">
        <f t="shared" si="111"/>
        <v>169.94139175761757</v>
      </c>
      <c r="AD127" s="1406">
        <f t="shared" si="111"/>
        <v>172.32133965019744</v>
      </c>
      <c r="AE127" s="1406">
        <f t="shared" si="111"/>
        <v>174.55642010120528</v>
      </c>
      <c r="AF127" s="1406">
        <f t="shared" si="111"/>
        <v>176.81489782910009</v>
      </c>
      <c r="AG127" s="1406">
        <f t="shared" si="111"/>
        <v>179.27889543305659</v>
      </c>
      <c r="AH127" s="1406">
        <f t="shared" si="111"/>
        <v>181.58806646666079</v>
      </c>
      <c r="AI127" s="1406">
        <f t="shared" si="111"/>
        <v>184.11034423749453</v>
      </c>
      <c r="AJ127" s="1406">
        <f t="shared" si="111"/>
        <v>0</v>
      </c>
      <c r="AK127" s="1406">
        <f t="shared" si="111"/>
        <v>0</v>
      </c>
      <c r="AL127" s="1406">
        <f t="shared" si="111"/>
        <v>0</v>
      </c>
      <c r="AM127" s="1406">
        <f t="shared" si="111"/>
        <v>0</v>
      </c>
      <c r="AN127" s="1406">
        <f t="shared" si="111"/>
        <v>0</v>
      </c>
      <c r="AO127" s="1406">
        <f t="shared" si="111"/>
        <v>0</v>
      </c>
      <c r="AP127" s="1406">
        <f t="shared" si="111"/>
        <v>0</v>
      </c>
      <c r="AQ127" s="1406">
        <f t="shared" si="111"/>
        <v>0</v>
      </c>
      <c r="AR127" s="1406">
        <f t="shared" si="111"/>
        <v>0</v>
      </c>
      <c r="AS127" s="1406">
        <f t="shared" si="111"/>
        <v>0</v>
      </c>
    </row>
    <row r="128" spans="2:256">
      <c r="D128" s="642"/>
      <c r="E128" s="724"/>
      <c r="F128" s="642"/>
      <c r="G128" s="724"/>
      <c r="H128" s="724"/>
      <c r="I128" s="724"/>
      <c r="J128" s="724"/>
      <c r="K128" s="724"/>
      <c r="L128" s="683"/>
      <c r="M128" s="724"/>
      <c r="N128" s="724"/>
      <c r="P128" s="725"/>
      <c r="Q128" s="724"/>
      <c r="S128" s="720"/>
      <c r="T128" s="720"/>
      <c r="U128" s="726"/>
      <c r="V128" s="724"/>
      <c r="W128" s="724"/>
      <c r="Z128" s="727"/>
      <c r="AA128" s="727"/>
      <c r="AD128" s="728"/>
      <c r="AE128" s="729"/>
      <c r="AF128" s="730"/>
      <c r="AH128" s="730"/>
      <c r="AT128" s="665"/>
      <c r="AU128" s="731"/>
    </row>
    <row r="129" spans="1:47" s="732" customFormat="1" ht="6" customHeight="1">
      <c r="D129" s="733"/>
      <c r="E129" s="734"/>
      <c r="F129" s="733"/>
      <c r="G129" s="734"/>
      <c r="H129" s="734"/>
      <c r="I129" s="734"/>
      <c r="J129" s="734"/>
      <c r="K129" s="734"/>
      <c r="L129" s="735"/>
      <c r="M129" s="734"/>
      <c r="N129" s="734"/>
      <c r="P129" s="736"/>
      <c r="Q129" s="734"/>
      <c r="S129" s="737"/>
      <c r="T129" s="737"/>
      <c r="U129" s="738"/>
      <c r="V129" s="734"/>
      <c r="W129" s="734"/>
      <c r="Z129" s="739"/>
      <c r="AA129" s="739"/>
      <c r="AD129" s="740"/>
      <c r="AE129" s="741"/>
      <c r="AF129" s="742"/>
      <c r="AH129" s="742"/>
      <c r="AT129" s="743"/>
      <c r="AU129" s="744"/>
    </row>
    <row r="130" spans="1:47">
      <c r="B130" s="661"/>
      <c r="F130" s="103">
        <f>IF(ISNUMBER(#REF!),1,0)</f>
        <v>0</v>
      </c>
      <c r="G130" s="102">
        <f>IF(ISNUMBER(#REF!),1,0)</f>
        <v>0</v>
      </c>
      <c r="H130" s="102">
        <f>IF(ISNUMBER(#REF!),1,0)</f>
        <v>0</v>
      </c>
      <c r="I130" s="102">
        <f>IF(ISNUMBER(#REF!),1,0)</f>
        <v>0</v>
      </c>
      <c r="J130" s="102">
        <f>IF(ISNUMBER(#REF!),1,0)</f>
        <v>0</v>
      </c>
      <c r="K130" s="102">
        <f>IF(ISNUMBER(#REF!),1,0)</f>
        <v>0</v>
      </c>
      <c r="L130" s="102">
        <f>IF(ISNUMBER(#REF!),1,0)</f>
        <v>0</v>
      </c>
      <c r="M130" s="102">
        <f>IF(ISNUMBER(#REF!),1,0)</f>
        <v>0</v>
      </c>
      <c r="N130" s="102">
        <f>IF(ISNUMBER(#REF!),1,0)</f>
        <v>0</v>
      </c>
      <c r="O130" s="102">
        <f>IF(ISNUMBER(#REF!),1,0)</f>
        <v>0</v>
      </c>
      <c r="P130" s="102">
        <f>IF(ISNUMBER(#REF!),1,0)</f>
        <v>0</v>
      </c>
      <c r="Q130" s="102">
        <f>IF(ISNUMBER(#REF!),1,0)</f>
        <v>0</v>
      </c>
      <c r="R130" s="102">
        <f>IF(ISNUMBER(#REF!),1,0)</f>
        <v>0</v>
      </c>
      <c r="S130" s="102">
        <f>IF(ISNUMBER(#REF!),1,0)</f>
        <v>0</v>
      </c>
      <c r="T130" s="102">
        <f>IF(ISNUMBER(#REF!),1,0)</f>
        <v>0</v>
      </c>
      <c r="U130" s="102">
        <f>IF(ISNUMBER(#REF!),1,0)</f>
        <v>0</v>
      </c>
      <c r="V130" s="102">
        <f>IF(ISNUMBER(#REF!),1,0)</f>
        <v>0</v>
      </c>
      <c r="W130" s="102">
        <f>IF(ISNUMBER(#REF!),1,0)</f>
        <v>0</v>
      </c>
      <c r="X130" s="102">
        <f>IF(ISNUMBER(#REF!),1,0)</f>
        <v>0</v>
      </c>
      <c r="Y130" s="102">
        <f>IF(ISNUMBER(#REF!),1,0)</f>
        <v>0</v>
      </c>
      <c r="AA130" s="102">
        <f>IF(ISNUMBER(#REF!),1,0)</f>
        <v>0</v>
      </c>
      <c r="AB130" s="102">
        <f>IF(ISNUMBER(#REF!),1,0)</f>
        <v>0</v>
      </c>
      <c r="AC130" s="102">
        <f>IF(ISNUMBER(#REF!),1,0)</f>
        <v>0</v>
      </c>
      <c r="AD130" s="102">
        <f>IF(ISNUMBER(#REF!),1,0)</f>
        <v>0</v>
      </c>
      <c r="AE130" s="102">
        <f>IF(ISNUMBER(#REF!),1,0)</f>
        <v>0</v>
      </c>
      <c r="AF130" s="102">
        <f>IF(ISNUMBER(#REF!),1,0)</f>
        <v>0</v>
      </c>
      <c r="AG130" s="102">
        <f>IF(ISNUMBER(#REF!),1,0)</f>
        <v>0</v>
      </c>
      <c r="AH130" s="102">
        <f>IF(ISNUMBER(#REF!),1,0)</f>
        <v>0</v>
      </c>
      <c r="AI130" s="102">
        <f>IF(ISNUMBER(#REF!),1,0)</f>
        <v>0</v>
      </c>
      <c r="AJ130" s="102">
        <f>IF(ISNUMBER(#REF!),1,0)</f>
        <v>0</v>
      </c>
      <c r="AK130" s="102">
        <f>IF(ISNUMBER(#REF!),1,0)</f>
        <v>0</v>
      </c>
      <c r="AL130" s="102">
        <f>IF(ISNUMBER(#REF!),1,0)</f>
        <v>0</v>
      </c>
      <c r="AM130" s="102">
        <f>IF(ISNUMBER(#REF!),1,0)</f>
        <v>0</v>
      </c>
      <c r="AN130" s="102">
        <f>IF(ISNUMBER(#REF!),1,0)</f>
        <v>0</v>
      </c>
      <c r="AO130" s="102">
        <f>IF(ISNUMBER(#REF!),1,0)</f>
        <v>0</v>
      </c>
      <c r="AP130" s="102">
        <f>IF(ISNUMBER(#REF!),1,0)</f>
        <v>0</v>
      </c>
      <c r="AQ130" s="102">
        <f>IF(ISNUMBER(#REF!),1,0)</f>
        <v>0</v>
      </c>
      <c r="AR130" s="102">
        <f>IF(ISNUMBER(#REF!),1,0)</f>
        <v>0</v>
      </c>
      <c r="AS130" s="102">
        <f>IF(ISNUMBER(#REF!),1,0)</f>
        <v>0</v>
      </c>
    </row>
    <row r="131" spans="1:47" s="2758" customFormat="1">
      <c r="B131" s="2759" t="s">
        <v>1707</v>
      </c>
      <c r="C131" s="2758" t="s">
        <v>980</v>
      </c>
      <c r="D131" s="2771">
        <f>-PMT(DiscountRate,BookLife,E131)</f>
        <v>17.864226876008285</v>
      </c>
      <c r="E131" s="2772">
        <f>NPV(DiscountRate,F131:AS131)*(1)</f>
        <v>229.95497052712389</v>
      </c>
      <c r="F131" s="2765">
        <f t="shared" ref="F131:AS131" si="112">(F96-F154*InstalledCostPerkW)*FedTaxRate+(F98-F154*InstalledCostPerkW)*StateTaxRate</f>
        <v>225.64721964949234</v>
      </c>
      <c r="G131" s="2765">
        <f t="shared" si="112"/>
        <v>126.47429191045943</v>
      </c>
      <c r="H131" s="2765">
        <f t="shared" si="112"/>
        <v>66.810124025940283</v>
      </c>
      <c r="I131" s="2765">
        <f t="shared" si="112"/>
        <v>42.493454498118588</v>
      </c>
      <c r="J131" s="2765">
        <f t="shared" si="112"/>
        <v>45.485005158262226</v>
      </c>
      <c r="K131" s="2765">
        <f t="shared" si="112"/>
        <v>-23.212909723149473</v>
      </c>
      <c r="L131" s="2765">
        <f t="shared" si="112"/>
        <v>-23.567547324644984</v>
      </c>
      <c r="M131" s="2765">
        <f t="shared" si="112"/>
        <v>-23.904453046065719</v>
      </c>
      <c r="N131" s="2765">
        <f t="shared" si="112"/>
        <v>-24.224513481415414</v>
      </c>
      <c r="O131" s="2765">
        <f t="shared" si="112"/>
        <v>-24.528570894997632</v>
      </c>
      <c r="P131" s="2765">
        <f t="shared" si="112"/>
        <v>-24.817425437900734</v>
      </c>
      <c r="Q131" s="2765">
        <f t="shared" si="112"/>
        <v>-24.817425437900734</v>
      </c>
      <c r="R131" s="2765">
        <f t="shared" si="112"/>
        <v>-24.817425437900734</v>
      </c>
      <c r="S131" s="2765">
        <f t="shared" si="112"/>
        <v>-24.817425437900734</v>
      </c>
      <c r="T131" s="2765">
        <f t="shared" si="112"/>
        <v>-24.817425437900734</v>
      </c>
      <c r="U131" s="2765">
        <f t="shared" si="112"/>
        <v>-24.817425437900734</v>
      </c>
      <c r="V131" s="2765">
        <f t="shared" si="112"/>
        <v>-24.817425437900734</v>
      </c>
      <c r="W131" s="2765">
        <f t="shared" si="112"/>
        <v>-24.817425437900734</v>
      </c>
      <c r="X131" s="2765">
        <f t="shared" si="112"/>
        <v>-24.817425437900734</v>
      </c>
      <c r="Y131" s="2765">
        <f t="shared" si="112"/>
        <v>-24.817425437900734</v>
      </c>
      <c r="Z131" s="2765">
        <f t="shared" si="112"/>
        <v>-24.817425437900734</v>
      </c>
      <c r="AA131" s="2765">
        <f t="shared" si="112"/>
        <v>-24.817425437900734</v>
      </c>
      <c r="AB131" s="2765">
        <f t="shared" si="112"/>
        <v>-24.817425437900734</v>
      </c>
      <c r="AC131" s="2765">
        <f t="shared" si="112"/>
        <v>-24.817425437900734</v>
      </c>
      <c r="AD131" s="2765">
        <f t="shared" si="112"/>
        <v>-24.817425437900734</v>
      </c>
      <c r="AE131" s="2765">
        <f t="shared" si="112"/>
        <v>-24.817425437900734</v>
      </c>
      <c r="AF131" s="2765">
        <f t="shared" si="112"/>
        <v>-24.817425437900734</v>
      </c>
      <c r="AG131" s="2765">
        <f t="shared" si="112"/>
        <v>-24.817425437900734</v>
      </c>
      <c r="AH131" s="2765">
        <f t="shared" si="112"/>
        <v>-24.817425437900734</v>
      </c>
      <c r="AI131" s="2765">
        <f t="shared" si="112"/>
        <v>-24.817425437900734</v>
      </c>
      <c r="AJ131" s="2765">
        <f t="shared" si="112"/>
        <v>0</v>
      </c>
      <c r="AK131" s="2765">
        <f t="shared" si="112"/>
        <v>0</v>
      </c>
      <c r="AL131" s="2765">
        <f t="shared" si="112"/>
        <v>0</v>
      </c>
      <c r="AM131" s="2765">
        <f t="shared" si="112"/>
        <v>0</v>
      </c>
      <c r="AN131" s="2765">
        <f t="shared" si="112"/>
        <v>0</v>
      </c>
      <c r="AO131" s="2765">
        <f t="shared" si="112"/>
        <v>0</v>
      </c>
      <c r="AP131" s="2765">
        <f t="shared" si="112"/>
        <v>0</v>
      </c>
      <c r="AQ131" s="2765">
        <f t="shared" si="112"/>
        <v>0</v>
      </c>
      <c r="AR131" s="2765">
        <f t="shared" si="112"/>
        <v>0</v>
      </c>
      <c r="AS131" s="2765">
        <f t="shared" si="112"/>
        <v>0</v>
      </c>
    </row>
    <row r="132" spans="1:47" s="2758" customFormat="1">
      <c r="B132" s="2759" t="s">
        <v>1704</v>
      </c>
      <c r="C132" s="2758" t="s">
        <v>980</v>
      </c>
      <c r="D132" s="2771">
        <f>-PMT(DiscountRate,BookLife,E132)</f>
        <v>11.924558969896889</v>
      </c>
      <c r="E132" s="2772">
        <f>NPV(DiscountRate,F132:AS132)*(1)</f>
        <v>153.49735678481866</v>
      </c>
      <c r="F132" s="2760">
        <f t="shared" ref="F132:AS132" si="113">IF(AND($B$71="BEITC (Tax Credit)",F2&lt;=BookLife),SUM($F$68:$J$69)/BookLife,0)</f>
        <v>11.924558969896891</v>
      </c>
      <c r="G132" s="2760">
        <f t="shared" si="113"/>
        <v>11.924558969896891</v>
      </c>
      <c r="H132" s="2760">
        <f t="shared" si="113"/>
        <v>11.924558969896891</v>
      </c>
      <c r="I132" s="2760">
        <f t="shared" si="113"/>
        <v>11.924558969896891</v>
      </c>
      <c r="J132" s="2760">
        <f t="shared" si="113"/>
        <v>11.924558969896891</v>
      </c>
      <c r="K132" s="2760">
        <f t="shared" si="113"/>
        <v>11.924558969896891</v>
      </c>
      <c r="L132" s="2760">
        <f t="shared" si="113"/>
        <v>11.924558969896891</v>
      </c>
      <c r="M132" s="2760">
        <f t="shared" si="113"/>
        <v>11.924558969896891</v>
      </c>
      <c r="N132" s="2760">
        <f t="shared" si="113"/>
        <v>11.924558969896891</v>
      </c>
      <c r="O132" s="2760">
        <f t="shared" si="113"/>
        <v>11.924558969896891</v>
      </c>
      <c r="P132" s="2760">
        <f t="shared" si="113"/>
        <v>11.924558969896891</v>
      </c>
      <c r="Q132" s="2760">
        <f t="shared" si="113"/>
        <v>11.924558969896891</v>
      </c>
      <c r="R132" s="2760">
        <f t="shared" si="113"/>
        <v>11.924558969896891</v>
      </c>
      <c r="S132" s="2760">
        <f t="shared" si="113"/>
        <v>11.924558969896891</v>
      </c>
      <c r="T132" s="2760">
        <f t="shared" si="113"/>
        <v>11.924558969896891</v>
      </c>
      <c r="U132" s="2760">
        <f t="shared" si="113"/>
        <v>11.924558969896891</v>
      </c>
      <c r="V132" s="2760">
        <f t="shared" si="113"/>
        <v>11.924558969896891</v>
      </c>
      <c r="W132" s="2760">
        <f t="shared" si="113"/>
        <v>11.924558969896891</v>
      </c>
      <c r="X132" s="2760">
        <f t="shared" si="113"/>
        <v>11.924558969896891</v>
      </c>
      <c r="Y132" s="2760">
        <f t="shared" si="113"/>
        <v>11.924558969896891</v>
      </c>
      <c r="Z132" s="2760">
        <f t="shared" si="113"/>
        <v>11.924558969896891</v>
      </c>
      <c r="AA132" s="2760">
        <f t="shared" si="113"/>
        <v>11.924558969896891</v>
      </c>
      <c r="AB132" s="2760">
        <f t="shared" si="113"/>
        <v>11.924558969896891</v>
      </c>
      <c r="AC132" s="2760">
        <f t="shared" si="113"/>
        <v>11.924558969896891</v>
      </c>
      <c r="AD132" s="2760">
        <f t="shared" si="113"/>
        <v>11.924558969896891</v>
      </c>
      <c r="AE132" s="2760">
        <f t="shared" si="113"/>
        <v>11.924558969896891</v>
      </c>
      <c r="AF132" s="2760">
        <f t="shared" si="113"/>
        <v>11.924558969896891</v>
      </c>
      <c r="AG132" s="2760">
        <f t="shared" si="113"/>
        <v>11.924558969896891</v>
      </c>
      <c r="AH132" s="2760">
        <f t="shared" si="113"/>
        <v>11.924558969896891</v>
      </c>
      <c r="AI132" s="2760">
        <f t="shared" si="113"/>
        <v>11.924558969896891</v>
      </c>
      <c r="AJ132" s="2760">
        <f t="shared" si="113"/>
        <v>0</v>
      </c>
      <c r="AK132" s="2760">
        <f t="shared" si="113"/>
        <v>0</v>
      </c>
      <c r="AL132" s="2760">
        <f t="shared" si="113"/>
        <v>0</v>
      </c>
      <c r="AM132" s="2760">
        <f t="shared" si="113"/>
        <v>0</v>
      </c>
      <c r="AN132" s="2760">
        <f t="shared" si="113"/>
        <v>0</v>
      </c>
      <c r="AO132" s="2760">
        <f t="shared" si="113"/>
        <v>0</v>
      </c>
      <c r="AP132" s="2760">
        <f t="shared" si="113"/>
        <v>0</v>
      </c>
      <c r="AQ132" s="2760">
        <f t="shared" si="113"/>
        <v>0</v>
      </c>
      <c r="AR132" s="2760">
        <f t="shared" si="113"/>
        <v>0</v>
      </c>
      <c r="AS132" s="2760">
        <f t="shared" si="113"/>
        <v>0</v>
      </c>
      <c r="AT132" s="2760"/>
    </row>
    <row r="133" spans="1:47" s="141" customFormat="1">
      <c r="A133" s="102"/>
      <c r="B133" s="2330"/>
      <c r="C133" s="102"/>
      <c r="F133" s="639"/>
    </row>
    <row r="134" spans="1:47" s="745" customFormat="1">
      <c r="A134" s="102"/>
      <c r="B134" s="102"/>
      <c r="D134" s="746" t="s">
        <v>173</v>
      </c>
      <c r="F134" s="639">
        <v>1</v>
      </c>
      <c r="G134" s="665">
        <v>2</v>
      </c>
      <c r="H134" s="665">
        <v>3</v>
      </c>
      <c r="I134" s="665">
        <v>4</v>
      </c>
      <c r="J134" s="665">
        <v>5</v>
      </c>
      <c r="K134" s="665">
        <v>6</v>
      </c>
      <c r="L134" s="665">
        <v>7</v>
      </c>
      <c r="M134" s="665">
        <v>8</v>
      </c>
      <c r="N134" s="665">
        <v>9</v>
      </c>
      <c r="O134" s="665">
        <v>10</v>
      </c>
      <c r="P134" s="665">
        <v>11</v>
      </c>
      <c r="Q134" s="665">
        <v>12</v>
      </c>
      <c r="R134" s="665">
        <v>13</v>
      </c>
      <c r="S134" s="665">
        <v>14</v>
      </c>
      <c r="T134" s="665">
        <v>15</v>
      </c>
      <c r="U134" s="665">
        <v>16</v>
      </c>
      <c r="V134" s="665">
        <v>17</v>
      </c>
      <c r="W134" s="665">
        <v>18</v>
      </c>
      <c r="X134" s="665">
        <v>19</v>
      </c>
      <c r="Y134" s="665">
        <v>20</v>
      </c>
      <c r="Z134" s="665">
        <v>21</v>
      </c>
      <c r="AA134" s="665">
        <v>22</v>
      </c>
      <c r="AB134" s="665">
        <v>23</v>
      </c>
      <c r="AC134" s="665">
        <v>24</v>
      </c>
      <c r="AD134" s="665">
        <v>25</v>
      </c>
      <c r="AE134" s="665">
        <v>26</v>
      </c>
      <c r="AF134" s="665">
        <v>27</v>
      </c>
      <c r="AG134" s="665">
        <v>28</v>
      </c>
      <c r="AH134" s="665">
        <v>29</v>
      </c>
      <c r="AI134" s="665">
        <v>30</v>
      </c>
      <c r="AJ134" s="665">
        <v>31</v>
      </c>
      <c r="AK134" s="665">
        <v>32</v>
      </c>
      <c r="AL134" s="665">
        <v>33</v>
      </c>
      <c r="AM134" s="665">
        <v>34</v>
      </c>
      <c r="AN134" s="665">
        <v>35</v>
      </c>
      <c r="AO134" s="665">
        <v>36</v>
      </c>
      <c r="AP134" s="665">
        <v>37</v>
      </c>
      <c r="AQ134" s="665">
        <v>38</v>
      </c>
      <c r="AR134" s="665">
        <v>39</v>
      </c>
      <c r="AS134" s="665">
        <v>40</v>
      </c>
    </row>
    <row r="135" spans="1:47" s="103" customFormat="1">
      <c r="B135" s="747" t="s">
        <v>1076</v>
      </c>
      <c r="C135" s="748"/>
      <c r="D135" s="749">
        <v>3</v>
      </c>
      <c r="E135" s="750">
        <v>1</v>
      </c>
      <c r="F135" s="750">
        <v>0.66657777777777805</v>
      </c>
      <c r="G135" s="750">
        <v>0.22226031746031744</v>
      </c>
      <c r="H135" s="750">
        <v>0.11116190476190457</v>
      </c>
      <c r="I135" s="750"/>
      <c r="J135" s="750"/>
      <c r="K135" s="750"/>
      <c r="L135" s="750"/>
      <c r="M135" s="750"/>
      <c r="N135" s="750"/>
      <c r="O135" s="750"/>
      <c r="P135" s="750"/>
      <c r="Q135" s="750"/>
      <c r="R135" s="750"/>
      <c r="S135" s="750"/>
      <c r="T135" s="750"/>
      <c r="U135" s="750"/>
      <c r="V135" s="750"/>
      <c r="W135" s="750"/>
      <c r="X135" s="750"/>
      <c r="Y135" s="750"/>
      <c r="Z135" s="748"/>
      <c r="AA135" s="748"/>
      <c r="AB135" s="748"/>
      <c r="AC135" s="748"/>
      <c r="AD135" s="748"/>
      <c r="AE135" s="748"/>
      <c r="AF135" s="748"/>
      <c r="AG135" s="748"/>
      <c r="AH135" s="748"/>
      <c r="AI135" s="748"/>
      <c r="AJ135" s="748"/>
      <c r="AK135" s="748"/>
      <c r="AL135" s="748"/>
      <c r="AM135" s="748"/>
      <c r="AN135" s="748"/>
      <c r="AO135" s="748"/>
      <c r="AP135" s="748"/>
      <c r="AQ135" s="748"/>
      <c r="AR135" s="748"/>
      <c r="AS135" s="751"/>
    </row>
    <row r="136" spans="1:47" s="651" customFormat="1">
      <c r="A136" s="103"/>
      <c r="B136" s="752" t="s">
        <v>171</v>
      </c>
      <c r="C136" s="753"/>
      <c r="D136" s="712">
        <v>5</v>
      </c>
      <c r="E136" s="754">
        <v>1</v>
      </c>
      <c r="F136" s="754">
        <v>0.4</v>
      </c>
      <c r="G136" s="754">
        <v>0.24</v>
      </c>
      <c r="H136" s="754">
        <v>0.14399999999999999</v>
      </c>
      <c r="I136" s="754">
        <v>0.10525714285714287</v>
      </c>
      <c r="J136" s="754">
        <v>0.11074285714285725</v>
      </c>
      <c r="K136" s="754"/>
      <c r="L136" s="754"/>
      <c r="M136" s="754"/>
      <c r="N136" s="754"/>
      <c r="O136" s="754"/>
      <c r="P136" s="754"/>
      <c r="Q136" s="754"/>
      <c r="R136" s="754"/>
      <c r="S136" s="754"/>
      <c r="T136" s="754"/>
      <c r="U136" s="754"/>
      <c r="V136" s="754"/>
      <c r="W136" s="754"/>
      <c r="X136" s="754"/>
      <c r="Y136" s="754"/>
      <c r="Z136" s="753"/>
      <c r="AA136" s="753"/>
      <c r="AB136" s="753"/>
      <c r="AC136" s="753"/>
      <c r="AD136" s="753"/>
      <c r="AE136" s="753"/>
      <c r="AF136" s="753"/>
      <c r="AG136" s="753"/>
      <c r="AH136" s="753"/>
      <c r="AI136" s="753"/>
      <c r="AJ136" s="753"/>
      <c r="AK136" s="753"/>
      <c r="AL136" s="753"/>
      <c r="AM136" s="753"/>
      <c r="AN136" s="753"/>
      <c r="AO136" s="753"/>
      <c r="AP136" s="753"/>
      <c r="AQ136" s="753"/>
      <c r="AR136" s="753"/>
      <c r="AS136" s="755"/>
    </row>
    <row r="137" spans="1:47" s="651" customFormat="1">
      <c r="B137" s="756"/>
      <c r="C137" s="753"/>
      <c r="D137" s="712">
        <v>7</v>
      </c>
      <c r="E137" s="754">
        <v>1</v>
      </c>
      <c r="F137" s="754">
        <v>0.28560000000000002</v>
      </c>
      <c r="G137" s="754">
        <v>0.204114285714286</v>
      </c>
      <c r="H137" s="754">
        <v>0.14581224489795921</v>
      </c>
      <c r="I137" s="754">
        <v>0.10408396501457726</v>
      </c>
      <c r="J137" s="754">
        <v>8.5130862140774671E-2</v>
      </c>
      <c r="K137" s="754">
        <v>8.7724162551317902E-2</v>
      </c>
      <c r="L137" s="754">
        <v>8.7534479681085187E-2</v>
      </c>
      <c r="M137" s="754"/>
      <c r="N137" s="754"/>
      <c r="O137" s="754"/>
      <c r="P137" s="754"/>
      <c r="Q137" s="754"/>
      <c r="R137" s="754"/>
      <c r="S137" s="754"/>
      <c r="T137" s="754"/>
      <c r="U137" s="754"/>
      <c r="V137" s="754"/>
      <c r="W137" s="754"/>
      <c r="X137" s="754"/>
      <c r="Y137" s="754"/>
      <c r="Z137" s="753"/>
      <c r="AA137" s="753"/>
      <c r="AB137" s="753"/>
      <c r="AC137" s="753"/>
      <c r="AD137" s="753"/>
      <c r="AE137" s="753"/>
      <c r="AF137" s="753"/>
      <c r="AG137" s="753"/>
      <c r="AH137" s="753"/>
      <c r="AI137" s="753"/>
      <c r="AJ137" s="753"/>
      <c r="AK137" s="753"/>
      <c r="AL137" s="753"/>
      <c r="AM137" s="753"/>
      <c r="AN137" s="753"/>
      <c r="AO137" s="753"/>
      <c r="AP137" s="753"/>
      <c r="AQ137" s="753"/>
      <c r="AR137" s="753"/>
      <c r="AS137" s="755"/>
    </row>
    <row r="138" spans="1:47" s="651" customFormat="1">
      <c r="B138" s="756"/>
      <c r="C138" s="753"/>
      <c r="D138" s="712">
        <v>10</v>
      </c>
      <c r="E138" s="754">
        <v>1</v>
      </c>
      <c r="F138" s="754">
        <v>0.2</v>
      </c>
      <c r="G138" s="754">
        <v>0.16</v>
      </c>
      <c r="H138" s="754">
        <v>0.128</v>
      </c>
      <c r="I138" s="754">
        <v>0.1024</v>
      </c>
      <c r="J138" s="754">
        <v>8.1942857142857151E-2</v>
      </c>
      <c r="K138" s="754">
        <v>6.5551020408163269E-2</v>
      </c>
      <c r="L138" s="754">
        <v>6.5492711370262385E-2</v>
      </c>
      <c r="M138" s="754">
        <v>6.5501041232819662E-2</v>
      </c>
      <c r="N138" s="754">
        <v>6.5614136966740039E-2</v>
      </c>
      <c r="O138" s="754">
        <v>6.549823287915757E-2</v>
      </c>
      <c r="P138" s="754"/>
      <c r="Q138" s="754"/>
      <c r="R138" s="754"/>
      <c r="S138" s="754"/>
      <c r="T138" s="754"/>
      <c r="U138" s="754"/>
      <c r="V138" s="754"/>
      <c r="W138" s="754"/>
      <c r="X138" s="754"/>
      <c r="Y138" s="754"/>
      <c r="Z138" s="753"/>
      <c r="AA138" s="753"/>
      <c r="AB138" s="753"/>
      <c r="AC138" s="753"/>
      <c r="AD138" s="753"/>
      <c r="AE138" s="753"/>
      <c r="AF138" s="753"/>
      <c r="AG138" s="753"/>
      <c r="AH138" s="753"/>
      <c r="AI138" s="753"/>
      <c r="AJ138" s="753"/>
      <c r="AK138" s="753"/>
      <c r="AL138" s="753"/>
      <c r="AM138" s="753"/>
      <c r="AN138" s="753"/>
      <c r="AO138" s="753"/>
      <c r="AP138" s="753"/>
      <c r="AQ138" s="753"/>
      <c r="AR138" s="753"/>
      <c r="AS138" s="755"/>
    </row>
    <row r="139" spans="1:47" s="651" customFormat="1">
      <c r="B139" s="756"/>
      <c r="C139" s="753"/>
      <c r="D139" s="712">
        <v>15</v>
      </c>
      <c r="E139" s="754">
        <v>1</v>
      </c>
      <c r="F139" s="754">
        <v>0.1</v>
      </c>
      <c r="G139" s="754">
        <v>9.0057142857142863E-2</v>
      </c>
      <c r="H139" s="754">
        <v>8.0963265306122453E-2</v>
      </c>
      <c r="I139" s="754">
        <v>7.2890962099125364E-2</v>
      </c>
      <c r="J139" s="754">
        <v>6.5587005414410662E-2</v>
      </c>
      <c r="K139" s="754">
        <v>5.9087570655084201E-2</v>
      </c>
      <c r="L139" s="754">
        <v>5.8987489906416543E-2</v>
      </c>
      <c r="M139" s="754">
        <v>5.9116072870511918E-2</v>
      </c>
      <c r="N139" s="754">
        <v>5.8983418161355439E-2</v>
      </c>
      <c r="O139" s="754">
        <v>5.9116654548377792E-2</v>
      </c>
      <c r="P139" s="754">
        <v>5.8983335064517459E-2</v>
      </c>
      <c r="Q139" s="754">
        <v>5.9116666419354647E-2</v>
      </c>
      <c r="R139" s="754">
        <v>5.8983333368663612E-2</v>
      </c>
      <c r="S139" s="754">
        <v>5.9116666661619487E-2</v>
      </c>
      <c r="T139" s="754">
        <v>5.9010416667297672E-2</v>
      </c>
      <c r="U139" s="754"/>
      <c r="V139" s="754"/>
      <c r="W139" s="754"/>
      <c r="X139" s="754"/>
      <c r="Y139" s="754"/>
      <c r="Z139" s="753"/>
      <c r="AA139" s="753"/>
      <c r="AB139" s="753"/>
      <c r="AC139" s="753"/>
      <c r="AD139" s="753"/>
      <c r="AE139" s="753"/>
      <c r="AF139" s="753"/>
      <c r="AG139" s="753"/>
      <c r="AH139" s="753"/>
      <c r="AI139" s="753"/>
      <c r="AJ139" s="753"/>
      <c r="AK139" s="753"/>
      <c r="AL139" s="753"/>
      <c r="AM139" s="753"/>
      <c r="AN139" s="753"/>
      <c r="AO139" s="753"/>
      <c r="AP139" s="753"/>
      <c r="AQ139" s="753"/>
      <c r="AR139" s="753"/>
      <c r="AS139" s="755"/>
    </row>
    <row r="140" spans="1:47" s="651" customFormat="1">
      <c r="B140" s="757"/>
      <c r="C140" s="758"/>
      <c r="D140" s="671">
        <v>20</v>
      </c>
      <c r="E140" s="759">
        <v>1</v>
      </c>
      <c r="F140" s="759">
        <v>7.5013333333333307E-2</v>
      </c>
      <c r="G140" s="759">
        <v>6.9283809523809525E-2</v>
      </c>
      <c r="H140" s="759">
        <v>6.4182312925170071E-2</v>
      </c>
      <c r="I140" s="759">
        <v>5.9356812439261414E-2</v>
      </c>
      <c r="J140" s="759">
        <v>5.4903312508676944E-2</v>
      </c>
      <c r="K140" s="759">
        <v>5.0785241070189002E-2</v>
      </c>
      <c r="L140" s="759">
        <v>4.6984965561401568E-2</v>
      </c>
      <c r="M140" s="759">
        <v>4.4247862062656913E-2</v>
      </c>
      <c r="N140" s="759">
        <v>4.4638876848191865E-2</v>
      </c>
      <c r="O140" s="759">
        <v>4.4583017593115448E-2</v>
      </c>
      <c r="P140" s="759">
        <v>4.4590997486697787E-2</v>
      </c>
      <c r="Q140" s="759">
        <v>4.4601286073328889E-2</v>
      </c>
      <c r="R140" s="759">
        <v>4.4588387703810156E-2</v>
      </c>
      <c r="S140" s="759">
        <v>4.4601658899455693E-2</v>
      </c>
      <c r="T140" s="759">
        <v>4.458833444293489E-2</v>
      </c>
      <c r="U140" s="759">
        <v>4.4601666508152164E-2</v>
      </c>
      <c r="V140" s="759">
        <v>4.4588333355978255E-2</v>
      </c>
      <c r="W140" s="759">
        <v>4.4601666663431683E-2</v>
      </c>
      <c r="X140" s="759">
        <v>4.4588333333795471E-2</v>
      </c>
      <c r="Y140" s="759">
        <v>4.4669791666609004E-2</v>
      </c>
      <c r="Z140" s="758"/>
      <c r="AA140" s="758"/>
      <c r="AB140" s="758"/>
      <c r="AC140" s="758"/>
      <c r="AD140" s="758"/>
      <c r="AE140" s="758"/>
      <c r="AF140" s="758"/>
      <c r="AG140" s="758"/>
      <c r="AH140" s="758"/>
      <c r="AI140" s="758"/>
      <c r="AJ140" s="758"/>
      <c r="AK140" s="758"/>
      <c r="AL140" s="758"/>
      <c r="AM140" s="758"/>
      <c r="AN140" s="758"/>
      <c r="AO140" s="758"/>
      <c r="AP140" s="758"/>
      <c r="AQ140" s="758"/>
      <c r="AR140" s="758"/>
      <c r="AS140" s="760"/>
    </row>
    <row r="141" spans="1:47" s="130" customFormat="1">
      <c r="D141" s="761"/>
      <c r="S141" s="651"/>
      <c r="T141" s="651"/>
    </row>
    <row r="142" spans="1:47" s="762" customFormat="1">
      <c r="A142" s="651"/>
      <c r="B142" s="651"/>
      <c r="D142" s="763" t="s">
        <v>173</v>
      </c>
      <c r="F142" s="639">
        <v>1</v>
      </c>
      <c r="G142" s="639">
        <v>2</v>
      </c>
      <c r="H142" s="639">
        <v>3</v>
      </c>
      <c r="I142" s="639">
        <v>4</v>
      </c>
      <c r="J142" s="639">
        <v>5</v>
      </c>
      <c r="K142" s="639">
        <v>6</v>
      </c>
      <c r="L142" s="639">
        <v>7</v>
      </c>
      <c r="M142" s="639">
        <v>8</v>
      </c>
      <c r="N142" s="639">
        <v>9</v>
      </c>
      <c r="O142" s="639">
        <v>10</v>
      </c>
      <c r="P142" s="639">
        <v>11</v>
      </c>
      <c r="Q142" s="639">
        <v>12</v>
      </c>
      <c r="R142" s="639">
        <v>13</v>
      </c>
      <c r="S142" s="639">
        <v>14</v>
      </c>
      <c r="T142" s="639">
        <v>15</v>
      </c>
      <c r="U142" s="639">
        <v>16</v>
      </c>
      <c r="V142" s="639">
        <v>17</v>
      </c>
      <c r="W142" s="639">
        <v>18</v>
      </c>
      <c r="X142" s="639">
        <v>19</v>
      </c>
      <c r="Y142" s="639">
        <v>20</v>
      </c>
      <c r="Z142" s="639">
        <v>21</v>
      </c>
      <c r="AA142" s="639">
        <v>22</v>
      </c>
      <c r="AB142" s="639">
        <v>23</v>
      </c>
      <c r="AC142" s="639">
        <v>24</v>
      </c>
      <c r="AD142" s="639">
        <v>25</v>
      </c>
      <c r="AE142" s="639">
        <v>26</v>
      </c>
      <c r="AF142" s="639">
        <v>27</v>
      </c>
      <c r="AG142" s="639">
        <v>28</v>
      </c>
      <c r="AH142" s="639">
        <v>29</v>
      </c>
      <c r="AI142" s="639">
        <v>30</v>
      </c>
      <c r="AJ142" s="639">
        <v>31</v>
      </c>
      <c r="AK142" s="639">
        <v>32</v>
      </c>
      <c r="AL142" s="639">
        <v>33</v>
      </c>
      <c r="AM142" s="639">
        <v>34</v>
      </c>
      <c r="AN142" s="639">
        <v>35</v>
      </c>
      <c r="AO142" s="639">
        <v>36</v>
      </c>
      <c r="AP142" s="639">
        <v>37</v>
      </c>
      <c r="AQ142" s="639">
        <v>38</v>
      </c>
      <c r="AR142" s="639">
        <v>39</v>
      </c>
      <c r="AS142" s="639">
        <v>40</v>
      </c>
    </row>
    <row r="143" spans="1:47" s="103" customFormat="1">
      <c r="B143" s="747" t="s">
        <v>1076</v>
      </c>
      <c r="C143" s="750">
        <f>SUM(F143:AS143)</f>
        <v>1.0000333333333333</v>
      </c>
      <c r="D143" s="749">
        <v>3</v>
      </c>
      <c r="E143" s="750"/>
      <c r="F143" s="750">
        <f>1/3</f>
        <v>0.33333333333333331</v>
      </c>
      <c r="G143" s="750">
        <v>0.44450000000000001</v>
      </c>
      <c r="H143" s="750">
        <f>14.81%</f>
        <v>0.14810000000000001</v>
      </c>
      <c r="I143" s="750">
        <v>7.4099999999999999E-2</v>
      </c>
      <c r="J143" s="748"/>
      <c r="K143" s="748"/>
      <c r="L143" s="748"/>
      <c r="M143" s="748"/>
      <c r="N143" s="748"/>
      <c r="O143" s="748"/>
      <c r="P143" s="748"/>
      <c r="Q143" s="748"/>
      <c r="R143" s="748"/>
      <c r="S143" s="748"/>
      <c r="T143" s="748"/>
      <c r="U143" s="748"/>
      <c r="V143" s="748"/>
      <c r="W143" s="748"/>
      <c r="X143" s="748"/>
      <c r="Y143" s="748"/>
      <c r="Z143" s="748"/>
      <c r="AA143" s="748"/>
      <c r="AB143" s="748"/>
      <c r="AC143" s="748"/>
      <c r="AD143" s="748"/>
      <c r="AE143" s="748"/>
      <c r="AF143" s="748"/>
      <c r="AG143" s="748"/>
      <c r="AH143" s="748"/>
      <c r="AI143" s="748"/>
      <c r="AJ143" s="748"/>
      <c r="AK143" s="748"/>
      <c r="AL143" s="748"/>
      <c r="AM143" s="748"/>
      <c r="AN143" s="748"/>
      <c r="AO143" s="748"/>
      <c r="AP143" s="748"/>
      <c r="AQ143" s="748"/>
      <c r="AR143" s="748"/>
      <c r="AS143" s="751"/>
    </row>
    <row r="144" spans="1:47" s="651" customFormat="1">
      <c r="A144" s="103"/>
      <c r="B144" s="752" t="s">
        <v>170</v>
      </c>
      <c r="C144" s="753"/>
      <c r="D144" s="712">
        <v>5</v>
      </c>
      <c r="E144" s="754"/>
      <c r="F144" s="754">
        <v>0.2</v>
      </c>
      <c r="G144" s="754">
        <v>0.32</v>
      </c>
      <c r="H144" s="754">
        <v>0.192</v>
      </c>
      <c r="I144" s="754">
        <v>0.1152</v>
      </c>
      <c r="J144" s="754">
        <f>11.52%</f>
        <v>0.1152</v>
      </c>
      <c r="K144" s="754">
        <v>5.7599999999999998E-2</v>
      </c>
      <c r="L144" s="753"/>
      <c r="M144" s="753"/>
      <c r="N144" s="753"/>
      <c r="O144" s="753"/>
      <c r="P144" s="753"/>
      <c r="Q144" s="753"/>
      <c r="R144" s="753"/>
      <c r="S144" s="753"/>
      <c r="T144" s="753"/>
      <c r="U144" s="753"/>
      <c r="V144" s="753"/>
      <c r="W144" s="753"/>
      <c r="X144" s="753"/>
      <c r="Y144" s="753"/>
      <c r="Z144" s="753"/>
      <c r="AA144" s="753"/>
      <c r="AB144" s="753"/>
      <c r="AC144" s="753"/>
      <c r="AD144" s="753"/>
      <c r="AE144" s="753"/>
      <c r="AF144" s="753"/>
      <c r="AG144" s="753"/>
      <c r="AH144" s="753"/>
      <c r="AI144" s="753"/>
      <c r="AJ144" s="753"/>
      <c r="AK144" s="753"/>
      <c r="AL144" s="753"/>
      <c r="AM144" s="753"/>
      <c r="AN144" s="753"/>
      <c r="AO144" s="753"/>
      <c r="AP144" s="753"/>
      <c r="AQ144" s="753"/>
      <c r="AR144" s="753"/>
      <c r="AS144" s="755"/>
    </row>
    <row r="145" spans="1:86" s="651" customFormat="1">
      <c r="B145" s="756"/>
      <c r="C145" s="753"/>
      <c r="D145" s="712">
        <v>7</v>
      </c>
      <c r="E145" s="754"/>
      <c r="F145" s="754">
        <v>0.1429</v>
      </c>
      <c r="G145" s="754">
        <v>0.24490000000000001</v>
      </c>
      <c r="H145" s="754">
        <v>0.1749</v>
      </c>
      <c r="I145" s="754">
        <v>0.1249</v>
      </c>
      <c r="J145" s="754">
        <v>8.9300000000000004E-2</v>
      </c>
      <c r="K145" s="754">
        <v>8.9200000000000002E-2</v>
      </c>
      <c r="L145" s="754">
        <f>8.93%</f>
        <v>8.929999999999999E-2</v>
      </c>
      <c r="M145" s="754">
        <v>4.4600000000000001E-2</v>
      </c>
      <c r="N145" s="753"/>
      <c r="O145" s="753"/>
      <c r="P145" s="753"/>
      <c r="Q145" s="753"/>
      <c r="R145" s="753"/>
      <c r="S145" s="753"/>
      <c r="T145" s="753"/>
      <c r="U145" s="753"/>
      <c r="V145" s="753"/>
      <c r="W145" s="753"/>
      <c r="X145" s="753"/>
      <c r="Y145" s="753"/>
      <c r="Z145" s="753"/>
      <c r="AA145" s="753"/>
      <c r="AB145" s="753"/>
      <c r="AC145" s="753"/>
      <c r="AD145" s="753"/>
      <c r="AE145" s="753"/>
      <c r="AF145" s="753"/>
      <c r="AG145" s="753"/>
      <c r="AH145" s="753"/>
      <c r="AI145" s="753"/>
      <c r="AJ145" s="753"/>
      <c r="AK145" s="753"/>
      <c r="AL145" s="753"/>
      <c r="AM145" s="753"/>
      <c r="AN145" s="753"/>
      <c r="AO145" s="753"/>
      <c r="AP145" s="753"/>
      <c r="AQ145" s="753"/>
      <c r="AR145" s="753"/>
      <c r="AS145" s="755"/>
    </row>
    <row r="146" spans="1:86" s="651" customFormat="1">
      <c r="B146" s="756"/>
      <c r="C146" s="753"/>
      <c r="D146" s="712">
        <v>10</v>
      </c>
      <c r="E146" s="754"/>
      <c r="F146" s="754">
        <v>0.1</v>
      </c>
      <c r="G146" s="754">
        <v>0.18</v>
      </c>
      <c r="H146" s="754">
        <v>0.14400000000000002</v>
      </c>
      <c r="I146" s="754">
        <v>0.1152</v>
      </c>
      <c r="J146" s="754">
        <v>9.2200000000000004E-2</v>
      </c>
      <c r="K146" s="754">
        <v>7.3700000000000002E-2</v>
      </c>
      <c r="L146" s="754">
        <v>6.5500000000000003E-2</v>
      </c>
      <c r="M146" s="754">
        <v>6.5500000000000003E-2</v>
      </c>
      <c r="N146" s="754">
        <v>6.5599999999999992E-2</v>
      </c>
      <c r="O146" s="754">
        <f>6.55%</f>
        <v>6.5500000000000003E-2</v>
      </c>
      <c r="P146" s="754">
        <v>3.2800000000000003E-2</v>
      </c>
      <c r="Q146" s="753"/>
      <c r="R146" s="753"/>
      <c r="S146" s="753"/>
      <c r="T146" s="753"/>
      <c r="U146" s="753"/>
      <c r="V146" s="753"/>
      <c r="W146" s="753"/>
      <c r="X146" s="753"/>
      <c r="Y146" s="753"/>
      <c r="Z146" s="753"/>
      <c r="AA146" s="753"/>
      <c r="AB146" s="753"/>
      <c r="AC146" s="753"/>
      <c r="AD146" s="753"/>
      <c r="AE146" s="753"/>
      <c r="AF146" s="753"/>
      <c r="AG146" s="753"/>
      <c r="AH146" s="753"/>
      <c r="AI146" s="753"/>
      <c r="AJ146" s="753"/>
      <c r="AK146" s="753"/>
      <c r="AL146" s="753"/>
      <c r="AM146" s="753"/>
      <c r="AN146" s="753"/>
      <c r="AO146" s="753"/>
      <c r="AP146" s="753"/>
      <c r="AQ146" s="753"/>
      <c r="AR146" s="753"/>
      <c r="AS146" s="755"/>
    </row>
    <row r="147" spans="1:86" s="651" customFormat="1">
      <c r="B147" s="756"/>
      <c r="C147" s="753"/>
      <c r="D147" s="712">
        <v>15</v>
      </c>
      <c r="E147" s="754"/>
      <c r="F147" s="754">
        <v>0.05</v>
      </c>
      <c r="G147" s="754">
        <v>9.5000000000000001E-2</v>
      </c>
      <c r="H147" s="754">
        <v>8.5500000000000007E-2</v>
      </c>
      <c r="I147" s="754">
        <v>7.6999999999999999E-2</v>
      </c>
      <c r="J147" s="754">
        <v>6.93E-2</v>
      </c>
      <c r="K147" s="754">
        <v>6.2300000000000001E-2</v>
      </c>
      <c r="L147" s="754">
        <v>5.8999999999999997E-2</v>
      </c>
      <c r="M147" s="754">
        <v>5.8999999999999997E-2</v>
      </c>
      <c r="N147" s="754">
        <v>5.91E-2</v>
      </c>
      <c r="O147" s="754">
        <v>5.8999999999999997E-2</v>
      </c>
      <c r="P147" s="754">
        <v>5.91E-2</v>
      </c>
      <c r="Q147" s="754">
        <v>5.8999999999999997E-2</v>
      </c>
      <c r="R147" s="754">
        <v>5.91E-2</v>
      </c>
      <c r="S147" s="754">
        <v>5.8999999999999997E-2</v>
      </c>
      <c r="T147" s="754">
        <f>5.91%</f>
        <v>5.91E-2</v>
      </c>
      <c r="U147" s="754">
        <v>2.9499999999999998E-2</v>
      </c>
      <c r="V147" s="753"/>
      <c r="W147" s="753"/>
      <c r="X147" s="753"/>
      <c r="Y147" s="753"/>
      <c r="Z147" s="753"/>
      <c r="AA147" s="753"/>
      <c r="AB147" s="753"/>
      <c r="AC147" s="753"/>
      <c r="AD147" s="753"/>
      <c r="AE147" s="753"/>
      <c r="AF147" s="753"/>
      <c r="AG147" s="753"/>
      <c r="AH147" s="753"/>
      <c r="AI147" s="753"/>
      <c r="AJ147" s="753"/>
      <c r="AK147" s="753"/>
      <c r="AL147" s="753"/>
      <c r="AM147" s="753"/>
      <c r="AN147" s="753"/>
      <c r="AO147" s="753"/>
      <c r="AP147" s="753"/>
      <c r="AQ147" s="753"/>
      <c r="AR147" s="753"/>
      <c r="AS147" s="755"/>
    </row>
    <row r="148" spans="1:86" s="651" customFormat="1">
      <c r="B148" s="757"/>
      <c r="C148" s="758"/>
      <c r="D148" s="671">
        <v>20</v>
      </c>
      <c r="E148" s="759"/>
      <c r="F148" s="759">
        <v>3.7499999999999999E-2</v>
      </c>
      <c r="G148" s="759">
        <v>7.2190000000000004E-2</v>
      </c>
      <c r="H148" s="759">
        <v>6.6769999999999996E-2</v>
      </c>
      <c r="I148" s="759">
        <v>6.1769999999999999E-2</v>
      </c>
      <c r="J148" s="759">
        <v>5.713E-2</v>
      </c>
      <c r="K148" s="759">
        <v>5.2850000000000001E-2</v>
      </c>
      <c r="L148" s="759">
        <v>4.888E-2</v>
      </c>
      <c r="M148" s="759">
        <v>4.5229999999999999E-2</v>
      </c>
      <c r="N148" s="759">
        <v>4.462E-2</v>
      </c>
      <c r="O148" s="759">
        <v>4.4609999999999997E-2</v>
      </c>
      <c r="P148" s="759">
        <v>4.462E-2</v>
      </c>
      <c r="Q148" s="759">
        <v>4.4609999999999997E-2</v>
      </c>
      <c r="R148" s="759">
        <v>4.462E-2</v>
      </c>
      <c r="S148" s="759">
        <v>4.4609999999999997E-2</v>
      </c>
      <c r="T148" s="759">
        <v>4.462E-2</v>
      </c>
      <c r="U148" s="759">
        <v>4.4609999999999997E-2</v>
      </c>
      <c r="V148" s="759">
        <v>4.462E-2</v>
      </c>
      <c r="W148" s="759">
        <v>4.4609999999999997E-2</v>
      </c>
      <c r="X148" s="759">
        <v>4.462E-2</v>
      </c>
      <c r="Y148" s="759">
        <f>4.462%</f>
        <v>4.462E-2</v>
      </c>
      <c r="Z148" s="759">
        <v>2.23E-2</v>
      </c>
      <c r="AA148" s="758"/>
      <c r="AB148" s="758"/>
      <c r="AC148" s="758"/>
      <c r="AD148" s="758"/>
      <c r="AE148" s="758"/>
      <c r="AF148" s="758"/>
      <c r="AG148" s="758"/>
      <c r="AH148" s="758"/>
      <c r="AI148" s="758"/>
      <c r="AJ148" s="758"/>
      <c r="AK148" s="758"/>
      <c r="AL148" s="758"/>
      <c r="AM148" s="758"/>
      <c r="AN148" s="758"/>
      <c r="AO148" s="758"/>
      <c r="AP148" s="758"/>
      <c r="AQ148" s="758"/>
      <c r="AR148" s="758"/>
      <c r="AS148" s="760"/>
    </row>
    <row r="149" spans="1:86" s="130" customFormat="1">
      <c r="F149" s="651"/>
      <c r="S149" s="651"/>
      <c r="T149" s="651"/>
    </row>
    <row r="150" spans="1:86" s="769" customFormat="1">
      <c r="A150" s="764"/>
      <c r="B150" s="765"/>
      <c r="C150" s="766"/>
      <c r="D150" s="766"/>
      <c r="E150" s="766"/>
      <c r="F150" s="767">
        <v>2006</v>
      </c>
      <c r="G150" s="767">
        <v>2007</v>
      </c>
      <c r="H150" s="767">
        <v>2008</v>
      </c>
      <c r="I150" s="767">
        <v>2009</v>
      </c>
      <c r="J150" s="767">
        <v>2010</v>
      </c>
      <c r="K150" s="767">
        <v>2011</v>
      </c>
      <c r="L150" s="767">
        <v>2012</v>
      </c>
      <c r="M150" s="767">
        <v>2013</v>
      </c>
      <c r="N150" s="767">
        <v>2014</v>
      </c>
      <c r="O150" s="767">
        <v>2015</v>
      </c>
      <c r="P150" s="767">
        <v>2016</v>
      </c>
      <c r="Q150" s="767">
        <v>2017</v>
      </c>
      <c r="R150" s="767">
        <v>2018</v>
      </c>
      <c r="S150" s="767">
        <v>2019</v>
      </c>
      <c r="T150" s="767">
        <v>2020</v>
      </c>
      <c r="U150" s="767">
        <v>2021</v>
      </c>
      <c r="V150" s="767">
        <v>2022</v>
      </c>
      <c r="W150" s="767">
        <v>2023</v>
      </c>
      <c r="X150" s="767">
        <v>2024</v>
      </c>
      <c r="Y150" s="767">
        <v>2025</v>
      </c>
      <c r="Z150" s="767">
        <v>2026</v>
      </c>
      <c r="AA150" s="767">
        <v>2027</v>
      </c>
      <c r="AB150" s="767">
        <v>2028</v>
      </c>
      <c r="AC150" s="767">
        <v>2029</v>
      </c>
      <c r="AD150" s="767">
        <v>2030</v>
      </c>
      <c r="AE150" s="767">
        <v>2031</v>
      </c>
      <c r="AF150" s="767">
        <v>2032</v>
      </c>
      <c r="AG150" s="767">
        <v>2033</v>
      </c>
      <c r="AH150" s="767">
        <v>2034</v>
      </c>
      <c r="AI150" s="767">
        <v>2035</v>
      </c>
      <c r="AJ150" s="767">
        <v>2036</v>
      </c>
      <c r="AK150" s="767">
        <v>2037</v>
      </c>
      <c r="AL150" s="767">
        <v>2038</v>
      </c>
      <c r="AM150" s="767">
        <v>2039</v>
      </c>
      <c r="AN150" s="767">
        <v>2040</v>
      </c>
      <c r="AO150" s="767">
        <v>2041</v>
      </c>
      <c r="AP150" s="767">
        <v>2042</v>
      </c>
      <c r="AQ150" s="767">
        <v>2043</v>
      </c>
      <c r="AR150" s="767">
        <v>2044</v>
      </c>
      <c r="AS150" s="767">
        <v>2045</v>
      </c>
      <c r="AT150" s="767">
        <v>2046</v>
      </c>
      <c r="AU150" s="767">
        <v>2047</v>
      </c>
      <c r="AV150" s="767">
        <v>2048</v>
      </c>
      <c r="AW150" s="767">
        <v>2049</v>
      </c>
      <c r="AX150" s="767">
        <v>2050</v>
      </c>
      <c r="AY150" s="767">
        <v>2051</v>
      </c>
      <c r="AZ150" s="767">
        <v>2052</v>
      </c>
      <c r="BA150" s="767">
        <v>2053</v>
      </c>
      <c r="BB150" s="767">
        <v>2054</v>
      </c>
      <c r="BC150" s="767">
        <v>2055</v>
      </c>
      <c r="BD150" s="767">
        <v>2056</v>
      </c>
      <c r="BE150" s="767">
        <v>2057</v>
      </c>
      <c r="BF150" s="767">
        <v>2058</v>
      </c>
      <c r="BG150" s="767">
        <v>2059</v>
      </c>
      <c r="BH150" s="767">
        <v>2060</v>
      </c>
      <c r="BI150" s="767">
        <v>2061</v>
      </c>
      <c r="BJ150" s="767">
        <v>2062</v>
      </c>
      <c r="BK150" s="767">
        <v>2063</v>
      </c>
      <c r="BL150" s="767">
        <v>2064</v>
      </c>
      <c r="BM150" s="767">
        <v>2065</v>
      </c>
      <c r="BN150" s="767">
        <v>2066</v>
      </c>
      <c r="BO150" s="767">
        <v>2067</v>
      </c>
      <c r="BP150" s="767">
        <v>2068</v>
      </c>
      <c r="BQ150" s="767">
        <v>2069</v>
      </c>
      <c r="BR150" s="767">
        <v>2070</v>
      </c>
      <c r="BS150" s="767">
        <v>2071</v>
      </c>
      <c r="BT150" s="767">
        <v>2072</v>
      </c>
      <c r="BU150" s="767">
        <v>2073</v>
      </c>
      <c r="BV150" s="767">
        <v>2074</v>
      </c>
      <c r="BW150" s="767">
        <v>2075</v>
      </c>
      <c r="BX150" s="767">
        <v>2076</v>
      </c>
      <c r="BY150" s="767">
        <v>2077</v>
      </c>
      <c r="BZ150" s="767">
        <v>2078</v>
      </c>
      <c r="CA150" s="767">
        <v>2079</v>
      </c>
      <c r="CB150" s="767">
        <v>2080</v>
      </c>
      <c r="CC150" s="767">
        <v>2081</v>
      </c>
      <c r="CD150" s="767">
        <v>2082</v>
      </c>
      <c r="CE150" s="767">
        <v>2083</v>
      </c>
      <c r="CF150" s="767">
        <v>2084</v>
      </c>
      <c r="CG150" s="767">
        <v>2085</v>
      </c>
      <c r="CH150" s="768">
        <v>2086</v>
      </c>
    </row>
    <row r="151" spans="1:86" s="769" customFormat="1" ht="17.25" customHeight="1">
      <c r="B151" s="770" t="s">
        <v>265</v>
      </c>
      <c r="C151" s="771"/>
      <c r="D151" s="771"/>
      <c r="E151" s="771" t="s">
        <v>264</v>
      </c>
      <c r="F151" s="772">
        <v>0.03</v>
      </c>
      <c r="G151" s="772">
        <v>0.06</v>
      </c>
      <c r="H151" s="772">
        <v>0.06</v>
      </c>
      <c r="I151" s="772">
        <v>0.06</v>
      </c>
      <c r="J151" s="772">
        <v>0.09</v>
      </c>
      <c r="K151" s="772">
        <f>J151</f>
        <v>0.09</v>
      </c>
      <c r="L151" s="772">
        <f t="shared" ref="L151:AD151" si="114">K151</f>
        <v>0.09</v>
      </c>
      <c r="M151" s="772">
        <f t="shared" si="114"/>
        <v>0.09</v>
      </c>
      <c r="N151" s="772">
        <f t="shared" si="114"/>
        <v>0.09</v>
      </c>
      <c r="O151" s="772">
        <f t="shared" si="114"/>
        <v>0.09</v>
      </c>
      <c r="P151" s="772">
        <f t="shared" si="114"/>
        <v>0.09</v>
      </c>
      <c r="Q151" s="772">
        <f t="shared" si="114"/>
        <v>0.09</v>
      </c>
      <c r="R151" s="772">
        <f t="shared" si="114"/>
        <v>0.09</v>
      </c>
      <c r="S151" s="772">
        <f t="shared" si="114"/>
        <v>0.09</v>
      </c>
      <c r="T151" s="772">
        <f t="shared" si="114"/>
        <v>0.09</v>
      </c>
      <c r="U151" s="772">
        <f t="shared" si="114"/>
        <v>0.09</v>
      </c>
      <c r="V151" s="772">
        <f t="shared" si="114"/>
        <v>0.09</v>
      </c>
      <c r="W151" s="772">
        <f t="shared" si="114"/>
        <v>0.09</v>
      </c>
      <c r="X151" s="772">
        <f t="shared" si="114"/>
        <v>0.09</v>
      </c>
      <c r="Y151" s="772">
        <f t="shared" si="114"/>
        <v>0.09</v>
      </c>
      <c r="Z151" s="772">
        <f t="shared" si="114"/>
        <v>0.09</v>
      </c>
      <c r="AA151" s="772">
        <f t="shared" si="114"/>
        <v>0.09</v>
      </c>
      <c r="AB151" s="772">
        <f t="shared" si="114"/>
        <v>0.09</v>
      </c>
      <c r="AC151" s="772">
        <f t="shared" si="114"/>
        <v>0.09</v>
      </c>
      <c r="AD151" s="772">
        <f t="shared" si="114"/>
        <v>0.09</v>
      </c>
      <c r="AE151" s="772">
        <f>AD151</f>
        <v>0.09</v>
      </c>
      <c r="AF151" s="772">
        <f>AE151</f>
        <v>0.09</v>
      </c>
      <c r="AG151" s="772">
        <f>AF151</f>
        <v>0.09</v>
      </c>
      <c r="AH151" s="772">
        <f>AG151</f>
        <v>0.09</v>
      </c>
      <c r="AI151" s="772">
        <f>AH151</f>
        <v>0.09</v>
      </c>
      <c r="AJ151" s="772">
        <f t="shared" ref="AJ151:CH151" si="115">AI151</f>
        <v>0.09</v>
      </c>
      <c r="AK151" s="772">
        <f t="shared" si="115"/>
        <v>0.09</v>
      </c>
      <c r="AL151" s="772">
        <f t="shared" si="115"/>
        <v>0.09</v>
      </c>
      <c r="AM151" s="772">
        <f t="shared" si="115"/>
        <v>0.09</v>
      </c>
      <c r="AN151" s="772">
        <f t="shared" si="115"/>
        <v>0.09</v>
      </c>
      <c r="AO151" s="772">
        <f t="shared" si="115"/>
        <v>0.09</v>
      </c>
      <c r="AP151" s="772">
        <f t="shared" si="115"/>
        <v>0.09</v>
      </c>
      <c r="AQ151" s="772">
        <f t="shared" si="115"/>
        <v>0.09</v>
      </c>
      <c r="AR151" s="772">
        <f t="shared" si="115"/>
        <v>0.09</v>
      </c>
      <c r="AS151" s="772">
        <f t="shared" si="115"/>
        <v>0.09</v>
      </c>
      <c r="AT151" s="772">
        <f t="shared" si="115"/>
        <v>0.09</v>
      </c>
      <c r="AU151" s="772">
        <f t="shared" si="115"/>
        <v>0.09</v>
      </c>
      <c r="AV151" s="772">
        <f t="shared" si="115"/>
        <v>0.09</v>
      </c>
      <c r="AW151" s="772">
        <f t="shared" si="115"/>
        <v>0.09</v>
      </c>
      <c r="AX151" s="772">
        <f t="shared" si="115"/>
        <v>0.09</v>
      </c>
      <c r="AY151" s="772">
        <f t="shared" si="115"/>
        <v>0.09</v>
      </c>
      <c r="AZ151" s="772">
        <f t="shared" si="115"/>
        <v>0.09</v>
      </c>
      <c r="BA151" s="772">
        <f t="shared" si="115"/>
        <v>0.09</v>
      </c>
      <c r="BB151" s="772">
        <f t="shared" si="115"/>
        <v>0.09</v>
      </c>
      <c r="BC151" s="772">
        <f t="shared" si="115"/>
        <v>0.09</v>
      </c>
      <c r="BD151" s="772">
        <f t="shared" si="115"/>
        <v>0.09</v>
      </c>
      <c r="BE151" s="772">
        <f t="shared" si="115"/>
        <v>0.09</v>
      </c>
      <c r="BF151" s="772">
        <f t="shared" si="115"/>
        <v>0.09</v>
      </c>
      <c r="BG151" s="772">
        <f t="shared" si="115"/>
        <v>0.09</v>
      </c>
      <c r="BH151" s="772">
        <f t="shared" si="115"/>
        <v>0.09</v>
      </c>
      <c r="BI151" s="772">
        <f t="shared" si="115"/>
        <v>0.09</v>
      </c>
      <c r="BJ151" s="772">
        <f t="shared" si="115"/>
        <v>0.09</v>
      </c>
      <c r="BK151" s="772">
        <f t="shared" si="115"/>
        <v>0.09</v>
      </c>
      <c r="BL151" s="772">
        <f t="shared" si="115"/>
        <v>0.09</v>
      </c>
      <c r="BM151" s="772">
        <f t="shared" si="115"/>
        <v>0.09</v>
      </c>
      <c r="BN151" s="772">
        <f t="shared" si="115"/>
        <v>0.09</v>
      </c>
      <c r="BO151" s="772">
        <f t="shared" si="115"/>
        <v>0.09</v>
      </c>
      <c r="BP151" s="772">
        <f t="shared" si="115"/>
        <v>0.09</v>
      </c>
      <c r="BQ151" s="772">
        <f t="shared" si="115"/>
        <v>0.09</v>
      </c>
      <c r="BR151" s="772">
        <f t="shared" si="115"/>
        <v>0.09</v>
      </c>
      <c r="BS151" s="772">
        <f t="shared" si="115"/>
        <v>0.09</v>
      </c>
      <c r="BT151" s="772">
        <f t="shared" si="115"/>
        <v>0.09</v>
      </c>
      <c r="BU151" s="772">
        <f t="shared" si="115"/>
        <v>0.09</v>
      </c>
      <c r="BV151" s="772">
        <f t="shared" si="115"/>
        <v>0.09</v>
      </c>
      <c r="BW151" s="772">
        <f t="shared" si="115"/>
        <v>0.09</v>
      </c>
      <c r="BX151" s="772">
        <f t="shared" si="115"/>
        <v>0.09</v>
      </c>
      <c r="BY151" s="772">
        <f t="shared" si="115"/>
        <v>0.09</v>
      </c>
      <c r="BZ151" s="772">
        <f t="shared" si="115"/>
        <v>0.09</v>
      </c>
      <c r="CA151" s="772">
        <f t="shared" si="115"/>
        <v>0.09</v>
      </c>
      <c r="CB151" s="772">
        <f t="shared" si="115"/>
        <v>0.09</v>
      </c>
      <c r="CC151" s="772">
        <f t="shared" si="115"/>
        <v>0.09</v>
      </c>
      <c r="CD151" s="772">
        <f t="shared" si="115"/>
        <v>0.09</v>
      </c>
      <c r="CE151" s="772">
        <f t="shared" si="115"/>
        <v>0.09</v>
      </c>
      <c r="CF151" s="772">
        <f t="shared" si="115"/>
        <v>0.09</v>
      </c>
      <c r="CG151" s="772">
        <f t="shared" si="115"/>
        <v>0.09</v>
      </c>
      <c r="CH151" s="773">
        <f t="shared" si="115"/>
        <v>0.09</v>
      </c>
    </row>
    <row r="152" spans="1:86">
      <c r="S152" s="102"/>
      <c r="T152" s="102"/>
      <c r="AT152" s="683"/>
    </row>
    <row r="153" spans="1:86" s="731" customFormat="1">
      <c r="B153" s="774" t="s">
        <v>554</v>
      </c>
      <c r="C153" s="775">
        <v>1.5</v>
      </c>
      <c r="D153" s="776" t="s">
        <v>556</v>
      </c>
      <c r="E153" s="777"/>
      <c r="F153" s="778">
        <f>VDB(1,0,StateTaxLife,0,1,$C$153,0)</f>
        <v>0.05</v>
      </c>
      <c r="G153" s="778">
        <f>VDB(1,0,StateTaxLife,1,F2+1,$C$153,1)</f>
        <v>4.7500000000000001E-2</v>
      </c>
      <c r="H153" s="777">
        <f t="shared" ref="H153:AS153" si="116">IF(H2&lt;StateTaxLife,VDB(1,0,StateTaxLife,F2+1,G2+1,$C$153,0),IF(H2=StateTaxLife,VDB(1,0,StateTaxLife,F2+1,StateTaxLife,$C$153,0),0))</f>
        <v>4.5124999999999998E-2</v>
      </c>
      <c r="I153" s="777">
        <f t="shared" si="116"/>
        <v>4.2868750000000004E-2</v>
      </c>
      <c r="J153" s="777">
        <f t="shared" si="116"/>
        <v>4.0725312499999999E-2</v>
      </c>
      <c r="K153" s="777">
        <f t="shared" si="116"/>
        <v>3.8689046875000001E-2</v>
      </c>
      <c r="L153" s="777">
        <f t="shared" si="116"/>
        <v>3.6754594531250004E-2</v>
      </c>
      <c r="M153" s="777">
        <f t="shared" si="116"/>
        <v>3.4916864804687503E-2</v>
      </c>
      <c r="N153" s="777">
        <f t="shared" si="116"/>
        <v>3.3171021564453132E-2</v>
      </c>
      <c r="O153" s="777">
        <f t="shared" si="116"/>
        <v>3.1512470486230473E-2</v>
      </c>
      <c r="P153" s="777">
        <f t="shared" si="116"/>
        <v>2.9936846961918947E-2</v>
      </c>
      <c r="Q153" s="777">
        <f t="shared" si="116"/>
        <v>2.9936846961918947E-2</v>
      </c>
      <c r="R153" s="777">
        <f t="shared" si="116"/>
        <v>2.9936846961918947E-2</v>
      </c>
      <c r="S153" s="777">
        <f t="shared" si="116"/>
        <v>2.9936846961918947E-2</v>
      </c>
      <c r="T153" s="777">
        <f t="shared" si="116"/>
        <v>2.9936846961918947E-2</v>
      </c>
      <c r="U153" s="777">
        <f t="shared" si="116"/>
        <v>2.9936846961918947E-2</v>
      </c>
      <c r="V153" s="777">
        <f t="shared" si="116"/>
        <v>2.9936846961918947E-2</v>
      </c>
      <c r="W153" s="777">
        <f t="shared" si="116"/>
        <v>2.9936846961918947E-2</v>
      </c>
      <c r="X153" s="777">
        <f t="shared" si="116"/>
        <v>2.9936846961918947E-2</v>
      </c>
      <c r="Y153" s="777">
        <f t="shared" si="116"/>
        <v>2.9936846961918947E-2</v>
      </c>
      <c r="Z153" s="777">
        <f t="shared" si="116"/>
        <v>2.9936846961918947E-2</v>
      </c>
      <c r="AA153" s="777">
        <f t="shared" si="116"/>
        <v>2.9936846961918947E-2</v>
      </c>
      <c r="AB153" s="777">
        <f t="shared" si="116"/>
        <v>2.9936846961918947E-2</v>
      </c>
      <c r="AC153" s="777">
        <f t="shared" si="116"/>
        <v>2.9936846961918947E-2</v>
      </c>
      <c r="AD153" s="777">
        <f t="shared" si="116"/>
        <v>2.9936846961918947E-2</v>
      </c>
      <c r="AE153" s="777">
        <f t="shared" si="116"/>
        <v>2.9936846961918947E-2</v>
      </c>
      <c r="AF153" s="777">
        <f t="shared" si="116"/>
        <v>2.9936846961918947E-2</v>
      </c>
      <c r="AG153" s="777">
        <f t="shared" si="116"/>
        <v>2.9936846961918947E-2</v>
      </c>
      <c r="AH153" s="777">
        <f t="shared" si="116"/>
        <v>2.9936846961918947E-2</v>
      </c>
      <c r="AI153" s="777">
        <f t="shared" si="116"/>
        <v>2.9936846961918947E-2</v>
      </c>
      <c r="AJ153" s="777">
        <f t="shared" si="116"/>
        <v>0</v>
      </c>
      <c r="AK153" s="777">
        <f t="shared" si="116"/>
        <v>0</v>
      </c>
      <c r="AL153" s="777">
        <f t="shared" si="116"/>
        <v>0</v>
      </c>
      <c r="AM153" s="777">
        <f t="shared" si="116"/>
        <v>0</v>
      </c>
      <c r="AN153" s="777">
        <f t="shared" si="116"/>
        <v>0</v>
      </c>
      <c r="AO153" s="777">
        <f t="shared" si="116"/>
        <v>0</v>
      </c>
      <c r="AP153" s="777">
        <f t="shared" si="116"/>
        <v>0</v>
      </c>
      <c r="AQ153" s="777">
        <f t="shared" si="116"/>
        <v>0</v>
      </c>
      <c r="AR153" s="777">
        <f t="shared" si="116"/>
        <v>0</v>
      </c>
      <c r="AS153" s="777">
        <f t="shared" si="116"/>
        <v>0</v>
      </c>
    </row>
    <row r="154" spans="1:86">
      <c r="B154" s="779"/>
      <c r="C154" s="4604" t="s">
        <v>555</v>
      </c>
      <c r="D154" s="4604"/>
      <c r="E154" s="780"/>
      <c r="F154" s="781">
        <f>1/StateTaxLife</f>
        <v>3.3333333333333333E-2</v>
      </c>
      <c r="G154" s="782">
        <f t="shared" ref="G154:AS154" si="117">IF(G$2&lt;=StateTaxLife,1/StateTaxLife,0)</f>
        <v>3.3333333333333333E-2</v>
      </c>
      <c r="H154" s="782">
        <f t="shared" si="117"/>
        <v>3.3333333333333333E-2</v>
      </c>
      <c r="I154" s="782">
        <f t="shared" si="117"/>
        <v>3.3333333333333333E-2</v>
      </c>
      <c r="J154" s="782">
        <f t="shared" si="117"/>
        <v>3.3333333333333333E-2</v>
      </c>
      <c r="K154" s="782">
        <f t="shared" si="117"/>
        <v>3.3333333333333333E-2</v>
      </c>
      <c r="L154" s="782">
        <f t="shared" si="117"/>
        <v>3.3333333333333333E-2</v>
      </c>
      <c r="M154" s="782">
        <f t="shared" si="117"/>
        <v>3.3333333333333333E-2</v>
      </c>
      <c r="N154" s="782">
        <f t="shared" si="117"/>
        <v>3.3333333333333333E-2</v>
      </c>
      <c r="O154" s="782">
        <f t="shared" si="117"/>
        <v>3.3333333333333333E-2</v>
      </c>
      <c r="P154" s="782">
        <f t="shared" si="117"/>
        <v>3.3333333333333333E-2</v>
      </c>
      <c r="Q154" s="782">
        <f t="shared" si="117"/>
        <v>3.3333333333333333E-2</v>
      </c>
      <c r="R154" s="782">
        <f t="shared" si="117"/>
        <v>3.3333333333333333E-2</v>
      </c>
      <c r="S154" s="782">
        <f t="shared" si="117"/>
        <v>3.3333333333333333E-2</v>
      </c>
      <c r="T154" s="782">
        <f t="shared" si="117"/>
        <v>3.3333333333333333E-2</v>
      </c>
      <c r="U154" s="782">
        <f t="shared" si="117"/>
        <v>3.3333333333333333E-2</v>
      </c>
      <c r="V154" s="782">
        <f t="shared" si="117"/>
        <v>3.3333333333333333E-2</v>
      </c>
      <c r="W154" s="782">
        <f t="shared" si="117"/>
        <v>3.3333333333333333E-2</v>
      </c>
      <c r="X154" s="782">
        <f t="shared" si="117"/>
        <v>3.3333333333333333E-2</v>
      </c>
      <c r="Y154" s="782">
        <f t="shared" si="117"/>
        <v>3.3333333333333333E-2</v>
      </c>
      <c r="Z154" s="782">
        <f t="shared" si="117"/>
        <v>3.3333333333333333E-2</v>
      </c>
      <c r="AA154" s="782">
        <f t="shared" si="117"/>
        <v>3.3333333333333333E-2</v>
      </c>
      <c r="AB154" s="782">
        <f t="shared" si="117"/>
        <v>3.3333333333333333E-2</v>
      </c>
      <c r="AC154" s="782">
        <f t="shared" si="117"/>
        <v>3.3333333333333333E-2</v>
      </c>
      <c r="AD154" s="782">
        <f t="shared" si="117"/>
        <v>3.3333333333333333E-2</v>
      </c>
      <c r="AE154" s="782">
        <f t="shared" si="117"/>
        <v>3.3333333333333333E-2</v>
      </c>
      <c r="AF154" s="782">
        <f t="shared" si="117"/>
        <v>3.3333333333333333E-2</v>
      </c>
      <c r="AG154" s="782">
        <f t="shared" si="117"/>
        <v>3.3333333333333333E-2</v>
      </c>
      <c r="AH154" s="782">
        <f t="shared" si="117"/>
        <v>3.3333333333333333E-2</v>
      </c>
      <c r="AI154" s="782">
        <f t="shared" si="117"/>
        <v>3.3333333333333333E-2</v>
      </c>
      <c r="AJ154" s="782">
        <f t="shared" si="117"/>
        <v>0</v>
      </c>
      <c r="AK154" s="782">
        <f t="shared" si="117"/>
        <v>0</v>
      </c>
      <c r="AL154" s="782">
        <f t="shared" si="117"/>
        <v>0</v>
      </c>
      <c r="AM154" s="782">
        <f t="shared" si="117"/>
        <v>0</v>
      </c>
      <c r="AN154" s="782">
        <f t="shared" si="117"/>
        <v>0</v>
      </c>
      <c r="AO154" s="782">
        <f t="shared" si="117"/>
        <v>0</v>
      </c>
      <c r="AP154" s="782">
        <f t="shared" si="117"/>
        <v>0</v>
      </c>
      <c r="AQ154" s="782">
        <f t="shared" si="117"/>
        <v>0</v>
      </c>
      <c r="AR154" s="782">
        <f t="shared" si="117"/>
        <v>0</v>
      </c>
      <c r="AS154" s="782">
        <f t="shared" si="117"/>
        <v>0</v>
      </c>
    </row>
    <row r="155" spans="1:86">
      <c r="B155" s="105"/>
      <c r="C155" s="783"/>
      <c r="D155" s="783"/>
      <c r="E155" s="784"/>
      <c r="F155" s="222"/>
      <c r="G155" s="785"/>
      <c r="H155" s="785"/>
      <c r="I155" s="785"/>
      <c r="J155" s="785"/>
      <c r="K155" s="785"/>
      <c r="L155" s="785"/>
      <c r="M155" s="785"/>
      <c r="N155" s="785"/>
      <c r="O155" s="785"/>
      <c r="P155" s="785"/>
      <c r="Q155" s="785"/>
      <c r="R155" s="785"/>
      <c r="S155" s="785"/>
      <c r="T155" s="785"/>
      <c r="U155" s="785"/>
      <c r="V155" s="785"/>
      <c r="W155" s="785"/>
      <c r="X155" s="785"/>
      <c r="Y155" s="785"/>
      <c r="Z155" s="785"/>
      <c r="AA155" s="785"/>
      <c r="AB155" s="785"/>
      <c r="AC155" s="785"/>
      <c r="AD155" s="785"/>
      <c r="AE155" s="785"/>
      <c r="AF155" s="785"/>
      <c r="AG155" s="785"/>
      <c r="AH155" s="785"/>
      <c r="AI155" s="785"/>
      <c r="AJ155" s="785"/>
      <c r="AK155" s="785"/>
      <c r="AL155" s="785"/>
      <c r="AM155" s="785"/>
      <c r="AN155" s="785"/>
      <c r="AO155" s="785"/>
      <c r="AP155" s="785"/>
      <c r="AQ155" s="785"/>
      <c r="AR155" s="785"/>
      <c r="AS155" s="785"/>
    </row>
    <row r="156" spans="1:86" s="103" customFormat="1">
      <c r="B156" s="104"/>
      <c r="C156" s="786"/>
      <c r="D156" s="786"/>
      <c r="E156" s="787"/>
      <c r="F156" s="769">
        <v>1</v>
      </c>
      <c r="G156" s="769">
        <v>2</v>
      </c>
      <c r="H156" s="769">
        <v>3</v>
      </c>
      <c r="I156" s="769">
        <v>4</v>
      </c>
      <c r="J156" s="769">
        <v>5</v>
      </c>
      <c r="K156" s="769">
        <v>6</v>
      </c>
      <c r="L156" s="769">
        <v>7</v>
      </c>
      <c r="M156" s="769">
        <v>8</v>
      </c>
      <c r="N156" s="769">
        <v>9</v>
      </c>
      <c r="O156" s="769">
        <v>10</v>
      </c>
      <c r="P156" s="769">
        <v>11</v>
      </c>
      <c r="Q156" s="769">
        <v>12</v>
      </c>
      <c r="R156" s="769">
        <v>13</v>
      </c>
      <c r="S156" s="769">
        <v>14</v>
      </c>
      <c r="T156" s="769">
        <v>15</v>
      </c>
      <c r="U156" s="769">
        <v>16</v>
      </c>
      <c r="V156" s="769">
        <v>17</v>
      </c>
      <c r="W156" s="769">
        <v>18</v>
      </c>
      <c r="X156" s="769">
        <v>19</v>
      </c>
      <c r="Y156" s="769">
        <v>20</v>
      </c>
      <c r="Z156" s="769">
        <v>21</v>
      </c>
      <c r="AA156" s="769">
        <v>22</v>
      </c>
      <c r="AB156" s="769">
        <v>23</v>
      </c>
      <c r="AC156" s="769">
        <v>24</v>
      </c>
      <c r="AD156" s="769">
        <v>25</v>
      </c>
      <c r="AE156" s="769">
        <v>26</v>
      </c>
      <c r="AF156" s="769">
        <v>27</v>
      </c>
      <c r="AG156" s="769">
        <v>28</v>
      </c>
      <c r="AH156" s="769">
        <v>29</v>
      </c>
      <c r="AI156" s="769">
        <v>30</v>
      </c>
      <c r="AJ156" s="769">
        <v>31</v>
      </c>
      <c r="AK156" s="769">
        <v>32</v>
      </c>
      <c r="AL156" s="769">
        <v>33</v>
      </c>
      <c r="AM156" s="769">
        <v>34</v>
      </c>
      <c r="AN156" s="769">
        <v>35</v>
      </c>
      <c r="AO156" s="769">
        <v>36</v>
      </c>
      <c r="AP156" s="769">
        <v>37</v>
      </c>
      <c r="AQ156" s="769">
        <v>38</v>
      </c>
      <c r="AR156" s="769">
        <v>39</v>
      </c>
      <c r="AS156" s="769">
        <v>40</v>
      </c>
      <c r="AT156" s="769">
        <v>41</v>
      </c>
      <c r="AU156" s="769">
        <v>42</v>
      </c>
      <c r="AV156" s="769">
        <v>43</v>
      </c>
      <c r="AW156" s="769">
        <v>44</v>
      </c>
      <c r="AX156" s="769">
        <v>45</v>
      </c>
      <c r="AY156" s="769">
        <v>46</v>
      </c>
      <c r="AZ156" s="769">
        <v>47</v>
      </c>
      <c r="BA156" s="769">
        <v>48</v>
      </c>
      <c r="BB156" s="769">
        <v>49</v>
      </c>
      <c r="BC156" s="769">
        <v>50</v>
      </c>
      <c r="BD156" s="103">
        <v>51</v>
      </c>
      <c r="BE156" s="103">
        <v>52</v>
      </c>
      <c r="BF156" s="103">
        <v>53</v>
      </c>
      <c r="BG156" s="103">
        <v>54</v>
      </c>
      <c r="BH156" s="103">
        <v>55</v>
      </c>
      <c r="BI156" s="103">
        <v>56</v>
      </c>
      <c r="BJ156" s="103">
        <v>57</v>
      </c>
      <c r="BK156" s="103">
        <v>58</v>
      </c>
      <c r="BL156" s="103">
        <v>59</v>
      </c>
      <c r="BM156" s="103">
        <v>60</v>
      </c>
      <c r="BN156" s="103">
        <v>61</v>
      </c>
      <c r="BO156" s="103">
        <v>62</v>
      </c>
      <c r="BP156" s="103">
        <v>63</v>
      </c>
      <c r="BQ156" s="103">
        <v>64</v>
      </c>
      <c r="BR156" s="103">
        <v>65</v>
      </c>
      <c r="BS156" s="103">
        <v>66</v>
      </c>
      <c r="BT156" s="103">
        <v>67</v>
      </c>
      <c r="BU156" s="103">
        <v>68</v>
      </c>
      <c r="BV156" s="103">
        <v>69</v>
      </c>
      <c r="BW156" s="103">
        <v>70</v>
      </c>
      <c r="BX156" s="103">
        <v>71</v>
      </c>
      <c r="BY156" s="103">
        <v>72</v>
      </c>
      <c r="BZ156" s="103">
        <v>73</v>
      </c>
      <c r="CA156" s="103">
        <v>74</v>
      </c>
      <c r="CB156" s="103">
        <v>75</v>
      </c>
      <c r="CC156" s="103">
        <v>76</v>
      </c>
      <c r="CD156" s="103">
        <v>77</v>
      </c>
      <c r="CE156" s="103">
        <v>78</v>
      </c>
      <c r="CF156" s="103">
        <v>79</v>
      </c>
      <c r="CG156" s="103">
        <v>80</v>
      </c>
      <c r="CH156" s="103">
        <v>81</v>
      </c>
    </row>
    <row r="157" spans="1:86" s="103" customFormat="1">
      <c r="B157" s="788" t="s">
        <v>174</v>
      </c>
      <c r="C157" s="789"/>
      <c r="D157" s="790">
        <v>10</v>
      </c>
      <c r="E157" s="750"/>
      <c r="F157" s="791">
        <v>0.92</v>
      </c>
      <c r="G157" s="791">
        <v>0.83</v>
      </c>
      <c r="H157" s="791">
        <v>0.75</v>
      </c>
      <c r="I157" s="791">
        <v>0.66</v>
      </c>
      <c r="J157" s="791">
        <v>0.56999999999999995</v>
      </c>
      <c r="K157" s="791">
        <v>0.49</v>
      </c>
      <c r="L157" s="791">
        <v>0.41</v>
      </c>
      <c r="M157" s="791">
        <v>0.33</v>
      </c>
      <c r="N157" s="791">
        <v>0.26</v>
      </c>
      <c r="O157" s="791">
        <v>0.21</v>
      </c>
      <c r="P157" s="791">
        <v>0.16</v>
      </c>
      <c r="Q157" s="791">
        <v>0.12</v>
      </c>
      <c r="R157" s="791">
        <v>0.09</v>
      </c>
      <c r="S157" s="791">
        <v>0.06</v>
      </c>
      <c r="T157" s="791">
        <v>0.04</v>
      </c>
      <c r="U157" s="791">
        <v>0.01</v>
      </c>
      <c r="V157" s="791"/>
      <c r="W157" s="791"/>
      <c r="X157" s="791"/>
      <c r="Y157" s="791"/>
      <c r="Z157" s="791"/>
      <c r="AA157" s="791"/>
      <c r="AB157" s="791"/>
      <c r="AC157" s="791"/>
      <c r="AD157" s="791"/>
      <c r="AE157" s="791"/>
      <c r="AF157" s="791"/>
      <c r="AG157" s="791"/>
      <c r="AH157" s="791"/>
      <c r="AI157" s="791"/>
      <c r="AJ157" s="791"/>
      <c r="AK157" s="791"/>
      <c r="AL157" s="791"/>
      <c r="AM157" s="791"/>
      <c r="AN157" s="791"/>
      <c r="AO157" s="791"/>
      <c r="AP157" s="791"/>
      <c r="AQ157" s="791"/>
      <c r="AR157" s="791"/>
      <c r="AS157" s="791"/>
      <c r="AT157" s="791"/>
      <c r="AU157" s="791"/>
      <c r="AV157" s="791"/>
      <c r="AW157" s="791"/>
      <c r="AX157" s="791"/>
      <c r="AY157" s="791"/>
      <c r="AZ157" s="791"/>
      <c r="BA157" s="792"/>
      <c r="BB157" s="793"/>
      <c r="BC157" s="793"/>
    </row>
    <row r="158" spans="1:86" s="103" customFormat="1">
      <c r="B158" s="794" t="s">
        <v>175</v>
      </c>
      <c r="C158" s="786"/>
      <c r="D158" s="265">
        <v>15</v>
      </c>
      <c r="E158" s="787"/>
      <c r="F158" s="795">
        <v>0.95</v>
      </c>
      <c r="G158" s="795">
        <v>0.91</v>
      </c>
      <c r="H158" s="795">
        <v>0.86</v>
      </c>
      <c r="I158" s="795">
        <v>0.8</v>
      </c>
      <c r="J158" s="795">
        <v>0.75</v>
      </c>
      <c r="K158" s="795">
        <v>0.7</v>
      </c>
      <c r="L158" s="795">
        <v>0.64</v>
      </c>
      <c r="M158" s="795">
        <v>0.59</v>
      </c>
      <c r="N158" s="795">
        <v>0.53</v>
      </c>
      <c r="O158" s="795">
        <v>0.48</v>
      </c>
      <c r="P158" s="795">
        <v>0.42</v>
      </c>
      <c r="Q158" s="795">
        <v>0.37</v>
      </c>
      <c r="R158" s="795">
        <v>0.32</v>
      </c>
      <c r="S158" s="795">
        <v>0.28000000000000003</v>
      </c>
      <c r="T158" s="795">
        <v>0.24</v>
      </c>
      <c r="U158" s="795">
        <v>0.2</v>
      </c>
      <c r="V158" s="795">
        <v>0.17</v>
      </c>
      <c r="W158" s="795">
        <v>0.14000000000000001</v>
      </c>
      <c r="X158" s="795">
        <v>0.11</v>
      </c>
      <c r="Y158" s="795">
        <v>0.1</v>
      </c>
      <c r="Z158" s="795">
        <v>0.08</v>
      </c>
      <c r="AA158" s="795">
        <v>0.05</v>
      </c>
      <c r="AB158" s="795">
        <v>0.03</v>
      </c>
      <c r="AC158" s="795">
        <v>0.01</v>
      </c>
      <c r="AD158" s="795"/>
      <c r="AE158" s="795"/>
      <c r="AF158" s="795"/>
      <c r="AG158" s="795"/>
      <c r="AH158" s="795"/>
      <c r="AI158" s="795"/>
      <c r="AJ158" s="795"/>
      <c r="AK158" s="795"/>
      <c r="AL158" s="795"/>
      <c r="AM158" s="795"/>
      <c r="AN158" s="795"/>
      <c r="AO158" s="795"/>
      <c r="AP158" s="795"/>
      <c r="AQ158" s="795"/>
      <c r="AR158" s="795"/>
      <c r="AS158" s="795"/>
      <c r="AT158" s="795"/>
      <c r="AU158" s="795"/>
      <c r="AV158" s="795"/>
      <c r="AW158" s="795"/>
      <c r="AX158" s="795"/>
      <c r="AY158" s="795"/>
      <c r="AZ158" s="795"/>
      <c r="BA158" s="796"/>
      <c r="BB158" s="793"/>
      <c r="BC158" s="793"/>
    </row>
    <row r="159" spans="1:86" s="103" customFormat="1">
      <c r="B159" s="794"/>
      <c r="C159" s="786"/>
      <c r="D159" s="265">
        <v>20</v>
      </c>
      <c r="E159" s="787"/>
      <c r="F159" s="795">
        <v>0.97</v>
      </c>
      <c r="G159" s="795">
        <v>0.94</v>
      </c>
      <c r="H159" s="795">
        <v>0.91</v>
      </c>
      <c r="I159" s="795">
        <v>0.87</v>
      </c>
      <c r="J159" s="795">
        <v>0.84</v>
      </c>
      <c r="K159" s="795">
        <v>0.8</v>
      </c>
      <c r="L159" s="795">
        <v>0.77</v>
      </c>
      <c r="M159" s="795">
        <v>0.73</v>
      </c>
      <c r="N159" s="795">
        <v>0.69</v>
      </c>
      <c r="O159" s="795">
        <v>0.65</v>
      </c>
      <c r="P159" s="795">
        <v>0.61</v>
      </c>
      <c r="Q159" s="795">
        <v>0.56999999999999995</v>
      </c>
      <c r="R159" s="795">
        <v>0.53</v>
      </c>
      <c r="S159" s="795">
        <v>0.49</v>
      </c>
      <c r="T159" s="795">
        <v>0.45</v>
      </c>
      <c r="U159" s="795">
        <v>0.41</v>
      </c>
      <c r="V159" s="795">
        <v>0.37</v>
      </c>
      <c r="W159" s="795">
        <v>0.33</v>
      </c>
      <c r="X159" s="795">
        <v>0.3</v>
      </c>
      <c r="Y159" s="795">
        <v>0.27</v>
      </c>
      <c r="Z159" s="795">
        <v>0.24</v>
      </c>
      <c r="AA159" s="795">
        <v>0.21</v>
      </c>
      <c r="AB159" s="795">
        <v>0.19</v>
      </c>
      <c r="AC159" s="795">
        <v>0.16</v>
      </c>
      <c r="AD159" s="795">
        <v>0.15</v>
      </c>
      <c r="AE159" s="795">
        <v>0.13</v>
      </c>
      <c r="AF159" s="795">
        <v>0.11</v>
      </c>
      <c r="AG159" s="795">
        <v>0.09</v>
      </c>
      <c r="AH159" s="795">
        <v>7.0000000000000007E-2</v>
      </c>
      <c r="AI159" s="795">
        <v>0.05</v>
      </c>
      <c r="AJ159" s="795">
        <v>0.03</v>
      </c>
      <c r="AK159" s="795">
        <v>0.02</v>
      </c>
      <c r="AL159" s="795"/>
      <c r="AM159" s="795"/>
      <c r="AN159" s="795"/>
      <c r="AO159" s="795"/>
      <c r="AP159" s="795"/>
      <c r="AQ159" s="795"/>
      <c r="AR159" s="795"/>
      <c r="AS159" s="795"/>
      <c r="AT159" s="795"/>
      <c r="AU159" s="795"/>
      <c r="AV159" s="795"/>
      <c r="AW159" s="795"/>
      <c r="AX159" s="795"/>
      <c r="AY159" s="795"/>
      <c r="AZ159" s="795"/>
      <c r="BA159" s="796"/>
      <c r="BB159" s="793"/>
      <c r="BC159" s="793"/>
    </row>
    <row r="160" spans="1:86" s="103" customFormat="1">
      <c r="B160" s="794"/>
      <c r="C160" s="786"/>
      <c r="D160" s="265">
        <v>30</v>
      </c>
      <c r="E160" s="104"/>
      <c r="F160" s="795">
        <v>0.99</v>
      </c>
      <c r="G160" s="795">
        <v>0.97</v>
      </c>
      <c r="H160" s="795">
        <v>0.96</v>
      </c>
      <c r="I160" s="795">
        <v>0.94</v>
      </c>
      <c r="J160" s="795">
        <v>0.92</v>
      </c>
      <c r="K160" s="795">
        <v>0.91</v>
      </c>
      <c r="L160" s="795">
        <v>0.89</v>
      </c>
      <c r="M160" s="795">
        <v>0.87</v>
      </c>
      <c r="N160" s="795">
        <v>0.85</v>
      </c>
      <c r="O160" s="795">
        <v>0.83</v>
      </c>
      <c r="P160" s="795">
        <v>0.81</v>
      </c>
      <c r="Q160" s="795">
        <v>0.79</v>
      </c>
      <c r="R160" s="795">
        <v>0.76</v>
      </c>
      <c r="S160" s="795">
        <v>0.74</v>
      </c>
      <c r="T160" s="795">
        <v>0.72</v>
      </c>
      <c r="U160" s="795">
        <v>0.69</v>
      </c>
      <c r="V160" s="795">
        <v>0.67</v>
      </c>
      <c r="W160" s="795">
        <v>0.64</v>
      </c>
      <c r="X160" s="795">
        <v>0.62</v>
      </c>
      <c r="Y160" s="795">
        <v>0.59</v>
      </c>
      <c r="Z160" s="795">
        <v>0.56999999999999995</v>
      </c>
      <c r="AA160" s="795">
        <v>0.54</v>
      </c>
      <c r="AB160" s="795">
        <v>0.51</v>
      </c>
      <c r="AC160" s="795">
        <v>0.48</v>
      </c>
      <c r="AD160" s="795">
        <v>0.46</v>
      </c>
      <c r="AE160" s="795">
        <v>0.43</v>
      </c>
      <c r="AF160" s="795">
        <v>0.4</v>
      </c>
      <c r="AG160" s="795">
        <v>0.38</v>
      </c>
      <c r="AH160" s="795">
        <v>0.35</v>
      </c>
      <c r="AI160" s="795">
        <v>0.33</v>
      </c>
      <c r="AJ160" s="795">
        <v>0.31</v>
      </c>
      <c r="AK160" s="795">
        <v>0.28000000000000003</v>
      </c>
      <c r="AL160" s="795">
        <v>0.27</v>
      </c>
      <c r="AM160" s="795">
        <v>0.24</v>
      </c>
      <c r="AN160" s="795">
        <v>0.22</v>
      </c>
      <c r="AO160" s="795">
        <v>0.21</v>
      </c>
      <c r="AP160" s="795">
        <v>0.19</v>
      </c>
      <c r="AQ160" s="795">
        <v>0.18</v>
      </c>
      <c r="AR160" s="795">
        <v>0.17</v>
      </c>
      <c r="AS160" s="795">
        <v>0.15</v>
      </c>
      <c r="AT160" s="795">
        <v>0.13</v>
      </c>
      <c r="AU160" s="795">
        <v>0.12</v>
      </c>
      <c r="AV160" s="795">
        <v>0.1</v>
      </c>
      <c r="AW160" s="795">
        <v>0.08</v>
      </c>
      <c r="AX160" s="795">
        <v>7.0000000000000007E-2</v>
      </c>
      <c r="AY160" s="795">
        <v>0.05</v>
      </c>
      <c r="AZ160" s="795">
        <v>0.03</v>
      </c>
      <c r="BA160" s="796">
        <v>0.02</v>
      </c>
      <c r="BB160" s="793"/>
      <c r="BC160" s="793"/>
    </row>
    <row r="161" spans="2:86" s="103" customFormat="1">
      <c r="B161" s="794"/>
      <c r="C161" s="786"/>
      <c r="D161" s="265">
        <v>40</v>
      </c>
      <c r="E161" s="104"/>
      <c r="F161" s="795">
        <v>0.99</v>
      </c>
      <c r="G161" s="795">
        <v>0.98</v>
      </c>
      <c r="H161" s="795">
        <v>0.97</v>
      </c>
      <c r="I161" s="795">
        <v>0.96</v>
      </c>
      <c r="J161" s="795">
        <v>0.96</v>
      </c>
      <c r="K161" s="795">
        <v>0.95</v>
      </c>
      <c r="L161" s="795">
        <v>0.94</v>
      </c>
      <c r="M161" s="795">
        <v>0.93</v>
      </c>
      <c r="N161" s="795">
        <v>0.92</v>
      </c>
      <c r="O161" s="795">
        <v>0.91</v>
      </c>
      <c r="P161" s="795">
        <v>0.9</v>
      </c>
      <c r="Q161" s="795">
        <v>0.89</v>
      </c>
      <c r="R161" s="795">
        <v>0.87</v>
      </c>
      <c r="S161" s="795">
        <v>0.86</v>
      </c>
      <c r="T161" s="795">
        <v>0.85</v>
      </c>
      <c r="U161" s="795">
        <v>0.83</v>
      </c>
      <c r="V161" s="795">
        <v>0.82</v>
      </c>
      <c r="W161" s="795">
        <v>0.81</v>
      </c>
      <c r="X161" s="795">
        <v>0.79</v>
      </c>
      <c r="Y161" s="795">
        <v>0.78</v>
      </c>
      <c r="Z161" s="795">
        <v>0.76</v>
      </c>
      <c r="AA161" s="795">
        <v>0.74</v>
      </c>
      <c r="AB161" s="795">
        <v>0.73</v>
      </c>
      <c r="AC161" s="795">
        <v>0.71</v>
      </c>
      <c r="AD161" s="795">
        <v>0.69</v>
      </c>
      <c r="AE161" s="795">
        <v>0.67</v>
      </c>
      <c r="AF161" s="795">
        <v>0.65</v>
      </c>
      <c r="AG161" s="795">
        <v>0.63</v>
      </c>
      <c r="AH161" s="795">
        <v>0.61</v>
      </c>
      <c r="AI161" s="795">
        <v>0.59</v>
      </c>
      <c r="AJ161" s="795">
        <v>0.56999999999999995</v>
      </c>
      <c r="AK161" s="795">
        <v>0.55000000000000004</v>
      </c>
      <c r="AL161" s="795">
        <v>0.53</v>
      </c>
      <c r="AM161" s="795">
        <v>0.51</v>
      </c>
      <c r="AN161" s="795">
        <v>0.49</v>
      </c>
      <c r="AO161" s="795">
        <v>0.47</v>
      </c>
      <c r="AP161" s="795">
        <v>0.45</v>
      </c>
      <c r="AQ161" s="795">
        <v>0.43</v>
      </c>
      <c r="AR161" s="795">
        <v>0.41</v>
      </c>
      <c r="AS161" s="795">
        <v>0.39</v>
      </c>
      <c r="AT161" s="795">
        <v>0.37</v>
      </c>
      <c r="AU161" s="795">
        <v>0.36</v>
      </c>
      <c r="AV161" s="795">
        <v>0.33</v>
      </c>
      <c r="AW161" s="795">
        <v>0.32</v>
      </c>
      <c r="AX161" s="795">
        <v>0.3</v>
      </c>
      <c r="AY161" s="795">
        <v>0.28999999999999998</v>
      </c>
      <c r="AZ161" s="795">
        <v>0.27</v>
      </c>
      <c r="BA161" s="796">
        <v>0.26</v>
      </c>
      <c r="BB161" s="793">
        <v>0.24</v>
      </c>
      <c r="BC161" s="793">
        <v>0.23</v>
      </c>
      <c r="BD161" s="642">
        <v>0.22</v>
      </c>
      <c r="BE161" s="642">
        <v>0.21</v>
      </c>
      <c r="BF161" s="642">
        <v>0.19</v>
      </c>
      <c r="BG161" s="642">
        <v>0.18</v>
      </c>
      <c r="BH161" s="642">
        <v>0.16</v>
      </c>
      <c r="BI161" s="642">
        <v>0.15</v>
      </c>
      <c r="BJ161" s="642">
        <v>0.13</v>
      </c>
      <c r="BK161" s="642">
        <v>0.12</v>
      </c>
      <c r="BL161" s="642">
        <v>0.1</v>
      </c>
      <c r="BM161" s="642">
        <v>0.09</v>
      </c>
      <c r="BN161" s="642">
        <v>7.0000000000000007E-2</v>
      </c>
      <c r="BO161" s="642">
        <v>0.06</v>
      </c>
      <c r="BP161" s="642">
        <v>0.04</v>
      </c>
      <c r="BQ161" s="642">
        <v>0.03</v>
      </c>
      <c r="BR161" s="642">
        <v>0.01</v>
      </c>
      <c r="BS161" s="642"/>
    </row>
    <row r="162" spans="2:86" s="103" customFormat="1">
      <c r="B162" s="797"/>
      <c r="C162" s="798"/>
      <c r="D162" s="799">
        <v>50</v>
      </c>
      <c r="E162" s="798"/>
      <c r="F162" s="800">
        <v>1</v>
      </c>
      <c r="G162" s="800">
        <v>0.99</v>
      </c>
      <c r="H162" s="800">
        <v>0.99</v>
      </c>
      <c r="I162" s="800">
        <v>0.98</v>
      </c>
      <c r="J162" s="800">
        <v>0.98</v>
      </c>
      <c r="K162" s="800">
        <v>0.97</v>
      </c>
      <c r="L162" s="800">
        <v>0.97</v>
      </c>
      <c r="M162" s="800">
        <v>0.96</v>
      </c>
      <c r="N162" s="800">
        <v>0.95</v>
      </c>
      <c r="O162" s="800">
        <v>0.95</v>
      </c>
      <c r="P162" s="800">
        <v>0.94</v>
      </c>
      <c r="Q162" s="800">
        <v>0.93</v>
      </c>
      <c r="R162" s="800">
        <v>0.93</v>
      </c>
      <c r="S162" s="800">
        <v>0.92</v>
      </c>
      <c r="T162" s="800">
        <v>0.91</v>
      </c>
      <c r="U162" s="800">
        <v>0.9</v>
      </c>
      <c r="V162" s="800">
        <v>0.9</v>
      </c>
      <c r="W162" s="800">
        <v>0.89</v>
      </c>
      <c r="X162" s="800">
        <v>0.88</v>
      </c>
      <c r="Y162" s="800">
        <v>0.87</v>
      </c>
      <c r="Z162" s="800">
        <v>0.86</v>
      </c>
      <c r="AA162" s="800">
        <v>0.85</v>
      </c>
      <c r="AB162" s="800">
        <v>0.84</v>
      </c>
      <c r="AC162" s="800">
        <v>0.83</v>
      </c>
      <c r="AD162" s="800">
        <v>0.82</v>
      </c>
      <c r="AE162" s="800">
        <v>0.81</v>
      </c>
      <c r="AF162" s="800">
        <v>0.8</v>
      </c>
      <c r="AG162" s="800">
        <v>0.79</v>
      </c>
      <c r="AH162" s="800">
        <v>0.77</v>
      </c>
      <c r="AI162" s="800">
        <v>0.76</v>
      </c>
      <c r="AJ162" s="800">
        <v>0.75</v>
      </c>
      <c r="AK162" s="800">
        <v>0.74</v>
      </c>
      <c r="AL162" s="800">
        <v>0.72</v>
      </c>
      <c r="AM162" s="800">
        <v>0.71</v>
      </c>
      <c r="AN162" s="800">
        <v>0.69</v>
      </c>
      <c r="AO162" s="800">
        <v>0.68</v>
      </c>
      <c r="AP162" s="800">
        <v>0.66</v>
      </c>
      <c r="AQ162" s="800">
        <v>0.65</v>
      </c>
      <c r="AR162" s="800">
        <v>0.63</v>
      </c>
      <c r="AS162" s="800">
        <v>0.62</v>
      </c>
      <c r="AT162" s="800">
        <v>0.6</v>
      </c>
      <c r="AU162" s="800">
        <v>0.57999999999999996</v>
      </c>
      <c r="AV162" s="800">
        <v>0.56999999999999995</v>
      </c>
      <c r="AW162" s="800">
        <v>0.55000000000000004</v>
      </c>
      <c r="AX162" s="800">
        <v>0.53</v>
      </c>
      <c r="AY162" s="800">
        <v>0.52</v>
      </c>
      <c r="AZ162" s="800">
        <v>0.5</v>
      </c>
      <c r="BA162" s="801">
        <v>0.49</v>
      </c>
      <c r="BB162" s="793">
        <v>0.47</v>
      </c>
      <c r="BC162" s="793">
        <v>0.45</v>
      </c>
      <c r="BD162" s="642">
        <v>0.44</v>
      </c>
      <c r="BE162" s="642">
        <v>0.42</v>
      </c>
      <c r="BF162" s="642">
        <v>0.41</v>
      </c>
      <c r="BG162" s="642">
        <v>0.39</v>
      </c>
      <c r="BH162" s="642">
        <v>0.38</v>
      </c>
      <c r="BI162" s="642">
        <v>0.36</v>
      </c>
      <c r="BJ162" s="642">
        <v>0.35</v>
      </c>
      <c r="BK162" s="642">
        <v>0.33</v>
      </c>
      <c r="BL162" s="642">
        <v>0.32</v>
      </c>
      <c r="BM162" s="642">
        <v>0.31</v>
      </c>
      <c r="BN162" s="642">
        <v>0.3</v>
      </c>
      <c r="BO162" s="642">
        <v>0.28000000000000003</v>
      </c>
      <c r="BP162" s="642">
        <v>0.27</v>
      </c>
      <c r="BQ162" s="642">
        <v>0.26</v>
      </c>
      <c r="BR162" s="642">
        <v>0.25</v>
      </c>
      <c r="BS162" s="642">
        <v>0.24</v>
      </c>
      <c r="BT162" s="642">
        <v>0.23</v>
      </c>
      <c r="BU162" s="642">
        <v>0.21</v>
      </c>
      <c r="BV162" s="642">
        <v>0.2</v>
      </c>
      <c r="BW162" s="642">
        <v>0.19</v>
      </c>
      <c r="BX162" s="642">
        <v>0.17</v>
      </c>
      <c r="BY162" s="642">
        <v>0.16</v>
      </c>
      <c r="BZ162" s="642">
        <v>0.14000000000000001</v>
      </c>
      <c r="CA162" s="642">
        <v>0.13</v>
      </c>
      <c r="CB162" s="642">
        <v>0.11</v>
      </c>
      <c r="CC162" s="642">
        <v>0.1</v>
      </c>
      <c r="CD162" s="642">
        <v>0.8</v>
      </c>
      <c r="CE162" s="642">
        <v>7.0000000000000007E-2</v>
      </c>
      <c r="CF162" s="642">
        <v>0.05</v>
      </c>
      <c r="CG162" s="642">
        <v>0.04</v>
      </c>
      <c r="CH162" s="642">
        <v>0.02</v>
      </c>
    </row>
    <row r="164" spans="2:86">
      <c r="B164" s="1" t="s">
        <v>568</v>
      </c>
    </row>
    <row r="165" spans="2:86">
      <c r="B165" s="118" t="s">
        <v>290</v>
      </c>
      <c r="F165" s="720">
        <f t="shared" ref="F165:AK165" si="118">F91-F42</f>
        <v>0</v>
      </c>
      <c r="G165" s="720">
        <f t="shared" si="118"/>
        <v>0</v>
      </c>
      <c r="H165" s="720">
        <f t="shared" si="118"/>
        <v>0</v>
      </c>
      <c r="I165" s="720">
        <f t="shared" si="118"/>
        <v>0</v>
      </c>
      <c r="J165" s="720">
        <f t="shared" si="118"/>
        <v>0</v>
      </c>
      <c r="K165" s="720">
        <f t="shared" si="118"/>
        <v>0</v>
      </c>
      <c r="L165" s="720">
        <f t="shared" si="118"/>
        <v>0</v>
      </c>
      <c r="M165" s="720">
        <f t="shared" si="118"/>
        <v>0</v>
      </c>
      <c r="N165" s="720">
        <f t="shared" si="118"/>
        <v>0</v>
      </c>
      <c r="O165" s="720">
        <f t="shared" si="118"/>
        <v>0</v>
      </c>
      <c r="P165" s="720">
        <f t="shared" si="118"/>
        <v>0</v>
      </c>
      <c r="Q165" s="720">
        <f t="shared" si="118"/>
        <v>0</v>
      </c>
      <c r="R165" s="720">
        <f t="shared" si="118"/>
        <v>0</v>
      </c>
      <c r="S165" s="720">
        <f t="shared" si="118"/>
        <v>0</v>
      </c>
      <c r="T165" s="720">
        <f t="shared" si="118"/>
        <v>0</v>
      </c>
      <c r="U165" s="720">
        <f t="shared" si="118"/>
        <v>0</v>
      </c>
      <c r="V165" s="720">
        <f t="shared" si="118"/>
        <v>0</v>
      </c>
      <c r="W165" s="720">
        <f t="shared" si="118"/>
        <v>0</v>
      </c>
      <c r="X165" s="720">
        <f t="shared" si="118"/>
        <v>0</v>
      </c>
      <c r="Y165" s="720">
        <f t="shared" si="118"/>
        <v>0</v>
      </c>
      <c r="Z165" s="720">
        <f t="shared" si="118"/>
        <v>0</v>
      </c>
      <c r="AA165" s="720">
        <f t="shared" si="118"/>
        <v>0</v>
      </c>
      <c r="AB165" s="720">
        <f t="shared" si="118"/>
        <v>0</v>
      </c>
      <c r="AC165" s="720">
        <f t="shared" si="118"/>
        <v>0</v>
      </c>
      <c r="AD165" s="720">
        <f t="shared" si="118"/>
        <v>0</v>
      </c>
      <c r="AE165" s="720">
        <f t="shared" si="118"/>
        <v>0</v>
      </c>
      <c r="AF165" s="720">
        <f t="shared" si="118"/>
        <v>0</v>
      </c>
      <c r="AG165" s="720">
        <f t="shared" si="118"/>
        <v>0</v>
      </c>
      <c r="AH165" s="720">
        <f t="shared" si="118"/>
        <v>0</v>
      </c>
      <c r="AI165" s="720">
        <f t="shared" si="118"/>
        <v>0</v>
      </c>
      <c r="AJ165" s="720">
        <f t="shared" si="118"/>
        <v>0</v>
      </c>
      <c r="AK165" s="720">
        <f t="shared" si="118"/>
        <v>0</v>
      </c>
      <c r="AL165" s="720">
        <f t="shared" ref="AL165:BQ165" si="119">AL91-AL42</f>
        <v>0</v>
      </c>
      <c r="AM165" s="720">
        <f t="shared" si="119"/>
        <v>0</v>
      </c>
      <c r="AN165" s="720">
        <f t="shared" si="119"/>
        <v>0</v>
      </c>
      <c r="AO165" s="720">
        <f t="shared" si="119"/>
        <v>0</v>
      </c>
      <c r="AP165" s="720">
        <f t="shared" si="119"/>
        <v>0</v>
      </c>
      <c r="AQ165" s="720">
        <f t="shared" si="119"/>
        <v>0</v>
      </c>
      <c r="AR165" s="720">
        <f t="shared" si="119"/>
        <v>0</v>
      </c>
      <c r="AS165" s="720">
        <f t="shared" si="119"/>
        <v>0</v>
      </c>
      <c r="AT165" s="720">
        <f t="shared" si="119"/>
        <v>0</v>
      </c>
      <c r="AU165" s="720">
        <f t="shared" si="119"/>
        <v>0</v>
      </c>
      <c r="AV165" s="720">
        <f t="shared" si="119"/>
        <v>0</v>
      </c>
      <c r="AW165" s="720">
        <f t="shared" si="119"/>
        <v>0</v>
      </c>
      <c r="AX165" s="720">
        <f t="shared" si="119"/>
        <v>0</v>
      </c>
      <c r="AY165" s="720">
        <f t="shared" si="119"/>
        <v>0</v>
      </c>
      <c r="AZ165" s="720">
        <f t="shared" si="119"/>
        <v>0</v>
      </c>
      <c r="BA165" s="720">
        <f t="shared" si="119"/>
        <v>0</v>
      </c>
      <c r="BB165" s="720">
        <f t="shared" si="119"/>
        <v>0</v>
      </c>
      <c r="BC165" s="720">
        <f t="shared" si="119"/>
        <v>0</v>
      </c>
      <c r="BD165" s="720">
        <f t="shared" si="119"/>
        <v>0</v>
      </c>
      <c r="BE165" s="720">
        <f t="shared" si="119"/>
        <v>0</v>
      </c>
      <c r="BF165" s="720">
        <f t="shared" si="119"/>
        <v>0</v>
      </c>
      <c r="BG165" s="720">
        <f t="shared" si="119"/>
        <v>0</v>
      </c>
      <c r="BH165" s="720">
        <f t="shared" si="119"/>
        <v>0</v>
      </c>
      <c r="BI165" s="720">
        <f t="shared" si="119"/>
        <v>0</v>
      </c>
      <c r="BJ165" s="720">
        <f t="shared" si="119"/>
        <v>0</v>
      </c>
      <c r="BK165" s="720">
        <f t="shared" si="119"/>
        <v>0</v>
      </c>
      <c r="BL165" s="720">
        <f t="shared" si="119"/>
        <v>0</v>
      </c>
      <c r="BM165" s="720">
        <f t="shared" si="119"/>
        <v>0</v>
      </c>
      <c r="BN165" s="720">
        <f t="shared" si="119"/>
        <v>0</v>
      </c>
      <c r="BO165" s="720">
        <f t="shared" si="119"/>
        <v>0</v>
      </c>
      <c r="BP165" s="720">
        <f t="shared" si="119"/>
        <v>0</v>
      </c>
      <c r="BQ165" s="720">
        <f t="shared" si="119"/>
        <v>0</v>
      </c>
      <c r="BR165" s="720">
        <f t="shared" ref="BR165:CH165" si="120">BR91-BR42</f>
        <v>0</v>
      </c>
      <c r="BS165" s="720">
        <f t="shared" si="120"/>
        <v>0</v>
      </c>
      <c r="BT165" s="720">
        <f t="shared" si="120"/>
        <v>0</v>
      </c>
      <c r="BU165" s="720">
        <f t="shared" si="120"/>
        <v>0</v>
      </c>
      <c r="BV165" s="720">
        <f t="shared" si="120"/>
        <v>0</v>
      </c>
      <c r="BW165" s="720">
        <f t="shared" si="120"/>
        <v>0</v>
      </c>
      <c r="BX165" s="720">
        <f t="shared" si="120"/>
        <v>0</v>
      </c>
      <c r="BY165" s="720">
        <f t="shared" si="120"/>
        <v>0</v>
      </c>
      <c r="BZ165" s="720">
        <f t="shared" si="120"/>
        <v>0</v>
      </c>
      <c r="CA165" s="720">
        <f t="shared" si="120"/>
        <v>0</v>
      </c>
      <c r="CB165" s="720">
        <f t="shared" si="120"/>
        <v>0</v>
      </c>
      <c r="CC165" s="720">
        <f t="shared" si="120"/>
        <v>0</v>
      </c>
      <c r="CD165" s="720">
        <f t="shared" si="120"/>
        <v>0</v>
      </c>
      <c r="CE165" s="720">
        <f t="shared" si="120"/>
        <v>0</v>
      </c>
      <c r="CF165" s="720">
        <f t="shared" si="120"/>
        <v>0</v>
      </c>
      <c r="CG165" s="720">
        <f t="shared" si="120"/>
        <v>0</v>
      </c>
      <c r="CH165" s="720">
        <f t="shared" si="120"/>
        <v>0</v>
      </c>
    </row>
    <row r="166" spans="2:86">
      <c r="B166" s="118" t="s">
        <v>569</v>
      </c>
      <c r="F166" s="720">
        <f t="shared" ref="F166:AS166" si="121">F53-F56</f>
        <v>0</v>
      </c>
      <c r="G166" s="720">
        <f t="shared" si="121"/>
        <v>0</v>
      </c>
      <c r="H166" s="720">
        <f t="shared" si="121"/>
        <v>0</v>
      </c>
      <c r="I166" s="720">
        <f t="shared" si="121"/>
        <v>0</v>
      </c>
      <c r="J166" s="720">
        <f t="shared" si="121"/>
        <v>0</v>
      </c>
      <c r="K166" s="720">
        <f t="shared" si="121"/>
        <v>0</v>
      </c>
      <c r="L166" s="720">
        <f t="shared" si="121"/>
        <v>0</v>
      </c>
      <c r="M166" s="720">
        <f t="shared" si="121"/>
        <v>0</v>
      </c>
      <c r="N166" s="720">
        <f t="shared" si="121"/>
        <v>0</v>
      </c>
      <c r="O166" s="720">
        <f t="shared" si="121"/>
        <v>0</v>
      </c>
      <c r="P166" s="720">
        <f t="shared" si="121"/>
        <v>0</v>
      </c>
      <c r="Q166" s="720">
        <f t="shared" si="121"/>
        <v>0</v>
      </c>
      <c r="R166" s="720">
        <f t="shared" si="121"/>
        <v>0</v>
      </c>
      <c r="S166" s="720">
        <f t="shared" si="121"/>
        <v>0</v>
      </c>
      <c r="T166" s="720">
        <f t="shared" si="121"/>
        <v>0</v>
      </c>
      <c r="U166" s="720">
        <f t="shared" si="121"/>
        <v>0</v>
      </c>
      <c r="V166" s="720">
        <f t="shared" si="121"/>
        <v>0</v>
      </c>
      <c r="W166" s="720">
        <f t="shared" si="121"/>
        <v>0</v>
      </c>
      <c r="X166" s="720">
        <f t="shared" si="121"/>
        <v>0</v>
      </c>
      <c r="Y166" s="720">
        <f t="shared" si="121"/>
        <v>0</v>
      </c>
      <c r="Z166" s="720">
        <f t="shared" si="121"/>
        <v>0</v>
      </c>
      <c r="AA166" s="720">
        <f t="shared" si="121"/>
        <v>0</v>
      </c>
      <c r="AB166" s="720">
        <f t="shared" si="121"/>
        <v>0</v>
      </c>
      <c r="AC166" s="720">
        <f t="shared" si="121"/>
        <v>0</v>
      </c>
      <c r="AD166" s="720">
        <f t="shared" si="121"/>
        <v>0</v>
      </c>
      <c r="AE166" s="720">
        <f t="shared" si="121"/>
        <v>4.7878367936959876E-16</v>
      </c>
      <c r="AF166" s="720">
        <f t="shared" si="121"/>
        <v>0</v>
      </c>
      <c r="AG166" s="720">
        <f t="shared" si="121"/>
        <v>0</v>
      </c>
      <c r="AH166" s="720">
        <f t="shared" si="121"/>
        <v>0</v>
      </c>
      <c r="AI166" s="720">
        <f t="shared" si="121"/>
        <v>0</v>
      </c>
      <c r="AJ166" s="720">
        <f t="shared" si="121"/>
        <v>0</v>
      </c>
      <c r="AK166" s="720">
        <f t="shared" si="121"/>
        <v>0</v>
      </c>
      <c r="AL166" s="720">
        <f t="shared" si="121"/>
        <v>0</v>
      </c>
      <c r="AM166" s="720">
        <f t="shared" si="121"/>
        <v>0</v>
      </c>
      <c r="AN166" s="720">
        <f t="shared" si="121"/>
        <v>0</v>
      </c>
      <c r="AO166" s="720">
        <f t="shared" si="121"/>
        <v>0</v>
      </c>
      <c r="AP166" s="720">
        <f t="shared" si="121"/>
        <v>0</v>
      </c>
      <c r="AQ166" s="720">
        <f t="shared" si="121"/>
        <v>0</v>
      </c>
      <c r="AR166" s="720">
        <f t="shared" si="121"/>
        <v>0</v>
      </c>
      <c r="AS166" s="720">
        <f t="shared" si="121"/>
        <v>0</v>
      </c>
      <c r="AT166" s="720">
        <f t="shared" ref="AT166:CH166" si="122">AT92-AT43</f>
        <v>0</v>
      </c>
      <c r="AU166" s="720">
        <f t="shared" si="122"/>
        <v>0</v>
      </c>
      <c r="AV166" s="720">
        <f t="shared" si="122"/>
        <v>0</v>
      </c>
      <c r="AW166" s="720">
        <f t="shared" si="122"/>
        <v>0</v>
      </c>
      <c r="AX166" s="720">
        <f t="shared" si="122"/>
        <v>0</v>
      </c>
      <c r="AY166" s="720">
        <f t="shared" si="122"/>
        <v>0</v>
      </c>
      <c r="AZ166" s="720">
        <f t="shared" si="122"/>
        <v>0</v>
      </c>
      <c r="BA166" s="720">
        <f t="shared" si="122"/>
        <v>0</v>
      </c>
      <c r="BB166" s="720">
        <f t="shared" si="122"/>
        <v>0</v>
      </c>
      <c r="BC166" s="720">
        <f t="shared" si="122"/>
        <v>0</v>
      </c>
      <c r="BD166" s="720">
        <f t="shared" si="122"/>
        <v>0</v>
      </c>
      <c r="BE166" s="720">
        <f t="shared" si="122"/>
        <v>0</v>
      </c>
      <c r="BF166" s="720">
        <f t="shared" si="122"/>
        <v>0</v>
      </c>
      <c r="BG166" s="720">
        <f t="shared" si="122"/>
        <v>0</v>
      </c>
      <c r="BH166" s="720">
        <f t="shared" si="122"/>
        <v>0</v>
      </c>
      <c r="BI166" s="720">
        <f t="shared" si="122"/>
        <v>0</v>
      </c>
      <c r="BJ166" s="720">
        <f t="shared" si="122"/>
        <v>0</v>
      </c>
      <c r="BK166" s="720">
        <f t="shared" si="122"/>
        <v>0</v>
      </c>
      <c r="BL166" s="720">
        <f t="shared" si="122"/>
        <v>0</v>
      </c>
      <c r="BM166" s="720">
        <f t="shared" si="122"/>
        <v>0</v>
      </c>
      <c r="BN166" s="720">
        <f t="shared" si="122"/>
        <v>0</v>
      </c>
      <c r="BO166" s="720">
        <f t="shared" si="122"/>
        <v>0</v>
      </c>
      <c r="BP166" s="720">
        <f t="shared" si="122"/>
        <v>0</v>
      </c>
      <c r="BQ166" s="720">
        <f t="shared" si="122"/>
        <v>0</v>
      </c>
      <c r="BR166" s="720">
        <f t="shared" si="122"/>
        <v>0</v>
      </c>
      <c r="BS166" s="720">
        <f t="shared" si="122"/>
        <v>0</v>
      </c>
      <c r="BT166" s="720">
        <f t="shared" si="122"/>
        <v>0</v>
      </c>
      <c r="BU166" s="720">
        <f t="shared" si="122"/>
        <v>0</v>
      </c>
      <c r="BV166" s="720">
        <f t="shared" si="122"/>
        <v>0</v>
      </c>
      <c r="BW166" s="720">
        <f t="shared" si="122"/>
        <v>0</v>
      </c>
      <c r="BX166" s="720">
        <f t="shared" si="122"/>
        <v>0</v>
      </c>
      <c r="BY166" s="720">
        <f t="shared" si="122"/>
        <v>0</v>
      </c>
      <c r="BZ166" s="720">
        <f t="shared" si="122"/>
        <v>0</v>
      </c>
      <c r="CA166" s="720">
        <f t="shared" si="122"/>
        <v>0</v>
      </c>
      <c r="CB166" s="720">
        <f t="shared" si="122"/>
        <v>0</v>
      </c>
      <c r="CC166" s="720">
        <f t="shared" si="122"/>
        <v>0</v>
      </c>
      <c r="CD166" s="720">
        <f t="shared" si="122"/>
        <v>0</v>
      </c>
      <c r="CE166" s="720">
        <f t="shared" si="122"/>
        <v>0</v>
      </c>
      <c r="CF166" s="720">
        <f t="shared" si="122"/>
        <v>0</v>
      </c>
      <c r="CG166" s="720">
        <f t="shared" si="122"/>
        <v>0</v>
      </c>
      <c r="CH166" s="720">
        <f t="shared" si="122"/>
        <v>0</v>
      </c>
    </row>
    <row r="167" spans="2:86">
      <c r="B167" s="118" t="s">
        <v>570</v>
      </c>
      <c r="D167" s="2545" t="s">
        <v>1681</v>
      </c>
      <c r="F167" s="720"/>
      <c r="G167" s="720"/>
      <c r="H167" s="720"/>
      <c r="I167" s="720"/>
      <c r="J167" s="720"/>
      <c r="K167" s="720"/>
      <c r="L167" s="720"/>
      <c r="M167" s="720"/>
      <c r="N167" s="720"/>
      <c r="O167" s="720"/>
      <c r="P167" s="720"/>
      <c r="Q167" s="720"/>
      <c r="R167" s="720"/>
      <c r="S167" s="720"/>
      <c r="T167" s="720"/>
      <c r="U167" s="720"/>
      <c r="V167" s="720"/>
      <c r="W167" s="720"/>
      <c r="X167" s="720"/>
      <c r="Y167" s="720"/>
      <c r="Z167" s="720"/>
      <c r="AA167" s="720"/>
      <c r="AB167" s="720"/>
      <c r="AC167" s="720"/>
      <c r="AD167" s="720"/>
      <c r="AE167" s="720"/>
      <c r="AF167" s="720"/>
      <c r="AG167" s="720"/>
      <c r="AH167" s="720"/>
      <c r="AI167" s="720"/>
      <c r="AJ167" s="720">
        <f t="shared" ref="AJ167:AS167" si="123">AJ60-AJ63</f>
        <v>0</v>
      </c>
      <c r="AK167" s="720">
        <f t="shared" si="123"/>
        <v>0</v>
      </c>
      <c r="AL167" s="720">
        <f t="shared" si="123"/>
        <v>0</v>
      </c>
      <c r="AM167" s="720">
        <f t="shared" si="123"/>
        <v>0</v>
      </c>
      <c r="AN167" s="720">
        <f t="shared" si="123"/>
        <v>0</v>
      </c>
      <c r="AO167" s="720">
        <f t="shared" si="123"/>
        <v>0</v>
      </c>
      <c r="AP167" s="720">
        <f t="shared" si="123"/>
        <v>0</v>
      </c>
      <c r="AQ167" s="720">
        <f t="shared" si="123"/>
        <v>0</v>
      </c>
      <c r="AR167" s="720">
        <f t="shared" si="123"/>
        <v>0</v>
      </c>
      <c r="AS167" s="720">
        <f t="shared" si="123"/>
        <v>0</v>
      </c>
    </row>
    <row r="169" spans="2:86" ht="15.75">
      <c r="B169" s="78" t="s">
        <v>571</v>
      </c>
    </row>
    <row r="170" spans="2:86" ht="14.25" customHeight="1" thickBot="1">
      <c r="D170" s="1148"/>
    </row>
    <row r="171" spans="2:86" ht="13.5" thickBot="1">
      <c r="B171" s="4606" t="str">
        <f>'INPUT-OUTPUT'!C9</f>
        <v>Wind - Class 3 100 MW</v>
      </c>
      <c r="C171" s="4608" t="s">
        <v>1107</v>
      </c>
      <c r="D171" s="4609"/>
      <c r="E171" s="4609"/>
      <c r="F171" s="4609"/>
      <c r="G171" s="4610"/>
    </row>
    <row r="172" spans="2:86" ht="13.5" thickBot="1">
      <c r="B172" s="4607"/>
      <c r="C172" s="1122" t="s">
        <v>1227</v>
      </c>
      <c r="D172" s="4611" t="s">
        <v>1228</v>
      </c>
      <c r="E172" s="4612"/>
      <c r="F172" s="4611" t="s">
        <v>1229</v>
      </c>
      <c r="G172" s="4612"/>
    </row>
    <row r="173" spans="2:86">
      <c r="B173" s="1123"/>
      <c r="C173" s="1152"/>
      <c r="D173" s="1124" t="s">
        <v>1230</v>
      </c>
      <c r="E173" s="1125"/>
      <c r="F173" s="1124" t="s">
        <v>1230</v>
      </c>
      <c r="G173" s="1125"/>
    </row>
    <row r="174" spans="2:86">
      <c r="B174" s="1123" t="s">
        <v>1231</v>
      </c>
      <c r="C174" s="1186" t="str">
        <f>IF(D6=D174,"OK","Error")</f>
        <v>Error</v>
      </c>
      <c r="D174" s="1126">
        <f>SUM(D175:D180)</f>
        <v>235.21949114164698</v>
      </c>
      <c r="E174" s="1127"/>
      <c r="F174" s="1126">
        <f>'INPUT-OUTPUT'!U19/'INPUT-OUTPUT'!T19*Income_Rev_Req!D174</f>
        <v>110.16571011947991</v>
      </c>
      <c r="G174" s="1127"/>
    </row>
    <row r="175" spans="2:86">
      <c r="B175" s="1128" t="s">
        <v>1232</v>
      </c>
      <c r="C175" s="1153"/>
      <c r="D175" s="1129">
        <f>D111</f>
        <v>0</v>
      </c>
      <c r="E175" s="1130"/>
      <c r="F175" s="1129">
        <f>'INPUT-OUTPUT'!U19/'INPUT-OUTPUT'!T19*Income_Rev_Req!D175</f>
        <v>0</v>
      </c>
      <c r="G175" s="1130"/>
    </row>
    <row r="176" spans="2:86">
      <c r="B176" s="1123" t="s">
        <v>1233</v>
      </c>
      <c r="C176" s="1153"/>
      <c r="D176" s="1129">
        <f>D110</f>
        <v>21.391440826369717</v>
      </c>
      <c r="E176" s="1130"/>
      <c r="F176" s="1129">
        <f>'INPUT-OUTPUT'!U19/'INPUT-OUTPUT'!T19*Income_Rev_Req!D176</f>
        <v>10.018741464314832</v>
      </c>
      <c r="G176" s="1130"/>
    </row>
    <row r="177" spans="2:7">
      <c r="B177" s="1123" t="s">
        <v>1234</v>
      </c>
      <c r="C177" s="1153"/>
      <c r="D177" s="1129">
        <f>D109</f>
        <v>14.635139806572186</v>
      </c>
      <c r="E177" s="1130"/>
      <c r="F177" s="1129">
        <f>'INPUT-OUTPUT'!U19/'INPUT-OUTPUT'!T19*Income_Rev_Req!D177</f>
        <v>6.8544088827995395</v>
      </c>
      <c r="G177" s="1130"/>
    </row>
    <row r="178" spans="2:7">
      <c r="B178" s="1128" t="s">
        <v>1235</v>
      </c>
      <c r="C178" s="1153"/>
      <c r="D178" s="1129">
        <f>D18</f>
        <v>0</v>
      </c>
      <c r="E178" s="1130"/>
      <c r="F178" s="1129">
        <f>'INPUT-OUTPUT'!U19/'INPUT-OUTPUT'!T19*Income_Rev_Req!D178</f>
        <v>0</v>
      </c>
      <c r="G178" s="1130"/>
    </row>
    <row r="179" spans="2:7" ht="13.5" thickBot="1">
      <c r="B179" s="1131" t="s">
        <v>1236</v>
      </c>
      <c r="C179" s="1153"/>
      <c r="D179" s="1132">
        <f>D22+D24</f>
        <v>26.054494620263569</v>
      </c>
      <c r="E179" s="1130"/>
      <c r="F179" s="1132">
        <f>'INPUT-OUTPUT'!U19/'INPUT-OUTPUT'!T19*Income_Rev_Req!D179</f>
        <v>12.202695821312826</v>
      </c>
      <c r="G179" s="1130"/>
    </row>
    <row r="180" spans="2:7">
      <c r="B180" s="1123" t="s">
        <v>1237</v>
      </c>
      <c r="C180" s="1153"/>
      <c r="D180" s="1129">
        <f>D51</f>
        <v>173.1384158884415</v>
      </c>
      <c r="E180" s="1130"/>
      <c r="F180" s="1129">
        <f>'INPUT-OUTPUT'!U19/'INPUT-OUTPUT'!T19*Income_Rev_Req!D180</f>
        <v>81.089863951052706</v>
      </c>
      <c r="G180" s="1130"/>
    </row>
    <row r="181" spans="2:7">
      <c r="B181" s="1123"/>
      <c r="C181" s="1153"/>
      <c r="D181" s="1133" t="s">
        <v>1238</v>
      </c>
      <c r="E181" s="1134" t="s">
        <v>1239</v>
      </c>
      <c r="F181" s="1133" t="s">
        <v>1238</v>
      </c>
      <c r="G181" s="1134" t="s">
        <v>1239</v>
      </c>
    </row>
    <row r="182" spans="2:7">
      <c r="B182" s="1123" t="s">
        <v>1240</v>
      </c>
      <c r="C182" s="1154"/>
      <c r="D182" s="1135">
        <f>D180</f>
        <v>173.1384158884415</v>
      </c>
      <c r="E182" s="1127">
        <f>D180</f>
        <v>173.1384158884415</v>
      </c>
      <c r="F182" s="1135">
        <f>'INPUT-OUTPUT'!U19/'INPUT-OUTPUT'!T19*Income_Rev_Req!D182</f>
        <v>81.089863951052706</v>
      </c>
      <c r="G182" s="1127">
        <f>'INPUT-OUTPUT'!U19/'INPUT-OUTPUT'!T19*Income_Rev_Req!E182</f>
        <v>81.089863951052706</v>
      </c>
    </row>
    <row r="183" spans="2:7">
      <c r="B183" s="1128" t="s">
        <v>1241</v>
      </c>
      <c r="C183" s="1153"/>
      <c r="D183" s="1129">
        <f>D31</f>
        <v>44.538662895001345</v>
      </c>
      <c r="E183" s="1130">
        <f>D183</f>
        <v>44.538662895001345</v>
      </c>
      <c r="F183" s="1129">
        <f>'INPUT-OUTPUT'!U19/'INPUT-OUTPUT'!T19*Income_Rev_Req!D183</f>
        <v>20.859808010745269</v>
      </c>
      <c r="G183" s="1130">
        <f>'INPUT-OUTPUT'!U19/'INPUT-OUTPUT'!T19*Income_Rev_Req!E183</f>
        <v>20.859808010745269</v>
      </c>
    </row>
    <row r="184" spans="2:7">
      <c r="B184" s="1128" t="s">
        <v>1242</v>
      </c>
      <c r="C184" s="1153"/>
      <c r="D184" s="1129">
        <f>D96</f>
        <v>118.67096164181071</v>
      </c>
      <c r="E184" s="1130">
        <f>D98</f>
        <v>75.05714993703883</v>
      </c>
      <c r="F184" s="1129">
        <f>'INPUT-OUTPUT'!U19/'INPUT-OUTPUT'!T19*Income_Rev_Req!D184</f>
        <v>55.579878590753836</v>
      </c>
      <c r="G184" s="1130">
        <f>'INPUT-OUTPUT'!U19/'INPUT-OUTPUT'!T19*Income_Rev_Req!E184</f>
        <v>35.153227235657994</v>
      </c>
    </row>
    <row r="185" spans="2:7">
      <c r="B185" s="1151" t="s">
        <v>289</v>
      </c>
      <c r="C185" s="1153"/>
      <c r="D185" s="1129">
        <f>D66+D67</f>
        <v>0.13131465288612837</v>
      </c>
      <c r="E185" s="1130">
        <f>D58+D59</f>
        <v>0</v>
      </c>
      <c r="F185" s="1129"/>
      <c r="G185" s="1130"/>
    </row>
    <row r="186" spans="2:7" ht="13.5" thickBot="1">
      <c r="B186" s="1037" t="s">
        <v>1243</v>
      </c>
      <c r="C186" s="1153"/>
      <c r="D186" s="1136">
        <f>D56</f>
        <v>4.7331661101858797</v>
      </c>
      <c r="E186" s="1137"/>
      <c r="F186" s="1136">
        <f>'INPUT-OUTPUT'!U19/'INPUT-OUTPUT'!T19*Income_Rev_Req!D186</f>
        <v>2.2167916574910116</v>
      </c>
      <c r="G186" s="1137"/>
    </row>
    <row r="187" spans="2:7">
      <c r="B187" s="1128" t="s">
        <v>1244</v>
      </c>
      <c r="C187" s="608"/>
      <c r="D187" s="1138">
        <f>D182-D183-D184-D185-D186</f>
        <v>5.0643105885574338</v>
      </c>
      <c r="E187" s="1159">
        <f>E182-E183-E184</f>
        <v>53.542603056401319</v>
      </c>
      <c r="F187" s="1149">
        <f>'INPUT-OUTPUT'!U19/'INPUT-OUTPUT'!T19*Income_Rev_Req!D187</f>
        <v>2.3718841051231623</v>
      </c>
      <c r="G187" s="1139">
        <f>'INPUT-OUTPUT'!U19/'INPUT-OUTPUT'!T19*Income_Rev_Req!E187</f>
        <v>25.076828704649433</v>
      </c>
    </row>
    <row r="188" spans="2:7">
      <c r="B188" s="1123"/>
      <c r="C188" s="1155"/>
      <c r="D188" s="1140" t="s">
        <v>1230</v>
      </c>
      <c r="E188" s="1141"/>
      <c r="F188" s="1140" t="s">
        <v>1230</v>
      </c>
      <c r="G188" s="1141"/>
    </row>
    <row r="189" spans="2:7">
      <c r="B189" s="1123" t="s">
        <v>1240</v>
      </c>
      <c r="C189" s="1153"/>
      <c r="D189" s="1135">
        <f>D182</f>
        <v>173.1384158884415</v>
      </c>
      <c r="E189" s="1127"/>
      <c r="F189" s="1135">
        <f>'INPUT-OUTPUT'!U19/'INPUT-OUTPUT'!T19*Income_Rev_Req!D189</f>
        <v>81.089863951052706</v>
      </c>
      <c r="G189" s="1127"/>
    </row>
    <row r="190" spans="2:7">
      <c r="B190" s="1128" t="s">
        <v>1245</v>
      </c>
      <c r="C190" s="1153"/>
      <c r="D190" s="1135">
        <f>D183</f>
        <v>44.538662895001345</v>
      </c>
      <c r="E190" s="1127"/>
      <c r="F190" s="1135">
        <f>'INPUT-OUTPUT'!U19/'INPUT-OUTPUT'!T19*Income_Rev_Req!D190</f>
        <v>20.859808010745269</v>
      </c>
      <c r="G190" s="1127"/>
    </row>
    <row r="191" spans="2:7">
      <c r="B191" s="1128" t="s">
        <v>1246</v>
      </c>
      <c r="C191" s="1156"/>
      <c r="D191" s="1135">
        <f>D30</f>
        <v>46.655791225612951</v>
      </c>
      <c r="E191" s="1127"/>
      <c r="F191" s="1135">
        <f>'INPUT-OUTPUT'!U19/'INPUT-OUTPUT'!T19*Income_Rev_Req!D191</f>
        <v>21.851371017806809</v>
      </c>
      <c r="G191" s="1127"/>
    </row>
    <row r="192" spans="2:7" ht="13.5" thickBot="1">
      <c r="B192" s="1142" t="s">
        <v>1248</v>
      </c>
      <c r="C192" s="1156">
        <f>D192-(D56+D63)</f>
        <v>0</v>
      </c>
      <c r="D192" s="1143">
        <f>D73</f>
        <v>-19.133400420179491</v>
      </c>
      <c r="E192" s="1127"/>
      <c r="F192" s="1143">
        <f>'INPUT-OUTPUT'!U19/'INPUT-OUTPUT'!T19*Income_Rev_Req!D174</f>
        <v>110.16571011947991</v>
      </c>
      <c r="G192" s="1127"/>
    </row>
    <row r="193" spans="2:8" ht="13.5" thickBot="1">
      <c r="B193" s="1197" t="s">
        <v>1247</v>
      </c>
      <c r="C193" s="1189" t="str">
        <f>IF(D36=D193,"OK","Error")</f>
        <v>OK</v>
      </c>
      <c r="D193" s="1144">
        <f>D189-D190-D191-D192</f>
        <v>101.0773621880067</v>
      </c>
      <c r="E193" s="1145"/>
      <c r="F193" s="1144">
        <f>'INPUT-OUTPUT'!U19/'INPUT-OUTPUT'!T19*Income_Rev_Req!D193</f>
        <v>47.339866812908269</v>
      </c>
      <c r="G193" s="1145"/>
    </row>
    <row r="194" spans="2:8">
      <c r="B194" s="1194" t="s">
        <v>181</v>
      </c>
      <c r="C194" s="1194" t="str">
        <f>IF(C193="OK","",D193-D36)</f>
        <v/>
      </c>
      <c r="D194" s="1150"/>
    </row>
    <row r="195" spans="2:8">
      <c r="D195" s="1147"/>
    </row>
    <row r="196" spans="2:8">
      <c r="B196" s="70" t="s">
        <v>1478</v>
      </c>
      <c r="C196" s="2330"/>
      <c r="D196" s="3305">
        <v>124.09824778198376</v>
      </c>
      <c r="E196" s="252"/>
      <c r="F196" s="1165"/>
      <c r="G196" s="252"/>
      <c r="H196" s="252"/>
    </row>
    <row r="197" spans="2:8">
      <c r="B197" s="3306" t="s">
        <v>496</v>
      </c>
      <c r="C197" s="2330"/>
      <c r="D197" s="3307">
        <v>874.50690208475908</v>
      </c>
      <c r="E197" s="1146"/>
      <c r="F197" s="1158"/>
      <c r="G197" s="1148"/>
      <c r="H197" s="1148"/>
    </row>
    <row r="198" spans="2:8">
      <c r="B198" s="3308" t="s">
        <v>1477</v>
      </c>
      <c r="C198" s="2330"/>
      <c r="D198" s="3309">
        <f>D196/D197</f>
        <v>0.14190653897201133</v>
      </c>
    </row>
    <row r="199" spans="2:8">
      <c r="D199" s="1148"/>
    </row>
    <row r="214" spans="4:4">
      <c r="D214" s="102" t="s">
        <v>651</v>
      </c>
    </row>
    <row r="257" spans="19:20">
      <c r="S257" s="102"/>
      <c r="T257" s="102"/>
    </row>
    <row r="258" spans="19:20">
      <c r="S258" s="102"/>
      <c r="T258" s="102"/>
    </row>
    <row r="259" spans="19:20">
      <c r="S259" s="102"/>
      <c r="T259" s="102"/>
    </row>
    <row r="260" spans="19:20">
      <c r="S260" s="102"/>
      <c r="T260" s="102"/>
    </row>
    <row r="261" spans="19:20">
      <c r="S261" s="102"/>
      <c r="T261" s="102"/>
    </row>
    <row r="262" spans="19:20">
      <c r="S262" s="102"/>
      <c r="T262" s="102"/>
    </row>
    <row r="263" spans="19:20">
      <c r="S263" s="102"/>
      <c r="T263" s="102"/>
    </row>
    <row r="264" spans="19:20">
      <c r="S264" s="102"/>
      <c r="T264" s="102"/>
    </row>
    <row r="265" spans="19:20">
      <c r="S265" s="102"/>
      <c r="T265" s="102"/>
    </row>
    <row r="266" spans="19:20">
      <c r="S266" s="102"/>
      <c r="T266" s="102"/>
    </row>
    <row r="267" spans="19:20">
      <c r="S267" s="102"/>
      <c r="T267" s="102"/>
    </row>
    <row r="268" spans="19:20">
      <c r="S268" s="102"/>
      <c r="T268" s="102"/>
    </row>
    <row r="269" spans="19:20">
      <c r="S269" s="102"/>
      <c r="T269" s="102"/>
    </row>
    <row r="270" spans="19:20">
      <c r="S270" s="102"/>
      <c r="T270" s="102"/>
    </row>
    <row r="271" spans="19:20">
      <c r="S271" s="102"/>
      <c r="T271" s="102"/>
    </row>
    <row r="272" spans="19:20">
      <c r="S272" s="102"/>
      <c r="T272" s="102"/>
    </row>
    <row r="273" spans="19:20">
      <c r="S273" s="102"/>
      <c r="T273" s="102"/>
    </row>
    <row r="274" spans="19:20">
      <c r="S274" s="102"/>
      <c r="T274" s="102"/>
    </row>
    <row r="275" spans="19:20">
      <c r="S275" s="102"/>
      <c r="T275" s="102"/>
    </row>
    <row r="276" spans="19:20">
      <c r="S276" s="102"/>
      <c r="T276" s="102"/>
    </row>
    <row r="277" spans="19:20">
      <c r="S277" s="102"/>
      <c r="T277" s="102"/>
    </row>
    <row r="278" spans="19:20">
      <c r="S278" s="102"/>
      <c r="T278" s="102"/>
    </row>
    <row r="279" spans="19:20">
      <c r="S279" s="102"/>
      <c r="T279" s="102"/>
    </row>
    <row r="280" spans="19:20">
      <c r="S280" s="102"/>
      <c r="T280" s="102"/>
    </row>
    <row r="281" spans="19:20">
      <c r="S281" s="102"/>
      <c r="T281" s="102"/>
    </row>
    <row r="282" spans="19:20">
      <c r="S282" s="102"/>
      <c r="T282" s="102"/>
    </row>
    <row r="283" spans="19:20">
      <c r="S283" s="102"/>
      <c r="T283" s="102"/>
    </row>
    <row r="284" spans="19:20">
      <c r="S284" s="102"/>
      <c r="T284" s="102"/>
    </row>
    <row r="285" spans="19:20">
      <c r="S285" s="102"/>
      <c r="T285" s="102"/>
    </row>
    <row r="286" spans="19:20">
      <c r="S286" s="102"/>
      <c r="T286" s="102"/>
    </row>
    <row r="287" spans="19:20">
      <c r="S287" s="102"/>
      <c r="T287" s="102"/>
    </row>
    <row r="288" spans="19:20">
      <c r="S288" s="102"/>
      <c r="T288" s="102"/>
    </row>
    <row r="289" spans="19:20">
      <c r="S289" s="102"/>
      <c r="T289" s="102"/>
    </row>
    <row r="290" spans="19:20">
      <c r="S290" s="102"/>
      <c r="T290" s="102"/>
    </row>
    <row r="291" spans="19:20">
      <c r="S291" s="102"/>
      <c r="T291" s="102"/>
    </row>
    <row r="292" spans="19:20">
      <c r="S292" s="102"/>
      <c r="T292" s="102"/>
    </row>
    <row r="293" spans="19:20">
      <c r="S293" s="102"/>
      <c r="T293" s="102"/>
    </row>
    <row r="294" spans="19:20">
      <c r="S294" s="102"/>
      <c r="T294" s="102"/>
    </row>
    <row r="295" spans="19:20">
      <c r="S295" s="102"/>
      <c r="T295" s="102"/>
    </row>
    <row r="296" spans="19:20">
      <c r="S296" s="102"/>
      <c r="T296" s="102"/>
    </row>
    <row r="297" spans="19:20">
      <c r="S297" s="102"/>
      <c r="T297" s="102"/>
    </row>
    <row r="298" spans="19:20">
      <c r="S298" s="102"/>
      <c r="T298" s="102"/>
    </row>
    <row r="299" spans="19:20">
      <c r="S299" s="102"/>
      <c r="T299" s="102"/>
    </row>
    <row r="300" spans="19:20">
      <c r="S300" s="102"/>
      <c r="T300" s="102"/>
    </row>
    <row r="301" spans="19:20">
      <c r="S301" s="102"/>
      <c r="T301" s="102"/>
    </row>
    <row r="302" spans="19:20">
      <c r="S302" s="102"/>
      <c r="T302" s="102"/>
    </row>
    <row r="303" spans="19:20">
      <c r="S303" s="102"/>
      <c r="T303" s="102"/>
    </row>
    <row r="304" spans="19:20">
      <c r="S304" s="102"/>
      <c r="T304" s="102"/>
    </row>
    <row r="305" spans="19:20">
      <c r="S305" s="102"/>
      <c r="T305" s="102"/>
    </row>
    <row r="306" spans="19:20">
      <c r="S306" s="102"/>
      <c r="T306" s="102"/>
    </row>
    <row r="307" spans="19:20">
      <c r="S307" s="102"/>
      <c r="T307" s="102"/>
    </row>
    <row r="308" spans="19:20">
      <c r="S308" s="102"/>
      <c r="T308" s="102"/>
    </row>
    <row r="309" spans="19:20">
      <c r="S309" s="102"/>
      <c r="T309" s="102"/>
    </row>
    <row r="310" spans="19:20">
      <c r="S310" s="102"/>
      <c r="T310" s="102"/>
    </row>
    <row r="311" spans="19:20">
      <c r="S311" s="102"/>
      <c r="T311" s="102"/>
    </row>
    <row r="312" spans="19:20">
      <c r="S312" s="102"/>
      <c r="T312" s="102"/>
    </row>
    <row r="313" spans="19:20">
      <c r="S313" s="102"/>
      <c r="T313" s="102"/>
    </row>
    <row r="314" spans="19:20">
      <c r="S314" s="102"/>
      <c r="T314" s="102"/>
    </row>
    <row r="315" spans="19:20">
      <c r="S315" s="102"/>
      <c r="T315" s="102"/>
    </row>
    <row r="316" spans="19:20">
      <c r="S316" s="102"/>
      <c r="T316" s="102"/>
    </row>
    <row r="317" spans="19:20">
      <c r="S317" s="102"/>
      <c r="T317" s="102"/>
    </row>
    <row r="318" spans="19:20">
      <c r="S318" s="102"/>
      <c r="T318" s="102"/>
    </row>
    <row r="319" spans="19:20">
      <c r="S319" s="102"/>
      <c r="T319" s="102"/>
    </row>
    <row r="320" spans="19:20">
      <c r="S320" s="102"/>
      <c r="T320" s="102"/>
    </row>
    <row r="321" spans="19:20">
      <c r="S321" s="102"/>
      <c r="T321" s="102"/>
    </row>
    <row r="322" spans="19:20">
      <c r="S322" s="102"/>
      <c r="T322" s="102"/>
    </row>
    <row r="323" spans="19:20">
      <c r="S323" s="102"/>
      <c r="T323" s="102"/>
    </row>
    <row r="324" spans="19:20">
      <c r="S324" s="102"/>
      <c r="T324" s="102"/>
    </row>
    <row r="325" spans="19:20">
      <c r="S325" s="102"/>
      <c r="T325" s="102"/>
    </row>
    <row r="326" spans="19:20">
      <c r="S326" s="102"/>
      <c r="T326" s="102"/>
    </row>
    <row r="327" spans="19:20">
      <c r="S327" s="102"/>
      <c r="T327" s="102"/>
    </row>
    <row r="328" spans="19:20">
      <c r="S328" s="102"/>
      <c r="T328" s="102"/>
    </row>
    <row r="329" spans="19:20">
      <c r="S329" s="102"/>
      <c r="T329" s="102"/>
    </row>
    <row r="330" spans="19:20">
      <c r="S330" s="102"/>
      <c r="T330" s="102"/>
    </row>
    <row r="331" spans="19:20">
      <c r="S331" s="102"/>
      <c r="T331" s="102"/>
    </row>
    <row r="332" spans="19:20">
      <c r="S332" s="102"/>
      <c r="T332" s="102"/>
    </row>
    <row r="333" spans="19:20">
      <c r="S333" s="102"/>
      <c r="T333" s="102"/>
    </row>
    <row r="334" spans="19:20">
      <c r="S334" s="102"/>
      <c r="T334" s="102"/>
    </row>
    <row r="335" spans="19:20">
      <c r="S335" s="102"/>
      <c r="T335" s="102"/>
    </row>
    <row r="336" spans="19:20">
      <c r="S336" s="102"/>
      <c r="T336" s="102"/>
    </row>
    <row r="337" spans="19:20">
      <c r="S337" s="102"/>
      <c r="T337" s="102"/>
    </row>
    <row r="338" spans="19:20">
      <c r="S338" s="102"/>
      <c r="T338" s="102"/>
    </row>
    <row r="339" spans="19:20">
      <c r="S339" s="102"/>
      <c r="T339" s="102"/>
    </row>
    <row r="340" spans="19:20">
      <c r="S340" s="102"/>
      <c r="T340" s="102"/>
    </row>
    <row r="341" spans="19:20">
      <c r="S341" s="102"/>
      <c r="T341" s="102"/>
    </row>
    <row r="342" spans="19:20">
      <c r="S342" s="102"/>
      <c r="T342" s="102"/>
    </row>
    <row r="343" spans="19:20">
      <c r="S343" s="102"/>
      <c r="T343" s="102"/>
    </row>
    <row r="344" spans="19:20">
      <c r="S344" s="102"/>
      <c r="T344" s="102"/>
    </row>
    <row r="345" spans="19:20">
      <c r="S345" s="102"/>
      <c r="T345" s="102"/>
    </row>
    <row r="346" spans="19:20">
      <c r="S346" s="102"/>
      <c r="T346" s="102"/>
    </row>
    <row r="347" spans="19:20">
      <c r="S347" s="102"/>
      <c r="T347" s="102"/>
    </row>
    <row r="348" spans="19:20">
      <c r="S348" s="102"/>
      <c r="T348" s="102"/>
    </row>
    <row r="349" spans="19:20">
      <c r="S349" s="102"/>
      <c r="T349" s="102"/>
    </row>
    <row r="350" spans="19:20">
      <c r="S350" s="102"/>
      <c r="T350" s="102"/>
    </row>
    <row r="351" spans="19:20">
      <c r="S351" s="102"/>
      <c r="T351" s="102"/>
    </row>
    <row r="352" spans="19:20">
      <c r="S352" s="102"/>
      <c r="T352" s="102"/>
    </row>
    <row r="353" spans="19:20">
      <c r="S353" s="102"/>
      <c r="T353" s="102"/>
    </row>
    <row r="354" spans="19:20">
      <c r="S354" s="102"/>
      <c r="T354" s="102"/>
    </row>
    <row r="355" spans="19:20">
      <c r="S355" s="102"/>
      <c r="T355" s="102"/>
    </row>
    <row r="356" spans="19:20">
      <c r="S356" s="102"/>
      <c r="T356" s="102"/>
    </row>
    <row r="357" spans="19:20">
      <c r="S357" s="102"/>
      <c r="T357" s="102"/>
    </row>
    <row r="358" spans="19:20">
      <c r="S358" s="102"/>
      <c r="T358" s="102"/>
    </row>
    <row r="359" spans="19:20">
      <c r="S359" s="102"/>
      <c r="T359" s="102"/>
    </row>
    <row r="360" spans="19:20">
      <c r="S360" s="102"/>
      <c r="T360" s="102"/>
    </row>
    <row r="361" spans="19:20">
      <c r="S361" s="102"/>
      <c r="T361" s="102"/>
    </row>
    <row r="362" spans="19:20">
      <c r="S362" s="102"/>
      <c r="T362" s="102"/>
    </row>
    <row r="363" spans="19:20">
      <c r="S363" s="102"/>
      <c r="T363" s="102"/>
    </row>
    <row r="364" spans="19:20">
      <c r="S364" s="102"/>
      <c r="T364" s="102"/>
    </row>
    <row r="365" spans="19:20">
      <c r="S365" s="102"/>
      <c r="T365" s="102"/>
    </row>
    <row r="366" spans="19:20">
      <c r="S366" s="102"/>
      <c r="T366" s="102"/>
    </row>
    <row r="367" spans="19:20">
      <c r="S367" s="102"/>
      <c r="T367" s="102"/>
    </row>
    <row r="368" spans="19:20">
      <c r="S368" s="102"/>
      <c r="T368" s="102"/>
    </row>
    <row r="369" spans="19:20">
      <c r="S369" s="102"/>
      <c r="T369" s="102"/>
    </row>
    <row r="370" spans="19:20">
      <c r="S370" s="102"/>
      <c r="T370" s="102"/>
    </row>
    <row r="371" spans="19:20">
      <c r="S371" s="102"/>
      <c r="T371" s="102"/>
    </row>
    <row r="372" spans="19:20">
      <c r="S372" s="102"/>
      <c r="T372" s="102"/>
    </row>
    <row r="373" spans="19:20">
      <c r="S373" s="102"/>
      <c r="T373" s="102"/>
    </row>
    <row r="374" spans="19:20">
      <c r="S374" s="102"/>
      <c r="T374" s="102"/>
    </row>
    <row r="375" spans="19:20">
      <c r="S375" s="102"/>
      <c r="T375" s="102"/>
    </row>
    <row r="376" spans="19:20">
      <c r="S376" s="102"/>
      <c r="T376" s="102"/>
    </row>
  </sheetData>
  <mergeCells count="5">
    <mergeCell ref="C154:D154"/>
    <mergeCell ref="B171:B172"/>
    <mergeCell ref="C171:G171"/>
    <mergeCell ref="D172:E172"/>
    <mergeCell ref="F172:G172"/>
  </mergeCells>
  <phoneticPr fontId="77" type="noConversion"/>
  <conditionalFormatting sqref="F165:CH166 F167">
    <cfRule type="cellIs" dxfId="0" priority="2" stopIfTrue="1" operator="notEqual">
      <formula>0</formula>
    </cfRule>
  </conditionalFormatting>
  <pageMargins left="0.75" right="0.75" top="1" bottom="1" header="0.5" footer="0.5"/>
  <pageSetup scale="10" orientation="landscape" horizontalDpi="300" verticalDpi="300"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tabColor rgb="FFFFFF66"/>
  </sheetPr>
  <dimension ref="A1:AN73"/>
  <sheetViews>
    <sheetView showGridLines="0" zoomScale="90" zoomScaleNormal="90" workbookViewId="0">
      <pane xSplit="1" ySplit="8" topLeftCell="B12" activePane="bottomRight" state="frozen"/>
      <selection activeCell="D73" sqref="D73"/>
      <selection pane="topRight" activeCell="D73" sqref="D73"/>
      <selection pane="bottomLeft" activeCell="D73" sqref="D73"/>
      <selection pane="bottomRight" activeCell="G20" sqref="G20"/>
    </sheetView>
  </sheetViews>
  <sheetFormatPr defaultRowHeight="12.75"/>
  <cols>
    <col min="2" max="2" width="9.42578125" bestFit="1" customWidth="1"/>
    <col min="3" max="4" width="11.42578125" customWidth="1"/>
    <col min="5" max="6" width="12" customWidth="1"/>
    <col min="11" max="12" width="11.42578125" customWidth="1"/>
    <col min="13" max="14" width="12" customWidth="1"/>
  </cols>
  <sheetData>
    <row r="1" spans="1:16">
      <c r="A1" s="4"/>
      <c r="B1" s="985">
        <f>IF(ISNUMBER(LOOKUP(StartYr,Inflation!$A$9:$A$53,Inflation!$D$9:$D$53)),LOOKUP(StartYr,Inflation!$A$9:$A$53,Inflation!$D$9:$D$53),0)</f>
        <v>2.3120259395784881E-2</v>
      </c>
      <c r="C1" t="s">
        <v>1146</v>
      </c>
      <c r="I1" s="9"/>
      <c r="J1" s="1198"/>
      <c r="K1" s="9"/>
      <c r="L1" s="9"/>
      <c r="M1" s="9"/>
      <c r="N1" s="9"/>
    </row>
    <row r="2" spans="1:16">
      <c r="A2" s="4"/>
      <c r="B2" s="986">
        <f>IF(ISNUMBER(LOOKUP(StartYr+BookLife,Inflation!$A$9:$A$53,Inflation!$F$9:$F$53)),LOOKUP(StartYr+BookLife-1,Inflation!$A$9:$A$53,Inflation!$F$9:$F$53),0)</f>
        <v>1.5635908932064346E-2</v>
      </c>
      <c r="C2" t="s">
        <v>1145</v>
      </c>
      <c r="I2" s="9"/>
      <c r="J2" s="1198"/>
      <c r="K2" s="9"/>
      <c r="L2" s="9"/>
      <c r="M2" s="9"/>
      <c r="N2" s="9"/>
    </row>
    <row r="3" spans="1:16">
      <c r="I3" s="9"/>
      <c r="J3" s="9"/>
      <c r="K3" s="9"/>
      <c r="L3" s="9"/>
      <c r="M3" s="9"/>
      <c r="N3" s="9"/>
    </row>
    <row r="4" spans="1:16">
      <c r="I4" s="9"/>
      <c r="J4" s="9"/>
      <c r="K4" s="9"/>
      <c r="L4" s="9"/>
      <c r="M4" s="9"/>
      <c r="N4" s="9"/>
    </row>
    <row r="5" spans="1:16" s="478" customFormat="1" ht="15.75">
      <c r="A5" s="614" t="s">
        <v>1741</v>
      </c>
      <c r="B5" s="614"/>
      <c r="C5" s="615"/>
      <c r="D5" s="616"/>
      <c r="E5" s="140"/>
      <c r="I5" s="1199"/>
      <c r="J5" s="1199"/>
      <c r="K5" s="1200"/>
      <c r="L5" s="1201"/>
      <c r="M5" s="106"/>
      <c r="N5" s="106"/>
    </row>
    <row r="6" spans="1:16" ht="16.5" thickBot="1">
      <c r="B6" s="555" t="s">
        <v>1382</v>
      </c>
      <c r="C6" s="189"/>
      <c r="D6" s="187"/>
      <c r="E6" t="s">
        <v>1381</v>
      </c>
      <c r="F6" s="278"/>
      <c r="G6" s="89"/>
      <c r="I6" s="1202"/>
      <c r="J6" s="1202"/>
      <c r="K6" s="1203"/>
      <c r="L6" s="1204"/>
      <c r="M6" s="9"/>
      <c r="N6" s="9"/>
    </row>
    <row r="7" spans="1:16" ht="13.5" thickBot="1">
      <c r="A7" s="479" t="s">
        <v>521</v>
      </c>
      <c r="B7" s="479" t="s">
        <v>1269</v>
      </c>
      <c r="C7" s="4566" t="str">
        <f>"From Base Year (" &amp; BaseYr &amp; ")"</f>
        <v>From Base Year (2011)</v>
      </c>
      <c r="D7" s="4567"/>
      <c r="E7" s="4565" t="str">
        <f>"From Start Year (" &amp; StartYr &amp; ")"</f>
        <v>From Start Year (2013)</v>
      </c>
      <c r="F7" s="4567"/>
      <c r="I7" s="251"/>
      <c r="J7" s="251"/>
      <c r="K7" s="4600"/>
      <c r="L7" s="4600"/>
      <c r="M7" s="4600"/>
      <c r="N7" s="4600"/>
    </row>
    <row r="8" spans="1:16" ht="13.5" thickBot="1">
      <c r="A8" s="11"/>
      <c r="B8" s="398"/>
      <c r="C8" s="419" t="s">
        <v>1143</v>
      </c>
      <c r="D8" s="480" t="s">
        <v>1144</v>
      </c>
      <c r="E8" s="355" t="s">
        <v>1143</v>
      </c>
      <c r="F8" s="357" t="s">
        <v>1144</v>
      </c>
      <c r="I8" s="9"/>
      <c r="J8" s="251"/>
      <c r="K8" s="344"/>
      <c r="L8" s="344"/>
      <c r="M8" s="344"/>
      <c r="N8" s="344"/>
    </row>
    <row r="9" spans="1:16" ht="13.5" thickBot="1">
      <c r="A9" s="476">
        <v>2002</v>
      </c>
      <c r="B9" s="1293">
        <v>1.6780813854379684E-2</v>
      </c>
      <c r="C9" s="2132">
        <f t="shared" ref="C9:C53" si="0">IF(A9&lt;BaseYr,C10/(1+$B9),IF(A9=BaseYr,1,C8*(1+$B9)))</f>
        <v>0.82611009587641848</v>
      </c>
      <c r="D9" s="2133">
        <f t="shared" ref="D9:D53" si="1">IF(A9=BaseYr,B9,(C9/LOOKUP(BaseYr,$A$9:$A$53,$C$9:$C$53))^(1/(A9-BaseYr))-1)</f>
        <v>2.1452105130436161E-2</v>
      </c>
      <c r="E9" s="4360">
        <f t="shared" ref="E9:E53" si="2">IF($A9&lt;StartYr,E10/(1+$B10),IF($A9=StartYr,1,E8*(1+$B9)))</f>
        <v>0.79620017302562041</v>
      </c>
      <c r="F9" s="2135">
        <f t="shared" ref="F9:F53" si="3">IF(A9=StartYr,B9,(E9/LOOKUP(StartYr,$A$9:$A$53,$E$9:$E$53))^(1/($A9-StartYr))-1)</f>
        <v>2.093472492449111E-2</v>
      </c>
      <c r="G9" s="5" t="s">
        <v>1070</v>
      </c>
      <c r="I9" s="969"/>
      <c r="J9" s="1205"/>
      <c r="K9" s="2169"/>
      <c r="L9" s="2170"/>
      <c r="M9" s="2169"/>
      <c r="N9" s="2170"/>
    </row>
    <row r="10" spans="1:16">
      <c r="A10" s="476">
        <v>2003</v>
      </c>
      <c r="B10" s="1293">
        <v>1.8623199206047936E-2</v>
      </c>
      <c r="C10" s="2132">
        <f t="shared" si="0"/>
        <v>0.83997289561854438</v>
      </c>
      <c r="D10" s="2133">
        <f t="shared" si="1"/>
        <v>2.2037523487059563E-2</v>
      </c>
      <c r="E10" s="2138">
        <f t="shared" si="2"/>
        <v>0.81102796745576633</v>
      </c>
      <c r="F10" s="2135">
        <f t="shared" si="3"/>
        <v>2.1166165800652337E-2</v>
      </c>
      <c r="G10" s="5" t="s">
        <v>1070</v>
      </c>
      <c r="I10" s="969"/>
      <c r="J10" s="32"/>
      <c r="K10" s="2171" t="s">
        <v>1495</v>
      </c>
      <c r="L10" s="2172" t="s">
        <v>1496</v>
      </c>
      <c r="N10" s="2169"/>
    </row>
    <row r="11" spans="1:16">
      <c r="A11" s="476">
        <v>2004</v>
      </c>
      <c r="B11" s="1293">
        <v>2.7334805345212709E-2</v>
      </c>
      <c r="C11" s="2132">
        <f t="shared" si="0"/>
        <v>0.85561587818132945</v>
      </c>
      <c r="D11" s="2133">
        <f t="shared" si="1"/>
        <v>2.2526217448372909E-2</v>
      </c>
      <c r="E11" s="2138">
        <f t="shared" si="2"/>
        <v>0.8331972590756932</v>
      </c>
      <c r="F11" s="2136">
        <f t="shared" si="3"/>
        <v>2.0483051883826819E-2</v>
      </c>
      <c r="G11" s="5" t="s">
        <v>1070</v>
      </c>
      <c r="I11" s="969"/>
      <c r="J11" s="2173"/>
      <c r="K11" s="2174" t="s">
        <v>1497</v>
      </c>
      <c r="L11" s="2175" t="s">
        <v>1502</v>
      </c>
      <c r="N11" s="2169"/>
      <c r="P11" t="s">
        <v>465</v>
      </c>
    </row>
    <row r="12" spans="1:16">
      <c r="A12" s="476">
        <v>2005</v>
      </c>
      <c r="B12" s="1293">
        <v>2.8120490685126009E-2</v>
      </c>
      <c r="C12" s="2132">
        <f t="shared" si="0"/>
        <v>0.87900397166168931</v>
      </c>
      <c r="D12" s="2133">
        <f t="shared" si="1"/>
        <v>2.1726977191707464E-2</v>
      </c>
      <c r="E12" s="2138">
        <f t="shared" si="2"/>
        <v>0.85662717483840378</v>
      </c>
      <c r="F12" s="2136">
        <f t="shared" si="3"/>
        <v>1.9532369890566503E-2</v>
      </c>
      <c r="G12" s="5" t="s">
        <v>1070</v>
      </c>
      <c r="I12" s="969"/>
      <c r="J12" s="2173">
        <v>2005</v>
      </c>
      <c r="K12" s="2176">
        <v>90.372199465899044</v>
      </c>
      <c r="L12" s="2177"/>
      <c r="N12" s="2169"/>
    </row>
    <row r="13" spans="1:16">
      <c r="A13" s="476">
        <v>2006</v>
      </c>
      <c r="B13" s="1294">
        <v>3.2572969848762234E-2</v>
      </c>
      <c r="C13" s="2132">
        <f t="shared" si="0"/>
        <v>0.90372199465899061</v>
      </c>
      <c r="D13" s="2133">
        <f t="shared" si="1"/>
        <v>2.0453053503895813E-2</v>
      </c>
      <c r="E13" s="2138">
        <f t="shared" si="2"/>
        <v>0.88453006597604544</v>
      </c>
      <c r="F13" s="2136">
        <f t="shared" si="3"/>
        <v>1.768292014106132E-2</v>
      </c>
      <c r="G13" s="5"/>
      <c r="I13" s="969"/>
      <c r="J13" s="2173">
        <v>2006</v>
      </c>
      <c r="K13" s="2176">
        <v>93.315890394268095</v>
      </c>
      <c r="L13" s="2178">
        <f>K13/K12-1</f>
        <v>3.2572969848762234E-2</v>
      </c>
    </row>
    <row r="14" spans="1:16">
      <c r="A14" s="476">
        <v>2007</v>
      </c>
      <c r="B14" s="1294">
        <v>2.9432967771249929E-2</v>
      </c>
      <c r="C14" s="2132">
        <f t="shared" si="0"/>
        <v>0.93315890394268119</v>
      </c>
      <c r="D14" s="2133">
        <f t="shared" si="1"/>
        <v>1.7445367884600715E-2</v>
      </c>
      <c r="E14" s="2138">
        <f t="shared" si="2"/>
        <v>0.91056441090062001</v>
      </c>
      <c r="F14" s="2136">
        <f t="shared" si="3"/>
        <v>1.5737659501760204E-2</v>
      </c>
      <c r="G14" s="5"/>
      <c r="I14" s="969"/>
      <c r="J14" s="2173">
        <v>2007</v>
      </c>
      <c r="K14" s="2176">
        <v>96.062453988788079</v>
      </c>
      <c r="L14" s="2178">
        <f t="shared" ref="L14:L37" si="4">K14/K13-1</f>
        <v>2.9432967771249929E-2</v>
      </c>
      <c r="M14" s="167"/>
    </row>
    <row r="15" spans="1:16">
      <c r="A15" s="476">
        <v>2008</v>
      </c>
      <c r="B15" s="1294">
        <v>2.1851754398441336E-2</v>
      </c>
      <c r="C15" s="2132">
        <f t="shared" si="0"/>
        <v>0.96062453988788099</v>
      </c>
      <c r="D15" s="2133">
        <f t="shared" si="1"/>
        <v>1.3480602785901574E-2</v>
      </c>
      <c r="E15" s="2138">
        <f t="shared" si="2"/>
        <v>0.93046184077158178</v>
      </c>
      <c r="F15" s="2136">
        <f t="shared" si="3"/>
        <v>1.451923747681616E-2</v>
      </c>
      <c r="G15" s="5"/>
      <c r="I15" s="969"/>
      <c r="J15" s="2173">
        <v>2008</v>
      </c>
      <c r="K15" s="2176">
        <v>98.161587140262654</v>
      </c>
      <c r="L15" s="2178">
        <f t="shared" si="4"/>
        <v>2.1851754398441336E-2</v>
      </c>
      <c r="M15" s="2169"/>
      <c r="N15" s="2170"/>
    </row>
    <row r="16" spans="1:16">
      <c r="A16" s="3077">
        <v>2009</v>
      </c>
      <c r="B16" s="1294">
        <v>9.1661227424675307E-3</v>
      </c>
      <c r="C16" s="3078">
        <f t="shared" si="0"/>
        <v>0.98161587140262663</v>
      </c>
      <c r="D16" s="2133">
        <f t="shared" si="1"/>
        <v>9.3207788143983006E-3</v>
      </c>
      <c r="E16" s="2138">
        <f t="shared" si="2"/>
        <v>0.93899056821127636</v>
      </c>
      <c r="F16" s="2136">
        <f t="shared" si="3"/>
        <v>1.586194709654265E-2</v>
      </c>
      <c r="G16" s="5"/>
      <c r="H16" s="1296"/>
      <c r="I16" s="969"/>
      <c r="J16" s="2173">
        <v>2009</v>
      </c>
      <c r="K16" s="2176">
        <v>99.06134829658572</v>
      </c>
      <c r="L16" s="2178">
        <f t="shared" si="4"/>
        <v>9.1661227424675307E-3</v>
      </c>
      <c r="M16" s="2169"/>
      <c r="N16" s="2170"/>
    </row>
    <row r="17" spans="1:40">
      <c r="A17" s="476">
        <v>2010</v>
      </c>
      <c r="B17" s="1294">
        <v>9.4754585875813646E-3</v>
      </c>
      <c r="C17" s="2132">
        <f t="shared" si="0"/>
        <v>0.99061348296585727</v>
      </c>
      <c r="D17" s="2133">
        <f t="shared" si="1"/>
        <v>9.4754585875813646E-3</v>
      </c>
      <c r="E17" s="2138">
        <f t="shared" si="2"/>
        <v>0.94788793445449182</v>
      </c>
      <c r="F17" s="2136">
        <f t="shared" si="3"/>
        <v>1.799974276179217E-2</v>
      </c>
      <c r="G17" s="5"/>
      <c r="I17" s="969"/>
      <c r="J17" s="2173">
        <v>2010</v>
      </c>
      <c r="K17" s="2176">
        <v>99.999999999999986</v>
      </c>
      <c r="L17" s="2178">
        <f t="shared" si="4"/>
        <v>9.4754585875813646E-3</v>
      </c>
      <c r="M17" s="2170"/>
      <c r="N17" s="2170"/>
    </row>
    <row r="18" spans="1:40">
      <c r="A18" s="476">
        <v>2011</v>
      </c>
      <c r="B18" s="1294">
        <v>7.8354627851782155E-3</v>
      </c>
      <c r="C18" s="2132">
        <f t="shared" si="0"/>
        <v>1</v>
      </c>
      <c r="D18" s="2133">
        <f t="shared" si="1"/>
        <v>7.8354627851782155E-3</v>
      </c>
      <c r="E18" s="2138">
        <f>IF($A18&lt;StartYr,E19/(1+$B19),IF($A18=StartYr,1,E17*(1+$B18)))</f>
        <v>0.95531507508942948</v>
      </c>
      <c r="F18" s="2136">
        <f t="shared" si="3"/>
        <v>2.3120259395785103E-2</v>
      </c>
      <c r="G18" s="5"/>
      <c r="I18" s="969"/>
      <c r="J18" s="2173">
        <v>2011</v>
      </c>
      <c r="K18" s="2176">
        <v>100.78354627851782</v>
      </c>
      <c r="L18" s="2178">
        <f t="shared" si="4"/>
        <v>7.8354627851782155E-3</v>
      </c>
      <c r="M18" s="2170"/>
      <c r="N18" s="2170"/>
    </row>
    <row r="19" spans="1:40">
      <c r="A19" s="476">
        <v>2012</v>
      </c>
      <c r="B19" s="1294">
        <v>1.9084655798737193E-2</v>
      </c>
      <c r="C19" s="2132">
        <f t="shared" si="0"/>
        <v>1.0190846557987372</v>
      </c>
      <c r="D19" s="2133">
        <f t="shared" si="1"/>
        <v>1.9084655798737193E-2</v>
      </c>
      <c r="E19" s="2138">
        <f t="shared" si="2"/>
        <v>0.97354693447685603</v>
      </c>
      <c r="F19" s="2136">
        <f t="shared" si="3"/>
        <v>2.7171844095383868E-2</v>
      </c>
      <c r="G19" s="5"/>
      <c r="I19" s="969"/>
      <c r="J19" s="2173">
        <v>2012</v>
      </c>
      <c r="K19" s="2176">
        <v>102.70696556941942</v>
      </c>
      <c r="L19" s="2178">
        <f t="shared" si="4"/>
        <v>1.9084655798737193E-2</v>
      </c>
      <c r="M19" s="2170"/>
      <c r="N19" s="2170"/>
    </row>
    <row r="20" spans="1:40">
      <c r="A20" s="476">
        <v>2013</v>
      </c>
      <c r="B20" s="1294">
        <v>2.7171844095383868E-2</v>
      </c>
      <c r="C20" s="2132">
        <f t="shared" si="0"/>
        <v>1.0467750651860983</v>
      </c>
      <c r="D20" s="2133">
        <f t="shared" si="1"/>
        <v>2.3120259395784881E-2</v>
      </c>
      <c r="E20" s="2138">
        <f t="shared" si="2"/>
        <v>1</v>
      </c>
      <c r="F20" s="2136">
        <f t="shared" si="3"/>
        <v>2.7171844095383868E-2</v>
      </c>
      <c r="G20" s="4386"/>
      <c r="I20" s="969"/>
      <c r="J20" s="2173">
        <v>2013</v>
      </c>
      <c r="K20" s="2176">
        <v>105.49770322538164</v>
      </c>
      <c r="L20" s="2178">
        <f t="shared" si="4"/>
        <v>2.7171844095383868E-2</v>
      </c>
      <c r="M20" s="2170"/>
      <c r="N20" s="2170"/>
    </row>
    <row r="21" spans="1:40">
      <c r="A21" s="476">
        <v>2014</v>
      </c>
      <c r="B21" s="1294">
        <v>2.2353037622062644E-2</v>
      </c>
      <c r="C21" s="2132">
        <f t="shared" si="0"/>
        <v>1.0701736676000402</v>
      </c>
      <c r="D21" s="2133">
        <f t="shared" si="1"/>
        <v>2.2864454852618454E-2</v>
      </c>
      <c r="E21" s="2138">
        <f t="shared" si="2"/>
        <v>1.0223530376220626</v>
      </c>
      <c r="F21" s="2136">
        <f t="shared" si="3"/>
        <v>2.2353037622062644E-2</v>
      </c>
      <c r="G21" s="5"/>
      <c r="I21" s="969"/>
      <c r="J21" s="2173">
        <v>2014</v>
      </c>
      <c r="K21" s="2176">
        <v>107.8558973546198</v>
      </c>
      <c r="L21" s="2178">
        <f t="shared" si="4"/>
        <v>2.2353037622062644E-2</v>
      </c>
      <c r="M21" s="2170"/>
      <c r="N21" s="2170"/>
    </row>
    <row r="22" spans="1:40">
      <c r="A22" s="476">
        <v>2015</v>
      </c>
      <c r="B22" s="1294">
        <v>1.9540164511139935E-2</v>
      </c>
      <c r="C22" s="2132">
        <f t="shared" si="0"/>
        <v>1.091085037120435</v>
      </c>
      <c r="D22" s="2133">
        <f t="shared" si="1"/>
        <v>2.2032367478855175E-2</v>
      </c>
      <c r="E22" s="2138">
        <f t="shared" si="2"/>
        <v>1.0423299841656615</v>
      </c>
      <c r="F22" s="2136">
        <f t="shared" si="3"/>
        <v>2.0945632326061503E-2</v>
      </c>
      <c r="G22" s="5"/>
      <c r="I22" s="969"/>
      <c r="J22" s="2173">
        <v>2015</v>
      </c>
      <c r="K22" s="2176">
        <v>109.96341933242569</v>
      </c>
      <c r="L22" s="2178">
        <f t="shared" si="4"/>
        <v>1.9540164511139935E-2</v>
      </c>
      <c r="M22" s="2170"/>
      <c r="N22" s="2170"/>
      <c r="U22" s="2329"/>
      <c r="V22" s="2329"/>
      <c r="W22" s="2329"/>
      <c r="X22" s="2329"/>
      <c r="Y22" s="2329"/>
      <c r="Z22" s="2329"/>
      <c r="AA22" s="2329"/>
      <c r="AB22" s="2329"/>
      <c r="AC22" s="2329"/>
      <c r="AD22" s="2329"/>
      <c r="AE22" s="2329"/>
      <c r="AF22" s="2329"/>
      <c r="AG22" s="2329"/>
      <c r="AH22" s="2329"/>
      <c r="AI22" s="2329"/>
      <c r="AJ22" s="2329"/>
      <c r="AK22" s="2329"/>
      <c r="AL22" s="2329"/>
      <c r="AM22" s="2329"/>
      <c r="AN22" s="2329"/>
    </row>
    <row r="23" spans="1:40">
      <c r="A23" s="476">
        <v>2016</v>
      </c>
      <c r="B23" s="1294">
        <v>1.9023551698312602E-2</v>
      </c>
      <c r="C23" s="2132">
        <f t="shared" si="0"/>
        <v>1.1118413497313508</v>
      </c>
      <c r="D23" s="2133">
        <f t="shared" si="1"/>
        <v>2.1429894443362407E-2</v>
      </c>
      <c r="E23" s="2138">
        <f t="shared" si="2"/>
        <v>1.0621588025061384</v>
      </c>
      <c r="F23" s="2136">
        <f t="shared" si="3"/>
        <v>2.0304536295747688E-2</v>
      </c>
      <c r="G23" s="5"/>
      <c r="I23" s="969"/>
      <c r="J23" s="2173">
        <v>2016</v>
      </c>
      <c r="K23" s="2176">
        <v>112.05531412501932</v>
      </c>
      <c r="L23" s="2178">
        <f t="shared" si="4"/>
        <v>1.9023551698312602E-2</v>
      </c>
      <c r="M23" s="2170"/>
      <c r="N23" s="2170"/>
    </row>
    <row r="24" spans="1:40">
      <c r="A24" s="476">
        <v>2017</v>
      </c>
      <c r="B24" s="1294">
        <v>1.6950171106036249E-2</v>
      </c>
      <c r="C24" s="2132">
        <f t="shared" si="0"/>
        <v>1.1306872508520636</v>
      </c>
      <c r="D24" s="2133">
        <f t="shared" si="1"/>
        <v>2.0681905851614335E-2</v>
      </c>
      <c r="E24" s="2138">
        <f t="shared" si="2"/>
        <v>1.0801625759503999</v>
      </c>
      <c r="F24" s="2136">
        <f t="shared" si="3"/>
        <v>1.9464909150137544E-2</v>
      </c>
      <c r="G24" s="5"/>
      <c r="I24" s="969"/>
      <c r="J24" s="2173">
        <v>2017</v>
      </c>
      <c r="K24" s="2176">
        <v>113.95467087277905</v>
      </c>
      <c r="L24" s="2178">
        <f t="shared" si="4"/>
        <v>1.6950171106036249E-2</v>
      </c>
      <c r="M24" s="2170"/>
      <c r="N24" s="2170"/>
      <c r="S24" s="3018"/>
      <c r="T24" s="3018"/>
      <c r="U24" s="3018"/>
      <c r="V24" s="3018"/>
      <c r="W24" s="3018"/>
      <c r="X24" s="3018"/>
      <c r="Y24" s="3018"/>
      <c r="Z24" s="3018"/>
      <c r="AA24" s="3018"/>
      <c r="AB24" s="3018"/>
      <c r="AC24" s="3018"/>
      <c r="AD24" s="3018"/>
      <c r="AE24" s="3018"/>
      <c r="AF24" s="3018"/>
      <c r="AG24" s="3018"/>
      <c r="AH24" s="3018"/>
      <c r="AI24" s="3018"/>
      <c r="AJ24" s="3018"/>
      <c r="AK24" s="3018"/>
      <c r="AL24" s="3018"/>
      <c r="AM24" s="3018"/>
      <c r="AN24" s="3018"/>
    </row>
    <row r="25" spans="1:40">
      <c r="A25" s="476">
        <v>2018</v>
      </c>
      <c r="B25" s="1294">
        <v>1.5312871690528862E-2</v>
      </c>
      <c r="C25" s="2132">
        <f t="shared" si="0"/>
        <v>1.148001319646478</v>
      </c>
      <c r="D25" s="2133">
        <f t="shared" si="1"/>
        <v>1.9913166191787957E-2</v>
      </c>
      <c r="E25" s="2138">
        <f t="shared" si="2"/>
        <v>1.0967029668808395</v>
      </c>
      <c r="F25" s="2136">
        <f t="shared" si="3"/>
        <v>1.8633145522258587E-2</v>
      </c>
      <c r="G25" s="5"/>
      <c r="I25" s="969"/>
      <c r="J25" s="2173">
        <v>2018</v>
      </c>
      <c r="K25" s="2176">
        <v>115.69964412639037</v>
      </c>
      <c r="L25" s="2178">
        <f t="shared" si="4"/>
        <v>1.5312871690528862E-2</v>
      </c>
      <c r="M25" s="2170"/>
      <c r="N25" s="2170"/>
      <c r="S25" s="3018"/>
      <c r="T25" s="3018"/>
      <c r="U25" s="3018"/>
      <c r="V25" s="3018"/>
      <c r="W25" s="3018"/>
      <c r="X25" s="3018"/>
      <c r="Y25" s="3018"/>
      <c r="Z25" s="3018"/>
      <c r="AA25" s="3018"/>
      <c r="AB25" s="3018"/>
      <c r="AC25" s="3018"/>
      <c r="AD25" s="3018"/>
      <c r="AE25" s="3018"/>
      <c r="AF25" s="3018"/>
      <c r="AG25" s="3018"/>
      <c r="AH25" s="3018"/>
      <c r="AI25" s="3018"/>
      <c r="AJ25" s="3018"/>
      <c r="AK25" s="3018"/>
      <c r="AL25" s="3018"/>
      <c r="AM25" s="3018"/>
      <c r="AN25" s="3018"/>
    </row>
    <row r="26" spans="1:40">
      <c r="A26" s="476">
        <v>2019</v>
      </c>
      <c r="B26" s="1294">
        <v>1.4701821460087139E-2</v>
      </c>
      <c r="C26" s="2132">
        <f t="shared" si="0"/>
        <v>1.164879030083865</v>
      </c>
      <c r="D26" s="2133">
        <f t="shared" si="1"/>
        <v>1.9260287221198658E-2</v>
      </c>
      <c r="E26" s="2138">
        <f t="shared" si="2"/>
        <v>1.1128264980946694</v>
      </c>
      <c r="F26" s="2136">
        <f t="shared" si="3"/>
        <v>1.7976868700867232E-2</v>
      </c>
      <c r="G26" s="5"/>
      <c r="I26" s="969"/>
      <c r="J26" s="2173">
        <v>2019</v>
      </c>
      <c r="K26" s="2176">
        <v>117.40063963733219</v>
      </c>
      <c r="L26" s="2178">
        <f t="shared" si="4"/>
        <v>1.4701821460087139E-2</v>
      </c>
      <c r="M26" s="2170"/>
      <c r="N26" s="2170"/>
      <c r="S26" s="3018"/>
      <c r="T26" s="3018"/>
      <c r="U26" s="3018"/>
      <c r="V26" s="3018"/>
      <c r="W26" s="3018"/>
      <c r="X26" s="3018"/>
      <c r="Y26" s="3018"/>
      <c r="Z26" s="3018"/>
      <c r="AA26" s="3018"/>
      <c r="AB26" s="3018"/>
      <c r="AC26" s="3018"/>
      <c r="AD26" s="3018"/>
      <c r="AE26" s="3018"/>
      <c r="AF26" s="3018"/>
      <c r="AG26" s="3018"/>
      <c r="AH26" s="3018"/>
      <c r="AI26" s="3018"/>
      <c r="AJ26" s="3018"/>
      <c r="AK26" s="3018"/>
      <c r="AL26" s="3018"/>
      <c r="AM26" s="3018"/>
      <c r="AN26" s="3018"/>
    </row>
    <row r="27" spans="1:40">
      <c r="A27" s="476">
        <v>2020</v>
      </c>
      <c r="B27" s="1294">
        <v>1.4395909663810214E-2</v>
      </c>
      <c r="C27" s="211">
        <f t="shared" si="0"/>
        <v>1.1816485233702192</v>
      </c>
      <c r="D27" s="311">
        <f t="shared" si="1"/>
        <v>1.8718650947392446E-2</v>
      </c>
      <c r="E27" s="2138">
        <f>IF($A27&lt;StartYr,E28/(1+$B28),IF($A27=StartYr,1,E26*(1+$B27)))</f>
        <v>1.1288466478327346</v>
      </c>
      <c r="F27" s="2135">
        <f t="shared" si="3"/>
        <v>1.7464530206794615E-2</v>
      </c>
      <c r="G27" s="5"/>
      <c r="I27" s="969"/>
      <c r="J27" s="2173">
        <v>2020</v>
      </c>
      <c r="K27" s="2176">
        <v>119.09072864002475</v>
      </c>
      <c r="L27" s="2178">
        <f t="shared" si="4"/>
        <v>1.4395909663810214E-2</v>
      </c>
      <c r="M27" s="2170"/>
      <c r="N27" s="2179"/>
      <c r="S27" s="3018"/>
      <c r="T27" s="3018"/>
      <c r="U27" s="3018"/>
      <c r="V27" s="3018"/>
      <c r="W27" s="3018"/>
      <c r="X27" s="3018"/>
      <c r="Y27" s="3018"/>
      <c r="Z27" s="3018"/>
      <c r="AA27" s="3018"/>
      <c r="AB27" s="3018"/>
      <c r="AC27" s="3018"/>
      <c r="AD27" s="3018"/>
      <c r="AE27" s="3018"/>
      <c r="AF27" s="3018"/>
      <c r="AG27" s="3018"/>
      <c r="AH27" s="3018"/>
      <c r="AI27" s="3018"/>
      <c r="AJ27" s="3018"/>
      <c r="AK27" s="3018"/>
      <c r="AL27" s="3018"/>
      <c r="AM27" s="3018"/>
      <c r="AN27" s="3018"/>
    </row>
    <row r="28" spans="1:40">
      <c r="A28" s="11">
        <f>A27+1</f>
        <v>2021</v>
      </c>
      <c r="B28" s="1294">
        <v>1.453684404843214E-2</v>
      </c>
      <c r="C28" s="211">
        <f t="shared" si="0"/>
        <v>1.1988259636745122</v>
      </c>
      <c r="D28" s="311">
        <f t="shared" si="1"/>
        <v>1.8299695765048529E-2</v>
      </c>
      <c r="E28" s="2138">
        <f>IF($A28&lt;StartYr,E29/(1+$B29),IF($A28=StartYr,1,E27*(1+$B28)))</f>
        <v>1.1452565155068744</v>
      </c>
      <c r="F28" s="2135">
        <f t="shared" si="3"/>
        <v>1.7098107907166149E-2</v>
      </c>
      <c r="G28" s="5"/>
      <c r="I28" s="9"/>
      <c r="J28" s="2173">
        <v>2021</v>
      </c>
      <c r="K28" s="2176">
        <v>120.82193198987893</v>
      </c>
      <c r="L28" s="2178">
        <f t="shared" si="4"/>
        <v>1.453684404843214E-2</v>
      </c>
      <c r="M28" s="2170"/>
      <c r="N28" s="2179"/>
    </row>
    <row r="29" spans="1:40">
      <c r="A29" s="11">
        <f>A28+1</f>
        <v>2022</v>
      </c>
      <c r="B29" s="1294">
        <v>1.4668198222247186E-2</v>
      </c>
      <c r="C29" s="211">
        <f t="shared" si="0"/>
        <v>1.2164105805436665</v>
      </c>
      <c r="D29" s="311">
        <f t="shared" si="1"/>
        <v>1.79690232509786E-2</v>
      </c>
      <c r="E29" s="2138">
        <f>IF($A29&lt;StartYr,E30/(1+$B30),IF($A29=StartYr,1,E28*(1+$B29)))</f>
        <v>1.1620553650916492</v>
      </c>
      <c r="F29" s="2135">
        <f t="shared" si="3"/>
        <v>1.6827830833508139E-2</v>
      </c>
      <c r="G29" s="5"/>
      <c r="I29" s="9"/>
      <c r="J29" s="2173">
        <v>2022</v>
      </c>
      <c r="K29" s="2176">
        <v>122.59417203790134</v>
      </c>
      <c r="L29" s="2178">
        <f t="shared" si="4"/>
        <v>1.4668198222247186E-2</v>
      </c>
      <c r="M29" s="2170"/>
      <c r="N29" s="2179"/>
      <c r="S29" s="2330"/>
    </row>
    <row r="30" spans="1:40">
      <c r="A30" s="11">
        <f>A29+1</f>
        <v>2023</v>
      </c>
      <c r="B30" s="1294">
        <v>1.5099999999999891E-2</v>
      </c>
      <c r="C30" s="211">
        <f t="shared" si="0"/>
        <v>1.2347783803098757</v>
      </c>
      <c r="D30" s="311">
        <f t="shared" si="1"/>
        <v>1.7729628582649815E-2</v>
      </c>
      <c r="E30" s="2138">
        <f>IF($A30&lt;StartYr,E31/(1+$B31),IF($A30=StartYr,1,E29*(1+$B30)))</f>
        <v>1.179602401104533</v>
      </c>
      <c r="F30" s="2135">
        <f t="shared" si="3"/>
        <v>1.6654915488112154E-2</v>
      </c>
      <c r="G30" s="5"/>
      <c r="I30" s="9"/>
      <c r="J30" s="2173">
        <v>2023</v>
      </c>
      <c r="K30" s="2176">
        <v>124.44534403567364</v>
      </c>
      <c r="L30" s="2178">
        <f t="shared" si="4"/>
        <v>1.5099999999999891E-2</v>
      </c>
      <c r="M30" s="2170"/>
      <c r="N30" s="2179"/>
    </row>
    <row r="31" spans="1:40">
      <c r="A31" s="11">
        <f t="shared" ref="A31:A53" si="5">A30+1</f>
        <v>2024</v>
      </c>
      <c r="B31" s="1294">
        <v>1.5099999999999891E-2</v>
      </c>
      <c r="C31" s="211">
        <f t="shared" si="0"/>
        <v>1.2534235338525548</v>
      </c>
      <c r="D31" s="311">
        <f t="shared" si="1"/>
        <v>1.7527107836371014E-2</v>
      </c>
      <c r="E31" s="2138">
        <f t="shared" si="2"/>
        <v>1.1974143973612112</v>
      </c>
      <c r="F31" s="2135">
        <f t="shared" si="3"/>
        <v>1.6513461168060184E-2</v>
      </c>
      <c r="G31" s="5"/>
      <c r="I31" s="9"/>
      <c r="J31" s="2173">
        <v>2024</v>
      </c>
      <c r="K31" s="2176">
        <v>126.3244687306123</v>
      </c>
      <c r="L31" s="2178">
        <f t="shared" si="4"/>
        <v>1.5099999999999891E-2</v>
      </c>
      <c r="M31" s="2170"/>
      <c r="N31" s="2179"/>
    </row>
    <row r="32" spans="1:40">
      <c r="A32" s="11">
        <f t="shared" si="5"/>
        <v>2025</v>
      </c>
      <c r="B32" s="1294">
        <v>1.5099999999999891E-2</v>
      </c>
      <c r="C32" s="211">
        <f t="shared" si="0"/>
        <v>1.2723502292137283</v>
      </c>
      <c r="D32" s="311">
        <f t="shared" si="1"/>
        <v>1.7353550701205478E-2</v>
      </c>
      <c r="E32" s="2138">
        <f t="shared" si="2"/>
        <v>1.2154953547613654</v>
      </c>
      <c r="F32" s="2135">
        <f t="shared" si="3"/>
        <v>1.6395597602635537E-2</v>
      </c>
      <c r="G32" s="5"/>
      <c r="I32" s="9"/>
      <c r="J32" s="2173">
        <v>2025</v>
      </c>
      <c r="K32" s="2176">
        <v>128.23196820844453</v>
      </c>
      <c r="L32" s="2178">
        <f t="shared" si="4"/>
        <v>1.5099999999999891E-2</v>
      </c>
      <c r="M32" s="2170"/>
      <c r="N32" s="2179"/>
    </row>
    <row r="33" spans="1:15">
      <c r="A33" s="11">
        <f t="shared" si="5"/>
        <v>2026</v>
      </c>
      <c r="B33" s="1294">
        <v>1.5099999999999891E-2</v>
      </c>
      <c r="C33" s="211">
        <f t="shared" si="0"/>
        <v>1.2915627176748554</v>
      </c>
      <c r="D33" s="311">
        <f t="shared" si="1"/>
        <v>1.7203158463292567E-2</v>
      </c>
      <c r="E33" s="2138">
        <f t="shared" si="2"/>
        <v>1.233849334618262</v>
      </c>
      <c r="F33" s="2135">
        <f t="shared" si="3"/>
        <v>1.6295877567642281E-2</v>
      </c>
      <c r="G33" s="5"/>
      <c r="I33" s="9"/>
      <c r="J33" s="2173">
        <v>2026</v>
      </c>
      <c r="K33" s="2176">
        <v>130.16827092839202</v>
      </c>
      <c r="L33" s="2178">
        <f t="shared" si="4"/>
        <v>1.5099999999999891E-2</v>
      </c>
      <c r="M33" s="2170"/>
      <c r="N33" s="2179"/>
    </row>
    <row r="34" spans="1:15">
      <c r="A34" s="11">
        <f t="shared" si="5"/>
        <v>2027</v>
      </c>
      <c r="B34" s="1294">
        <v>1.5099999999999891E-2</v>
      </c>
      <c r="C34" s="211">
        <f t="shared" si="0"/>
        <v>1.3110653147117457</v>
      </c>
      <c r="D34" s="311">
        <f t="shared" si="1"/>
        <v>1.707158349243576E-2</v>
      </c>
      <c r="E34" s="2138">
        <f t="shared" si="2"/>
        <v>1.2524804595709975</v>
      </c>
      <c r="F34" s="2135">
        <f t="shared" si="3"/>
        <v>1.6210411038977357E-2</v>
      </c>
      <c r="G34" s="5"/>
      <c r="I34" s="9"/>
      <c r="J34" s="2173">
        <v>2027</v>
      </c>
      <c r="K34" s="2176">
        <v>132.13381181941074</v>
      </c>
      <c r="L34" s="2178">
        <f t="shared" si="4"/>
        <v>1.5099999999999891E-2</v>
      </c>
      <c r="M34" s="2170"/>
      <c r="N34" s="2179"/>
    </row>
    <row r="35" spans="1:15">
      <c r="A35" s="11">
        <f t="shared" si="5"/>
        <v>2028</v>
      </c>
      <c r="B35" s="1294">
        <v>1.5099999999999891E-2</v>
      </c>
      <c r="C35" s="211">
        <f t="shared" si="0"/>
        <v>1.330862400963893</v>
      </c>
      <c r="D35" s="311">
        <f t="shared" si="1"/>
        <v>1.6955502063569439E-2</v>
      </c>
      <c r="E35" s="2138">
        <f t="shared" si="2"/>
        <v>1.2713929145105194</v>
      </c>
      <c r="F35" s="2135">
        <f t="shared" si="3"/>
        <v>1.613634586129975E-2</v>
      </c>
      <c r="G35" s="5"/>
      <c r="I35" s="9"/>
      <c r="J35" s="2173">
        <v>2028</v>
      </c>
      <c r="K35" s="2176">
        <v>134.12903237788382</v>
      </c>
      <c r="L35" s="2178">
        <f t="shared" si="4"/>
        <v>1.5099999999999891E-2</v>
      </c>
      <c r="M35" s="2170"/>
      <c r="N35" s="2179"/>
    </row>
    <row r="36" spans="1:15">
      <c r="A36" s="11">
        <f t="shared" si="5"/>
        <v>2029</v>
      </c>
      <c r="B36" s="1294">
        <v>1.5099999999999891E-2</v>
      </c>
      <c r="C36" s="211">
        <f t="shared" si="0"/>
        <v>1.3509584232184475</v>
      </c>
      <c r="D36" s="311">
        <f t="shared" si="1"/>
        <v>1.6852329693674228E-2</v>
      </c>
      <c r="E36" s="2138">
        <f t="shared" si="2"/>
        <v>1.290590947519628</v>
      </c>
      <c r="F36" s="2135">
        <f t="shared" si="3"/>
        <v>1.6071543259010612E-2</v>
      </c>
      <c r="G36" s="5"/>
      <c r="I36" s="9"/>
      <c r="J36" s="2173">
        <v>2029</v>
      </c>
      <c r="K36" s="2176">
        <v>136.15438076678984</v>
      </c>
      <c r="L36" s="2178">
        <f t="shared" si="4"/>
        <v>1.5099999999999891E-2</v>
      </c>
      <c r="M36" s="2170"/>
      <c r="N36" s="2179"/>
    </row>
    <row r="37" spans="1:15" ht="13.5" thickBot="1">
      <c r="A37" s="11">
        <f t="shared" si="5"/>
        <v>2030</v>
      </c>
      <c r="B37" s="1294">
        <v>1.5099999999999891E-2</v>
      </c>
      <c r="C37" s="211">
        <f t="shared" si="0"/>
        <v>1.371357895409046</v>
      </c>
      <c r="D37" s="311">
        <f t="shared" si="1"/>
        <v>1.6760026445632015E-2</v>
      </c>
      <c r="E37" s="2138">
        <f t="shared" si="2"/>
        <v>1.3100788708271742</v>
      </c>
      <c r="F37" s="2135">
        <f t="shared" si="3"/>
        <v>1.6014367924285677E-2</v>
      </c>
      <c r="G37" s="5"/>
      <c r="I37" s="9"/>
      <c r="J37" s="2180">
        <v>2030</v>
      </c>
      <c r="K37" s="2181">
        <v>138.21031191636834</v>
      </c>
      <c r="L37" s="2182">
        <f t="shared" si="4"/>
        <v>1.5099999999999891E-2</v>
      </c>
      <c r="M37" s="2170"/>
      <c r="N37" s="2179"/>
    </row>
    <row r="38" spans="1:15">
      <c r="A38" s="11">
        <f t="shared" si="5"/>
        <v>2031</v>
      </c>
      <c r="B38" s="1294">
        <f t="shared" ref="B38:B53" si="6">B37</f>
        <v>1.5099999999999891E-2</v>
      </c>
      <c r="C38" s="211">
        <f t="shared" si="0"/>
        <v>1.3920653996297223</v>
      </c>
      <c r="D38" s="311">
        <f t="shared" si="1"/>
        <v>1.6676960686194731E-2</v>
      </c>
      <c r="E38" s="2138">
        <f t="shared" si="2"/>
        <v>1.3298610617766644</v>
      </c>
      <c r="F38" s="2135">
        <f t="shared" si="3"/>
        <v>1.5963548105488945E-2</v>
      </c>
      <c r="G38" s="5"/>
      <c r="I38" s="9"/>
      <c r="J38" s="7"/>
      <c r="K38" s="1268"/>
      <c r="L38" s="206"/>
      <c r="M38" s="2170"/>
      <c r="N38" s="2179"/>
    </row>
    <row r="39" spans="1:15" ht="15.75">
      <c r="A39" s="11">
        <f t="shared" si="5"/>
        <v>2032</v>
      </c>
      <c r="B39" s="1294">
        <f t="shared" si="6"/>
        <v>1.5099999999999891E-2</v>
      </c>
      <c r="C39" s="211">
        <f t="shared" si="0"/>
        <v>1.413085587164131</v>
      </c>
      <c r="D39" s="311">
        <f t="shared" si="1"/>
        <v>1.6601811798986343E-2</v>
      </c>
      <c r="E39" s="2138">
        <f t="shared" si="2"/>
        <v>1.3499419638094918</v>
      </c>
      <c r="F39" s="2135">
        <f t="shared" si="3"/>
        <v>1.5918079895975268E-2</v>
      </c>
      <c r="G39" s="5"/>
      <c r="I39" s="9"/>
      <c r="J39" s="2183" t="s">
        <v>1498</v>
      </c>
      <c r="K39" s="2144"/>
      <c r="L39" s="206"/>
      <c r="M39" s="2170"/>
      <c r="N39" s="2179"/>
    </row>
    <row r="40" spans="1:15" ht="15">
      <c r="A40" s="11">
        <f t="shared" si="5"/>
        <v>2033</v>
      </c>
      <c r="B40" s="1294">
        <f t="shared" si="6"/>
        <v>1.5099999999999891E-2</v>
      </c>
      <c r="C40" s="211">
        <f t="shared" si="0"/>
        <v>1.4344231795303093</v>
      </c>
      <c r="D40" s="311">
        <f t="shared" si="1"/>
        <v>1.6533499449018718E-2</v>
      </c>
      <c r="E40" s="2138">
        <f>IF($A40&lt;StartYr,E41/(1+$B41),IF($A40=StartYr,1,E39*(1+$B40)))</f>
        <v>1.370326087463015</v>
      </c>
      <c r="F40" s="2135">
        <f t="shared" si="3"/>
        <v>1.587716024723318E-2</v>
      </c>
      <c r="G40" s="5"/>
      <c r="I40" s="9"/>
      <c r="J40" s="2144" t="s">
        <v>1499</v>
      </c>
      <c r="K40" s="2144"/>
      <c r="L40" s="206"/>
      <c r="M40" s="2170"/>
      <c r="N40" s="2179"/>
    </row>
    <row r="41" spans="1:15" ht="15">
      <c r="A41" s="11">
        <f>A40+1</f>
        <v>2034</v>
      </c>
      <c r="B41" s="1294">
        <f>B40</f>
        <v>1.5099999999999891E-2</v>
      </c>
      <c r="C41" s="211">
        <f t="shared" si="0"/>
        <v>1.4560829695412167</v>
      </c>
      <c r="D41" s="311">
        <f t="shared" si="1"/>
        <v>1.647113131238398E-2</v>
      </c>
      <c r="E41" s="2138">
        <f>IF($A41&lt;StartYr,E42/(1+$B42),IF($A41=StartYr,1,E40*(1+$B41)))</f>
        <v>1.3910180113837063</v>
      </c>
      <c r="F41" s="2135">
        <f t="shared" si="3"/>
        <v>1.5840139128098674E-2</v>
      </c>
      <c r="G41" s="5"/>
      <c r="I41" s="9"/>
      <c r="J41" s="2144" t="s">
        <v>1500</v>
      </c>
      <c r="K41" s="2144"/>
      <c r="L41" s="94"/>
      <c r="M41" s="2170"/>
      <c r="N41" s="2179"/>
    </row>
    <row r="42" spans="1:15" ht="15.75">
      <c r="A42" s="11">
        <f t="shared" si="5"/>
        <v>2035</v>
      </c>
      <c r="B42" s="1294">
        <f t="shared" si="6"/>
        <v>1.5099999999999891E-2</v>
      </c>
      <c r="C42" s="211">
        <f t="shared" si="0"/>
        <v>1.4780698223812889</v>
      </c>
      <c r="D42" s="311">
        <f t="shared" si="1"/>
        <v>1.6413963881964699E-2</v>
      </c>
      <c r="E42" s="2138">
        <f t="shared" si="2"/>
        <v>1.4120223833556</v>
      </c>
      <c r="F42" s="2135">
        <f t="shared" si="3"/>
        <v>1.580648473599422E-2</v>
      </c>
      <c r="G42" s="5"/>
      <c r="I42" s="9"/>
      <c r="J42" s="188" t="s">
        <v>1501</v>
      </c>
      <c r="K42" s="2184"/>
      <c r="L42" s="206"/>
      <c r="M42" s="2170"/>
      <c r="N42" s="2179"/>
    </row>
    <row r="43" spans="1:15">
      <c r="A43" s="11">
        <f t="shared" si="5"/>
        <v>2036</v>
      </c>
      <c r="B43" s="1294">
        <f t="shared" si="6"/>
        <v>1.5099999999999891E-2</v>
      </c>
      <c r="C43" s="211">
        <f t="shared" si="0"/>
        <v>1.5003886766992462</v>
      </c>
      <c r="D43" s="311">
        <f t="shared" si="1"/>
        <v>1.6361372685610664E-2</v>
      </c>
      <c r="E43" s="2138">
        <f t="shared" si="2"/>
        <v>1.4333439213442694</v>
      </c>
      <c r="F43" s="2135">
        <f t="shared" si="3"/>
        <v>1.5775757786512523E-2</v>
      </c>
      <c r="G43" s="5"/>
      <c r="I43" s="9"/>
      <c r="M43" s="2170"/>
      <c r="N43" s="2179"/>
    </row>
    <row r="44" spans="1:15">
      <c r="A44" s="11">
        <f t="shared" si="5"/>
        <v>2037</v>
      </c>
      <c r="B44" s="1294">
        <f t="shared" si="6"/>
        <v>1.5099999999999891E-2</v>
      </c>
      <c r="C44" s="211">
        <f t="shared" si="0"/>
        <v>1.5230445457174047</v>
      </c>
      <c r="D44" s="311">
        <f t="shared" si="1"/>
        <v>1.6312829381140981E-2</v>
      </c>
      <c r="E44" s="2138">
        <f t="shared" si="2"/>
        <v>1.4549874145565678</v>
      </c>
      <c r="F44" s="2135">
        <f t="shared" si="3"/>
        <v>1.574759223265465E-2</v>
      </c>
      <c r="G44" s="5"/>
      <c r="I44" s="9"/>
      <c r="M44" s="2170"/>
      <c r="N44" s="2179"/>
      <c r="O44" s="6"/>
    </row>
    <row r="45" spans="1:15">
      <c r="A45" s="11">
        <f t="shared" si="5"/>
        <v>2038</v>
      </c>
      <c r="B45" s="1294">
        <f t="shared" si="6"/>
        <v>1.5099999999999891E-2</v>
      </c>
      <c r="C45" s="211">
        <f t="shared" si="0"/>
        <v>1.5460425183577373</v>
      </c>
      <c r="D45" s="311">
        <f t="shared" si="1"/>
        <v>1.62678839442707E-2</v>
      </c>
      <c r="E45" s="2138">
        <f t="shared" si="2"/>
        <v>1.4769577245163719</v>
      </c>
      <c r="F45" s="2135">
        <f t="shared" si="3"/>
        <v>1.5721680612865496E-2</v>
      </c>
      <c r="G45" s="5"/>
      <c r="I45" s="9"/>
      <c r="M45" s="2170"/>
      <c r="N45" s="2179"/>
      <c r="O45" s="6"/>
    </row>
    <row r="46" spans="1:15">
      <c r="A46" s="11">
        <f t="shared" si="5"/>
        <v>2039</v>
      </c>
      <c r="B46" s="1294">
        <f t="shared" si="6"/>
        <v>1.5099999999999891E-2</v>
      </c>
      <c r="C46" s="211">
        <f t="shared" si="0"/>
        <v>1.5693877603849389</v>
      </c>
      <c r="D46" s="311">
        <f t="shared" si="1"/>
        <v>1.6226150675524353E-2</v>
      </c>
      <c r="E46" s="2138">
        <f t="shared" si="2"/>
        <v>1.4992597861565689</v>
      </c>
      <c r="F46" s="2135">
        <f t="shared" si="3"/>
        <v>1.5697762781287983E-2</v>
      </c>
      <c r="G46" s="5"/>
      <c r="I46" s="9"/>
      <c r="M46" s="2170"/>
      <c r="N46" s="2179"/>
      <c r="O46" s="6"/>
    </row>
    <row r="47" spans="1:15">
      <c r="A47" s="11">
        <f t="shared" si="5"/>
        <v>2040</v>
      </c>
      <c r="B47" s="1294">
        <f t="shared" si="6"/>
        <v>1.5099999999999891E-2</v>
      </c>
      <c r="C47" s="211">
        <f t="shared" si="0"/>
        <v>1.5930855155667514</v>
      </c>
      <c r="D47" s="311">
        <f t="shared" si="1"/>
        <v>1.6187297103817944E-2</v>
      </c>
      <c r="E47" s="2138">
        <f t="shared" si="2"/>
        <v>1.5218986089275328</v>
      </c>
      <c r="F47" s="2135">
        <f t="shared" si="3"/>
        <v>1.5675617143113163E-2</v>
      </c>
      <c r="G47" s="5"/>
      <c r="I47" s="9"/>
      <c r="J47" s="7"/>
      <c r="K47" s="1268"/>
      <c r="L47" s="206"/>
      <c r="M47" s="2170"/>
      <c r="N47" s="2179"/>
      <c r="O47" s="6"/>
    </row>
    <row r="48" spans="1:15">
      <c r="A48" s="11">
        <f t="shared" si="5"/>
        <v>2041</v>
      </c>
      <c r="B48" s="1294">
        <f t="shared" si="6"/>
        <v>1.5099999999999891E-2</v>
      </c>
      <c r="C48" s="211">
        <f t="shared" si="0"/>
        <v>1.6171411068518091</v>
      </c>
      <c r="D48" s="311">
        <f t="shared" si="1"/>
        <v>1.6151035110474332E-2</v>
      </c>
      <c r="E48" s="2138">
        <f t="shared" si="2"/>
        <v>1.5448792779223384</v>
      </c>
      <c r="F48" s="2135">
        <f t="shared" si="3"/>
        <v>1.5655053768584226E-2</v>
      </c>
      <c r="G48" s="5"/>
      <c r="I48" s="9"/>
      <c r="J48" s="7"/>
      <c r="K48" s="1268"/>
      <c r="L48" s="206"/>
      <c r="M48" s="2170"/>
      <c r="N48" s="2179"/>
      <c r="O48" s="6"/>
    </row>
    <row r="49" spans="1:15">
      <c r="A49" s="11">
        <f t="shared" si="5"/>
        <v>2042</v>
      </c>
      <c r="B49" s="1294">
        <f t="shared" si="6"/>
        <v>1.5099999999999891E-2</v>
      </c>
      <c r="C49" s="211">
        <f t="shared" si="0"/>
        <v>1.6415599375652712</v>
      </c>
      <c r="D49" s="311">
        <f t="shared" si="1"/>
        <v>1.6117113772027514E-2</v>
      </c>
      <c r="E49" s="2138">
        <f t="shared" si="2"/>
        <v>1.5682069550189655</v>
      </c>
      <c r="F49" s="2135">
        <f t="shared" si="3"/>
        <v>1.5635908932064346E-2</v>
      </c>
      <c r="G49" s="5"/>
      <c r="I49" s="9"/>
      <c r="J49" s="7"/>
      <c r="K49" s="1268"/>
      <c r="L49" s="206"/>
      <c r="M49" s="2170"/>
      <c r="N49" s="2179"/>
      <c r="O49" s="6"/>
    </row>
    <row r="50" spans="1:15">
      <c r="A50" s="11">
        <f t="shared" si="5"/>
        <v>2043</v>
      </c>
      <c r="B50" s="1294">
        <f t="shared" si="6"/>
        <v>1.5099999999999891E-2</v>
      </c>
      <c r="C50" s="211">
        <f t="shared" si="0"/>
        <v>1.6663474926225066</v>
      </c>
      <c r="D50" s="311">
        <f t="shared" si="1"/>
        <v>1.6085313545654678E-2</v>
      </c>
      <c r="E50" s="2138">
        <f t="shared" si="2"/>
        <v>1.5918868800397517</v>
      </c>
      <c r="F50" s="2135">
        <f t="shared" si="3"/>
        <v>1.5618040743568651E-2</v>
      </c>
      <c r="G50" s="5"/>
      <c r="I50" s="9"/>
      <c r="J50" s="7"/>
      <c r="K50" s="1268"/>
      <c r="L50" s="206"/>
      <c r="M50" s="2170"/>
      <c r="N50" s="2179"/>
      <c r="O50" s="6"/>
    </row>
    <row r="51" spans="1:15">
      <c r="A51" s="11">
        <f t="shared" si="5"/>
        <v>2044</v>
      </c>
      <c r="B51" s="1294">
        <f t="shared" si="6"/>
        <v>1.5099999999999891E-2</v>
      </c>
      <c r="C51" s="211">
        <f t="shared" si="0"/>
        <v>1.6915093397611063</v>
      </c>
      <c r="D51" s="311">
        <f t="shared" si="1"/>
        <v>1.6055441512297541E-2</v>
      </c>
      <c r="E51" s="2138">
        <f t="shared" si="2"/>
        <v>1.6159243719283518</v>
      </c>
      <c r="F51" s="2135">
        <f t="shared" si="3"/>
        <v>1.5601325626017237E-2</v>
      </c>
      <c r="G51" s="5"/>
      <c r="I51" s="9"/>
      <c r="J51" s="9"/>
      <c r="K51" s="2168"/>
      <c r="L51" s="94"/>
      <c r="M51" s="1206"/>
      <c r="N51" s="97"/>
      <c r="O51" s="9"/>
    </row>
    <row r="52" spans="1:15">
      <c r="A52" s="11">
        <f t="shared" si="5"/>
        <v>2045</v>
      </c>
      <c r="B52" s="1294">
        <f t="shared" si="6"/>
        <v>1.5099999999999891E-2</v>
      </c>
      <c r="C52" s="211">
        <f t="shared" si="0"/>
        <v>1.7170511307914988</v>
      </c>
      <c r="D52" s="311">
        <f t="shared" si="1"/>
        <v>1.6027327459615659E-2</v>
      </c>
      <c r="E52" s="2138">
        <f t="shared" si="2"/>
        <v>1.6403248299444697</v>
      </c>
      <c r="F52" s="2135">
        <f t="shared" si="3"/>
        <v>1.5585655453158376E-2</v>
      </c>
      <c r="G52" s="5"/>
      <c r="I52" s="9"/>
      <c r="J52" s="9"/>
      <c r="K52" s="2168"/>
      <c r="L52" s="94"/>
      <c r="M52" s="1206"/>
      <c r="N52" s="97"/>
      <c r="O52" s="9"/>
    </row>
    <row r="53" spans="1:15" ht="13.5" thickBot="1">
      <c r="A53" s="477">
        <f t="shared" si="5"/>
        <v>2046</v>
      </c>
      <c r="B53" s="1295">
        <f t="shared" si="6"/>
        <v>1.5099999999999891E-2</v>
      </c>
      <c r="C53" s="213">
        <f t="shared" si="0"/>
        <v>1.7429786028664502</v>
      </c>
      <c r="D53" s="2134">
        <f t="shared" si="1"/>
        <v>1.6000820636732804E-2</v>
      </c>
      <c r="E53" s="4361">
        <f t="shared" si="2"/>
        <v>1.665093734876631</v>
      </c>
      <c r="F53" s="2137">
        <f t="shared" si="3"/>
        <v>1.5570935207991576E-2</v>
      </c>
      <c r="G53" s="5"/>
      <c r="I53" s="9"/>
      <c r="J53" s="9"/>
      <c r="K53" s="2168"/>
      <c r="L53" s="94"/>
      <c r="M53" s="1206"/>
      <c r="N53" s="97"/>
      <c r="O53" s="9"/>
    </row>
    <row r="54" spans="1:15">
      <c r="E54" s="612"/>
      <c r="I54" s="9"/>
      <c r="J54" s="9"/>
      <c r="K54" s="2168"/>
      <c r="L54" s="94"/>
      <c r="M54" s="1206"/>
      <c r="N54" s="97"/>
      <c r="O54" s="9"/>
    </row>
    <row r="55" spans="1:15">
      <c r="E55" s="612"/>
      <c r="I55" s="9"/>
      <c r="J55" s="9"/>
      <c r="K55" s="2168"/>
      <c r="L55" s="94"/>
      <c r="M55" s="1206"/>
      <c r="N55" s="97"/>
      <c r="O55" s="9"/>
    </row>
    <row r="56" spans="1:15">
      <c r="E56" s="612"/>
      <c r="I56" s="9"/>
      <c r="J56" s="9"/>
      <c r="K56" s="2168"/>
      <c r="L56" s="94"/>
      <c r="M56" s="1206"/>
      <c r="N56" s="97"/>
      <c r="O56" s="9"/>
    </row>
    <row r="57" spans="1:15">
      <c r="E57" s="612"/>
      <c r="I57" s="9"/>
      <c r="J57" s="9"/>
      <c r="K57" s="2168"/>
      <c r="L57" s="94"/>
      <c r="M57" s="1206"/>
      <c r="N57" s="97"/>
      <c r="O57" s="9"/>
    </row>
    <row r="58" spans="1:15" ht="15.75">
      <c r="A58" s="188"/>
      <c r="B58" s="167"/>
      <c r="D58" s="167"/>
      <c r="I58" s="1207"/>
      <c r="J58" s="9"/>
      <c r="K58" s="2168"/>
      <c r="L58" s="94"/>
      <c r="M58" s="1206"/>
      <c r="N58" s="97"/>
      <c r="O58" s="9"/>
    </row>
    <row r="59" spans="1:15">
      <c r="B59" s="7"/>
      <c r="I59" s="9"/>
      <c r="J59" s="9"/>
      <c r="K59" s="2168"/>
      <c r="L59" s="94"/>
      <c r="M59" s="1206"/>
      <c r="N59" s="97"/>
      <c r="O59" s="9"/>
    </row>
    <row r="60" spans="1:15">
      <c r="I60" s="9"/>
      <c r="J60" s="9"/>
      <c r="K60" s="2168"/>
      <c r="L60" s="94"/>
      <c r="M60" s="1206"/>
      <c r="N60" s="97"/>
      <c r="O60" s="9"/>
    </row>
    <row r="61" spans="1:15">
      <c r="I61" s="9"/>
      <c r="J61" s="9"/>
      <c r="K61" s="2168"/>
      <c r="L61" s="94"/>
      <c r="M61" s="1206"/>
      <c r="N61" s="97"/>
      <c r="O61" s="9"/>
    </row>
    <row r="62" spans="1:15">
      <c r="I62" s="9"/>
      <c r="J62" s="9"/>
      <c r="K62" s="2168"/>
      <c r="L62" s="94"/>
      <c r="M62" s="1206"/>
      <c r="N62" s="97"/>
      <c r="O62" s="9"/>
    </row>
    <row r="63" spans="1:15">
      <c r="I63" s="9"/>
      <c r="J63" s="9"/>
      <c r="K63" s="2168"/>
      <c r="L63" s="94"/>
      <c r="M63" s="1206"/>
      <c r="N63" s="97"/>
      <c r="O63" s="9"/>
    </row>
    <row r="64" spans="1:15">
      <c r="I64" s="9"/>
      <c r="J64" s="9"/>
      <c r="K64" s="2168"/>
      <c r="L64" s="94"/>
      <c r="M64" s="1206"/>
      <c r="N64" s="97"/>
      <c r="O64" s="9"/>
    </row>
    <row r="65" spans="9:15">
      <c r="I65" s="9"/>
      <c r="J65" s="9"/>
      <c r="K65" s="2168"/>
      <c r="L65" s="94"/>
      <c r="M65" s="1206"/>
      <c r="N65" s="97"/>
      <c r="O65" s="9"/>
    </row>
    <row r="66" spans="9:15">
      <c r="I66" s="9"/>
      <c r="J66" s="9"/>
      <c r="K66" s="2168"/>
      <c r="L66" s="94"/>
      <c r="M66" s="1206"/>
      <c r="N66" s="97"/>
      <c r="O66" s="9"/>
    </row>
    <row r="67" spans="9:15">
      <c r="I67" s="9"/>
      <c r="J67" s="9"/>
      <c r="K67" s="9"/>
      <c r="L67" s="9"/>
      <c r="M67" s="9"/>
      <c r="N67" s="9"/>
      <c r="O67" s="9"/>
    </row>
    <row r="68" spans="9:15">
      <c r="I68" s="9"/>
      <c r="J68" s="9"/>
      <c r="K68" s="9"/>
      <c r="L68" s="867"/>
      <c r="M68" s="9"/>
      <c r="N68" s="9"/>
      <c r="O68" s="9"/>
    </row>
    <row r="69" spans="9:15">
      <c r="I69" s="9"/>
      <c r="J69" s="9"/>
      <c r="K69" s="9"/>
      <c r="L69" s="867"/>
      <c r="M69" s="9"/>
      <c r="N69" s="9"/>
      <c r="O69" s="9"/>
    </row>
    <row r="70" spans="9:15">
      <c r="I70" s="9"/>
      <c r="J70" s="9"/>
      <c r="K70" s="9"/>
      <c r="L70" s="867"/>
      <c r="M70" s="9"/>
      <c r="N70" s="9"/>
      <c r="O70" s="9"/>
    </row>
    <row r="71" spans="9:15">
      <c r="I71" s="9"/>
      <c r="J71" s="9"/>
      <c r="K71" s="9"/>
      <c r="L71" s="867"/>
      <c r="M71" s="9"/>
      <c r="N71" s="9"/>
      <c r="O71" s="9"/>
    </row>
    <row r="72" spans="9:15">
      <c r="I72" s="9"/>
      <c r="J72" s="9"/>
      <c r="K72" s="9"/>
      <c r="L72" s="9"/>
      <c r="M72" s="9"/>
      <c r="N72" s="9"/>
      <c r="O72" s="9"/>
    </row>
    <row r="73" spans="9:15">
      <c r="I73" s="9"/>
      <c r="J73" s="9"/>
      <c r="K73" s="9"/>
      <c r="L73" s="9"/>
      <c r="M73" s="9"/>
      <c r="N73" s="9"/>
      <c r="O73" s="9"/>
    </row>
  </sheetData>
  <mergeCells count="4">
    <mergeCell ref="M7:N7"/>
    <mergeCell ref="E7:F7"/>
    <mergeCell ref="C7:D7"/>
    <mergeCell ref="K7:L7"/>
  </mergeCells>
  <phoneticPr fontId="77"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tabColor theme="9" tint="0.39997558519241921"/>
  </sheetPr>
  <dimension ref="A1:IV117"/>
  <sheetViews>
    <sheetView showGridLines="0" zoomScaleNormal="100" workbookViewId="0"/>
  </sheetViews>
  <sheetFormatPr defaultColWidth="9.42578125" defaultRowHeight="12.75"/>
  <cols>
    <col min="1" max="1" width="14.85546875" style="2330" customWidth="1"/>
    <col min="2" max="2" width="20.5703125" style="2330" bestFit="1" customWidth="1"/>
    <col min="3" max="3" width="31.5703125" style="2334" customWidth="1"/>
    <col min="4" max="4" width="11.28515625" style="2335" customWidth="1"/>
    <col min="5" max="5" width="14.140625" style="2334" customWidth="1"/>
    <col min="6" max="6" width="9.7109375" style="2334" bestFit="1" customWidth="1"/>
    <col min="7" max="7" width="14.5703125" style="2334" customWidth="1"/>
    <col min="8" max="8" width="11.140625" style="2330" customWidth="1"/>
    <col min="9" max="9" width="12.7109375" style="2330" bestFit="1" customWidth="1"/>
    <col min="10" max="10" width="13.7109375" style="2330" customWidth="1"/>
    <col min="11" max="11" width="9.7109375" style="2330" bestFit="1" customWidth="1"/>
    <col min="12" max="12" width="15" style="2330" customWidth="1"/>
    <col min="13" max="13" width="13" style="2330" bestFit="1" customWidth="1"/>
    <col min="14" max="17" width="14.140625" style="2330" customWidth="1"/>
    <col min="18" max="18" width="10.85546875" style="2330" bestFit="1" customWidth="1"/>
    <col min="19" max="22" width="13.42578125" style="2330" customWidth="1"/>
    <col min="23" max="27" width="13.85546875" style="2330" customWidth="1"/>
    <col min="28" max="16384" width="9.42578125" style="2330"/>
  </cols>
  <sheetData>
    <row r="1" spans="1:256" ht="15">
      <c r="B1" s="4608" t="s">
        <v>388</v>
      </c>
      <c r="C1" s="4610"/>
      <c r="D1" s="3021" t="s">
        <v>416</v>
      </c>
      <c r="E1" s="3022"/>
      <c r="F1" s="166"/>
      <c r="G1" s="166"/>
      <c r="H1" s="2334"/>
    </row>
    <row r="2" spans="1:256" s="230" customFormat="1" ht="38.25">
      <c r="A2" s="170"/>
      <c r="B2" s="271" t="s">
        <v>1149</v>
      </c>
      <c r="C2" s="272" t="s">
        <v>953</v>
      </c>
      <c r="D2" s="247" t="s">
        <v>3</v>
      </c>
      <c r="E2" s="898" t="s">
        <v>2</v>
      </c>
      <c r="F2" s="898" t="s">
        <v>1</v>
      </c>
      <c r="G2" s="898" t="s">
        <v>1966</v>
      </c>
      <c r="H2" s="248" t="s">
        <v>1395</v>
      </c>
      <c r="I2" s="2901" t="s">
        <v>1444</v>
      </c>
      <c r="J2" s="2902" t="s">
        <v>1015</v>
      </c>
      <c r="K2" s="2903" t="s">
        <v>895</v>
      </c>
      <c r="L2" s="2187" t="s">
        <v>83</v>
      </c>
      <c r="M2" s="3321" t="s">
        <v>1503</v>
      </c>
    </row>
    <row r="3" spans="1:256" s="270" customFormat="1">
      <c r="A3" s="4613" t="s">
        <v>1004</v>
      </c>
      <c r="B3" s="1039" t="s">
        <v>1010</v>
      </c>
      <c r="C3" s="1040" t="s">
        <v>1011</v>
      </c>
      <c r="D3" s="1041" t="s">
        <v>128</v>
      </c>
      <c r="E3" s="1041" t="s">
        <v>128</v>
      </c>
      <c r="F3" s="1041" t="s">
        <v>127</v>
      </c>
      <c r="G3" s="1041" t="s">
        <v>127</v>
      </c>
      <c r="H3" s="1041" t="s">
        <v>1380</v>
      </c>
      <c r="I3" s="2904" t="s">
        <v>128</v>
      </c>
      <c r="J3" s="2904" t="s">
        <v>128</v>
      </c>
      <c r="K3" s="2905" t="s">
        <v>128</v>
      </c>
      <c r="L3" s="1041" t="s">
        <v>128</v>
      </c>
      <c r="M3" s="3322" t="s">
        <v>128</v>
      </c>
      <c r="AB3" s="269"/>
      <c r="AC3" s="269"/>
      <c r="AD3" s="269"/>
      <c r="AE3" s="269"/>
      <c r="AF3" s="269"/>
      <c r="AG3" s="269"/>
      <c r="AH3" s="269"/>
      <c r="AI3" s="269"/>
      <c r="AJ3" s="269"/>
      <c r="AK3" s="269"/>
      <c r="AL3" s="269"/>
      <c r="AM3" s="269"/>
      <c r="AN3" s="269"/>
      <c r="AO3" s="269"/>
      <c r="AP3" s="269"/>
      <c r="AQ3" s="269"/>
      <c r="AR3" s="269"/>
      <c r="AS3" s="269"/>
      <c r="AT3" s="269"/>
      <c r="AU3" s="269"/>
      <c r="AV3" s="269"/>
      <c r="AW3" s="269"/>
      <c r="AX3" s="269"/>
      <c r="AY3" s="269"/>
      <c r="AZ3" s="269"/>
      <c r="BA3" s="269"/>
      <c r="BB3" s="269"/>
      <c r="BC3" s="269"/>
      <c r="BD3" s="269"/>
      <c r="BE3" s="269"/>
      <c r="BF3" s="269"/>
      <c r="BG3" s="269"/>
      <c r="BH3" s="269"/>
      <c r="BI3" s="269"/>
      <c r="BJ3" s="269"/>
      <c r="BK3" s="269"/>
      <c r="BL3" s="269"/>
      <c r="BM3" s="269"/>
      <c r="BN3" s="269"/>
      <c r="BO3" s="269"/>
      <c r="BP3" s="269"/>
      <c r="BQ3" s="269"/>
      <c r="BR3" s="269"/>
      <c r="BS3" s="269"/>
      <c r="BT3" s="269"/>
      <c r="BU3" s="269"/>
      <c r="BV3" s="269"/>
      <c r="BW3" s="269"/>
      <c r="BX3" s="269"/>
      <c r="BY3" s="269"/>
      <c r="BZ3" s="269"/>
      <c r="CA3" s="269"/>
      <c r="CB3" s="269"/>
      <c r="CC3" s="269"/>
      <c r="CD3" s="269"/>
      <c r="CE3" s="269"/>
      <c r="CF3" s="269"/>
      <c r="CG3" s="269"/>
      <c r="CH3" s="269"/>
      <c r="CI3" s="269"/>
      <c r="CJ3" s="269"/>
      <c r="CK3" s="269"/>
      <c r="CL3" s="269"/>
      <c r="CM3" s="269"/>
      <c r="CN3" s="269"/>
      <c r="CO3" s="269"/>
      <c r="CP3" s="269"/>
      <c r="CQ3" s="269"/>
      <c r="CR3" s="269"/>
      <c r="CS3" s="269"/>
      <c r="CT3" s="269"/>
      <c r="CU3" s="269"/>
      <c r="CV3" s="269"/>
      <c r="CW3" s="269"/>
      <c r="CX3" s="269"/>
      <c r="CY3" s="269"/>
      <c r="CZ3" s="269"/>
      <c r="DA3" s="269"/>
      <c r="DB3" s="269"/>
      <c r="DC3" s="269"/>
      <c r="DD3" s="269"/>
      <c r="DE3" s="269"/>
      <c r="DF3" s="269"/>
      <c r="DG3" s="269"/>
      <c r="DH3" s="269"/>
      <c r="DI3" s="269"/>
      <c r="DJ3" s="269"/>
      <c r="DK3" s="269"/>
      <c r="DL3" s="269"/>
      <c r="DM3" s="269"/>
      <c r="DN3" s="269"/>
      <c r="DO3" s="269"/>
      <c r="DP3" s="269"/>
      <c r="DQ3" s="269"/>
      <c r="DR3" s="269"/>
      <c r="DS3" s="269"/>
      <c r="DT3" s="269"/>
      <c r="DU3" s="269"/>
      <c r="DV3" s="269"/>
      <c r="DW3" s="269"/>
      <c r="DX3" s="269"/>
      <c r="DY3" s="269"/>
      <c r="DZ3" s="269"/>
      <c r="EA3" s="269"/>
      <c r="EB3" s="269"/>
      <c r="EC3" s="269"/>
      <c r="ED3" s="269"/>
      <c r="EE3" s="269"/>
      <c r="EF3" s="269"/>
      <c r="EG3" s="269"/>
      <c r="EH3" s="269"/>
      <c r="EI3" s="269"/>
      <c r="EJ3" s="269"/>
      <c r="EK3" s="269"/>
      <c r="EL3" s="269"/>
      <c r="EM3" s="269"/>
      <c r="EN3" s="269"/>
      <c r="EO3" s="269"/>
      <c r="EP3" s="269"/>
      <c r="EQ3" s="269"/>
      <c r="ER3" s="269"/>
      <c r="ES3" s="269"/>
      <c r="ET3" s="269"/>
      <c r="EU3" s="269"/>
      <c r="EV3" s="269"/>
      <c r="EW3" s="269"/>
      <c r="EX3" s="269"/>
      <c r="EY3" s="269"/>
      <c r="EZ3" s="269"/>
      <c r="FA3" s="269"/>
      <c r="FB3" s="269"/>
      <c r="FC3" s="269"/>
      <c r="FD3" s="269"/>
      <c r="FE3" s="269"/>
      <c r="FF3" s="269"/>
      <c r="FG3" s="269"/>
      <c r="FH3" s="269"/>
      <c r="FI3" s="269"/>
      <c r="FJ3" s="269"/>
      <c r="FK3" s="269"/>
      <c r="FL3" s="269"/>
      <c r="FM3" s="269"/>
      <c r="FN3" s="269"/>
      <c r="FO3" s="269"/>
      <c r="FP3" s="269"/>
      <c r="FQ3" s="269"/>
      <c r="FR3" s="269"/>
      <c r="FS3" s="269"/>
      <c r="FT3" s="269"/>
      <c r="FU3" s="269"/>
      <c r="FV3" s="269"/>
      <c r="FW3" s="269"/>
      <c r="FX3" s="269"/>
      <c r="FY3" s="269"/>
      <c r="FZ3" s="269"/>
      <c r="GA3" s="269"/>
      <c r="GB3" s="269"/>
      <c r="GC3" s="269"/>
      <c r="GD3" s="269"/>
      <c r="GE3" s="269"/>
      <c r="GF3" s="269"/>
      <c r="GG3" s="269"/>
      <c r="GH3" s="269"/>
      <c r="GI3" s="269"/>
      <c r="GJ3" s="269"/>
      <c r="GK3" s="269"/>
      <c r="GL3" s="269"/>
      <c r="GM3" s="269"/>
      <c r="GN3" s="269"/>
      <c r="GO3" s="269"/>
      <c r="GP3" s="269"/>
      <c r="GQ3" s="269"/>
      <c r="GR3" s="269"/>
      <c r="GS3" s="269"/>
      <c r="GT3" s="269"/>
      <c r="GU3" s="269"/>
      <c r="GV3" s="269"/>
      <c r="GW3" s="269"/>
      <c r="GX3" s="269"/>
      <c r="GY3" s="269"/>
      <c r="GZ3" s="269"/>
      <c r="HA3" s="269"/>
      <c r="HB3" s="269"/>
      <c r="HC3" s="269"/>
      <c r="HD3" s="269"/>
      <c r="HE3" s="269"/>
      <c r="HF3" s="269"/>
      <c r="HG3" s="269"/>
      <c r="HH3" s="269"/>
      <c r="HI3" s="269"/>
      <c r="HJ3" s="269"/>
      <c r="HK3" s="269"/>
      <c r="HL3" s="269"/>
      <c r="HM3" s="269"/>
      <c r="HN3" s="269"/>
      <c r="HO3" s="269"/>
      <c r="HP3" s="269"/>
      <c r="HQ3" s="269"/>
      <c r="HR3" s="269"/>
      <c r="HS3" s="269"/>
      <c r="HT3" s="269"/>
      <c r="HU3" s="269"/>
      <c r="HV3" s="269"/>
      <c r="HW3" s="269"/>
      <c r="HX3" s="269"/>
      <c r="HY3" s="269"/>
      <c r="HZ3" s="269"/>
      <c r="IA3" s="269"/>
      <c r="IB3" s="269"/>
      <c r="IC3" s="269"/>
      <c r="ID3" s="269"/>
      <c r="IE3" s="269"/>
      <c r="IF3" s="269"/>
      <c r="IG3" s="269"/>
      <c r="IH3" s="269"/>
      <c r="II3" s="269"/>
      <c r="IJ3" s="269"/>
      <c r="IK3" s="269"/>
      <c r="IL3" s="269"/>
      <c r="IM3" s="269"/>
      <c r="IN3" s="269"/>
      <c r="IO3" s="269"/>
      <c r="IP3" s="269"/>
      <c r="IQ3" s="269"/>
      <c r="IR3" s="269"/>
      <c r="IS3" s="269"/>
      <c r="IT3" s="269"/>
      <c r="IU3" s="269"/>
      <c r="IV3" s="269"/>
    </row>
    <row r="4" spans="1:256" s="2334" customFormat="1">
      <c r="A4" s="4613"/>
      <c r="B4" s="2982" t="s">
        <v>645</v>
      </c>
      <c r="C4" s="1043" t="s">
        <v>1769</v>
      </c>
      <c r="D4" s="1044">
        <f>IF(CostScenario="Higher Cost",I17,IF(CostScenario="Lower Cost",N17,D17))</f>
        <v>0.33</v>
      </c>
      <c r="E4" s="3320">
        <f>IF(CostScenario="Higher Cost",J17,IF(CostScenario="Lower Cost",O17,E17))</f>
        <v>0.4</v>
      </c>
      <c r="F4" s="1044">
        <f>IF(CostScenario="Higher Cost",K17,IF(CostScenario="Lower Cost",P17,F17))</f>
        <v>0.55000000000000004</v>
      </c>
      <c r="G4" s="1044">
        <f>IF(CostScenario="Higher Cost",L17,IF(CostScenario="Lower Cost",Q17,G17))</f>
        <v>0.55000000000000004</v>
      </c>
      <c r="H4" s="1044">
        <f>IF(CostScenario="Higher Cost",M17,IF(CostScenario="Lower Cost",R17,H17))</f>
        <v>0</v>
      </c>
      <c r="I4" s="2910">
        <v>0.5</v>
      </c>
      <c r="J4" s="2910">
        <v>0.5</v>
      </c>
      <c r="K4" s="2911">
        <v>0.39100000000000001</v>
      </c>
      <c r="L4" s="1044">
        <v>0.5</v>
      </c>
      <c r="M4" s="3323">
        <v>0.5</v>
      </c>
      <c r="N4" s="2126"/>
      <c r="O4" s="2126"/>
      <c r="P4" s="2126"/>
      <c r="Q4" s="2126"/>
      <c r="R4" s="2126"/>
      <c r="S4" s="2126"/>
      <c r="T4" s="2126"/>
      <c r="U4" s="2126"/>
      <c r="V4" s="2126"/>
      <c r="W4" s="2126"/>
      <c r="X4" s="2126"/>
      <c r="Y4" s="2126"/>
      <c r="Z4" s="2126"/>
      <c r="AA4" s="2126"/>
      <c r="AB4" s="26"/>
      <c r="AC4" s="26"/>
      <c r="AD4" s="26"/>
      <c r="AE4" s="26"/>
      <c r="AF4" s="26"/>
      <c r="AG4" s="26"/>
      <c r="AH4" s="26"/>
      <c r="AI4" s="26"/>
      <c r="AJ4" s="26"/>
      <c r="AK4" s="26"/>
      <c r="AL4" s="26"/>
      <c r="AM4" s="26"/>
      <c r="AN4" s="26"/>
      <c r="AO4" s="26"/>
      <c r="AP4" s="26"/>
      <c r="AQ4" s="26"/>
      <c r="AR4" s="26"/>
      <c r="AS4" s="26"/>
      <c r="AT4" s="26"/>
      <c r="AU4" s="26"/>
      <c r="AV4" s="26"/>
      <c r="AW4" s="26"/>
      <c r="AX4" s="26"/>
      <c r="AY4" s="26"/>
      <c r="AZ4" s="26"/>
      <c r="BA4" s="26"/>
      <c r="BB4" s="26"/>
      <c r="BC4" s="26"/>
      <c r="BD4" s="26"/>
      <c r="BE4" s="26"/>
      <c r="BF4" s="26"/>
      <c r="BG4" s="26"/>
      <c r="BH4" s="26"/>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26"/>
      <c r="DD4" s="26"/>
      <c r="DE4" s="26"/>
      <c r="DF4" s="26"/>
      <c r="DG4" s="26"/>
      <c r="DH4" s="26"/>
      <c r="DI4" s="26"/>
      <c r="DJ4" s="26"/>
      <c r="DK4" s="26"/>
      <c r="DL4" s="26"/>
      <c r="DM4" s="26"/>
      <c r="DN4" s="26"/>
      <c r="DO4" s="26"/>
      <c r="DP4" s="26"/>
      <c r="DQ4" s="26"/>
      <c r="DR4" s="26"/>
      <c r="DS4" s="26"/>
      <c r="DT4" s="26"/>
      <c r="DU4" s="26"/>
      <c r="DV4" s="26"/>
      <c r="DW4" s="26"/>
      <c r="DX4" s="26"/>
      <c r="DY4" s="26"/>
      <c r="DZ4" s="26"/>
      <c r="EA4" s="26"/>
      <c r="EB4" s="26"/>
      <c r="EC4" s="26"/>
      <c r="ED4" s="26"/>
      <c r="EE4" s="26"/>
      <c r="EF4" s="26"/>
      <c r="EG4" s="26"/>
      <c r="EH4" s="26"/>
      <c r="EI4" s="26"/>
      <c r="EJ4" s="26"/>
      <c r="EK4" s="26"/>
      <c r="EL4" s="26"/>
      <c r="EM4" s="26"/>
      <c r="EN4" s="26"/>
      <c r="EO4" s="26"/>
      <c r="EP4" s="26"/>
      <c r="EQ4" s="26"/>
      <c r="ER4" s="26"/>
      <c r="ES4" s="26"/>
      <c r="ET4" s="26"/>
      <c r="EU4" s="26"/>
      <c r="EV4" s="26"/>
      <c r="EW4" s="26"/>
      <c r="EX4" s="26"/>
      <c r="EY4" s="26"/>
      <c r="EZ4" s="26"/>
      <c r="FA4" s="26"/>
      <c r="FB4" s="26"/>
      <c r="FC4" s="26"/>
      <c r="FD4" s="26"/>
      <c r="FE4" s="26"/>
      <c r="FF4" s="26"/>
      <c r="FG4" s="26"/>
      <c r="FH4" s="26"/>
      <c r="FI4" s="26"/>
      <c r="FJ4" s="26"/>
      <c r="FK4" s="26"/>
      <c r="FL4" s="26"/>
      <c r="FM4" s="26"/>
      <c r="FN4" s="26"/>
      <c r="FO4" s="26"/>
      <c r="FP4" s="26"/>
      <c r="FQ4" s="26"/>
      <c r="FR4" s="26"/>
      <c r="FS4" s="26"/>
      <c r="FT4" s="26"/>
      <c r="FU4" s="26"/>
      <c r="FV4" s="26"/>
      <c r="FW4" s="26"/>
      <c r="FX4" s="26"/>
      <c r="FY4" s="26"/>
      <c r="FZ4" s="26"/>
      <c r="GA4" s="26"/>
      <c r="GB4" s="26"/>
      <c r="GC4" s="26"/>
      <c r="GD4" s="26"/>
      <c r="GE4" s="26"/>
      <c r="GF4" s="26"/>
      <c r="GG4" s="26"/>
      <c r="GH4" s="26"/>
      <c r="GI4" s="26"/>
      <c r="GJ4" s="26"/>
      <c r="GK4" s="26"/>
      <c r="GL4" s="26"/>
      <c r="GM4" s="26"/>
      <c r="GN4" s="26"/>
      <c r="GO4" s="26"/>
      <c r="GP4" s="26"/>
      <c r="GQ4" s="26"/>
      <c r="GR4" s="26"/>
      <c r="GS4" s="26"/>
      <c r="GT4" s="26"/>
      <c r="GU4" s="26"/>
      <c r="GV4" s="26"/>
      <c r="GW4" s="26"/>
      <c r="GX4" s="26"/>
      <c r="GY4" s="26"/>
      <c r="GZ4" s="26"/>
      <c r="HA4" s="26"/>
      <c r="HB4" s="26"/>
      <c r="HC4" s="26"/>
      <c r="HD4" s="26"/>
      <c r="HE4" s="26"/>
      <c r="HF4" s="26"/>
      <c r="HG4" s="26"/>
      <c r="HH4" s="26"/>
      <c r="HI4" s="26"/>
      <c r="HJ4" s="26"/>
      <c r="HK4" s="26"/>
      <c r="HL4" s="26"/>
      <c r="HM4" s="26"/>
      <c r="HN4" s="26"/>
      <c r="HO4" s="26"/>
      <c r="HP4" s="26"/>
      <c r="HQ4" s="26"/>
      <c r="HR4" s="26"/>
      <c r="HS4" s="26"/>
      <c r="HT4" s="26"/>
      <c r="HU4" s="26"/>
      <c r="HV4" s="26"/>
      <c r="HW4" s="26"/>
      <c r="HX4" s="26"/>
      <c r="HY4" s="26"/>
      <c r="HZ4" s="26"/>
      <c r="IA4" s="26"/>
      <c r="IB4" s="26"/>
      <c r="IC4" s="26"/>
      <c r="ID4" s="26"/>
      <c r="IE4" s="26"/>
      <c r="IF4" s="26"/>
      <c r="IG4" s="26"/>
      <c r="IH4" s="26"/>
      <c r="II4" s="26"/>
      <c r="IJ4" s="26"/>
      <c r="IK4" s="26"/>
      <c r="IL4" s="26"/>
      <c r="IM4" s="26"/>
      <c r="IN4" s="26"/>
      <c r="IO4" s="26"/>
      <c r="IP4" s="26"/>
      <c r="IQ4" s="26"/>
      <c r="IR4" s="26"/>
      <c r="IS4" s="26"/>
      <c r="IT4" s="26"/>
      <c r="IU4" s="26"/>
      <c r="IV4" s="26"/>
    </row>
    <row r="5" spans="1:256" s="2334" customFormat="1">
      <c r="A5" s="4613"/>
      <c r="B5" s="2982" t="s">
        <v>646</v>
      </c>
      <c r="C5" s="1045" t="s">
        <v>421</v>
      </c>
      <c r="D5" s="2198">
        <f t="shared" ref="D5:H6" si="0">IF(CostScenario="Higher Cost",I18,IF(CostScenario="Lower Cost",N18,D18))</f>
        <v>0.13250000000000001</v>
      </c>
      <c r="E5" s="2198">
        <f t="shared" si="0"/>
        <v>0.13250000000000001</v>
      </c>
      <c r="F5" s="2198">
        <f t="shared" si="0"/>
        <v>0.10039570993910207</v>
      </c>
      <c r="G5" s="2198">
        <f t="shared" si="0"/>
        <v>0.10039570993910207</v>
      </c>
      <c r="H5" s="2199">
        <f t="shared" si="0"/>
        <v>0</v>
      </c>
      <c r="I5" s="2906"/>
      <c r="J5" s="2906">
        <v>0.1278</v>
      </c>
      <c r="K5" s="2912">
        <v>0.16</v>
      </c>
      <c r="L5" s="2199"/>
      <c r="M5" s="2126"/>
      <c r="N5" s="2126"/>
      <c r="O5" s="2126"/>
      <c r="P5" s="2126"/>
      <c r="Q5" s="2126"/>
      <c r="R5" s="2126"/>
      <c r="S5" s="2126"/>
      <c r="T5" s="2126"/>
      <c r="U5" s="2126"/>
      <c r="V5" s="2126"/>
      <c r="W5" s="2126"/>
      <c r="X5" s="2126"/>
      <c r="Y5" s="2126"/>
      <c r="Z5" s="2126"/>
      <c r="AA5" s="2126"/>
      <c r="AB5" s="1586"/>
      <c r="AC5" s="1586"/>
      <c r="AD5" s="1586"/>
      <c r="AE5" s="1586"/>
      <c r="AF5" s="1586"/>
      <c r="AG5" s="1586"/>
      <c r="AH5" s="1586"/>
      <c r="AI5" s="1586"/>
      <c r="AJ5" s="1586"/>
      <c r="AK5" s="1586"/>
      <c r="AL5" s="1586"/>
      <c r="AM5" s="1586"/>
      <c r="AN5" s="1586"/>
      <c r="AO5" s="1586"/>
      <c r="AP5" s="1586"/>
      <c r="AQ5" s="1586"/>
      <c r="AR5" s="1586"/>
      <c r="AS5" s="1586"/>
      <c r="AT5" s="1586"/>
      <c r="AU5" s="1586"/>
      <c r="AV5" s="1586"/>
      <c r="AW5" s="1586"/>
      <c r="AX5" s="1586"/>
      <c r="AY5" s="1586"/>
      <c r="AZ5" s="1586"/>
      <c r="BA5" s="1586"/>
      <c r="BB5" s="1586"/>
      <c r="BC5" s="1586"/>
      <c r="BD5" s="1586"/>
      <c r="BE5" s="1586"/>
      <c r="BF5" s="1586"/>
      <c r="BG5" s="1586"/>
      <c r="BH5" s="1586"/>
      <c r="BI5" s="1586"/>
      <c r="BJ5" s="1586"/>
      <c r="BK5" s="1586"/>
      <c r="BL5" s="1586"/>
      <c r="BM5" s="1586"/>
      <c r="BN5" s="1586"/>
      <c r="BO5" s="1586"/>
      <c r="BP5" s="1586"/>
      <c r="BQ5" s="1586"/>
      <c r="BR5" s="1586"/>
      <c r="BS5" s="1586"/>
      <c r="BT5" s="1586"/>
      <c r="BU5" s="1586"/>
      <c r="BV5" s="1586"/>
      <c r="BW5" s="1586"/>
      <c r="BX5" s="1586"/>
      <c r="BY5" s="1586"/>
      <c r="BZ5" s="1586"/>
      <c r="CA5" s="1586"/>
      <c r="CB5" s="1586"/>
      <c r="CC5" s="1586"/>
      <c r="CD5" s="1586"/>
      <c r="CE5" s="1586"/>
      <c r="CF5" s="1586"/>
      <c r="CG5" s="1586"/>
      <c r="CH5" s="1586"/>
      <c r="CI5" s="1586"/>
      <c r="CJ5" s="1586"/>
      <c r="CK5" s="1586"/>
      <c r="CL5" s="1586"/>
      <c r="CM5" s="1586"/>
      <c r="CN5" s="1586"/>
      <c r="CO5" s="1586"/>
      <c r="CP5" s="1586"/>
      <c r="CQ5" s="1586"/>
      <c r="CR5" s="1586"/>
      <c r="CS5" s="1586"/>
      <c r="CT5" s="1586"/>
      <c r="CU5" s="1586"/>
      <c r="CV5" s="1586"/>
      <c r="CW5" s="1586"/>
      <c r="CX5" s="1586"/>
      <c r="CY5" s="1586"/>
      <c r="CZ5" s="1586"/>
      <c r="DA5" s="1586"/>
      <c r="DB5" s="1586"/>
      <c r="DC5" s="1586"/>
      <c r="DD5" s="1586"/>
      <c r="DE5" s="1586"/>
      <c r="DF5" s="1586"/>
      <c r="DG5" s="1586"/>
      <c r="DH5" s="1586"/>
      <c r="DI5" s="1586"/>
      <c r="DJ5" s="1586"/>
      <c r="DK5" s="1586"/>
      <c r="DL5" s="1586"/>
      <c r="DM5" s="1586"/>
      <c r="DN5" s="1586"/>
      <c r="DO5" s="1586"/>
      <c r="DP5" s="1586"/>
      <c r="DQ5" s="1586"/>
      <c r="DR5" s="1586"/>
      <c r="DS5" s="1586"/>
      <c r="DT5" s="1586"/>
      <c r="DU5" s="1586"/>
      <c r="DV5" s="1586"/>
      <c r="DW5" s="1586"/>
      <c r="DX5" s="1586"/>
      <c r="DY5" s="1586"/>
      <c r="DZ5" s="1586"/>
      <c r="EA5" s="1586"/>
      <c r="EB5" s="1586"/>
      <c r="EC5" s="1586"/>
      <c r="ED5" s="1586"/>
      <c r="EE5" s="1586"/>
      <c r="EF5" s="1586"/>
      <c r="EG5" s="1586"/>
      <c r="EH5" s="1586"/>
      <c r="EI5" s="1586"/>
      <c r="EJ5" s="1586"/>
      <c r="EK5" s="1586"/>
      <c r="EL5" s="1586"/>
      <c r="EM5" s="1586"/>
      <c r="EN5" s="1586"/>
      <c r="EO5" s="1586"/>
      <c r="EP5" s="1586"/>
      <c r="EQ5" s="1586"/>
      <c r="ER5" s="1586"/>
      <c r="ES5" s="1586"/>
      <c r="ET5" s="1586"/>
      <c r="EU5" s="1586"/>
      <c r="EV5" s="1586"/>
      <c r="EW5" s="1586"/>
      <c r="EX5" s="1586"/>
      <c r="EY5" s="1586"/>
      <c r="EZ5" s="1586"/>
      <c r="FA5" s="1586"/>
      <c r="FB5" s="1586"/>
      <c r="FC5" s="1586"/>
      <c r="FD5" s="1586"/>
      <c r="FE5" s="1586"/>
      <c r="FF5" s="1586"/>
      <c r="FG5" s="1586"/>
      <c r="FH5" s="1586"/>
      <c r="FI5" s="1586"/>
      <c r="FJ5" s="1586"/>
      <c r="FK5" s="1586"/>
      <c r="FL5" s="1586"/>
      <c r="FM5" s="1586"/>
      <c r="FN5" s="1586"/>
      <c r="FO5" s="1586"/>
      <c r="FP5" s="1586"/>
      <c r="FQ5" s="1586"/>
      <c r="FR5" s="1586"/>
      <c r="FS5" s="1586"/>
      <c r="FT5" s="1586"/>
      <c r="FU5" s="1586"/>
      <c r="FV5" s="1586"/>
      <c r="FW5" s="1586"/>
      <c r="FX5" s="1586"/>
      <c r="FY5" s="1586"/>
      <c r="FZ5" s="1586"/>
      <c r="GA5" s="1586"/>
      <c r="GB5" s="1586"/>
      <c r="GC5" s="1586"/>
      <c r="GD5" s="1586"/>
      <c r="GE5" s="1586"/>
      <c r="GF5" s="1586"/>
      <c r="GG5" s="1586"/>
      <c r="GH5" s="1586"/>
      <c r="GI5" s="1586"/>
      <c r="GJ5" s="1586"/>
      <c r="GK5" s="1586"/>
      <c r="GL5" s="1586"/>
      <c r="GM5" s="1586"/>
      <c r="GN5" s="1586"/>
      <c r="GO5" s="1586"/>
      <c r="GP5" s="1586"/>
      <c r="GQ5" s="1586"/>
      <c r="GR5" s="1586"/>
      <c r="GS5" s="1586"/>
      <c r="GT5" s="1586"/>
      <c r="GU5" s="1586"/>
      <c r="GV5" s="1586"/>
      <c r="GW5" s="1586"/>
      <c r="GX5" s="1586"/>
      <c r="GY5" s="1586"/>
      <c r="GZ5" s="1586"/>
      <c r="HA5" s="1586"/>
      <c r="HB5" s="1586"/>
      <c r="HC5" s="1586"/>
      <c r="HD5" s="1586"/>
      <c r="HE5" s="1586"/>
      <c r="HF5" s="1586"/>
      <c r="HG5" s="1586"/>
      <c r="HH5" s="1586"/>
      <c r="HI5" s="1586"/>
      <c r="HJ5" s="1586"/>
      <c r="HK5" s="1586"/>
      <c r="HL5" s="1586"/>
      <c r="HM5" s="1586"/>
      <c r="HN5" s="1586"/>
      <c r="HO5" s="1586"/>
      <c r="HP5" s="1586"/>
      <c r="HQ5" s="1586"/>
      <c r="HR5" s="1586"/>
      <c r="HS5" s="1586"/>
      <c r="HT5" s="1586"/>
      <c r="HU5" s="1586"/>
      <c r="HV5" s="1586"/>
      <c r="HW5" s="1586"/>
      <c r="HX5" s="1586"/>
      <c r="HY5" s="1586"/>
      <c r="HZ5" s="1586"/>
      <c r="IA5" s="1586"/>
      <c r="IB5" s="1586"/>
      <c r="IC5" s="1586"/>
      <c r="ID5" s="1586"/>
      <c r="IE5" s="1586"/>
      <c r="IF5" s="1586"/>
      <c r="IG5" s="1586"/>
      <c r="IH5" s="1586"/>
      <c r="II5" s="1586"/>
      <c r="IJ5" s="1586"/>
      <c r="IK5" s="1586"/>
      <c r="IL5" s="1586"/>
      <c r="IM5" s="1586"/>
      <c r="IN5" s="1586"/>
      <c r="IO5" s="1586"/>
      <c r="IP5" s="1586"/>
      <c r="IQ5" s="1586"/>
      <c r="IR5" s="1586"/>
      <c r="IS5" s="1586"/>
      <c r="IT5" s="1586"/>
      <c r="IU5" s="1586"/>
      <c r="IV5" s="1586"/>
    </row>
    <row r="6" spans="1:256" s="2334" customFormat="1">
      <c r="A6" s="4613"/>
      <c r="B6" s="2982" t="s">
        <v>647</v>
      </c>
      <c r="C6" s="1045" t="s">
        <v>422</v>
      </c>
      <c r="D6" s="2198">
        <f t="shared" si="0"/>
        <v>5.9130000000000002E-2</v>
      </c>
      <c r="E6" s="2198">
        <f t="shared" si="0"/>
        <v>5.9130000000000002E-2</v>
      </c>
      <c r="F6" s="2198">
        <f t="shared" si="0"/>
        <v>5.2833333333333336E-2</v>
      </c>
      <c r="G6" s="2198">
        <f t="shared" si="0"/>
        <v>5.2833333333333336E-2</v>
      </c>
      <c r="H6" s="2198">
        <f t="shared" si="0"/>
        <v>3.2000000000000001E-2</v>
      </c>
      <c r="I6" s="2907"/>
      <c r="J6" s="2907">
        <v>7.1300000000000002E-2</v>
      </c>
      <c r="K6" s="2912">
        <v>7.3999999999999996E-2</v>
      </c>
      <c r="L6" s="2199"/>
      <c r="M6" s="2126"/>
      <c r="N6" s="2126"/>
      <c r="O6" s="2126"/>
      <c r="P6" s="2126"/>
      <c r="Q6" s="2126"/>
      <c r="R6" s="2126"/>
      <c r="S6" s="2126"/>
      <c r="T6" s="2126"/>
      <c r="U6" s="2126"/>
      <c r="V6" s="2126"/>
      <c r="W6" s="2126"/>
      <c r="X6" s="2126"/>
      <c r="Y6" s="2126"/>
      <c r="Z6" s="2126"/>
      <c r="AA6" s="2126"/>
      <c r="AB6" s="1586"/>
      <c r="AC6" s="1586"/>
      <c r="AD6" s="1586"/>
      <c r="AE6" s="1586"/>
      <c r="AF6" s="1586"/>
      <c r="AG6" s="1586"/>
      <c r="AH6" s="1586"/>
      <c r="AI6" s="1586"/>
      <c r="AJ6" s="1586"/>
      <c r="AK6" s="1586"/>
      <c r="AL6" s="1586"/>
      <c r="AM6" s="1586"/>
      <c r="AN6" s="1586"/>
      <c r="AO6" s="1586"/>
      <c r="AP6" s="1586"/>
      <c r="AQ6" s="1586"/>
      <c r="AR6" s="1586"/>
      <c r="AS6" s="1586"/>
      <c r="AT6" s="1586"/>
      <c r="AU6" s="1586"/>
      <c r="AV6" s="1586"/>
      <c r="AW6" s="1586"/>
      <c r="AX6" s="1586"/>
      <c r="AY6" s="1586"/>
      <c r="AZ6" s="1586"/>
      <c r="BA6" s="1586"/>
      <c r="BB6" s="1586"/>
      <c r="BC6" s="1586"/>
      <c r="BD6" s="1586"/>
      <c r="BE6" s="1586"/>
      <c r="BF6" s="1586"/>
      <c r="BG6" s="1586"/>
      <c r="BH6" s="1586"/>
      <c r="BI6" s="1586"/>
      <c r="BJ6" s="1586"/>
      <c r="BK6" s="1586"/>
      <c r="BL6" s="1586"/>
      <c r="BM6" s="1586"/>
      <c r="BN6" s="1586"/>
      <c r="BO6" s="1586"/>
      <c r="BP6" s="1586"/>
      <c r="BQ6" s="1586"/>
      <c r="BR6" s="1586"/>
      <c r="BS6" s="1586"/>
      <c r="BT6" s="1586"/>
      <c r="BU6" s="1586"/>
      <c r="BV6" s="1586"/>
      <c r="BW6" s="1586"/>
      <c r="BX6" s="1586"/>
      <c r="BY6" s="1586"/>
      <c r="BZ6" s="1586"/>
      <c r="CA6" s="1586"/>
      <c r="CB6" s="1586"/>
      <c r="CC6" s="1586"/>
      <c r="CD6" s="1586"/>
      <c r="CE6" s="1586"/>
      <c r="CF6" s="1586"/>
      <c r="CG6" s="1586"/>
      <c r="CH6" s="1586"/>
      <c r="CI6" s="1586"/>
      <c r="CJ6" s="1586"/>
      <c r="CK6" s="1586"/>
      <c r="CL6" s="1586"/>
      <c r="CM6" s="1586"/>
      <c r="CN6" s="1586"/>
      <c r="CO6" s="1586"/>
      <c r="CP6" s="1586"/>
      <c r="CQ6" s="1586"/>
      <c r="CR6" s="1586"/>
      <c r="CS6" s="1586"/>
      <c r="CT6" s="1586"/>
      <c r="CU6" s="1586"/>
      <c r="CV6" s="1586"/>
      <c r="CW6" s="1586"/>
      <c r="CX6" s="1586"/>
      <c r="CY6" s="1586"/>
      <c r="CZ6" s="1586"/>
      <c r="DA6" s="1586"/>
      <c r="DB6" s="1586"/>
      <c r="DC6" s="1586"/>
      <c r="DD6" s="1586"/>
      <c r="DE6" s="1586"/>
      <c r="DF6" s="1586"/>
      <c r="DG6" s="1586"/>
      <c r="DH6" s="1586"/>
      <c r="DI6" s="1586"/>
      <c r="DJ6" s="1586"/>
      <c r="DK6" s="1586"/>
      <c r="DL6" s="1586"/>
      <c r="DM6" s="1586"/>
      <c r="DN6" s="1586"/>
      <c r="DO6" s="1586"/>
      <c r="DP6" s="1586"/>
      <c r="DQ6" s="1586"/>
      <c r="DR6" s="1586"/>
      <c r="DS6" s="1586"/>
      <c r="DT6" s="1586"/>
      <c r="DU6" s="1586"/>
      <c r="DV6" s="1586"/>
      <c r="DW6" s="1586"/>
      <c r="DX6" s="1586"/>
      <c r="DY6" s="1586"/>
      <c r="DZ6" s="1586"/>
      <c r="EA6" s="1586"/>
      <c r="EB6" s="1586"/>
      <c r="EC6" s="1586"/>
      <c r="ED6" s="1586"/>
      <c r="EE6" s="1586"/>
      <c r="EF6" s="1586"/>
      <c r="EG6" s="1586"/>
      <c r="EH6" s="1586"/>
      <c r="EI6" s="1586"/>
      <c r="EJ6" s="1586"/>
      <c r="EK6" s="1586"/>
      <c r="EL6" s="1586"/>
      <c r="EM6" s="1586"/>
      <c r="EN6" s="1586"/>
      <c r="EO6" s="1586"/>
      <c r="EP6" s="1586"/>
      <c r="EQ6" s="1586"/>
      <c r="ER6" s="1586"/>
      <c r="ES6" s="1586"/>
      <c r="ET6" s="1586"/>
      <c r="EU6" s="1586"/>
      <c r="EV6" s="1586"/>
      <c r="EW6" s="1586"/>
      <c r="EX6" s="1586"/>
      <c r="EY6" s="1586"/>
      <c r="EZ6" s="1586"/>
      <c r="FA6" s="1586"/>
      <c r="FB6" s="1586"/>
      <c r="FC6" s="1586"/>
      <c r="FD6" s="1586"/>
      <c r="FE6" s="1586"/>
      <c r="FF6" s="1586"/>
      <c r="FG6" s="1586"/>
      <c r="FH6" s="1586"/>
      <c r="FI6" s="1586"/>
      <c r="FJ6" s="1586"/>
      <c r="FK6" s="1586"/>
      <c r="FL6" s="1586"/>
      <c r="FM6" s="1586"/>
      <c r="FN6" s="1586"/>
      <c r="FO6" s="1586"/>
      <c r="FP6" s="1586"/>
      <c r="FQ6" s="1586"/>
      <c r="FR6" s="1586"/>
      <c r="FS6" s="1586"/>
      <c r="FT6" s="1586"/>
      <c r="FU6" s="1586"/>
      <c r="FV6" s="1586"/>
      <c r="FW6" s="1586"/>
      <c r="FX6" s="1586"/>
      <c r="FY6" s="1586"/>
      <c r="FZ6" s="1586"/>
      <c r="GA6" s="1586"/>
      <c r="GB6" s="1586"/>
      <c r="GC6" s="1586"/>
      <c r="GD6" s="1586"/>
      <c r="GE6" s="1586"/>
      <c r="GF6" s="1586"/>
      <c r="GG6" s="1586"/>
      <c r="GH6" s="1586"/>
      <c r="GI6" s="1586"/>
      <c r="GJ6" s="1586"/>
      <c r="GK6" s="1586"/>
      <c r="GL6" s="1586"/>
      <c r="GM6" s="1586"/>
      <c r="GN6" s="1586"/>
      <c r="GO6" s="1586"/>
      <c r="GP6" s="1586"/>
      <c r="GQ6" s="1586"/>
      <c r="GR6" s="1586"/>
      <c r="GS6" s="1586"/>
      <c r="GT6" s="1586"/>
      <c r="GU6" s="1586"/>
      <c r="GV6" s="1586"/>
      <c r="GW6" s="1586"/>
      <c r="GX6" s="1586"/>
      <c r="GY6" s="1586"/>
      <c r="GZ6" s="1586"/>
      <c r="HA6" s="1586"/>
      <c r="HB6" s="1586"/>
      <c r="HC6" s="1586"/>
      <c r="HD6" s="1586"/>
      <c r="HE6" s="1586"/>
      <c r="HF6" s="1586"/>
      <c r="HG6" s="1586"/>
      <c r="HH6" s="1586"/>
      <c r="HI6" s="1586"/>
      <c r="HJ6" s="1586"/>
      <c r="HK6" s="1586"/>
      <c r="HL6" s="1586"/>
      <c r="HM6" s="1586"/>
      <c r="HN6" s="1586"/>
      <c r="HO6" s="1586"/>
      <c r="HP6" s="1586"/>
      <c r="HQ6" s="1586"/>
      <c r="HR6" s="1586"/>
      <c r="HS6" s="1586"/>
      <c r="HT6" s="1586"/>
      <c r="HU6" s="1586"/>
      <c r="HV6" s="1586"/>
      <c r="HW6" s="1586"/>
      <c r="HX6" s="1586"/>
      <c r="HY6" s="1586"/>
      <c r="HZ6" s="1586"/>
      <c r="IA6" s="1586"/>
      <c r="IB6" s="1586"/>
      <c r="IC6" s="1586"/>
      <c r="ID6" s="1586"/>
      <c r="IE6" s="1586"/>
      <c r="IF6" s="1586"/>
      <c r="IG6" s="1586"/>
      <c r="IH6" s="1586"/>
      <c r="II6" s="1586"/>
      <c r="IJ6" s="1586"/>
      <c r="IK6" s="1586"/>
      <c r="IL6" s="1586"/>
      <c r="IM6" s="1586"/>
      <c r="IN6" s="1586"/>
      <c r="IO6" s="1586"/>
      <c r="IP6" s="1586"/>
      <c r="IQ6" s="1586"/>
      <c r="IR6" s="1586"/>
      <c r="IS6" s="1586"/>
      <c r="IT6" s="1586"/>
      <c r="IU6" s="1586"/>
      <c r="IV6" s="1586"/>
    </row>
    <row r="7" spans="1:256" s="2334" customFormat="1">
      <c r="A7" s="4613"/>
      <c r="B7" s="2982" t="s">
        <v>1894</v>
      </c>
      <c r="C7" s="1045" t="s">
        <v>1895</v>
      </c>
      <c r="D7" s="2198"/>
      <c r="E7" s="3320">
        <f>IF(CostScenario="Higher Cost",$J$21,IF(CostScenario="Lower Cost",$O$21,$E$21))</f>
        <v>0.3633333333333334</v>
      </c>
      <c r="F7" s="2198"/>
      <c r="G7" s="2198"/>
      <c r="H7" s="2198"/>
      <c r="I7" s="2907"/>
      <c r="J7" s="2907"/>
      <c r="K7" s="2912"/>
      <c r="L7" s="2199"/>
      <c r="M7" s="2126"/>
      <c r="N7" s="2126"/>
      <c r="O7" s="2126"/>
      <c r="P7" s="2126"/>
      <c r="Q7" s="2126"/>
      <c r="R7" s="2126"/>
      <c r="S7" s="2126"/>
      <c r="T7" s="2126"/>
      <c r="U7" s="2126"/>
      <c r="V7" s="2126"/>
      <c r="W7" s="2126"/>
      <c r="X7" s="2126"/>
      <c r="Y7" s="2126"/>
      <c r="Z7" s="2126"/>
      <c r="AA7" s="2126"/>
      <c r="AB7" s="1586"/>
      <c r="AC7" s="1586"/>
      <c r="AD7" s="1586"/>
      <c r="AE7" s="1586"/>
      <c r="AF7" s="1586"/>
      <c r="AG7" s="1586"/>
      <c r="AH7" s="1586"/>
      <c r="AI7" s="1586"/>
      <c r="AJ7" s="1586"/>
      <c r="AK7" s="1586"/>
      <c r="AL7" s="1586"/>
      <c r="AM7" s="1586"/>
      <c r="AN7" s="1586"/>
      <c r="AO7" s="1586"/>
      <c r="AP7" s="1586"/>
      <c r="AQ7" s="1586"/>
      <c r="AR7" s="1586"/>
      <c r="AS7" s="1586"/>
      <c r="AT7" s="1586"/>
      <c r="AU7" s="1586"/>
      <c r="AV7" s="1586"/>
      <c r="AW7" s="1586"/>
      <c r="AX7" s="1586"/>
      <c r="AY7" s="1586"/>
      <c r="AZ7" s="1586"/>
      <c r="BA7" s="1586"/>
      <c r="BB7" s="1586"/>
      <c r="BC7" s="1586"/>
      <c r="BD7" s="1586"/>
      <c r="BE7" s="1586"/>
      <c r="BF7" s="1586"/>
      <c r="BG7" s="1586"/>
      <c r="BH7" s="1586"/>
      <c r="BI7" s="1586"/>
      <c r="BJ7" s="1586"/>
      <c r="BK7" s="1586"/>
      <c r="BL7" s="1586"/>
      <c r="BM7" s="1586"/>
      <c r="BN7" s="1586"/>
      <c r="BO7" s="1586"/>
      <c r="BP7" s="1586"/>
      <c r="BQ7" s="1586"/>
      <c r="BR7" s="1586"/>
      <c r="BS7" s="1586"/>
      <c r="BT7" s="1586"/>
      <c r="BU7" s="1586"/>
      <c r="BV7" s="1586"/>
      <c r="BW7" s="1586"/>
      <c r="BX7" s="1586"/>
      <c r="BY7" s="1586"/>
      <c r="BZ7" s="1586"/>
      <c r="CA7" s="1586"/>
      <c r="CB7" s="1586"/>
      <c r="CC7" s="1586"/>
      <c r="CD7" s="1586"/>
      <c r="CE7" s="1586"/>
      <c r="CF7" s="1586"/>
      <c r="CG7" s="1586"/>
      <c r="CH7" s="1586"/>
      <c r="CI7" s="1586"/>
      <c r="CJ7" s="1586"/>
      <c r="CK7" s="1586"/>
      <c r="CL7" s="1586"/>
      <c r="CM7" s="1586"/>
      <c r="CN7" s="1586"/>
      <c r="CO7" s="1586"/>
      <c r="CP7" s="1586"/>
      <c r="CQ7" s="1586"/>
      <c r="CR7" s="1586"/>
      <c r="CS7" s="1586"/>
      <c r="CT7" s="1586"/>
      <c r="CU7" s="1586"/>
      <c r="CV7" s="1586"/>
      <c r="CW7" s="1586"/>
      <c r="CX7" s="1586"/>
      <c r="CY7" s="1586"/>
      <c r="CZ7" s="1586"/>
      <c r="DA7" s="1586"/>
      <c r="DB7" s="1586"/>
      <c r="DC7" s="1586"/>
      <c r="DD7" s="1586"/>
      <c r="DE7" s="1586"/>
      <c r="DF7" s="1586"/>
      <c r="DG7" s="1586"/>
      <c r="DH7" s="1586"/>
      <c r="DI7" s="1586"/>
      <c r="DJ7" s="1586"/>
      <c r="DK7" s="1586"/>
      <c r="DL7" s="1586"/>
      <c r="DM7" s="1586"/>
      <c r="DN7" s="1586"/>
      <c r="DO7" s="1586"/>
      <c r="DP7" s="1586"/>
      <c r="DQ7" s="1586"/>
      <c r="DR7" s="1586"/>
      <c r="DS7" s="1586"/>
      <c r="DT7" s="1586"/>
      <c r="DU7" s="1586"/>
      <c r="DV7" s="1586"/>
      <c r="DW7" s="1586"/>
      <c r="DX7" s="1586"/>
      <c r="DY7" s="1586"/>
      <c r="DZ7" s="1586"/>
      <c r="EA7" s="1586"/>
      <c r="EB7" s="1586"/>
      <c r="EC7" s="1586"/>
      <c r="ED7" s="1586"/>
      <c r="EE7" s="1586"/>
      <c r="EF7" s="1586"/>
      <c r="EG7" s="1586"/>
      <c r="EH7" s="1586"/>
      <c r="EI7" s="1586"/>
      <c r="EJ7" s="1586"/>
      <c r="EK7" s="1586"/>
      <c r="EL7" s="1586"/>
      <c r="EM7" s="1586"/>
      <c r="EN7" s="1586"/>
      <c r="EO7" s="1586"/>
      <c r="EP7" s="1586"/>
      <c r="EQ7" s="1586"/>
      <c r="ER7" s="1586"/>
      <c r="ES7" s="1586"/>
      <c r="ET7" s="1586"/>
      <c r="EU7" s="1586"/>
      <c r="EV7" s="1586"/>
      <c r="EW7" s="1586"/>
      <c r="EX7" s="1586"/>
      <c r="EY7" s="1586"/>
      <c r="EZ7" s="1586"/>
      <c r="FA7" s="1586"/>
      <c r="FB7" s="1586"/>
      <c r="FC7" s="1586"/>
      <c r="FD7" s="1586"/>
      <c r="FE7" s="1586"/>
      <c r="FF7" s="1586"/>
      <c r="FG7" s="1586"/>
      <c r="FH7" s="1586"/>
      <c r="FI7" s="1586"/>
      <c r="FJ7" s="1586"/>
      <c r="FK7" s="1586"/>
      <c r="FL7" s="1586"/>
      <c r="FM7" s="1586"/>
      <c r="FN7" s="1586"/>
      <c r="FO7" s="1586"/>
      <c r="FP7" s="1586"/>
      <c r="FQ7" s="1586"/>
      <c r="FR7" s="1586"/>
      <c r="FS7" s="1586"/>
      <c r="FT7" s="1586"/>
      <c r="FU7" s="1586"/>
      <c r="FV7" s="1586"/>
      <c r="FW7" s="1586"/>
      <c r="FX7" s="1586"/>
      <c r="FY7" s="1586"/>
      <c r="FZ7" s="1586"/>
      <c r="GA7" s="1586"/>
      <c r="GB7" s="1586"/>
      <c r="GC7" s="1586"/>
      <c r="GD7" s="1586"/>
      <c r="GE7" s="1586"/>
      <c r="GF7" s="1586"/>
      <c r="GG7" s="1586"/>
      <c r="GH7" s="1586"/>
      <c r="GI7" s="1586"/>
      <c r="GJ7" s="1586"/>
      <c r="GK7" s="1586"/>
      <c r="GL7" s="1586"/>
      <c r="GM7" s="1586"/>
      <c r="GN7" s="1586"/>
      <c r="GO7" s="1586"/>
      <c r="GP7" s="1586"/>
      <c r="GQ7" s="1586"/>
      <c r="GR7" s="1586"/>
      <c r="GS7" s="1586"/>
      <c r="GT7" s="1586"/>
      <c r="GU7" s="1586"/>
      <c r="GV7" s="1586"/>
      <c r="GW7" s="1586"/>
      <c r="GX7" s="1586"/>
      <c r="GY7" s="1586"/>
      <c r="GZ7" s="1586"/>
      <c r="HA7" s="1586"/>
      <c r="HB7" s="1586"/>
      <c r="HC7" s="1586"/>
      <c r="HD7" s="1586"/>
      <c r="HE7" s="1586"/>
      <c r="HF7" s="1586"/>
      <c r="HG7" s="1586"/>
      <c r="HH7" s="1586"/>
      <c r="HI7" s="1586"/>
      <c r="HJ7" s="1586"/>
      <c r="HK7" s="1586"/>
      <c r="HL7" s="1586"/>
      <c r="HM7" s="1586"/>
      <c r="HN7" s="1586"/>
      <c r="HO7" s="1586"/>
      <c r="HP7" s="1586"/>
      <c r="HQ7" s="1586"/>
      <c r="HR7" s="1586"/>
      <c r="HS7" s="1586"/>
      <c r="HT7" s="1586"/>
      <c r="HU7" s="1586"/>
      <c r="HV7" s="1586"/>
      <c r="HW7" s="1586"/>
      <c r="HX7" s="1586"/>
      <c r="HY7" s="1586"/>
      <c r="HZ7" s="1586"/>
      <c r="IA7" s="1586"/>
      <c r="IB7" s="1586"/>
      <c r="IC7" s="1586"/>
      <c r="ID7" s="1586"/>
      <c r="IE7" s="1586"/>
      <c r="IF7" s="1586"/>
      <c r="IG7" s="1586"/>
      <c r="IH7" s="1586"/>
      <c r="II7" s="1586"/>
      <c r="IJ7" s="1586"/>
      <c r="IK7" s="1586"/>
      <c r="IL7" s="1586"/>
      <c r="IM7" s="1586"/>
      <c r="IN7" s="1586"/>
      <c r="IO7" s="1586"/>
      <c r="IP7" s="1586"/>
      <c r="IQ7" s="1586"/>
      <c r="IR7" s="1586"/>
      <c r="IS7" s="1586"/>
      <c r="IT7" s="1586"/>
      <c r="IU7" s="1586"/>
      <c r="IV7" s="1586"/>
    </row>
    <row r="8" spans="1:256" s="2334" customFormat="1">
      <c r="A8" s="4613"/>
      <c r="B8" s="2982" t="s">
        <v>1767</v>
      </c>
      <c r="C8" s="1045" t="s">
        <v>1710</v>
      </c>
      <c r="D8" s="2198"/>
      <c r="E8" s="2198">
        <f>IF(CostScenario="Higher Cost",J22,IF(CostScenario="Lower Cost",O22,E22))</f>
        <v>8.0000000000000016E-2</v>
      </c>
      <c r="F8" s="2198"/>
      <c r="G8" s="2198"/>
      <c r="H8" s="2198"/>
      <c r="I8" s="2907"/>
      <c r="J8" s="2907"/>
      <c r="K8" s="2912"/>
      <c r="L8" s="2199"/>
      <c r="M8" s="2126"/>
      <c r="N8" s="2126"/>
      <c r="O8" s="2126"/>
      <c r="P8" s="2126"/>
      <c r="Q8" s="2126"/>
      <c r="R8" s="2126"/>
      <c r="S8" s="2126"/>
      <c r="T8" s="2126"/>
      <c r="U8" s="2126"/>
      <c r="V8" s="2126"/>
      <c r="W8" s="2126"/>
      <c r="X8" s="2126"/>
      <c r="Y8" s="2126"/>
      <c r="Z8" s="2126"/>
      <c r="AA8" s="2126"/>
      <c r="AB8" s="1586"/>
      <c r="AC8" s="1586"/>
      <c r="AD8" s="1586"/>
      <c r="AE8" s="1586"/>
      <c r="AF8" s="1586"/>
      <c r="AG8" s="1586"/>
      <c r="AH8" s="1586"/>
      <c r="AI8" s="1586"/>
      <c r="AJ8" s="1586"/>
      <c r="AK8" s="1586"/>
      <c r="AL8" s="1586"/>
      <c r="AM8" s="1586"/>
      <c r="AN8" s="1586"/>
      <c r="AO8" s="1586"/>
      <c r="AP8" s="1586"/>
      <c r="AQ8" s="1586"/>
      <c r="AR8" s="1586"/>
      <c r="AS8" s="1586"/>
      <c r="AT8" s="1586"/>
      <c r="AU8" s="1586"/>
      <c r="AV8" s="1586"/>
      <c r="AW8" s="1586"/>
      <c r="AX8" s="1586"/>
      <c r="AY8" s="1586"/>
      <c r="AZ8" s="1586"/>
      <c r="BA8" s="1586"/>
      <c r="BB8" s="1586"/>
      <c r="BC8" s="1586"/>
      <c r="BD8" s="1586"/>
      <c r="BE8" s="1586"/>
      <c r="BF8" s="1586"/>
      <c r="BG8" s="1586"/>
      <c r="BH8" s="1586"/>
      <c r="BI8" s="1586"/>
      <c r="BJ8" s="1586"/>
      <c r="BK8" s="1586"/>
      <c r="BL8" s="1586"/>
      <c r="BM8" s="1586"/>
      <c r="BN8" s="1586"/>
      <c r="BO8" s="1586"/>
      <c r="BP8" s="1586"/>
      <c r="BQ8" s="1586"/>
      <c r="BR8" s="1586"/>
      <c r="BS8" s="1586"/>
      <c r="BT8" s="1586"/>
      <c r="BU8" s="1586"/>
      <c r="BV8" s="1586"/>
      <c r="BW8" s="1586"/>
      <c r="BX8" s="1586"/>
      <c r="BY8" s="1586"/>
      <c r="BZ8" s="1586"/>
      <c r="CA8" s="1586"/>
      <c r="CB8" s="1586"/>
      <c r="CC8" s="1586"/>
      <c r="CD8" s="1586"/>
      <c r="CE8" s="1586"/>
      <c r="CF8" s="1586"/>
      <c r="CG8" s="1586"/>
      <c r="CH8" s="1586"/>
      <c r="CI8" s="1586"/>
      <c r="CJ8" s="1586"/>
      <c r="CK8" s="1586"/>
      <c r="CL8" s="1586"/>
      <c r="CM8" s="1586"/>
      <c r="CN8" s="1586"/>
      <c r="CO8" s="1586"/>
      <c r="CP8" s="1586"/>
      <c r="CQ8" s="1586"/>
      <c r="CR8" s="1586"/>
      <c r="CS8" s="1586"/>
      <c r="CT8" s="1586"/>
      <c r="CU8" s="1586"/>
      <c r="CV8" s="1586"/>
      <c r="CW8" s="1586"/>
      <c r="CX8" s="1586"/>
      <c r="CY8" s="1586"/>
      <c r="CZ8" s="1586"/>
      <c r="DA8" s="1586"/>
      <c r="DB8" s="1586"/>
      <c r="DC8" s="1586"/>
      <c r="DD8" s="1586"/>
      <c r="DE8" s="1586"/>
      <c r="DF8" s="1586"/>
      <c r="DG8" s="1586"/>
      <c r="DH8" s="1586"/>
      <c r="DI8" s="1586"/>
      <c r="DJ8" s="1586"/>
      <c r="DK8" s="1586"/>
      <c r="DL8" s="1586"/>
      <c r="DM8" s="1586"/>
      <c r="DN8" s="1586"/>
      <c r="DO8" s="1586"/>
      <c r="DP8" s="1586"/>
      <c r="DQ8" s="1586"/>
      <c r="DR8" s="1586"/>
      <c r="DS8" s="1586"/>
      <c r="DT8" s="1586"/>
      <c r="DU8" s="1586"/>
      <c r="DV8" s="1586"/>
      <c r="DW8" s="1586"/>
      <c r="DX8" s="1586"/>
      <c r="DY8" s="1586"/>
      <c r="DZ8" s="1586"/>
      <c r="EA8" s="1586"/>
      <c r="EB8" s="1586"/>
      <c r="EC8" s="1586"/>
      <c r="ED8" s="1586"/>
      <c r="EE8" s="1586"/>
      <c r="EF8" s="1586"/>
      <c r="EG8" s="1586"/>
      <c r="EH8" s="1586"/>
      <c r="EI8" s="1586"/>
      <c r="EJ8" s="1586"/>
      <c r="EK8" s="1586"/>
      <c r="EL8" s="1586"/>
      <c r="EM8" s="1586"/>
      <c r="EN8" s="1586"/>
      <c r="EO8" s="1586"/>
      <c r="EP8" s="1586"/>
      <c r="EQ8" s="1586"/>
      <c r="ER8" s="1586"/>
      <c r="ES8" s="1586"/>
      <c r="ET8" s="1586"/>
      <c r="EU8" s="1586"/>
      <c r="EV8" s="1586"/>
      <c r="EW8" s="1586"/>
      <c r="EX8" s="1586"/>
      <c r="EY8" s="1586"/>
      <c r="EZ8" s="1586"/>
      <c r="FA8" s="1586"/>
      <c r="FB8" s="1586"/>
      <c r="FC8" s="1586"/>
      <c r="FD8" s="1586"/>
      <c r="FE8" s="1586"/>
      <c r="FF8" s="1586"/>
      <c r="FG8" s="1586"/>
      <c r="FH8" s="1586"/>
      <c r="FI8" s="1586"/>
      <c r="FJ8" s="1586"/>
      <c r="FK8" s="1586"/>
      <c r="FL8" s="1586"/>
      <c r="FM8" s="1586"/>
      <c r="FN8" s="1586"/>
      <c r="FO8" s="1586"/>
      <c r="FP8" s="1586"/>
      <c r="FQ8" s="1586"/>
      <c r="FR8" s="1586"/>
      <c r="FS8" s="1586"/>
      <c r="FT8" s="1586"/>
      <c r="FU8" s="1586"/>
      <c r="FV8" s="1586"/>
      <c r="FW8" s="1586"/>
      <c r="FX8" s="1586"/>
      <c r="FY8" s="1586"/>
      <c r="FZ8" s="1586"/>
      <c r="GA8" s="1586"/>
      <c r="GB8" s="1586"/>
      <c r="GC8" s="1586"/>
      <c r="GD8" s="1586"/>
      <c r="GE8" s="1586"/>
      <c r="GF8" s="1586"/>
      <c r="GG8" s="1586"/>
      <c r="GH8" s="1586"/>
      <c r="GI8" s="1586"/>
      <c r="GJ8" s="1586"/>
      <c r="GK8" s="1586"/>
      <c r="GL8" s="1586"/>
      <c r="GM8" s="1586"/>
      <c r="GN8" s="1586"/>
      <c r="GO8" s="1586"/>
      <c r="GP8" s="1586"/>
      <c r="GQ8" s="1586"/>
      <c r="GR8" s="1586"/>
      <c r="GS8" s="1586"/>
      <c r="GT8" s="1586"/>
      <c r="GU8" s="1586"/>
      <c r="GV8" s="1586"/>
      <c r="GW8" s="1586"/>
      <c r="GX8" s="1586"/>
      <c r="GY8" s="1586"/>
      <c r="GZ8" s="1586"/>
      <c r="HA8" s="1586"/>
      <c r="HB8" s="1586"/>
      <c r="HC8" s="1586"/>
      <c r="HD8" s="1586"/>
      <c r="HE8" s="1586"/>
      <c r="HF8" s="1586"/>
      <c r="HG8" s="1586"/>
      <c r="HH8" s="1586"/>
      <c r="HI8" s="1586"/>
      <c r="HJ8" s="1586"/>
      <c r="HK8" s="1586"/>
      <c r="HL8" s="1586"/>
      <c r="HM8" s="1586"/>
      <c r="HN8" s="1586"/>
      <c r="HO8" s="1586"/>
      <c r="HP8" s="1586"/>
      <c r="HQ8" s="1586"/>
      <c r="HR8" s="1586"/>
      <c r="HS8" s="1586"/>
      <c r="HT8" s="1586"/>
      <c r="HU8" s="1586"/>
      <c r="HV8" s="1586"/>
      <c r="HW8" s="1586"/>
      <c r="HX8" s="1586"/>
      <c r="HY8" s="1586"/>
      <c r="HZ8" s="1586"/>
      <c r="IA8" s="1586"/>
      <c r="IB8" s="1586"/>
      <c r="IC8" s="1586"/>
      <c r="ID8" s="1586"/>
      <c r="IE8" s="1586"/>
      <c r="IF8" s="1586"/>
      <c r="IG8" s="1586"/>
      <c r="IH8" s="1586"/>
      <c r="II8" s="1586"/>
      <c r="IJ8" s="1586"/>
      <c r="IK8" s="1586"/>
      <c r="IL8" s="1586"/>
      <c r="IM8" s="1586"/>
      <c r="IN8" s="1586"/>
      <c r="IO8" s="1586"/>
      <c r="IP8" s="1586"/>
      <c r="IQ8" s="1586"/>
      <c r="IR8" s="1586"/>
      <c r="IS8" s="1586"/>
      <c r="IT8" s="1586"/>
      <c r="IU8" s="1586"/>
      <c r="IV8" s="1586"/>
    </row>
    <row r="9" spans="1:256" s="2334" customFormat="1">
      <c r="A9" s="4613"/>
      <c r="B9" s="1042" t="s">
        <v>1180</v>
      </c>
      <c r="C9" s="890" t="s">
        <v>1179</v>
      </c>
      <c r="D9" s="1046" t="s">
        <v>1177</v>
      </c>
      <c r="E9" s="1046" t="s">
        <v>1177</v>
      </c>
      <c r="F9" s="1046" t="s">
        <v>1177</v>
      </c>
      <c r="G9" s="1046" t="s">
        <v>1177</v>
      </c>
      <c r="H9" s="1046" t="s">
        <v>1178</v>
      </c>
      <c r="I9" s="2908" t="s">
        <v>1177</v>
      </c>
      <c r="J9" s="2908" t="s">
        <v>1177</v>
      </c>
      <c r="K9" s="2909" t="s">
        <v>1177</v>
      </c>
      <c r="L9" s="1046" t="s">
        <v>1177</v>
      </c>
      <c r="M9" s="1748"/>
      <c r="N9" s="1748"/>
      <c r="O9" s="1748"/>
      <c r="P9" s="1748"/>
      <c r="Q9" s="1748"/>
      <c r="R9" s="1748"/>
      <c r="S9" s="1748"/>
      <c r="T9" s="1748"/>
      <c r="U9" s="1748"/>
      <c r="V9" s="1748"/>
      <c r="W9" s="1748"/>
      <c r="X9" s="1748"/>
      <c r="Y9" s="1748"/>
      <c r="Z9" s="1748"/>
      <c r="AA9" s="1748"/>
      <c r="AB9" s="70"/>
      <c r="AC9" s="70"/>
      <c r="AD9" s="70"/>
      <c r="AE9" s="70"/>
      <c r="AF9" s="70"/>
      <c r="AG9" s="70"/>
      <c r="AH9" s="70"/>
      <c r="AI9" s="70"/>
      <c r="AJ9" s="70"/>
      <c r="AK9" s="70"/>
      <c r="AL9" s="70"/>
      <c r="AM9" s="70"/>
      <c r="AN9" s="70"/>
      <c r="AO9" s="70"/>
      <c r="AP9" s="70"/>
      <c r="AQ9" s="70"/>
      <c r="AR9" s="70"/>
      <c r="AS9" s="70"/>
      <c r="AT9" s="70"/>
      <c r="AU9" s="70"/>
      <c r="AV9" s="70"/>
      <c r="AW9" s="70"/>
      <c r="AX9" s="70"/>
      <c r="AY9" s="70"/>
      <c r="AZ9" s="70"/>
      <c r="BA9" s="70"/>
      <c r="BB9" s="70"/>
      <c r="BC9" s="70"/>
      <c r="BD9" s="70"/>
      <c r="BE9" s="70"/>
      <c r="BF9" s="70"/>
      <c r="BG9" s="70"/>
      <c r="BH9" s="70"/>
      <c r="BI9" s="70"/>
      <c r="BJ9" s="70"/>
      <c r="BK9" s="70"/>
      <c r="BL9" s="70"/>
      <c r="BM9" s="70"/>
      <c r="BN9" s="70"/>
      <c r="BO9" s="70"/>
      <c r="BP9" s="70"/>
      <c r="BQ9" s="70"/>
      <c r="BR9" s="70"/>
      <c r="BS9" s="70"/>
      <c r="BT9" s="70"/>
      <c r="BU9" s="70"/>
      <c r="BV9" s="70"/>
      <c r="BW9" s="70"/>
      <c r="BX9" s="70"/>
      <c r="BY9" s="70"/>
      <c r="BZ9" s="70"/>
      <c r="CA9" s="70"/>
      <c r="CB9" s="70"/>
      <c r="CC9" s="70"/>
      <c r="CD9" s="70"/>
      <c r="CE9" s="70"/>
      <c r="CF9" s="70"/>
      <c r="CG9" s="70"/>
      <c r="CH9" s="70"/>
      <c r="CI9" s="70"/>
      <c r="CJ9" s="70"/>
      <c r="CK9" s="70"/>
      <c r="CL9" s="70"/>
      <c r="CM9" s="70"/>
      <c r="CN9" s="70"/>
      <c r="CO9" s="70"/>
      <c r="CP9" s="70"/>
      <c r="CQ9" s="70"/>
      <c r="CR9" s="70"/>
      <c r="CS9" s="70"/>
      <c r="CT9" s="70"/>
      <c r="CU9" s="70"/>
      <c r="CV9" s="70"/>
      <c r="CW9" s="70"/>
      <c r="CX9" s="70"/>
      <c r="CY9" s="70"/>
      <c r="CZ9" s="70"/>
      <c r="DA9" s="70"/>
      <c r="DB9" s="70"/>
      <c r="DC9" s="70"/>
      <c r="DD9" s="70"/>
      <c r="DE9" s="70"/>
      <c r="DF9" s="70"/>
      <c r="DG9" s="70"/>
      <c r="DH9" s="70"/>
      <c r="DI9" s="70"/>
      <c r="DJ9" s="70"/>
      <c r="DK9" s="70"/>
      <c r="DL9" s="70"/>
      <c r="DM9" s="70"/>
      <c r="DN9" s="70"/>
      <c r="DO9" s="70"/>
      <c r="DP9" s="70"/>
      <c r="DQ9" s="70"/>
      <c r="DR9" s="70"/>
      <c r="DS9" s="70"/>
      <c r="DT9" s="70"/>
      <c r="DU9" s="70"/>
      <c r="DV9" s="70"/>
      <c r="DW9" s="70"/>
      <c r="DX9" s="70"/>
      <c r="DY9" s="70"/>
      <c r="DZ9" s="70"/>
      <c r="EA9" s="70"/>
      <c r="EB9" s="70"/>
      <c r="EC9" s="70"/>
      <c r="ED9" s="70"/>
      <c r="EE9" s="70"/>
      <c r="EF9" s="70"/>
      <c r="EG9" s="70"/>
      <c r="EH9" s="70"/>
      <c r="EI9" s="70"/>
      <c r="EJ9" s="70"/>
      <c r="EK9" s="70"/>
      <c r="EL9" s="70"/>
      <c r="EM9" s="70"/>
      <c r="EN9" s="70"/>
      <c r="EO9" s="70"/>
      <c r="EP9" s="70"/>
      <c r="EQ9" s="70"/>
      <c r="ER9" s="70"/>
      <c r="ES9" s="70"/>
      <c r="ET9" s="70"/>
      <c r="EU9" s="70"/>
      <c r="EV9" s="70"/>
      <c r="EW9" s="70"/>
      <c r="EX9" s="70"/>
      <c r="EY9" s="70"/>
      <c r="EZ9" s="70"/>
      <c r="FA9" s="70"/>
      <c r="FB9" s="70"/>
      <c r="FC9" s="70"/>
      <c r="FD9" s="70"/>
      <c r="FE9" s="70"/>
      <c r="FF9" s="70"/>
      <c r="FG9" s="70"/>
      <c r="FH9" s="70"/>
      <c r="FI9" s="70"/>
      <c r="FJ9" s="70"/>
      <c r="FK9" s="70"/>
      <c r="FL9" s="70"/>
      <c r="FM9" s="70"/>
      <c r="FN9" s="70"/>
      <c r="FO9" s="70"/>
      <c r="FP9" s="70"/>
      <c r="FQ9" s="70"/>
      <c r="FR9" s="70"/>
      <c r="FS9" s="70"/>
      <c r="FT9" s="70"/>
      <c r="FU9" s="70"/>
      <c r="FV9" s="70"/>
      <c r="FW9" s="70"/>
      <c r="FX9" s="70"/>
      <c r="FY9" s="70"/>
      <c r="FZ9" s="70"/>
      <c r="GA9" s="70"/>
      <c r="GB9" s="70"/>
      <c r="GC9" s="70"/>
      <c r="GD9" s="70"/>
      <c r="GE9" s="70"/>
      <c r="GF9" s="70"/>
      <c r="GG9" s="70"/>
      <c r="GH9" s="70"/>
      <c r="GI9" s="70"/>
      <c r="GJ9" s="70"/>
      <c r="GK9" s="70"/>
      <c r="GL9" s="70"/>
      <c r="GM9" s="70"/>
      <c r="GN9" s="70"/>
      <c r="GO9" s="70"/>
      <c r="GP9" s="70"/>
      <c r="GQ9" s="70"/>
      <c r="GR9" s="70"/>
      <c r="GS9" s="70"/>
      <c r="GT9" s="70"/>
      <c r="GU9" s="70"/>
      <c r="GV9" s="70"/>
      <c r="GW9" s="70"/>
      <c r="GX9" s="70"/>
      <c r="GY9" s="70"/>
      <c r="GZ9" s="70"/>
      <c r="HA9" s="70"/>
      <c r="HB9" s="70"/>
      <c r="HC9" s="70"/>
      <c r="HD9" s="70"/>
      <c r="HE9" s="70"/>
      <c r="HF9" s="70"/>
      <c r="HG9" s="70"/>
      <c r="HH9" s="70"/>
      <c r="HI9" s="70"/>
      <c r="HJ9" s="70"/>
      <c r="HK9" s="70"/>
      <c r="HL9" s="70"/>
      <c r="HM9" s="70"/>
      <c r="HN9" s="70"/>
      <c r="HO9" s="70"/>
      <c r="HP9" s="70"/>
      <c r="HQ9" s="70"/>
      <c r="HR9" s="70"/>
      <c r="HS9" s="70"/>
      <c r="HT9" s="70"/>
      <c r="HU9" s="70"/>
      <c r="HV9" s="70"/>
      <c r="HW9" s="70"/>
      <c r="HX9" s="70"/>
      <c r="HY9" s="70"/>
      <c r="HZ9" s="70"/>
      <c r="IA9" s="70"/>
      <c r="IB9" s="70"/>
      <c r="IC9" s="70"/>
      <c r="ID9" s="70"/>
      <c r="IE9" s="70"/>
      <c r="IF9" s="70"/>
      <c r="IG9" s="70"/>
      <c r="IH9" s="70"/>
      <c r="II9" s="70"/>
      <c r="IJ9" s="70"/>
      <c r="IK9" s="70"/>
      <c r="IL9" s="70"/>
      <c r="IM9" s="70"/>
      <c r="IN9" s="70"/>
      <c r="IO9" s="70"/>
      <c r="IP9" s="70"/>
      <c r="IQ9" s="70"/>
      <c r="IR9" s="70"/>
      <c r="IS9" s="70"/>
      <c r="IT9" s="70"/>
      <c r="IU9" s="70"/>
      <c r="IV9" s="70"/>
    </row>
    <row r="10" spans="1:256" s="2334" customFormat="1">
      <c r="A10" s="4613"/>
      <c r="B10" s="1042" t="s">
        <v>986</v>
      </c>
      <c r="C10" s="890" t="s">
        <v>1181</v>
      </c>
      <c r="D10" s="1046" t="s">
        <v>1178</v>
      </c>
      <c r="E10" s="1046" t="s">
        <v>1178</v>
      </c>
      <c r="F10" s="1046" t="s">
        <v>1178</v>
      </c>
      <c r="G10" s="1046" t="s">
        <v>1178</v>
      </c>
      <c r="H10" s="1046" t="s">
        <v>1177</v>
      </c>
      <c r="I10" s="2908" t="s">
        <v>1178</v>
      </c>
      <c r="J10" s="2908" t="s">
        <v>1178</v>
      </c>
      <c r="K10" s="2909" t="s">
        <v>1178</v>
      </c>
      <c r="L10" s="1046" t="s">
        <v>1178</v>
      </c>
      <c r="M10" s="70"/>
      <c r="N10" s="70"/>
      <c r="O10" s="70"/>
      <c r="P10" s="70"/>
      <c r="Q10" s="70"/>
      <c r="R10" s="70"/>
      <c r="S10" s="70"/>
      <c r="T10" s="70"/>
      <c r="U10" s="70"/>
      <c r="V10" s="70"/>
      <c r="W10" s="70"/>
      <c r="X10" s="70"/>
      <c r="Y10" s="70"/>
      <c r="Z10" s="70"/>
      <c r="AA10" s="70"/>
      <c r="AB10" s="70"/>
      <c r="AC10" s="70"/>
      <c r="AD10" s="70"/>
      <c r="AE10" s="70"/>
      <c r="AF10" s="70"/>
      <c r="AG10" s="70"/>
      <c r="AH10" s="70"/>
      <c r="AI10" s="70"/>
      <c r="AJ10" s="70"/>
      <c r="AK10" s="70"/>
      <c r="AL10" s="70"/>
      <c r="AM10" s="70"/>
      <c r="AN10" s="70"/>
      <c r="AO10" s="70"/>
      <c r="AP10" s="70"/>
      <c r="AQ10" s="70"/>
      <c r="AR10" s="70"/>
      <c r="AS10" s="70"/>
      <c r="AT10" s="70"/>
      <c r="AU10" s="70"/>
      <c r="AV10" s="70"/>
      <c r="AW10" s="70"/>
      <c r="AX10" s="70"/>
      <c r="AY10" s="70"/>
      <c r="AZ10" s="70"/>
      <c r="BA10" s="70"/>
      <c r="BB10" s="70"/>
      <c r="BC10" s="70"/>
      <c r="BD10" s="70"/>
      <c r="BE10" s="70"/>
      <c r="BF10" s="70"/>
      <c r="BG10" s="70"/>
      <c r="BH10" s="70"/>
      <c r="BI10" s="70"/>
      <c r="BJ10" s="70"/>
      <c r="BK10" s="70"/>
      <c r="BL10" s="70"/>
      <c r="BM10" s="70"/>
      <c r="BN10" s="70"/>
      <c r="BO10" s="70"/>
      <c r="BP10" s="70"/>
      <c r="BQ10" s="70"/>
      <c r="BR10" s="70"/>
      <c r="BS10" s="70"/>
      <c r="BT10" s="70"/>
      <c r="BU10" s="70"/>
      <c r="BV10" s="70"/>
      <c r="BW10" s="70"/>
      <c r="BX10" s="70"/>
      <c r="BY10" s="70"/>
      <c r="BZ10" s="70"/>
      <c r="CA10" s="70"/>
      <c r="CB10" s="70"/>
      <c r="CC10" s="70"/>
      <c r="CD10" s="70"/>
      <c r="CE10" s="70"/>
      <c r="CF10" s="70"/>
      <c r="CG10" s="70"/>
      <c r="CH10" s="70"/>
      <c r="CI10" s="70"/>
      <c r="CJ10" s="70"/>
      <c r="CK10" s="70"/>
      <c r="CL10" s="70"/>
      <c r="CM10" s="70"/>
      <c r="CN10" s="70"/>
      <c r="CO10" s="70"/>
      <c r="CP10" s="70"/>
      <c r="CQ10" s="70"/>
      <c r="CR10" s="70"/>
      <c r="CS10" s="70"/>
      <c r="CT10" s="70"/>
      <c r="CU10" s="70"/>
      <c r="CV10" s="70"/>
      <c r="CW10" s="70"/>
      <c r="CX10" s="70"/>
      <c r="CY10" s="70"/>
      <c r="CZ10" s="70"/>
      <c r="DA10" s="70"/>
      <c r="DB10" s="70"/>
      <c r="DC10" s="70"/>
      <c r="DD10" s="70"/>
      <c r="DE10" s="70"/>
      <c r="DF10" s="70"/>
      <c r="DG10" s="70"/>
      <c r="DH10" s="70"/>
      <c r="DI10" s="70"/>
      <c r="DJ10" s="70"/>
      <c r="DK10" s="70"/>
      <c r="DL10" s="70"/>
      <c r="DM10" s="70"/>
      <c r="DN10" s="70"/>
      <c r="DO10" s="70"/>
      <c r="DP10" s="70"/>
      <c r="DQ10" s="70"/>
      <c r="DR10" s="70"/>
      <c r="DS10" s="70"/>
      <c r="DT10" s="70"/>
      <c r="DU10" s="70"/>
      <c r="DV10" s="70"/>
      <c r="DW10" s="70"/>
      <c r="DX10" s="70"/>
      <c r="DY10" s="70"/>
      <c r="DZ10" s="70"/>
      <c r="EA10" s="70"/>
      <c r="EB10" s="70"/>
      <c r="EC10" s="70"/>
      <c r="ED10" s="70"/>
      <c r="EE10" s="70"/>
      <c r="EF10" s="70"/>
      <c r="EG10" s="70"/>
      <c r="EH10" s="70"/>
      <c r="EI10" s="70"/>
      <c r="EJ10" s="70"/>
      <c r="EK10" s="70"/>
      <c r="EL10" s="70"/>
      <c r="EM10" s="70"/>
      <c r="EN10" s="70"/>
      <c r="EO10" s="70"/>
      <c r="EP10" s="70"/>
      <c r="EQ10" s="70"/>
      <c r="ER10" s="70"/>
      <c r="ES10" s="70"/>
      <c r="ET10" s="70"/>
      <c r="EU10" s="70"/>
      <c r="EV10" s="70"/>
      <c r="EW10" s="70"/>
      <c r="EX10" s="70"/>
      <c r="EY10" s="70"/>
      <c r="EZ10" s="70"/>
      <c r="FA10" s="70"/>
      <c r="FB10" s="70"/>
      <c r="FC10" s="70"/>
      <c r="FD10" s="70"/>
      <c r="FE10" s="70"/>
      <c r="FF10" s="70"/>
      <c r="FG10" s="70"/>
      <c r="FH10" s="70"/>
      <c r="FI10" s="70"/>
      <c r="FJ10" s="70"/>
      <c r="FK10" s="70"/>
      <c r="FL10" s="70"/>
      <c r="FM10" s="70"/>
      <c r="FN10" s="70"/>
      <c r="FO10" s="70"/>
      <c r="FP10" s="70"/>
      <c r="FQ10" s="70"/>
      <c r="FR10" s="70"/>
      <c r="FS10" s="70"/>
      <c r="FT10" s="70"/>
      <c r="FU10" s="70"/>
      <c r="FV10" s="70"/>
      <c r="FW10" s="70"/>
      <c r="FX10" s="70"/>
      <c r="FY10" s="70"/>
      <c r="FZ10" s="70"/>
      <c r="GA10" s="70"/>
      <c r="GB10" s="70"/>
      <c r="GC10" s="70"/>
      <c r="GD10" s="70"/>
      <c r="GE10" s="70"/>
      <c r="GF10" s="70"/>
      <c r="GG10" s="70"/>
      <c r="GH10" s="70"/>
      <c r="GI10" s="70"/>
      <c r="GJ10" s="70"/>
      <c r="GK10" s="70"/>
      <c r="GL10" s="70"/>
      <c r="GM10" s="70"/>
      <c r="GN10" s="70"/>
      <c r="GO10" s="70"/>
      <c r="GP10" s="70"/>
      <c r="GQ10" s="70"/>
      <c r="GR10" s="70"/>
      <c r="GS10" s="70"/>
      <c r="GT10" s="70"/>
      <c r="GU10" s="70"/>
      <c r="GV10" s="70"/>
      <c r="GW10" s="70"/>
      <c r="GX10" s="70"/>
      <c r="GY10" s="70"/>
      <c r="GZ10" s="70"/>
      <c r="HA10" s="70"/>
      <c r="HB10" s="70"/>
      <c r="HC10" s="70"/>
      <c r="HD10" s="70"/>
      <c r="HE10" s="70"/>
      <c r="HF10" s="70"/>
      <c r="HG10" s="70"/>
      <c r="HH10" s="70"/>
      <c r="HI10" s="70"/>
      <c r="HJ10" s="70"/>
      <c r="HK10" s="70"/>
      <c r="HL10" s="70"/>
      <c r="HM10" s="70"/>
      <c r="HN10" s="70"/>
      <c r="HO10" s="70"/>
      <c r="HP10" s="70"/>
      <c r="HQ10" s="70"/>
      <c r="HR10" s="70"/>
      <c r="HS10" s="70"/>
      <c r="HT10" s="70"/>
      <c r="HU10" s="70"/>
      <c r="HV10" s="70"/>
      <c r="HW10" s="70"/>
      <c r="HX10" s="70"/>
      <c r="HY10" s="70"/>
      <c r="HZ10" s="70"/>
      <c r="IA10" s="70"/>
      <c r="IB10" s="70"/>
      <c r="IC10" s="70"/>
      <c r="ID10" s="70"/>
      <c r="IE10" s="70"/>
      <c r="IF10" s="70"/>
      <c r="IG10" s="70"/>
      <c r="IH10" s="70"/>
      <c r="II10" s="70"/>
      <c r="IJ10" s="70"/>
      <c r="IK10" s="70"/>
      <c r="IL10" s="70"/>
      <c r="IM10" s="70"/>
      <c r="IN10" s="70"/>
      <c r="IO10" s="70"/>
      <c r="IP10" s="70"/>
      <c r="IQ10" s="70"/>
      <c r="IR10" s="70"/>
      <c r="IS10" s="70"/>
      <c r="IT10" s="70"/>
      <c r="IU10" s="70"/>
      <c r="IV10" s="70"/>
    </row>
    <row r="11" spans="1:256" s="3023" customFormat="1">
      <c r="A11" s="4613"/>
      <c r="B11" s="1042" t="s">
        <v>1183</v>
      </c>
      <c r="C11" s="1045" t="s">
        <v>1182</v>
      </c>
      <c r="D11" s="1046" t="s">
        <v>1178</v>
      </c>
      <c r="E11" s="1046" t="s">
        <v>1178</v>
      </c>
      <c r="F11" s="1041" t="s">
        <v>1177</v>
      </c>
      <c r="G11" s="1041" t="s">
        <v>1177</v>
      </c>
      <c r="H11" s="1041" t="s">
        <v>1177</v>
      </c>
      <c r="I11" s="2904" t="s">
        <v>1178</v>
      </c>
      <c r="J11" s="2904" t="s">
        <v>1178</v>
      </c>
      <c r="K11" s="2909" t="s">
        <v>1178</v>
      </c>
      <c r="L11" s="1041" t="s">
        <v>1178</v>
      </c>
      <c r="M11" s="70"/>
      <c r="N11" s="70"/>
      <c r="O11" s="244"/>
      <c r="P11" s="244"/>
      <c r="Q11" s="244"/>
      <c r="R11" s="70"/>
      <c r="S11" s="70"/>
      <c r="T11" s="244"/>
      <c r="U11" s="244"/>
      <c r="V11" s="244"/>
      <c r="W11" s="70"/>
      <c r="X11" s="70"/>
      <c r="Y11" s="244"/>
      <c r="Z11" s="244"/>
      <c r="AA11" s="244"/>
      <c r="AB11" s="244"/>
      <c r="AC11" s="244"/>
      <c r="AD11" s="244"/>
      <c r="AE11" s="244"/>
      <c r="AF11" s="244"/>
      <c r="AG11" s="244"/>
      <c r="AH11" s="244"/>
      <c r="AI11" s="244"/>
      <c r="AJ11" s="244"/>
      <c r="AK11" s="244"/>
      <c r="AL11" s="244"/>
      <c r="AM11" s="244"/>
      <c r="AN11" s="244"/>
      <c r="AO11" s="244"/>
      <c r="AP11" s="244"/>
      <c r="AQ11" s="244"/>
      <c r="AR11" s="244"/>
      <c r="AS11" s="244"/>
      <c r="AT11" s="244"/>
      <c r="AU11" s="244"/>
      <c r="AV11" s="244"/>
      <c r="AW11" s="244"/>
      <c r="AX11" s="244"/>
      <c r="AY11" s="244"/>
      <c r="AZ11" s="244"/>
      <c r="BA11" s="244"/>
      <c r="BB11" s="244"/>
      <c r="BC11" s="244"/>
      <c r="BD11" s="244"/>
      <c r="BE11" s="244"/>
      <c r="BF11" s="244"/>
      <c r="BG11" s="244"/>
      <c r="BH11" s="244"/>
      <c r="BI11" s="244"/>
      <c r="BJ11" s="244"/>
      <c r="BK11" s="244"/>
      <c r="BL11" s="244"/>
      <c r="BM11" s="244"/>
      <c r="BN11" s="244"/>
      <c r="BO11" s="244"/>
      <c r="BP11" s="244"/>
      <c r="BQ11" s="244"/>
      <c r="BR11" s="244"/>
      <c r="BS11" s="244"/>
      <c r="BT11" s="244"/>
      <c r="BU11" s="244"/>
      <c r="BV11" s="244"/>
      <c r="BW11" s="244"/>
      <c r="BX11" s="244"/>
      <c r="BY11" s="244"/>
      <c r="BZ11" s="244"/>
      <c r="CA11" s="244"/>
      <c r="CB11" s="244"/>
      <c r="CC11" s="244"/>
      <c r="CD11" s="244"/>
      <c r="CE11" s="244"/>
      <c r="CF11" s="244"/>
      <c r="CG11" s="244"/>
      <c r="CH11" s="244"/>
      <c r="CI11" s="244"/>
      <c r="CJ11" s="244"/>
      <c r="CK11" s="244"/>
      <c r="CL11" s="244"/>
      <c r="CM11" s="244"/>
      <c r="CN11" s="244"/>
      <c r="CO11" s="244"/>
      <c r="CP11" s="244"/>
      <c r="CQ11" s="244"/>
      <c r="CR11" s="244"/>
      <c r="CS11" s="244"/>
      <c r="CT11" s="244"/>
      <c r="CU11" s="244"/>
      <c r="CV11" s="244"/>
      <c r="CW11" s="244"/>
      <c r="CX11" s="244"/>
      <c r="CY11" s="244"/>
      <c r="CZ11" s="244"/>
      <c r="DA11" s="244"/>
      <c r="DB11" s="244"/>
      <c r="DC11" s="244"/>
      <c r="DD11" s="244"/>
      <c r="DE11" s="244"/>
      <c r="DF11" s="244"/>
      <c r="DG11" s="244"/>
      <c r="DH11" s="244"/>
      <c r="DI11" s="244"/>
      <c r="DJ11" s="244"/>
      <c r="DK11" s="244"/>
      <c r="DL11" s="244"/>
      <c r="DM11" s="244"/>
      <c r="DN11" s="244"/>
      <c r="DO11" s="244"/>
      <c r="DP11" s="244"/>
      <c r="DQ11" s="244"/>
      <c r="DR11" s="244"/>
      <c r="DS11" s="244"/>
      <c r="DT11" s="244"/>
      <c r="DU11" s="244"/>
      <c r="DV11" s="244"/>
      <c r="DW11" s="244"/>
      <c r="DX11" s="244"/>
      <c r="DY11" s="244"/>
      <c r="DZ11" s="244"/>
      <c r="EA11" s="244"/>
      <c r="EB11" s="244"/>
      <c r="EC11" s="244"/>
      <c r="ED11" s="244"/>
      <c r="EE11" s="244"/>
      <c r="EF11" s="244"/>
      <c r="EG11" s="244"/>
      <c r="EH11" s="244"/>
      <c r="EI11" s="244"/>
      <c r="EJ11" s="244"/>
      <c r="EK11" s="244"/>
      <c r="EL11" s="244"/>
      <c r="EM11" s="244"/>
      <c r="EN11" s="244"/>
      <c r="EO11" s="244"/>
      <c r="EP11" s="244"/>
      <c r="EQ11" s="244"/>
      <c r="ER11" s="244"/>
      <c r="ES11" s="244"/>
      <c r="ET11" s="244"/>
      <c r="EU11" s="244"/>
      <c r="EV11" s="244"/>
      <c r="EW11" s="244"/>
      <c r="EX11" s="244"/>
      <c r="EY11" s="244"/>
      <c r="EZ11" s="244"/>
      <c r="FA11" s="244"/>
      <c r="FB11" s="244"/>
      <c r="FC11" s="244"/>
      <c r="FD11" s="244"/>
      <c r="FE11" s="244"/>
      <c r="FF11" s="244"/>
      <c r="FG11" s="244"/>
      <c r="FH11" s="244"/>
      <c r="FI11" s="244"/>
      <c r="FJ11" s="244"/>
      <c r="FK11" s="244"/>
      <c r="FL11" s="244"/>
      <c r="FM11" s="244"/>
      <c r="FN11" s="244"/>
      <c r="FO11" s="244"/>
      <c r="FP11" s="244"/>
      <c r="FQ11" s="244"/>
      <c r="FR11" s="244"/>
      <c r="FS11" s="244"/>
      <c r="FT11" s="244"/>
      <c r="FU11" s="244"/>
      <c r="FV11" s="244"/>
      <c r="FW11" s="244"/>
      <c r="FX11" s="244"/>
      <c r="FY11" s="244"/>
      <c r="FZ11" s="244"/>
      <c r="GA11" s="244"/>
      <c r="GB11" s="244"/>
      <c r="GC11" s="244"/>
      <c r="GD11" s="244"/>
      <c r="GE11" s="244"/>
      <c r="GF11" s="244"/>
      <c r="GG11" s="244"/>
      <c r="GH11" s="244"/>
      <c r="GI11" s="244"/>
      <c r="GJ11" s="244"/>
      <c r="GK11" s="244"/>
      <c r="GL11" s="244"/>
      <c r="GM11" s="244"/>
      <c r="GN11" s="244"/>
      <c r="GO11" s="244"/>
      <c r="GP11" s="244"/>
      <c r="GQ11" s="244"/>
      <c r="GR11" s="244"/>
      <c r="GS11" s="244"/>
      <c r="GT11" s="244"/>
      <c r="GU11" s="244"/>
      <c r="GV11" s="244"/>
      <c r="GW11" s="244"/>
      <c r="GX11" s="244"/>
      <c r="GY11" s="244"/>
      <c r="GZ11" s="244"/>
      <c r="HA11" s="244"/>
      <c r="HB11" s="244"/>
      <c r="HC11" s="244"/>
      <c r="HD11" s="244"/>
      <c r="HE11" s="244"/>
      <c r="HF11" s="244"/>
      <c r="HG11" s="244"/>
      <c r="HH11" s="244"/>
      <c r="HI11" s="244"/>
      <c r="HJ11" s="244"/>
      <c r="HK11" s="244"/>
      <c r="HL11" s="244"/>
      <c r="HM11" s="244"/>
      <c r="HN11" s="244"/>
      <c r="HO11" s="244"/>
      <c r="HP11" s="244"/>
      <c r="HQ11" s="244"/>
      <c r="HR11" s="244"/>
      <c r="HS11" s="244"/>
      <c r="HT11" s="244"/>
      <c r="HU11" s="244"/>
      <c r="HV11" s="244"/>
      <c r="HW11" s="244"/>
      <c r="HX11" s="244"/>
      <c r="HY11" s="244"/>
      <c r="HZ11" s="244"/>
      <c r="IA11" s="244"/>
      <c r="IB11" s="244"/>
      <c r="IC11" s="244"/>
      <c r="ID11" s="244"/>
      <c r="IE11" s="244"/>
      <c r="IF11" s="244"/>
      <c r="IG11" s="244"/>
      <c r="IH11" s="244"/>
      <c r="II11" s="244"/>
      <c r="IJ11" s="244"/>
      <c r="IK11" s="244"/>
      <c r="IL11" s="244"/>
      <c r="IM11" s="244"/>
      <c r="IN11" s="244"/>
      <c r="IO11" s="244"/>
      <c r="IP11" s="244"/>
      <c r="IQ11" s="244"/>
      <c r="IR11" s="244"/>
      <c r="IS11" s="244"/>
      <c r="IT11" s="244"/>
      <c r="IU11" s="244"/>
      <c r="IV11" s="244"/>
    </row>
    <row r="12" spans="1:256">
      <c r="E12" s="552"/>
      <c r="H12" s="2334"/>
      <c r="P12" s="74"/>
      <c r="R12" s="2334"/>
      <c r="S12" s="2334"/>
      <c r="T12" s="2334"/>
      <c r="U12" s="2334"/>
      <c r="V12" s="2334"/>
    </row>
    <row r="13" spans="1:256" ht="13.5" thickBot="1">
      <c r="H13" s="2334"/>
      <c r="P13" s="74"/>
      <c r="R13" s="2334"/>
      <c r="S13" s="2334"/>
      <c r="T13" s="2334"/>
      <c r="U13" s="2334"/>
      <c r="V13" s="2334"/>
    </row>
    <row r="14" spans="1:256">
      <c r="B14" s="4608" t="s">
        <v>388</v>
      </c>
      <c r="C14" s="4610"/>
      <c r="D14" s="1" t="s">
        <v>1484</v>
      </c>
      <c r="E14" s="1"/>
      <c r="F14" s="1"/>
      <c r="G14" s="1"/>
      <c r="H14" s="1"/>
      <c r="I14" s="1" t="s">
        <v>249</v>
      </c>
      <c r="J14" s="1"/>
      <c r="K14" s="1"/>
      <c r="L14" s="1"/>
      <c r="M14" s="1"/>
      <c r="N14" s="1" t="s">
        <v>248</v>
      </c>
      <c r="S14" s="2334"/>
      <c r="T14" s="2334"/>
      <c r="U14" s="2334"/>
      <c r="V14" s="2334"/>
    </row>
    <row r="15" spans="1:256" ht="38.25">
      <c r="B15" s="271" t="s">
        <v>1149</v>
      </c>
      <c r="C15" s="272" t="s">
        <v>953</v>
      </c>
      <c r="D15" s="1742" t="s">
        <v>3</v>
      </c>
      <c r="E15" s="1743" t="s">
        <v>2</v>
      </c>
      <c r="F15" s="1743" t="s">
        <v>1</v>
      </c>
      <c r="G15" s="1743" t="s">
        <v>1966</v>
      </c>
      <c r="H15" s="1744" t="s">
        <v>1395</v>
      </c>
      <c r="I15" s="1745" t="s">
        <v>3</v>
      </c>
      <c r="J15" s="1746" t="s">
        <v>2</v>
      </c>
      <c r="K15" s="1746" t="s">
        <v>1</v>
      </c>
      <c r="L15" s="1746" t="s">
        <v>1966</v>
      </c>
      <c r="M15" s="1747" t="s">
        <v>1395</v>
      </c>
      <c r="N15" s="1739" t="s">
        <v>3</v>
      </c>
      <c r="O15" s="1740" t="s">
        <v>2</v>
      </c>
      <c r="P15" s="1740" t="s">
        <v>1</v>
      </c>
      <c r="Q15" s="1740" t="s">
        <v>0</v>
      </c>
      <c r="R15" s="1741" t="s">
        <v>1395</v>
      </c>
      <c r="S15" s="2334"/>
      <c r="T15" s="2334"/>
      <c r="U15" s="2334"/>
      <c r="V15" s="2334"/>
    </row>
    <row r="16" spans="1:256">
      <c r="B16" s="1039" t="s">
        <v>1010</v>
      </c>
      <c r="C16" s="1040" t="s">
        <v>1011</v>
      </c>
      <c r="D16" s="1041" t="s">
        <v>128</v>
      </c>
      <c r="E16" s="1041" t="s">
        <v>128</v>
      </c>
      <c r="F16" s="1041" t="s">
        <v>127</v>
      </c>
      <c r="G16" s="1041" t="s">
        <v>127</v>
      </c>
      <c r="H16" s="1041" t="s">
        <v>1380</v>
      </c>
      <c r="I16" s="1041" t="s">
        <v>128</v>
      </c>
      <c r="J16" s="1041" t="s">
        <v>128</v>
      </c>
      <c r="K16" s="1041" t="s">
        <v>127</v>
      </c>
      <c r="L16" s="1041" t="s">
        <v>127</v>
      </c>
      <c r="M16" s="1041" t="s">
        <v>1380</v>
      </c>
      <c r="N16" s="1041" t="s">
        <v>128</v>
      </c>
      <c r="O16" s="1041" t="s">
        <v>128</v>
      </c>
      <c r="P16" s="1041" t="s">
        <v>127</v>
      </c>
      <c r="Q16" s="1041" t="s">
        <v>127</v>
      </c>
      <c r="R16" s="1041" t="s">
        <v>1380</v>
      </c>
      <c r="S16" s="2334"/>
      <c r="T16" s="2334"/>
      <c r="U16" s="2334"/>
      <c r="V16" s="2334"/>
    </row>
    <row r="17" spans="1:256">
      <c r="B17" s="1042" t="s">
        <v>645</v>
      </c>
      <c r="C17" s="1043" t="s">
        <v>420</v>
      </c>
      <c r="D17" s="2992">
        <f>'PTA-Mid'!$D$10</f>
        <v>0.33</v>
      </c>
      <c r="E17" s="3297">
        <f>HLOOKUP(PlantType,'PTA-Mid'!$D$2:$V$10,9,FALSE)</f>
        <v>0.4</v>
      </c>
      <c r="F17" s="1044">
        <f>ROUND(1-Q45,2)</f>
        <v>0.55000000000000004</v>
      </c>
      <c r="G17" s="1044">
        <f>F17</f>
        <v>0.55000000000000004</v>
      </c>
      <c r="H17" s="1044">
        <v>0</v>
      </c>
      <c r="I17" s="2992">
        <f>'PTA-Hi'!$D$10</f>
        <v>0.6</v>
      </c>
      <c r="J17" s="3415">
        <f>HLOOKUP(PlantType,'PTA-Hi'!$D$2:$V$10,9,FALSE)</f>
        <v>0.5</v>
      </c>
      <c r="K17" s="1044">
        <v>0.7</v>
      </c>
      <c r="L17" s="1044">
        <v>0.7</v>
      </c>
      <c r="M17" s="1044">
        <v>0</v>
      </c>
      <c r="N17" s="2992">
        <f>'PTA-Lo'!$D$10</f>
        <v>0.2</v>
      </c>
      <c r="O17" s="3415">
        <f>HLOOKUP(PlantType,'PTA-Lo'!$D$2:$V$10,9,FALSE)</f>
        <v>0.15</v>
      </c>
      <c r="P17" s="1044">
        <v>0.48</v>
      </c>
      <c r="Q17" s="1044">
        <v>0.48</v>
      </c>
      <c r="R17" s="1044">
        <v>0</v>
      </c>
      <c r="S17" s="2334"/>
      <c r="T17" s="2334"/>
      <c r="U17" s="2334"/>
      <c r="V17" s="2334"/>
    </row>
    <row r="18" spans="1:256">
      <c r="B18" s="2982" t="s">
        <v>646</v>
      </c>
      <c r="C18" s="1045" t="s">
        <v>421</v>
      </c>
      <c r="D18" s="2198">
        <f>'Financial Assumptions'!$D$30</f>
        <v>0.13250000000000001</v>
      </c>
      <c r="E18" s="2198">
        <f>'Financial Assumptions'!$D$30</f>
        <v>0.13250000000000001</v>
      </c>
      <c r="F18" s="2198">
        <f>'Financial Assumptions'!$D$31</f>
        <v>0.10039570993910207</v>
      </c>
      <c r="G18" s="2198">
        <f>'Financial Assumptions'!$D$31</f>
        <v>0.10039570993910207</v>
      </c>
      <c r="H18" s="2199">
        <v>0</v>
      </c>
      <c r="I18" s="3324">
        <v>0.15</v>
      </c>
      <c r="J18" s="3324">
        <f>I18</f>
        <v>0.15</v>
      </c>
      <c r="K18" s="3324">
        <f>MAX($H$42:$H$44)</f>
        <v>0.10309433962264149</v>
      </c>
      <c r="L18" s="3324">
        <f>K18</f>
        <v>0.10309433962264149</v>
      </c>
      <c r="M18" s="2199">
        <v>0</v>
      </c>
      <c r="N18" s="2198">
        <f>0.1019+($I$33-0.0293)</f>
        <v>0.1041</v>
      </c>
      <c r="O18" s="2198">
        <f>0.1019+($I$33-0.0293)</f>
        <v>0.1041</v>
      </c>
      <c r="P18" s="2198">
        <f>MIN($H$42:$H$44)</f>
        <v>9.7142105263157891E-2</v>
      </c>
      <c r="Q18" s="2198">
        <f>P18</f>
        <v>9.7142105263157891E-2</v>
      </c>
      <c r="R18" s="2199">
        <v>0</v>
      </c>
      <c r="S18" s="2334"/>
      <c r="T18" s="2334"/>
      <c r="U18" s="2334"/>
      <c r="V18" s="2334"/>
    </row>
    <row r="19" spans="1:256">
      <c r="B19" s="2982" t="s">
        <v>647</v>
      </c>
      <c r="C19" s="1045" t="s">
        <v>422</v>
      </c>
      <c r="D19" s="2198">
        <f>LOOKUP(DebtTerm,'Financial Assumptions'!$F$29:$I$29,'Financial Assumptions'!$F$30:$I$30)</f>
        <v>5.9130000000000002E-2</v>
      </c>
      <c r="E19" s="2198">
        <f>LOOKUP(DebtTerm,'Financial Assumptions'!$F$29:$I$29,'Financial Assumptions'!$F$30:$I$30)</f>
        <v>5.9130000000000002E-2</v>
      </c>
      <c r="F19" s="2198">
        <f>I31</f>
        <v>5.2833333333333336E-2</v>
      </c>
      <c r="G19" s="2198">
        <f>I31</f>
        <v>5.2833333333333336E-2</v>
      </c>
      <c r="H19" s="2198">
        <f>POU_Debt_30</f>
        <v>3.2000000000000001E-2</v>
      </c>
      <c r="I19" s="3324">
        <f>D19+$J$78</f>
        <v>8.7047497456765016E-2</v>
      </c>
      <c r="J19" s="3324">
        <f>E19+$J$78</f>
        <v>8.7047497456765016E-2</v>
      </c>
      <c r="K19" s="3324">
        <f>MAX($G$42:$G$44)</f>
        <v>5.6500000000000002E-2</v>
      </c>
      <c r="L19" s="3324">
        <f>K19</f>
        <v>5.6500000000000002E-2</v>
      </c>
      <c r="M19" s="2198">
        <f>$H$19+($J$75-$J$62)</f>
        <v>5.9568667344862658E-2</v>
      </c>
      <c r="N19" s="2198">
        <f>D19+$J$64</f>
        <v>5.5409654120040695E-2</v>
      </c>
      <c r="O19" s="2198">
        <f>E19+$J$64</f>
        <v>5.5409654120040695E-2</v>
      </c>
      <c r="P19" s="2198">
        <f>MIN(G42:G44)</f>
        <v>4.5499999999999999E-2</v>
      </c>
      <c r="Q19" s="2198">
        <f>P19</f>
        <v>4.5499999999999999E-2</v>
      </c>
      <c r="R19" s="2198">
        <f>$H$19+($J$61-$J$62)</f>
        <v>3.0168870803662255E-2</v>
      </c>
      <c r="S19" s="2334"/>
      <c r="T19" s="2334"/>
      <c r="U19" s="2334"/>
      <c r="V19" s="2334"/>
    </row>
    <row r="20" spans="1:256">
      <c r="B20" s="1042"/>
      <c r="C20" s="1043" t="s">
        <v>1954</v>
      </c>
      <c r="D20" s="3418">
        <v>0.4</v>
      </c>
      <c r="E20" s="1044">
        <f>IF(TaxLossTreatment="Tax Equity Financing",IF(TaxCredit="REPTC (Tax Credit)",Tax_Equity!$C$4,Tax_Equity!$C$10),1)</f>
        <v>0.6366666666666666</v>
      </c>
      <c r="F20" s="890"/>
      <c r="G20" s="890"/>
      <c r="H20" s="890"/>
      <c r="I20" s="890"/>
      <c r="J20" s="1044">
        <f>IF(TaxLossTreatment="Tax Equity Financing",IF(TaxCredit="REPTC (Tax Credit)",Tax_Equity!$C$4,Tax_Equity!$C$10),1)</f>
        <v>0.6366666666666666</v>
      </c>
      <c r="K20" s="890"/>
      <c r="L20" s="890"/>
      <c r="M20" s="890"/>
      <c r="N20" s="890"/>
      <c r="O20" s="1044">
        <f>IF(TaxLossTreatment="Tax Equity Financing",IF(TaxCredit="REPTC (Tax Credit)",Tax_Equity!$C$4,Tax_Equity!$C$10),1)</f>
        <v>0.6366666666666666</v>
      </c>
      <c r="P20" s="890"/>
      <c r="Q20" s="890"/>
      <c r="R20" s="890"/>
    </row>
    <row r="21" spans="1:256">
      <c r="B21" s="2982" t="s">
        <v>1894</v>
      </c>
      <c r="C21" s="1045" t="s">
        <v>1895</v>
      </c>
      <c r="D21" s="2198"/>
      <c r="E21" s="2199">
        <f>IF(TaxLossTreatment="Tax Equity Financing",IF(TaxCredit="REPTC (Tax Credit)",Tax_Equity!$C$5,Tax_Equity!$C$11),0)</f>
        <v>0.3633333333333334</v>
      </c>
      <c r="F21" s="2198"/>
      <c r="G21" s="2198"/>
      <c r="H21" s="2198"/>
      <c r="I21" s="3324"/>
      <c r="J21" s="2199">
        <f>IF(TaxLossTreatment="Tax Equity Financing",IF(TaxCredit="REPTC (Tax Credit)",Tax_Equity!$C$5,Tax_Equity!$C$11),0)</f>
        <v>0.3633333333333334</v>
      </c>
      <c r="K21" s="3324"/>
      <c r="L21" s="3324"/>
      <c r="M21" s="2198"/>
      <c r="N21" s="2198"/>
      <c r="O21" s="2199">
        <f>IF(TaxLossTreatment="Tax Equity Financing",IF(TaxCredit="REPTC (Tax Credit)",Tax_Equity!$C$5,Tax_Equity!$C$11),0)</f>
        <v>0.3633333333333334</v>
      </c>
      <c r="P21" s="2198"/>
      <c r="Q21" s="2198"/>
      <c r="R21" s="2198"/>
      <c r="S21" s="2334"/>
      <c r="T21" s="2334"/>
      <c r="U21" s="2334"/>
      <c r="V21" s="2334"/>
    </row>
    <row r="22" spans="1:256" s="2334" customFormat="1">
      <c r="A22" s="2330"/>
      <c r="B22" s="2982" t="s">
        <v>1767</v>
      </c>
      <c r="C22" s="1045" t="s">
        <v>1710</v>
      </c>
      <c r="D22" s="2198"/>
      <c r="E22" s="2198">
        <f>E18-5.25%</f>
        <v>8.0000000000000016E-2</v>
      </c>
      <c r="F22" s="2198"/>
      <c r="G22" s="2198"/>
      <c r="H22" s="2198"/>
      <c r="I22" s="2907"/>
      <c r="J22" s="3325">
        <f>E22+2%</f>
        <v>0.10000000000000002</v>
      </c>
      <c r="K22" s="1045"/>
      <c r="L22" s="2199"/>
      <c r="M22" s="1044"/>
      <c r="N22" s="1044"/>
      <c r="O22" s="1044">
        <f>E22-1%</f>
        <v>7.0000000000000021E-2</v>
      </c>
      <c r="P22" s="1044"/>
      <c r="Q22" s="1044"/>
      <c r="R22" s="1044"/>
      <c r="S22" s="2126"/>
      <c r="T22" s="2126"/>
      <c r="U22" s="2126"/>
      <c r="V22" s="2126"/>
      <c r="W22" s="2126"/>
      <c r="X22" s="2126"/>
      <c r="Y22" s="2126"/>
      <c r="Z22" s="2126"/>
      <c r="AA22" s="2126"/>
      <c r="AB22" s="1586"/>
      <c r="AC22" s="1586"/>
      <c r="AD22" s="1586"/>
      <c r="AE22" s="1586"/>
      <c r="AF22" s="1586"/>
      <c r="AG22" s="1586"/>
      <c r="AH22" s="1586"/>
      <c r="AI22" s="1586"/>
      <c r="AJ22" s="1586"/>
      <c r="AK22" s="1586"/>
      <c r="AL22" s="1586"/>
      <c r="AM22" s="1586"/>
      <c r="AN22" s="1586"/>
      <c r="AO22" s="1586"/>
      <c r="AP22" s="1586"/>
      <c r="AQ22" s="1586"/>
      <c r="AR22" s="1586"/>
      <c r="AS22" s="1586"/>
      <c r="AT22" s="1586"/>
      <c r="AU22" s="1586"/>
      <c r="AV22" s="1586"/>
      <c r="AW22" s="1586"/>
      <c r="AX22" s="1586"/>
      <c r="AY22" s="1586"/>
      <c r="AZ22" s="1586"/>
      <c r="BA22" s="1586"/>
      <c r="BB22" s="1586"/>
      <c r="BC22" s="1586"/>
      <c r="BD22" s="1586"/>
      <c r="BE22" s="1586"/>
      <c r="BF22" s="1586"/>
      <c r="BG22" s="1586"/>
      <c r="BH22" s="1586"/>
      <c r="BI22" s="1586"/>
      <c r="BJ22" s="1586"/>
      <c r="BK22" s="1586"/>
      <c r="BL22" s="1586"/>
      <c r="BM22" s="1586"/>
      <c r="BN22" s="1586"/>
      <c r="BO22" s="1586"/>
      <c r="BP22" s="1586"/>
      <c r="BQ22" s="1586"/>
      <c r="BR22" s="1586"/>
      <c r="BS22" s="1586"/>
      <c r="BT22" s="1586"/>
      <c r="BU22" s="1586"/>
      <c r="BV22" s="1586"/>
      <c r="BW22" s="1586"/>
      <c r="BX22" s="1586"/>
      <c r="BY22" s="1586"/>
      <c r="BZ22" s="1586"/>
      <c r="CA22" s="1586"/>
      <c r="CB22" s="1586"/>
      <c r="CC22" s="1586"/>
      <c r="CD22" s="1586"/>
      <c r="CE22" s="1586"/>
      <c r="CF22" s="1586"/>
      <c r="CG22" s="1586"/>
      <c r="CH22" s="1586"/>
      <c r="CI22" s="1586"/>
      <c r="CJ22" s="1586"/>
      <c r="CK22" s="1586"/>
      <c r="CL22" s="1586"/>
      <c r="CM22" s="1586"/>
      <c r="CN22" s="1586"/>
      <c r="CO22" s="1586"/>
      <c r="CP22" s="1586"/>
      <c r="CQ22" s="1586"/>
      <c r="CR22" s="1586"/>
      <c r="CS22" s="1586"/>
      <c r="CT22" s="1586"/>
      <c r="CU22" s="1586"/>
      <c r="CV22" s="1586"/>
      <c r="CW22" s="1586"/>
      <c r="CX22" s="1586"/>
      <c r="CY22" s="1586"/>
      <c r="CZ22" s="1586"/>
      <c r="DA22" s="1586"/>
      <c r="DB22" s="1586"/>
      <c r="DC22" s="1586"/>
      <c r="DD22" s="1586"/>
      <c r="DE22" s="1586"/>
      <c r="DF22" s="1586"/>
      <c r="DG22" s="1586"/>
      <c r="DH22" s="1586"/>
      <c r="DI22" s="1586"/>
      <c r="DJ22" s="1586"/>
      <c r="DK22" s="1586"/>
      <c r="DL22" s="1586"/>
      <c r="DM22" s="1586"/>
      <c r="DN22" s="1586"/>
      <c r="DO22" s="1586"/>
      <c r="DP22" s="1586"/>
      <c r="DQ22" s="1586"/>
      <c r="DR22" s="1586"/>
      <c r="DS22" s="1586"/>
      <c r="DT22" s="1586"/>
      <c r="DU22" s="1586"/>
      <c r="DV22" s="1586"/>
      <c r="DW22" s="1586"/>
      <c r="DX22" s="1586"/>
      <c r="DY22" s="1586"/>
      <c r="DZ22" s="1586"/>
      <c r="EA22" s="1586"/>
      <c r="EB22" s="1586"/>
      <c r="EC22" s="1586"/>
      <c r="ED22" s="1586"/>
      <c r="EE22" s="1586"/>
      <c r="EF22" s="1586"/>
      <c r="EG22" s="1586"/>
      <c r="EH22" s="1586"/>
      <c r="EI22" s="1586"/>
      <c r="EJ22" s="1586"/>
      <c r="EK22" s="1586"/>
      <c r="EL22" s="1586"/>
      <c r="EM22" s="1586"/>
      <c r="EN22" s="1586"/>
      <c r="EO22" s="1586"/>
      <c r="EP22" s="1586"/>
      <c r="EQ22" s="1586"/>
      <c r="ER22" s="1586"/>
      <c r="ES22" s="1586"/>
      <c r="ET22" s="1586"/>
      <c r="EU22" s="1586"/>
      <c r="EV22" s="1586"/>
      <c r="EW22" s="1586"/>
      <c r="EX22" s="1586"/>
      <c r="EY22" s="1586"/>
      <c r="EZ22" s="1586"/>
      <c r="FA22" s="1586"/>
      <c r="FB22" s="1586"/>
      <c r="FC22" s="1586"/>
      <c r="FD22" s="1586"/>
      <c r="FE22" s="1586"/>
      <c r="FF22" s="1586"/>
      <c r="FG22" s="1586"/>
      <c r="FH22" s="1586"/>
      <c r="FI22" s="1586"/>
      <c r="FJ22" s="1586"/>
      <c r="FK22" s="1586"/>
      <c r="FL22" s="1586"/>
      <c r="FM22" s="1586"/>
      <c r="FN22" s="1586"/>
      <c r="FO22" s="1586"/>
      <c r="FP22" s="1586"/>
      <c r="FQ22" s="1586"/>
      <c r="FR22" s="1586"/>
      <c r="FS22" s="1586"/>
      <c r="FT22" s="1586"/>
      <c r="FU22" s="1586"/>
      <c r="FV22" s="1586"/>
      <c r="FW22" s="1586"/>
      <c r="FX22" s="1586"/>
      <c r="FY22" s="1586"/>
      <c r="FZ22" s="1586"/>
      <c r="GA22" s="1586"/>
      <c r="GB22" s="1586"/>
      <c r="GC22" s="1586"/>
      <c r="GD22" s="1586"/>
      <c r="GE22" s="1586"/>
      <c r="GF22" s="1586"/>
      <c r="GG22" s="1586"/>
      <c r="GH22" s="1586"/>
      <c r="GI22" s="1586"/>
      <c r="GJ22" s="1586"/>
      <c r="GK22" s="1586"/>
      <c r="GL22" s="1586"/>
      <c r="GM22" s="1586"/>
      <c r="GN22" s="1586"/>
      <c r="GO22" s="1586"/>
      <c r="GP22" s="1586"/>
      <c r="GQ22" s="1586"/>
      <c r="GR22" s="1586"/>
      <c r="GS22" s="1586"/>
      <c r="GT22" s="1586"/>
      <c r="GU22" s="1586"/>
      <c r="GV22" s="1586"/>
      <c r="GW22" s="1586"/>
      <c r="GX22" s="1586"/>
      <c r="GY22" s="1586"/>
      <c r="GZ22" s="1586"/>
      <c r="HA22" s="1586"/>
      <c r="HB22" s="1586"/>
      <c r="HC22" s="1586"/>
      <c r="HD22" s="1586"/>
      <c r="HE22" s="1586"/>
      <c r="HF22" s="1586"/>
      <c r="HG22" s="1586"/>
      <c r="HH22" s="1586"/>
      <c r="HI22" s="1586"/>
      <c r="HJ22" s="1586"/>
      <c r="HK22" s="1586"/>
      <c r="HL22" s="1586"/>
      <c r="HM22" s="1586"/>
      <c r="HN22" s="1586"/>
      <c r="HO22" s="1586"/>
      <c r="HP22" s="1586"/>
      <c r="HQ22" s="1586"/>
      <c r="HR22" s="1586"/>
      <c r="HS22" s="1586"/>
      <c r="HT22" s="1586"/>
      <c r="HU22" s="1586"/>
      <c r="HV22" s="1586"/>
      <c r="HW22" s="1586"/>
      <c r="HX22" s="1586"/>
      <c r="HY22" s="1586"/>
      <c r="HZ22" s="1586"/>
      <c r="IA22" s="1586"/>
      <c r="IB22" s="1586"/>
      <c r="IC22" s="1586"/>
      <c r="ID22" s="1586"/>
      <c r="IE22" s="1586"/>
      <c r="IF22" s="1586"/>
      <c r="IG22" s="1586"/>
      <c r="IH22" s="1586"/>
      <c r="II22" s="1586"/>
      <c r="IJ22" s="1586"/>
      <c r="IK22" s="1586"/>
      <c r="IL22" s="1586"/>
      <c r="IM22" s="1586"/>
      <c r="IN22" s="1586"/>
      <c r="IO22" s="1586"/>
      <c r="IP22" s="1586"/>
      <c r="IQ22" s="1586"/>
      <c r="IR22" s="1586"/>
      <c r="IS22" s="1586"/>
      <c r="IT22" s="1586"/>
      <c r="IU22" s="1586"/>
      <c r="IV22" s="1586"/>
    </row>
    <row r="23" spans="1:256">
      <c r="B23" s="1042" t="s">
        <v>1180</v>
      </c>
      <c r="C23" s="890" t="s">
        <v>1179</v>
      </c>
      <c r="H23" s="2334"/>
      <c r="P23" s="74"/>
      <c r="R23" s="2334"/>
      <c r="S23" s="2334"/>
      <c r="T23" s="2334"/>
      <c r="U23" s="2334"/>
      <c r="V23" s="2334"/>
    </row>
    <row r="24" spans="1:256">
      <c r="B24" s="1042" t="s">
        <v>986</v>
      </c>
      <c r="C24" s="890" t="s">
        <v>1181</v>
      </c>
      <c r="H24" s="2334"/>
      <c r="P24" s="74"/>
      <c r="R24" s="2334"/>
      <c r="S24" s="2334"/>
      <c r="T24" s="2334"/>
      <c r="U24" s="2334"/>
      <c r="V24" s="2334"/>
    </row>
    <row r="25" spans="1:256">
      <c r="B25" s="1042" t="s">
        <v>1183</v>
      </c>
      <c r="C25" s="1045" t="s">
        <v>1182</v>
      </c>
      <c r="D25" s="3298"/>
      <c r="E25" s="3299"/>
      <c r="F25" s="3299"/>
      <c r="G25" s="3299"/>
      <c r="H25" s="3300"/>
      <c r="I25" s="3300"/>
      <c r="J25" s="3300"/>
      <c r="K25" s="3300"/>
      <c r="L25" s="3300"/>
      <c r="M25" s="3300"/>
      <c r="N25" s="3300"/>
      <c r="O25" s="3300"/>
    </row>
    <row r="26" spans="1:256" ht="13.5" thickBot="1">
      <c r="B26" s="1192"/>
    </row>
    <row r="27" spans="1:256" ht="13.5" thickBot="1">
      <c r="B27" s="2334"/>
      <c r="C27" s="1497" t="s">
        <v>525</v>
      </c>
      <c r="D27" s="1498">
        <v>41303</v>
      </c>
      <c r="E27" s="2329"/>
      <c r="F27" s="2329"/>
      <c r="G27" s="2329"/>
      <c r="H27" s="2329"/>
      <c r="I27" s="2329"/>
      <c r="J27" s="2200"/>
      <c r="K27" s="2329"/>
      <c r="L27" s="2329"/>
      <c r="M27" s="2329"/>
      <c r="N27" s="2329"/>
      <c r="O27" s="2329"/>
      <c r="P27" s="2329"/>
      <c r="Q27" s="2329"/>
      <c r="R27" s="2329"/>
      <c r="S27" s="2329"/>
    </row>
    <row r="28" spans="1:256" ht="13.5" thickBot="1">
      <c r="B28" s="2334"/>
      <c r="C28" s="32"/>
      <c r="D28" s="3020" t="s">
        <v>519</v>
      </c>
      <c r="E28" s="3402" t="s">
        <v>1264</v>
      </c>
      <c r="F28" s="3403"/>
      <c r="G28" s="3403"/>
      <c r="H28" s="3403"/>
      <c r="I28" s="3404"/>
      <c r="J28" s="2200"/>
      <c r="K28" s="2329"/>
      <c r="L28" s="2329"/>
      <c r="M28" s="2329"/>
      <c r="N28" s="2329"/>
      <c r="O28" s="2329"/>
      <c r="P28" s="2329"/>
      <c r="Q28" s="2329"/>
      <c r="R28" s="2329"/>
      <c r="S28" s="2329"/>
    </row>
    <row r="29" spans="1:256">
      <c r="B29" s="2334"/>
      <c r="C29" s="551" t="s">
        <v>285</v>
      </c>
      <c r="D29" s="10"/>
      <c r="E29" s="11"/>
      <c r="F29" s="11">
        <v>5</v>
      </c>
      <c r="G29" s="2331">
        <v>10</v>
      </c>
      <c r="H29" s="2331">
        <v>20</v>
      </c>
      <c r="I29" s="15">
        <v>30</v>
      </c>
      <c r="L29" s="2329"/>
      <c r="M29" s="2329"/>
      <c r="N29" s="2329"/>
      <c r="O29" s="2329"/>
      <c r="P29" s="2329"/>
      <c r="Q29" s="2329"/>
      <c r="R29" s="2329"/>
      <c r="S29" s="2329"/>
    </row>
    <row r="30" spans="1:256">
      <c r="B30" s="2334"/>
      <c r="C30" s="1980" t="s">
        <v>128</v>
      </c>
      <c r="D30" s="3326">
        <v>0.13250000000000001</v>
      </c>
      <c r="E30" s="176"/>
      <c r="F30" s="176">
        <f>F37+DebtPremium</f>
        <v>4.2419999999999999E-2</v>
      </c>
      <c r="G30" s="2913">
        <f>G37+DebtPremium</f>
        <v>5.1720000000000002E-2</v>
      </c>
      <c r="H30" s="552">
        <f>H37+DebtPremium</f>
        <v>5.9130000000000002E-2</v>
      </c>
      <c r="I30" s="177">
        <f>I37+DebtPremium</f>
        <v>6.0910000000000006E-2</v>
      </c>
      <c r="J30" s="2329"/>
      <c r="K30" s="2329"/>
      <c r="L30" s="2329"/>
      <c r="M30" s="2329"/>
      <c r="N30" s="2329"/>
      <c r="O30" s="2329"/>
      <c r="P30" s="2329"/>
      <c r="Q30" s="2329"/>
      <c r="R30" s="2329"/>
      <c r="S30" s="2329"/>
    </row>
    <row r="31" spans="1:256">
      <c r="B31" s="2334"/>
      <c r="C31" s="1980" t="s">
        <v>127</v>
      </c>
      <c r="D31" s="3420">
        <f>AVERAGE(H42:H44)</f>
        <v>0.10039570993910207</v>
      </c>
      <c r="E31" s="176"/>
      <c r="F31" s="176">
        <f>($H$31-$H$33)+F33+$E$64</f>
        <v>4.4233333333333333E-2</v>
      </c>
      <c r="G31" s="173">
        <f>($I$31-$I$33)+G33</f>
        <v>4.1333333333333333E-2</v>
      </c>
      <c r="H31" s="173">
        <f>($I$31-$I$33)+H33</f>
        <v>4.8933333333333336E-2</v>
      </c>
      <c r="I31" s="3421">
        <f>AVERAGE(G42:G44)</f>
        <v>5.2833333333333336E-2</v>
      </c>
      <c r="J31" s="2329"/>
      <c r="K31" s="2329"/>
      <c r="L31" s="2329"/>
      <c r="M31" s="2329"/>
      <c r="N31" s="2329"/>
      <c r="O31" s="2329"/>
      <c r="P31" s="2329"/>
      <c r="Q31" s="2329"/>
      <c r="R31" s="2329"/>
      <c r="S31" s="2329"/>
    </row>
    <row r="32" spans="1:256" ht="13.5" thickBot="1">
      <c r="B32" s="2334"/>
      <c r="C32" s="1981" t="s">
        <v>1380</v>
      </c>
      <c r="D32" s="3024">
        <v>0</v>
      </c>
      <c r="E32" s="553"/>
      <c r="F32" s="553"/>
      <c r="G32" s="550">
        <f>AVERAGE(G55:G56)</f>
        <v>1.745E-2</v>
      </c>
      <c r="H32" s="550">
        <f>AVERAGE(H55:H56)</f>
        <v>3.3000000000000002E-2</v>
      </c>
      <c r="I32" s="3025">
        <f>AVERAGE(I55:I56)</f>
        <v>3.2000000000000001E-2</v>
      </c>
      <c r="J32" s="2329"/>
      <c r="K32" s="1496"/>
      <c r="L32" s="89"/>
      <c r="M32" s="89"/>
      <c r="N32" s="89"/>
      <c r="O32" s="89"/>
      <c r="P32" s="2329"/>
      <c r="Q32" s="2329"/>
      <c r="R32" s="2329"/>
      <c r="S32" s="2329"/>
    </row>
    <row r="33" spans="2:19">
      <c r="B33" s="178" t="s">
        <v>268</v>
      </c>
      <c r="C33" s="19" t="s">
        <v>428</v>
      </c>
      <c r="D33" s="286"/>
      <c r="E33" s="3327"/>
      <c r="F33" s="3327">
        <v>8.8999999999999999E-3</v>
      </c>
      <c r="G33" s="3328">
        <v>0.02</v>
      </c>
      <c r="H33" s="3329">
        <v>2.76E-2</v>
      </c>
      <c r="I33" s="3330">
        <v>3.15E-2</v>
      </c>
      <c r="K33" s="195" t="s">
        <v>1069</v>
      </c>
      <c r="L33" s="2329"/>
      <c r="M33" s="2329"/>
      <c r="N33" s="2329"/>
      <c r="O33" s="2329"/>
      <c r="P33" s="2329"/>
      <c r="Q33" s="2329"/>
      <c r="R33" s="2329"/>
      <c r="S33" s="2329"/>
    </row>
    <row r="34" spans="2:19">
      <c r="B34" s="2334"/>
      <c r="C34" s="19" t="s">
        <v>429</v>
      </c>
      <c r="D34" s="286"/>
      <c r="E34" s="3327"/>
      <c r="F34" s="3327">
        <v>-1.35E-2</v>
      </c>
      <c r="G34" s="3329">
        <v>-5.4999999999999997E-3</v>
      </c>
      <c r="H34" s="3328">
        <v>2.0999999999999999E-3</v>
      </c>
      <c r="I34" s="3330">
        <v>5.1999999999999998E-3</v>
      </c>
      <c r="K34" s="195" t="s">
        <v>430</v>
      </c>
      <c r="L34" s="2329"/>
      <c r="M34" s="2329"/>
      <c r="N34" s="2329"/>
      <c r="O34" s="2329"/>
      <c r="P34" s="2329"/>
      <c r="Q34" s="2329"/>
      <c r="R34" s="2329"/>
      <c r="S34" s="2329"/>
    </row>
    <row r="35" spans="2:19" ht="13.5" thickBot="1">
      <c r="B35" s="2334"/>
      <c r="C35" s="477" t="s">
        <v>431</v>
      </c>
      <c r="D35" s="486"/>
      <c r="E35" s="2201"/>
      <c r="F35" s="2201">
        <f>(1+F33)/(1+F34)-1</f>
        <v>2.2706538266598963E-2</v>
      </c>
      <c r="G35" s="852">
        <f>(1+G33)/(1+G34)-1</f>
        <v>2.564102564102555E-2</v>
      </c>
      <c r="H35" s="2202">
        <f>(1+H33)/(1+H34)-1</f>
        <v>2.5446562219339386E-2</v>
      </c>
      <c r="I35" s="2202">
        <f>(1+I33)/(1+I34)-1</f>
        <v>2.6163947473139659E-2</v>
      </c>
      <c r="J35" s="549"/>
      <c r="K35" s="195" t="s">
        <v>1074</v>
      </c>
      <c r="L35" s="2329"/>
      <c r="M35" s="2329"/>
      <c r="N35" s="2329"/>
      <c r="O35" s="2329"/>
      <c r="P35" s="2329"/>
      <c r="Q35" s="2329"/>
      <c r="R35" s="2329"/>
      <c r="S35" s="2329"/>
    </row>
    <row r="36" spans="2:19">
      <c r="B36" s="2334"/>
      <c r="C36" s="3026" t="s">
        <v>1445</v>
      </c>
      <c r="D36" s="3027"/>
      <c r="E36" s="3028"/>
      <c r="F36" s="3028">
        <f>AVERAGE(Inflation!D16:D20)</f>
        <v>1.3767323076335991E-2</v>
      </c>
      <c r="G36" s="3028">
        <f>AVERAGE(Inflation!D16:D25)</f>
        <v>1.7575840419991828E-2</v>
      </c>
      <c r="H36" s="3029">
        <f>AVERAGE('Fuel Price Forecasts'!G12:G31)</f>
        <v>1.5740805701600226E-2</v>
      </c>
      <c r="I36" s="3029"/>
      <c r="J36" s="2200"/>
      <c r="K36" s="1516" t="s">
        <v>1189</v>
      </c>
      <c r="L36" s="1506"/>
      <c r="M36" s="1506"/>
      <c r="N36" s="1506"/>
      <c r="O36" s="1506"/>
      <c r="P36" s="2329"/>
      <c r="Q36" s="2329"/>
      <c r="R36" s="2329"/>
      <c r="S36" s="2329"/>
    </row>
    <row r="37" spans="2:19">
      <c r="B37" s="2334"/>
      <c r="C37" s="180" t="s">
        <v>1777</v>
      </c>
      <c r="D37" s="216"/>
      <c r="E37" s="2998"/>
      <c r="F37" s="3328">
        <f>D87/100</f>
        <v>7.4199999999999995E-3</v>
      </c>
      <c r="G37" s="3328">
        <f>D88/100</f>
        <v>1.6719999999999999E-2</v>
      </c>
      <c r="H37" s="3331">
        <f>D89/100</f>
        <v>2.4129999999999999E-2</v>
      </c>
      <c r="I37" s="3331">
        <f>D90/100</f>
        <v>2.5910000000000002E-2</v>
      </c>
      <c r="J37" s="2200"/>
      <c r="K37" s="1516"/>
      <c r="L37" s="1506"/>
      <c r="M37" s="1506"/>
      <c r="N37" s="1506"/>
      <c r="O37" s="1506"/>
      <c r="P37" s="2329"/>
      <c r="Q37" s="2329"/>
      <c r="R37" s="2329"/>
      <c r="S37" s="2329"/>
    </row>
    <row r="38" spans="2:19">
      <c r="B38" s="2334"/>
      <c r="C38" s="180" t="s">
        <v>1879</v>
      </c>
      <c r="D38" s="216"/>
      <c r="E38" s="3000">
        <v>3.5000000000000003E-2</v>
      </c>
      <c r="F38" s="2998"/>
      <c r="G38" s="2998"/>
      <c r="H38" s="2999"/>
      <c r="I38" s="2999"/>
      <c r="J38" s="2200"/>
      <c r="K38" s="1516"/>
      <c r="L38" s="1506"/>
      <c r="M38" s="1506"/>
      <c r="N38" s="1506"/>
      <c r="O38" s="1506"/>
      <c r="P38" s="2329"/>
      <c r="Q38" s="2329"/>
      <c r="R38" s="2329"/>
      <c r="S38" s="2329"/>
    </row>
    <row r="39" spans="2:19" ht="13.5" thickBot="1">
      <c r="B39" s="2334"/>
      <c r="C39" s="2329"/>
      <c r="D39" s="2329"/>
      <c r="E39" s="2329"/>
      <c r="F39" s="2329"/>
      <c r="G39" s="2329"/>
      <c r="H39" s="2329"/>
      <c r="I39" s="2329"/>
      <c r="J39" s="2200"/>
      <c r="K39" s="2329"/>
      <c r="Q39" s="2329"/>
      <c r="R39" s="2329"/>
      <c r="S39" s="2329"/>
    </row>
    <row r="40" spans="2:19" s="548" customFormat="1" ht="25.5">
      <c r="B40" s="170"/>
      <c r="C40" s="1972"/>
      <c r="D40" s="3030"/>
      <c r="E40" s="3031" t="s">
        <v>1454</v>
      </c>
      <c r="F40" s="3031" t="s">
        <v>1454</v>
      </c>
      <c r="G40" s="3032" t="s">
        <v>1264</v>
      </c>
      <c r="H40" s="3032" t="s">
        <v>1263</v>
      </c>
      <c r="I40" s="3032" t="s">
        <v>1120</v>
      </c>
      <c r="J40" s="2203" t="s">
        <v>1121</v>
      </c>
      <c r="K40" s="99"/>
      <c r="Q40" s="99"/>
      <c r="R40" s="99"/>
      <c r="S40" s="99"/>
    </row>
    <row r="41" spans="2:19" ht="15.75">
      <c r="B41" s="2334"/>
      <c r="C41" s="2204" t="s">
        <v>520</v>
      </c>
      <c r="D41" s="2331"/>
      <c r="E41" s="3019"/>
      <c r="F41" s="3019"/>
      <c r="G41" s="2331"/>
      <c r="H41" s="2331"/>
      <c r="I41" s="2331"/>
      <c r="J41" s="2205"/>
      <c r="K41" s="2329"/>
      <c r="M41" s="3068" t="s">
        <v>1264</v>
      </c>
      <c r="N41" s="3068" t="s">
        <v>1802</v>
      </c>
      <c r="O41" s="3068" t="s">
        <v>1803</v>
      </c>
      <c r="Q41" s="3068" t="s">
        <v>1264</v>
      </c>
      <c r="R41" s="3068" t="s">
        <v>1802</v>
      </c>
      <c r="S41" s="3068" t="s">
        <v>1803</v>
      </c>
    </row>
    <row r="42" spans="2:19">
      <c r="B42" s="2334"/>
      <c r="C42" s="1973" t="s">
        <v>377</v>
      </c>
      <c r="D42" s="2331"/>
      <c r="E42" s="3303" t="s">
        <v>1504</v>
      </c>
      <c r="F42" s="3303" t="s">
        <v>1504</v>
      </c>
      <c r="G42" s="3422">
        <f>$I$33+$E$66</f>
        <v>5.6500000000000002E-2</v>
      </c>
      <c r="H42" s="3419">
        <f>SUMPRODUCT(N42:O42,R42:S42)/SUM(R42:S42)</f>
        <v>0.10309433962264149</v>
      </c>
      <c r="I42" s="2332"/>
      <c r="J42" s="3332"/>
      <c r="K42" s="2329"/>
      <c r="M42" s="3067">
        <v>5.5199999999999999E-2</v>
      </c>
      <c r="N42" s="3067">
        <v>5.6000000000000001E-2</v>
      </c>
      <c r="O42" s="3067">
        <v>0.104</v>
      </c>
      <c r="Q42" s="3067">
        <f>1-(R42+S42)</f>
        <v>0.47</v>
      </c>
      <c r="R42" s="3067">
        <v>0.01</v>
      </c>
      <c r="S42" s="3067">
        <v>0.52</v>
      </c>
    </row>
    <row r="43" spans="2:19">
      <c r="B43" s="2334"/>
      <c r="C43" s="1973" t="s">
        <v>523</v>
      </c>
      <c r="D43" s="2331"/>
      <c r="E43" s="3303" t="s">
        <v>1505</v>
      </c>
      <c r="F43" s="3303" t="s">
        <v>1505</v>
      </c>
      <c r="G43" s="3422">
        <f>$I$33+$E$66</f>
        <v>5.6500000000000002E-2</v>
      </c>
      <c r="H43" s="3419">
        <f>SUMPRODUCT(N43:O43,R43:S43)/SUM(R43:S43)</f>
        <v>9.7142105263157891E-2</v>
      </c>
      <c r="I43" s="2332"/>
      <c r="J43" s="3332"/>
      <c r="K43" s="2329"/>
      <c r="M43" s="3067">
        <v>5.4899999999999997E-2</v>
      </c>
      <c r="N43" s="3067">
        <v>5.79E-2</v>
      </c>
      <c r="O43" s="3067">
        <v>0.1045</v>
      </c>
      <c r="Q43" s="3067">
        <f>1-(R43+S43)</f>
        <v>0.43000000000000005</v>
      </c>
      <c r="R43" s="3067">
        <v>0.09</v>
      </c>
      <c r="S43" s="3067">
        <v>0.48</v>
      </c>
    </row>
    <row r="44" spans="2:19">
      <c r="B44" s="2334"/>
      <c r="C44" s="1973" t="s">
        <v>378</v>
      </c>
      <c r="D44" s="2331"/>
      <c r="E44" s="3303" t="s">
        <v>1506</v>
      </c>
      <c r="F44" s="3303" t="s">
        <v>1506</v>
      </c>
      <c r="G44" s="3422">
        <f>$I$33+$E$64</f>
        <v>4.5499999999999999E-2</v>
      </c>
      <c r="H44" s="3419">
        <f>SUMPRODUCT(N44:O44,R44:S44)/SUM(R44:S44)</f>
        <v>0.10095068493150684</v>
      </c>
      <c r="I44" s="2332"/>
      <c r="J44" s="3332"/>
      <c r="K44" s="2329"/>
      <c r="M44" s="3067">
        <v>0.05</v>
      </c>
      <c r="N44" s="3067">
        <v>6.2199999999999998E-2</v>
      </c>
      <c r="O44" s="3067">
        <v>0.10299999999999999</v>
      </c>
      <c r="Q44" s="3067">
        <f>1-(R44+S44)</f>
        <v>0.45250000000000001</v>
      </c>
      <c r="R44" s="3067">
        <v>2.75E-2</v>
      </c>
      <c r="S44" s="3067">
        <v>0.52</v>
      </c>
    </row>
    <row r="45" spans="2:19">
      <c r="B45" s="2334"/>
      <c r="C45" s="1974"/>
      <c r="D45" s="2331"/>
      <c r="E45" s="3304"/>
      <c r="F45" s="3304"/>
      <c r="G45" s="2179"/>
      <c r="H45" s="2332"/>
      <c r="I45" s="2332"/>
      <c r="J45" s="2208"/>
      <c r="K45" s="2329"/>
      <c r="M45" s="2329"/>
      <c r="N45" s="2329"/>
      <c r="O45" s="2329"/>
      <c r="P45" s="2329"/>
      <c r="Q45" s="5">
        <f>AVERAGE(Q42:Q44)</f>
        <v>0.45083333333333336</v>
      </c>
      <c r="R45" s="2329"/>
      <c r="S45" s="2329"/>
    </row>
    <row r="46" spans="2:19" ht="15.75">
      <c r="B46" s="2334"/>
      <c r="C46" s="2204" t="s">
        <v>128</v>
      </c>
      <c r="D46" s="2331"/>
      <c r="E46" s="3304"/>
      <c r="F46" s="3304"/>
      <c r="G46" s="3333" t="s">
        <v>1475</v>
      </c>
      <c r="H46" s="2332"/>
      <c r="I46" s="2332"/>
      <c r="J46" s="18"/>
      <c r="K46" s="2329"/>
      <c r="M46" s="2329"/>
      <c r="N46" s="2329"/>
      <c r="O46" s="2329"/>
      <c r="P46" s="2329"/>
      <c r="Q46" s="2329"/>
      <c r="R46" s="2329"/>
      <c r="S46" s="2329"/>
    </row>
    <row r="47" spans="2:19">
      <c r="B47" s="2334"/>
      <c r="C47" s="1975" t="s">
        <v>1507</v>
      </c>
      <c r="D47" s="2334"/>
      <c r="E47" s="3303" t="s">
        <v>1768</v>
      </c>
      <c r="F47" s="3303" t="s">
        <v>1768</v>
      </c>
      <c r="G47" s="2179">
        <f>H51+(AVERAGE(J69:J70)-J67)</f>
        <v>5.8359816887080362E-2</v>
      </c>
      <c r="H47" s="142">
        <f>(I33+I47*J47)/(1-0.045)</f>
        <v>0.13365445026178013</v>
      </c>
      <c r="I47" s="142">
        <v>8.7400000000000005E-2</v>
      </c>
      <c r="J47" s="3334">
        <v>1.1000000000000001</v>
      </c>
    </row>
    <row r="48" spans="2:19" ht="15.75">
      <c r="B48" s="2334"/>
      <c r="C48" s="1976" t="s">
        <v>1446</v>
      </c>
      <c r="D48" s="70"/>
      <c r="E48" s="3304">
        <v>5</v>
      </c>
      <c r="F48" s="2332">
        <v>5</v>
      </c>
      <c r="G48" s="2332">
        <v>10</v>
      </c>
      <c r="H48" s="2332">
        <v>20</v>
      </c>
      <c r="I48" s="2335" t="s">
        <v>1474</v>
      </c>
      <c r="J48" s="2208"/>
      <c r="K48" s="2329"/>
      <c r="M48" s="2329"/>
      <c r="N48" s="2329"/>
      <c r="O48" s="2329"/>
      <c r="P48" s="2329"/>
      <c r="Q48" s="2329"/>
      <c r="R48" s="2329"/>
      <c r="S48" s="2329"/>
    </row>
    <row r="49" spans="2:21">
      <c r="B49" s="2334"/>
      <c r="C49" s="1977" t="s">
        <v>1054</v>
      </c>
      <c r="D49" s="2332"/>
      <c r="E49" s="3335">
        <v>1.4200000000000001E-2</v>
      </c>
      <c r="F49" s="3335">
        <v>1.4200000000000001E-2</v>
      </c>
      <c r="G49" s="2179">
        <v>3.7999999999999999E-2</v>
      </c>
      <c r="H49" s="95">
        <v>5.0299999999999997E-2</v>
      </c>
      <c r="I49" s="95">
        <f>H49-H$33</f>
        <v>2.2699999999999998E-2</v>
      </c>
      <c r="J49" s="2208"/>
      <c r="K49" s="1496" t="s">
        <v>1447</v>
      </c>
      <c r="M49" s="2329"/>
      <c r="N49" s="2329"/>
      <c r="O49" s="2329"/>
      <c r="P49" s="2329"/>
      <c r="Q49" s="2329"/>
      <c r="R49" s="2329"/>
      <c r="S49" s="2329"/>
    </row>
    <row r="50" spans="2:21">
      <c r="B50" s="2334"/>
      <c r="C50" s="1975" t="s">
        <v>1089</v>
      </c>
      <c r="D50" s="2332"/>
      <c r="E50" s="3335">
        <v>1.7100000000000001E-2</v>
      </c>
      <c r="F50" s="3335">
        <v>1.7100000000000001E-2</v>
      </c>
      <c r="G50" s="2179">
        <v>2.9499999999999998E-2</v>
      </c>
      <c r="H50" s="95">
        <v>4.99E-2</v>
      </c>
      <c r="I50" s="95">
        <f>H50-H$33</f>
        <v>2.23E-2</v>
      </c>
      <c r="J50" s="2208"/>
      <c r="K50" s="2329"/>
      <c r="L50" s="2329"/>
      <c r="M50" s="2329"/>
      <c r="N50" s="2329"/>
      <c r="O50" s="2329"/>
      <c r="P50" s="2329"/>
      <c r="Q50" s="2329"/>
      <c r="R50" s="2329"/>
      <c r="S50" s="2329"/>
    </row>
    <row r="51" spans="2:21">
      <c r="B51" s="2334"/>
      <c r="C51" s="1975" t="s">
        <v>1091</v>
      </c>
      <c r="D51" s="2332"/>
      <c r="E51" s="3335">
        <v>2.1000000000000001E-2</v>
      </c>
      <c r="F51" s="3335">
        <v>2.1000000000000001E-2</v>
      </c>
      <c r="G51" s="2179">
        <v>3.0599999999999999E-2</v>
      </c>
      <c r="H51" s="95">
        <v>5.1900000000000002E-2</v>
      </c>
      <c r="I51" s="95">
        <f>H51-H$33</f>
        <v>2.4300000000000002E-2</v>
      </c>
      <c r="J51" s="2208"/>
      <c r="K51" s="2329"/>
      <c r="L51" s="2329"/>
      <c r="M51" s="2329"/>
      <c r="N51" s="2329"/>
      <c r="O51" s="2329"/>
      <c r="P51" s="2329"/>
      <c r="Q51" s="2329"/>
      <c r="R51" s="2329"/>
      <c r="S51" s="2329"/>
    </row>
    <row r="52" spans="2:21">
      <c r="B52" s="2334"/>
      <c r="C52" s="1975" t="s">
        <v>1450</v>
      </c>
      <c r="D52" s="2332"/>
      <c r="E52" s="3335">
        <v>2.1000000000000001E-2</v>
      </c>
      <c r="F52" s="95">
        <v>2.1000000000000001E-2</v>
      </c>
      <c r="G52" s="95">
        <v>3.15E-2</v>
      </c>
      <c r="H52" s="95">
        <v>5.2299999999999999E-2</v>
      </c>
      <c r="I52" s="2332"/>
      <c r="J52" s="2208"/>
      <c r="K52" s="2329" t="s">
        <v>1476</v>
      </c>
      <c r="L52" s="2329"/>
      <c r="M52" s="2329"/>
      <c r="N52" s="2329"/>
      <c r="O52" s="2329"/>
      <c r="P52" s="2329"/>
      <c r="Q52" s="2329"/>
      <c r="R52" s="2329"/>
      <c r="S52" s="2329"/>
    </row>
    <row r="53" spans="2:21">
      <c r="B53" s="2334"/>
      <c r="C53" s="1975"/>
      <c r="D53" s="2332"/>
      <c r="E53" s="3304"/>
      <c r="F53" s="3304"/>
      <c r="G53" s="2179"/>
      <c r="H53" s="2332"/>
      <c r="I53" s="2332"/>
      <c r="J53" s="2208"/>
      <c r="K53" s="2329"/>
      <c r="L53" s="2329"/>
      <c r="M53" s="2329"/>
      <c r="N53" s="2329"/>
      <c r="O53" s="2329"/>
      <c r="P53" s="2329"/>
      <c r="Q53" s="2329"/>
      <c r="R53" s="2329"/>
      <c r="S53" s="2329"/>
    </row>
    <row r="54" spans="2:21">
      <c r="B54" s="2334"/>
      <c r="C54" s="1978" t="s">
        <v>1451</v>
      </c>
      <c r="D54" s="2331"/>
      <c r="E54" s="2332">
        <v>5</v>
      </c>
      <c r="F54" s="2332">
        <v>5</v>
      </c>
      <c r="G54" s="2332">
        <v>10</v>
      </c>
      <c r="H54" s="2332">
        <v>20</v>
      </c>
      <c r="I54" s="2332">
        <v>30</v>
      </c>
      <c r="J54" s="2208"/>
      <c r="K54" s="2329"/>
      <c r="L54" s="2329"/>
      <c r="M54" s="2329"/>
      <c r="N54" s="2329"/>
      <c r="O54" s="2329"/>
      <c r="P54" s="2329"/>
      <c r="Q54" s="2329"/>
      <c r="R54" s="2329"/>
      <c r="S54" s="2329"/>
    </row>
    <row r="55" spans="2:21">
      <c r="B55" s="2334" t="s">
        <v>1054</v>
      </c>
      <c r="C55" s="1975" t="s">
        <v>1452</v>
      </c>
      <c r="D55" s="2334"/>
      <c r="E55" s="2332"/>
      <c r="F55" s="2332"/>
      <c r="G55" s="95">
        <v>1.7999999999999999E-2</v>
      </c>
      <c r="H55" s="95">
        <v>3.15E-2</v>
      </c>
      <c r="I55" s="3423">
        <v>3.2000000000000001E-2</v>
      </c>
      <c r="J55" s="3336"/>
      <c r="K55" s="2210" t="s">
        <v>1659</v>
      </c>
      <c r="L55" s="2329"/>
      <c r="M55" s="2329"/>
      <c r="N55" s="2329"/>
      <c r="O55" s="2329"/>
      <c r="P55" s="2329"/>
      <c r="Q55" s="2329"/>
      <c r="R55" s="2329"/>
      <c r="S55" s="2329"/>
    </row>
    <row r="56" spans="2:21" ht="13.5" thickBot="1">
      <c r="B56" s="2334" t="s">
        <v>1054</v>
      </c>
      <c r="C56" s="1979" t="s">
        <v>1453</v>
      </c>
      <c r="D56" s="485"/>
      <c r="E56" s="3337"/>
      <c r="F56" s="3338">
        <v>7.7999999999999996E-3</v>
      </c>
      <c r="G56" s="852">
        <v>1.6899999999999998E-2</v>
      </c>
      <c r="H56" s="852">
        <v>3.4500000000000003E-2</v>
      </c>
      <c r="I56" s="2212"/>
      <c r="J56" s="3339"/>
      <c r="K56" s="2210" t="s">
        <v>1447</v>
      </c>
      <c r="L56" s="2329"/>
      <c r="M56" s="2329"/>
      <c r="N56" s="2329"/>
      <c r="O56" s="2329"/>
      <c r="P56" s="2329"/>
      <c r="Q56" s="2329"/>
      <c r="R56" s="2329"/>
      <c r="S56" s="2329"/>
    </row>
    <row r="57" spans="2:21">
      <c r="D57" s="2329"/>
      <c r="E57" s="2329"/>
      <c r="F57" s="2329"/>
      <c r="G57" s="2329"/>
      <c r="H57" s="2329"/>
      <c r="I57" s="2329"/>
      <c r="J57" s="2329"/>
      <c r="K57" s="2200"/>
      <c r="L57" s="2329"/>
      <c r="M57" s="2329"/>
      <c r="N57" s="2329"/>
      <c r="O57" s="2329"/>
      <c r="P57" s="2329"/>
      <c r="Q57" s="2329"/>
      <c r="R57" s="2329"/>
      <c r="S57" s="2329"/>
      <c r="T57" s="2329"/>
    </row>
    <row r="58" spans="2:21" ht="13.5" thickBot="1">
      <c r="D58" s="2329"/>
      <c r="E58" s="2329"/>
      <c r="F58" s="3054"/>
      <c r="G58" s="2329"/>
      <c r="H58" s="2329"/>
      <c r="I58" s="2329"/>
      <c r="J58" s="2329"/>
      <c r="K58" s="2200"/>
      <c r="L58" s="2329"/>
      <c r="M58" s="2329"/>
      <c r="N58" s="2329"/>
      <c r="O58" s="2329"/>
      <c r="P58" s="2329"/>
      <c r="Q58" s="2329"/>
      <c r="R58" s="2329"/>
      <c r="S58" s="2329"/>
      <c r="T58" s="2329"/>
    </row>
    <row r="59" spans="2:21" ht="51" customHeight="1">
      <c r="C59" s="1982" t="s">
        <v>1112</v>
      </c>
      <c r="D59" s="3031" t="s">
        <v>1508</v>
      </c>
      <c r="E59" s="3055" t="s">
        <v>1508</v>
      </c>
      <c r="F59" s="3053"/>
      <c r="G59" s="3048" t="s">
        <v>1509</v>
      </c>
      <c r="H59" s="3033"/>
      <c r="I59" s="3034"/>
      <c r="J59" s="1983"/>
      <c r="K59" s="2200"/>
      <c r="L59" s="3416" t="s">
        <v>1078</v>
      </c>
      <c r="M59" s="3408"/>
      <c r="N59" s="3408"/>
      <c r="O59" s="3408"/>
      <c r="P59" s="3409"/>
      <c r="Q59" s="2329"/>
      <c r="R59" s="2329"/>
      <c r="T59" s="2329"/>
    </row>
    <row r="60" spans="2:21" ht="12.75" customHeight="1">
      <c r="C60" s="1984"/>
      <c r="D60" s="1249" t="s">
        <v>1448</v>
      </c>
      <c r="E60" s="3056" t="s">
        <v>1449</v>
      </c>
      <c r="F60" s="2331"/>
      <c r="G60" s="3059" t="s">
        <v>1510</v>
      </c>
      <c r="H60" s="2331" t="s">
        <v>1511</v>
      </c>
      <c r="I60" s="2334"/>
      <c r="J60" s="27" t="s">
        <v>1473</v>
      </c>
      <c r="K60" s="2200"/>
      <c r="L60" s="3410"/>
      <c r="M60" s="3411"/>
      <c r="N60" s="3411"/>
      <c r="O60" s="3411"/>
      <c r="P60" s="3412"/>
      <c r="Q60" s="2329"/>
      <c r="R60" s="2329"/>
      <c r="S60" s="2329"/>
      <c r="T60" s="2329"/>
    </row>
    <row r="61" spans="2:21" ht="25.5">
      <c r="C61" s="1984" t="s">
        <v>1054</v>
      </c>
      <c r="D61" s="2213">
        <v>6.4999999999999997E-3</v>
      </c>
      <c r="E61" s="3057">
        <v>6.4999999999999997E-3</v>
      </c>
      <c r="F61" s="1502"/>
      <c r="G61" s="3049" t="s">
        <v>1456</v>
      </c>
      <c r="H61" s="2209">
        <v>3.39E-2</v>
      </c>
      <c r="I61" s="173">
        <f>H61/(1-$H$80)</f>
        <v>3.4486266531027467E-2</v>
      </c>
      <c r="J61" s="177">
        <f>I61-4.37%</f>
        <v>-9.2137334689725361E-3</v>
      </c>
      <c r="K61" s="2200"/>
      <c r="L61" s="174" t="s">
        <v>1079</v>
      </c>
      <c r="M61" s="174" t="s">
        <v>1080</v>
      </c>
      <c r="N61" s="174" t="s">
        <v>1081</v>
      </c>
      <c r="O61" s="174" t="s">
        <v>1082</v>
      </c>
      <c r="P61" s="174" t="s">
        <v>1083</v>
      </c>
      <c r="Q61" s="2329"/>
      <c r="R61" s="1500"/>
      <c r="T61" s="2329"/>
      <c r="U61" s="2329"/>
    </row>
    <row r="62" spans="2:21" ht="25.5">
      <c r="C62" s="1985" t="s">
        <v>1089</v>
      </c>
      <c r="D62" s="2213">
        <v>1.15E-2</v>
      </c>
      <c r="E62" s="3057">
        <v>1.15E-2</v>
      </c>
      <c r="F62" s="178"/>
      <c r="G62" s="3050" t="s">
        <v>1472</v>
      </c>
      <c r="H62" s="2207">
        <v>3.5700000000000003E-2</v>
      </c>
      <c r="I62" s="173">
        <f t="shared" ref="I62:I78" si="1">H62/(1-$H$80)</f>
        <v>3.6317395727365212E-2</v>
      </c>
      <c r="J62" s="177">
        <f t="shared" ref="J62:J78" si="2">I62-I$61+$J$61</f>
        <v>-7.3826042726347907E-3</v>
      </c>
      <c r="K62" s="2200"/>
      <c r="L62" s="3405" t="s">
        <v>1084</v>
      </c>
      <c r="M62" s="3406"/>
      <c r="N62" s="3406"/>
      <c r="O62" s="3406"/>
      <c r="P62" s="3407"/>
      <c r="Q62" s="2329"/>
      <c r="R62" s="2334"/>
      <c r="T62" s="2329"/>
      <c r="U62" s="2329"/>
    </row>
    <row r="63" spans="2:21">
      <c r="C63" s="1984" t="s">
        <v>1113</v>
      </c>
      <c r="D63" s="2213">
        <v>1.2999999999999999E-2</v>
      </c>
      <c r="E63" s="3057">
        <v>1.2999999999999999E-2</v>
      </c>
      <c r="F63" s="1503"/>
      <c r="G63" s="3051" t="s">
        <v>1457</v>
      </c>
      <c r="H63" s="2209">
        <v>3.7499999999999999E-2</v>
      </c>
      <c r="I63" s="173">
        <f t="shared" si="1"/>
        <v>3.8148524923702951E-2</v>
      </c>
      <c r="J63" s="177">
        <f t="shared" si="2"/>
        <v>-5.5514750762970522E-3</v>
      </c>
      <c r="K63" s="2200"/>
      <c r="L63" s="175" t="s">
        <v>1085</v>
      </c>
      <c r="M63" s="175" t="s">
        <v>1086</v>
      </c>
      <c r="N63" s="175" t="s">
        <v>1054</v>
      </c>
      <c r="O63" s="175" t="s">
        <v>1054</v>
      </c>
      <c r="P63" s="175" t="s">
        <v>1054</v>
      </c>
      <c r="Q63" s="2329"/>
      <c r="R63" s="1501"/>
      <c r="T63" s="2329"/>
      <c r="U63" s="2329"/>
    </row>
    <row r="64" spans="2:21" ht="25.5">
      <c r="C64" s="3035" t="s">
        <v>1091</v>
      </c>
      <c r="D64" s="2213">
        <v>1.4E-2</v>
      </c>
      <c r="E64" s="3057">
        <v>1.4E-2</v>
      </c>
      <c r="F64" s="1503"/>
      <c r="G64" s="3051" t="s">
        <v>1458</v>
      </c>
      <c r="H64" s="2209">
        <v>3.9300000000000002E-2</v>
      </c>
      <c r="I64" s="173">
        <f t="shared" si="1"/>
        <v>3.9979654120040696E-2</v>
      </c>
      <c r="J64" s="177">
        <f t="shared" si="2"/>
        <v>-3.7203458799593067E-3</v>
      </c>
      <c r="K64" s="2200"/>
      <c r="L64" s="175" t="s">
        <v>1087</v>
      </c>
      <c r="M64" s="175" t="s">
        <v>1088</v>
      </c>
      <c r="N64" s="175" t="s">
        <v>1089</v>
      </c>
      <c r="O64" s="175" t="s">
        <v>1089</v>
      </c>
      <c r="P64" s="175" t="s">
        <v>1089</v>
      </c>
      <c r="Q64" s="2329"/>
      <c r="R64" s="1501"/>
      <c r="T64" s="2329"/>
      <c r="U64" s="2329"/>
    </row>
    <row r="65" spans="3:21" ht="25.5">
      <c r="C65" s="1984" t="s">
        <v>1114</v>
      </c>
      <c r="D65" s="2213">
        <v>1.6500000000000001E-2</v>
      </c>
      <c r="E65" s="3057">
        <v>1.6500000000000001E-2</v>
      </c>
      <c r="F65" s="1503"/>
      <c r="G65" s="3051" t="s">
        <v>1459</v>
      </c>
      <c r="H65" s="2209">
        <v>4.0399999999999998E-2</v>
      </c>
      <c r="I65" s="173">
        <f t="shared" si="1"/>
        <v>4.1098677517802641E-2</v>
      </c>
      <c r="J65" s="177">
        <f t="shared" si="2"/>
        <v>-2.6013224821973616E-3</v>
      </c>
      <c r="K65" s="2200"/>
      <c r="L65" s="175" t="s">
        <v>1090</v>
      </c>
      <c r="M65" s="175" t="s">
        <v>1091</v>
      </c>
      <c r="N65" s="175" t="s">
        <v>1091</v>
      </c>
      <c r="O65" s="175" t="s">
        <v>1091</v>
      </c>
      <c r="P65" s="175" t="s">
        <v>1091</v>
      </c>
      <c r="Q65" s="2329"/>
      <c r="R65" s="1501"/>
      <c r="T65" s="2329"/>
      <c r="U65" s="2329"/>
    </row>
    <row r="66" spans="3:21">
      <c r="C66" s="1984" t="s">
        <v>1094</v>
      </c>
      <c r="D66" s="2213">
        <v>2.5000000000000001E-2</v>
      </c>
      <c r="E66" s="3057">
        <v>2.5000000000000001E-2</v>
      </c>
      <c r="F66" s="1503"/>
      <c r="G66" s="3051" t="s">
        <v>1460</v>
      </c>
      <c r="H66" s="2207">
        <v>4.1399999999999999E-2</v>
      </c>
      <c r="I66" s="1504">
        <f t="shared" si="1"/>
        <v>4.2115971515768055E-2</v>
      </c>
      <c r="J66" s="177">
        <f t="shared" si="2"/>
        <v>-1.5840284842319474E-3</v>
      </c>
      <c r="K66" s="2200"/>
      <c r="L66" s="175" t="s">
        <v>1092</v>
      </c>
      <c r="M66" s="175" t="s">
        <v>1093</v>
      </c>
      <c r="N66" s="175" t="s">
        <v>1094</v>
      </c>
      <c r="O66" s="175" t="s">
        <v>1094</v>
      </c>
      <c r="P66" s="175" t="s">
        <v>1094</v>
      </c>
      <c r="Q66" s="2329"/>
      <c r="R66" s="1501"/>
      <c r="T66" s="2329"/>
      <c r="U66" s="2329"/>
    </row>
    <row r="67" spans="3:21" ht="12.75" customHeight="1">
      <c r="C67" s="3035" t="s">
        <v>1115</v>
      </c>
      <c r="D67" s="2213">
        <v>3.7499999999999999E-2</v>
      </c>
      <c r="E67" s="3057">
        <v>3.7499999999999999E-2</v>
      </c>
      <c r="F67" s="1503"/>
      <c r="G67" s="3051" t="s">
        <v>1462</v>
      </c>
      <c r="H67" s="2209">
        <v>4.2500000000000003E-2</v>
      </c>
      <c r="I67" s="1504">
        <f t="shared" si="1"/>
        <v>4.3234994913530014E-2</v>
      </c>
      <c r="J67" s="177">
        <f t="shared" si="2"/>
        <v>-4.6500508646998839E-4</v>
      </c>
      <c r="K67" s="2200"/>
      <c r="L67" s="3405" t="s">
        <v>1095</v>
      </c>
      <c r="M67" s="3406"/>
      <c r="N67" s="3406"/>
      <c r="O67" s="3406"/>
      <c r="P67" s="3407"/>
      <c r="Q67" s="2329"/>
      <c r="R67" s="1501"/>
      <c r="T67" s="2329"/>
      <c r="U67" s="2329"/>
    </row>
    <row r="68" spans="3:21" ht="51">
      <c r="C68" s="1984" t="s">
        <v>1098</v>
      </c>
      <c r="D68" s="2213">
        <v>4.7500000000000001E-2</v>
      </c>
      <c r="E68" s="3057">
        <v>4.7500000000000001E-2</v>
      </c>
      <c r="F68" s="1503"/>
      <c r="G68" s="3051" t="s">
        <v>1461</v>
      </c>
      <c r="H68" s="2207">
        <v>4.4999999999999998E-2</v>
      </c>
      <c r="I68" s="173">
        <f t="shared" si="1"/>
        <v>4.5778229908443539E-2</v>
      </c>
      <c r="J68" s="177">
        <f t="shared" si="2"/>
        <v>2.0782299084435366E-3</v>
      </c>
      <c r="K68" s="2200"/>
      <c r="L68" s="175" t="s">
        <v>1096</v>
      </c>
      <c r="M68" s="175" t="s">
        <v>1097</v>
      </c>
      <c r="N68" s="175" t="s">
        <v>1098</v>
      </c>
      <c r="O68" s="175" t="s">
        <v>1098</v>
      </c>
      <c r="P68" s="175" t="s">
        <v>1098</v>
      </c>
      <c r="Q68" s="2329"/>
      <c r="R68" s="1501"/>
      <c r="T68" s="2329"/>
      <c r="U68" s="2329"/>
    </row>
    <row r="69" spans="3:21" ht="25.5">
      <c r="C69" s="1984" t="s">
        <v>1062</v>
      </c>
      <c r="D69" s="2213">
        <v>5.5E-2</v>
      </c>
      <c r="E69" s="3057">
        <v>5.5E-2</v>
      </c>
      <c r="F69" s="1503"/>
      <c r="G69" s="3051" t="s">
        <v>1463</v>
      </c>
      <c r="H69" s="2209">
        <v>4.7600000000000003E-2</v>
      </c>
      <c r="I69" s="1504">
        <f t="shared" si="1"/>
        <v>4.8423194303153616E-2</v>
      </c>
      <c r="J69" s="177">
        <f t="shared" si="2"/>
        <v>4.7231943031536133E-3</v>
      </c>
      <c r="K69" s="2200"/>
      <c r="L69" s="175" t="s">
        <v>1099</v>
      </c>
      <c r="M69" s="175" t="s">
        <v>1059</v>
      </c>
      <c r="N69" s="175" t="s">
        <v>1059</v>
      </c>
      <c r="O69" s="175" t="s">
        <v>1059</v>
      </c>
      <c r="P69" s="175" t="s">
        <v>1059</v>
      </c>
      <c r="Q69" s="2329"/>
      <c r="R69" s="1501"/>
      <c r="T69" s="2329"/>
      <c r="U69" s="2329"/>
    </row>
    <row r="70" spans="3:21" ht="25.5">
      <c r="C70" s="1984" t="s">
        <v>1059</v>
      </c>
      <c r="D70" s="2213">
        <v>0.06</v>
      </c>
      <c r="E70" s="3057">
        <v>0.06</v>
      </c>
      <c r="F70" s="1503"/>
      <c r="G70" s="3051" t="s">
        <v>1464</v>
      </c>
      <c r="H70" s="2209">
        <v>5.0099999999999999E-2</v>
      </c>
      <c r="I70" s="173">
        <f t="shared" si="1"/>
        <v>5.0966429298067141E-2</v>
      </c>
      <c r="J70" s="177">
        <f t="shared" si="2"/>
        <v>7.2664292980671383E-3</v>
      </c>
      <c r="K70" s="2200"/>
      <c r="L70" s="175" t="s">
        <v>1100</v>
      </c>
      <c r="M70" s="175" t="s">
        <v>1101</v>
      </c>
      <c r="N70" s="175" t="s">
        <v>1102</v>
      </c>
      <c r="O70" s="175" t="s">
        <v>1102</v>
      </c>
      <c r="P70" s="175" t="s">
        <v>1102</v>
      </c>
      <c r="Q70" s="2329"/>
      <c r="R70" s="1501"/>
      <c r="T70" s="2329"/>
      <c r="U70" s="2329"/>
    </row>
    <row r="71" spans="3:21">
      <c r="C71" s="1984" t="s">
        <v>1116</v>
      </c>
      <c r="D71" s="2213">
        <v>6.7500000000000004E-2</v>
      </c>
      <c r="E71" s="3057">
        <v>6.7500000000000004E-2</v>
      </c>
      <c r="F71" s="1503"/>
      <c r="G71" s="3051" t="s">
        <v>1465</v>
      </c>
      <c r="H71" s="2207">
        <v>5.2600000000000001E-2</v>
      </c>
      <c r="I71" s="173">
        <f t="shared" si="1"/>
        <v>5.3509664292980673E-2</v>
      </c>
      <c r="J71" s="177">
        <f t="shared" si="2"/>
        <v>9.8096642929806702E-3</v>
      </c>
      <c r="K71" s="2200"/>
      <c r="L71" s="175" t="s">
        <v>1103</v>
      </c>
      <c r="M71" s="175" t="s">
        <v>1104</v>
      </c>
      <c r="N71" s="175" t="s">
        <v>1105</v>
      </c>
      <c r="O71" s="175" t="s">
        <v>1105</v>
      </c>
      <c r="P71" s="175" t="s">
        <v>1105</v>
      </c>
      <c r="Q71" s="2329"/>
      <c r="R71" s="1501"/>
      <c r="T71" s="2329"/>
      <c r="U71" s="2329"/>
    </row>
    <row r="72" spans="3:21" ht="51">
      <c r="C72" s="1984" t="s">
        <v>1102</v>
      </c>
      <c r="D72" s="2213">
        <v>8.7499999999999994E-2</v>
      </c>
      <c r="E72" s="3057">
        <v>8.7499999999999994E-2</v>
      </c>
      <c r="F72" s="1503"/>
      <c r="G72" s="3051" t="s">
        <v>1466</v>
      </c>
      <c r="H72" s="2207">
        <v>5.5199999999999999E-2</v>
      </c>
      <c r="I72" s="173">
        <f t="shared" si="1"/>
        <v>5.6154628687690743E-2</v>
      </c>
      <c r="J72" s="177">
        <f t="shared" si="2"/>
        <v>1.245462868769074E-2</v>
      </c>
      <c r="K72" s="2200"/>
      <c r="L72" s="175" t="s">
        <v>1106</v>
      </c>
      <c r="M72" s="175" t="s">
        <v>1109</v>
      </c>
      <c r="N72" s="175" t="s">
        <v>1109</v>
      </c>
      <c r="O72" s="175" t="s">
        <v>1109</v>
      </c>
      <c r="P72" s="175" t="s">
        <v>1109</v>
      </c>
      <c r="Q72" s="2329"/>
      <c r="R72" s="1501"/>
      <c r="T72" s="2329"/>
      <c r="U72" s="2329"/>
    </row>
    <row r="73" spans="3:21">
      <c r="C73" s="1984" t="s">
        <v>1102</v>
      </c>
      <c r="D73" s="2213">
        <v>9.5000000000000001E-2</v>
      </c>
      <c r="E73" s="3057">
        <v>9.5000000000000001E-2</v>
      </c>
      <c r="F73" s="1503"/>
      <c r="G73" s="3051" t="s">
        <v>1467</v>
      </c>
      <c r="H73" s="2209">
        <v>5.7700000000000001E-2</v>
      </c>
      <c r="I73" s="173">
        <f t="shared" si="1"/>
        <v>5.8697863682604275E-2</v>
      </c>
      <c r="J73" s="177">
        <f t="shared" si="2"/>
        <v>1.4997863682604272E-2</v>
      </c>
      <c r="K73" s="2200"/>
      <c r="L73" s="175" t="s">
        <v>1110</v>
      </c>
      <c r="M73" s="175" t="s">
        <v>1109</v>
      </c>
      <c r="N73" s="175" t="s">
        <v>1111</v>
      </c>
      <c r="O73" s="175" t="s">
        <v>1111</v>
      </c>
      <c r="P73" s="175" t="s">
        <v>1111</v>
      </c>
      <c r="Q73" s="2329"/>
      <c r="R73" s="1501"/>
      <c r="T73" s="2329"/>
      <c r="U73" s="2329"/>
    </row>
    <row r="74" spans="3:21">
      <c r="C74" s="1984" t="s">
        <v>1102</v>
      </c>
      <c r="D74" s="2213">
        <v>0.105</v>
      </c>
      <c r="E74" s="3057">
        <v>0.105</v>
      </c>
      <c r="F74" s="1503"/>
      <c r="G74" s="3051" t="s">
        <v>1060</v>
      </c>
      <c r="H74" s="2207">
        <v>6.0199999999999997E-2</v>
      </c>
      <c r="I74" s="173">
        <f t="shared" si="1"/>
        <v>6.12410986775178E-2</v>
      </c>
      <c r="J74" s="177">
        <f t="shared" si="2"/>
        <v>1.7541098677517797E-2</v>
      </c>
      <c r="K74" s="2200"/>
      <c r="L74" s="2329"/>
      <c r="M74" s="2329"/>
      <c r="N74" s="2329"/>
      <c r="O74" s="2329"/>
      <c r="P74" s="2329"/>
      <c r="Q74" s="2329"/>
      <c r="R74" s="1501"/>
      <c r="U74" s="2329"/>
    </row>
    <row r="75" spans="3:21">
      <c r="C75" s="1984" t="s">
        <v>1111</v>
      </c>
      <c r="D75" s="2213">
        <v>0.12</v>
      </c>
      <c r="E75" s="3057">
        <v>0.12</v>
      </c>
      <c r="F75" s="1503"/>
      <c r="G75" s="3051" t="s">
        <v>1468</v>
      </c>
      <c r="H75" s="2209">
        <v>6.2799999999999995E-2</v>
      </c>
      <c r="I75" s="173">
        <f t="shared" si="1"/>
        <v>6.3886063072227869E-2</v>
      </c>
      <c r="J75" s="177">
        <f t="shared" si="2"/>
        <v>2.0186063072227867E-2</v>
      </c>
      <c r="K75" s="2200"/>
      <c r="L75" s="2329"/>
      <c r="M75" s="2329"/>
      <c r="N75" s="2329"/>
      <c r="O75" s="2329"/>
      <c r="P75" s="2329"/>
      <c r="Q75" s="2329"/>
      <c r="R75" s="1501"/>
      <c r="T75" s="2329"/>
    </row>
    <row r="76" spans="3:21">
      <c r="C76" s="476"/>
      <c r="D76" s="1455"/>
      <c r="E76" s="3058"/>
      <c r="F76" s="1503"/>
      <c r="G76" s="3051" t="s">
        <v>1469</v>
      </c>
      <c r="H76" s="2209">
        <v>6.5299999999999997E-2</v>
      </c>
      <c r="I76" s="173">
        <f t="shared" si="1"/>
        <v>6.6429298067141401E-2</v>
      </c>
      <c r="J76" s="177">
        <f t="shared" si="2"/>
        <v>2.2729298067141399E-2</v>
      </c>
      <c r="K76" s="2200"/>
      <c r="L76" s="2329"/>
      <c r="M76" s="2329"/>
      <c r="N76" s="2329"/>
      <c r="O76" s="2329"/>
      <c r="P76" s="2329"/>
      <c r="Q76" s="2329"/>
      <c r="R76" s="1501"/>
      <c r="T76" s="2329"/>
    </row>
    <row r="77" spans="3:21">
      <c r="C77" s="1986" t="s">
        <v>1117</v>
      </c>
      <c r="D77" s="1455"/>
      <c r="E77" s="3058"/>
      <c r="F77" s="1503"/>
      <c r="G77" s="3051" t="s">
        <v>1470</v>
      </c>
      <c r="H77" s="2209">
        <v>6.7799999999999999E-2</v>
      </c>
      <c r="I77" s="173">
        <f t="shared" si="1"/>
        <v>6.8972533062054933E-2</v>
      </c>
      <c r="J77" s="177">
        <f t="shared" si="2"/>
        <v>2.527253306205493E-2</v>
      </c>
      <c r="K77" s="2200"/>
      <c r="L77" s="2329"/>
      <c r="M77" s="2329"/>
      <c r="N77" s="2329"/>
      <c r="O77" s="2329"/>
      <c r="P77" s="2329"/>
      <c r="Q77" s="2329"/>
      <c r="R77" s="1501"/>
      <c r="T77" s="2329"/>
    </row>
    <row r="78" spans="3:21" ht="13.5" thickBot="1">
      <c r="C78" s="1987" t="s">
        <v>1118</v>
      </c>
      <c r="D78" s="485"/>
      <c r="E78" s="486"/>
      <c r="F78" s="1503"/>
      <c r="G78" s="3052" t="s">
        <v>1471</v>
      </c>
      <c r="H78" s="2211">
        <v>7.0400000000000004E-2</v>
      </c>
      <c r="I78" s="1988">
        <f t="shared" si="1"/>
        <v>7.1617497456765017E-2</v>
      </c>
      <c r="J78" s="1989">
        <f t="shared" si="2"/>
        <v>2.7917497456765014E-2</v>
      </c>
      <c r="K78" s="2200"/>
      <c r="L78" s="2329"/>
      <c r="M78" s="2329"/>
      <c r="N78" s="2329"/>
      <c r="O78" s="2329"/>
      <c r="P78" s="2329"/>
      <c r="Q78" s="2329"/>
      <c r="R78" s="1501"/>
      <c r="T78" s="2329"/>
    </row>
    <row r="79" spans="3:21">
      <c r="D79" s="2329"/>
      <c r="E79" s="2329"/>
      <c r="F79" s="2331"/>
      <c r="G79" s="2329"/>
      <c r="H79" s="2329"/>
      <c r="I79" s="2329"/>
      <c r="J79" s="2329"/>
      <c r="K79" s="2200"/>
      <c r="L79" s="2329"/>
      <c r="M79" s="2329"/>
      <c r="N79" s="2329"/>
      <c r="O79" s="2329"/>
      <c r="P79" s="2329"/>
      <c r="Q79" s="2329"/>
      <c r="R79" s="2329"/>
      <c r="T79" s="2329"/>
    </row>
    <row r="80" spans="3:21">
      <c r="D80" s="2329"/>
      <c r="E80" s="2329"/>
      <c r="F80" s="2329"/>
      <c r="G80" s="2329"/>
      <c r="H80" s="5">
        <v>1.7000000000000001E-2</v>
      </c>
      <c r="I80" s="1499" t="s">
        <v>1455</v>
      </c>
      <c r="J80" s="2329"/>
      <c r="K80" s="2200"/>
      <c r="L80" s="2329"/>
      <c r="M80" s="2329"/>
      <c r="N80" s="2329"/>
      <c r="O80" s="2329"/>
      <c r="P80" s="2329"/>
      <c r="Q80" s="2329"/>
      <c r="R80" s="2329"/>
    </row>
    <row r="81" spans="3:20">
      <c r="D81" s="2329"/>
      <c r="E81" s="2329"/>
      <c r="F81" s="2329"/>
      <c r="G81" s="2329"/>
      <c r="H81" s="5"/>
      <c r="I81" s="2329"/>
      <c r="J81" s="2329"/>
      <c r="K81" s="2200"/>
      <c r="L81" s="2329"/>
      <c r="M81" s="2329"/>
      <c r="N81" s="2329"/>
      <c r="O81" s="2329"/>
      <c r="P81" s="2329"/>
      <c r="Q81" s="2329"/>
      <c r="R81" s="2329"/>
      <c r="T81" s="1499"/>
    </row>
    <row r="82" spans="3:20" s="167" customFormat="1" ht="13.5" customHeight="1">
      <c r="C82" s="2896" t="s">
        <v>1756</v>
      </c>
      <c r="D82" s="2892"/>
      <c r="E82" s="2892"/>
      <c r="F82" s="2892"/>
      <c r="G82" s="2892"/>
      <c r="H82" s="2892"/>
    </row>
    <row r="83" spans="3:20" s="167" customFormat="1">
      <c r="C83" s="2893"/>
      <c r="D83" s="2893"/>
      <c r="E83" s="2893"/>
      <c r="F83" s="2895" t="s">
        <v>1757</v>
      </c>
      <c r="G83" s="2893"/>
      <c r="H83" s="2894"/>
    </row>
    <row r="84" spans="3:20" s="167" customFormat="1">
      <c r="C84" s="175"/>
      <c r="D84" s="2898" t="s">
        <v>1758</v>
      </c>
      <c r="E84" s="2898" t="s">
        <v>1759</v>
      </c>
      <c r="F84" s="2898" t="s">
        <v>249</v>
      </c>
      <c r="G84" s="2898" t="s">
        <v>248</v>
      </c>
      <c r="H84" s="175"/>
    </row>
    <row r="85" spans="3:20" s="167" customFormat="1">
      <c r="C85" s="175" t="s">
        <v>1760</v>
      </c>
      <c r="D85" s="2897">
        <v>0.35499999999999998</v>
      </c>
      <c r="E85" s="2897">
        <v>0.372</v>
      </c>
      <c r="F85" s="2897">
        <v>0.78500000000000003</v>
      </c>
      <c r="G85" s="2897">
        <v>0.35499999999999998</v>
      </c>
      <c r="H85" s="175"/>
    </row>
    <row r="86" spans="3:20" s="167" customFormat="1">
      <c r="C86" s="175" t="s">
        <v>1761</v>
      </c>
      <c r="D86" s="2897">
        <v>0.42699999999999999</v>
      </c>
      <c r="E86" s="2897">
        <v>0.44900000000000001</v>
      </c>
      <c r="F86" s="2897">
        <v>0.90400000000000003</v>
      </c>
      <c r="G86" s="2897">
        <v>0.42699999999999999</v>
      </c>
      <c r="H86" s="175"/>
    </row>
    <row r="87" spans="3:20" s="167" customFormat="1">
      <c r="C87" s="2899" t="s">
        <v>1762</v>
      </c>
      <c r="D87" s="2900">
        <v>0.74199999999999999</v>
      </c>
      <c r="E87" s="2897">
        <v>0.76200000000000001</v>
      </c>
      <c r="F87" s="2897">
        <v>1.4550000000000001</v>
      </c>
      <c r="G87" s="2897">
        <v>0.73599999999999999</v>
      </c>
      <c r="H87" s="175"/>
    </row>
    <row r="88" spans="3:20" s="167" customFormat="1">
      <c r="C88" s="2899" t="s">
        <v>1763</v>
      </c>
      <c r="D88" s="2900">
        <v>1.6719999999999999</v>
      </c>
      <c r="E88" s="2897">
        <v>1.6719999999999999</v>
      </c>
      <c r="F88" s="2897">
        <v>2.4540000000000002</v>
      </c>
      <c r="G88" s="2897">
        <v>1.542</v>
      </c>
      <c r="H88" s="175"/>
    </row>
    <row r="89" spans="3:20" s="167" customFormat="1">
      <c r="C89" s="2899" t="s">
        <v>1764</v>
      </c>
      <c r="D89" s="2900">
        <v>2.4129999999999998</v>
      </c>
      <c r="E89" s="2897">
        <v>2.39</v>
      </c>
      <c r="F89" s="2897">
        <v>3.0569999999999999</v>
      </c>
      <c r="G89" s="2897">
        <v>2.1160000000000001</v>
      </c>
      <c r="H89" s="175"/>
    </row>
    <row r="90" spans="3:20" s="167" customFormat="1">
      <c r="C90" s="2899" t="s">
        <v>1765</v>
      </c>
      <c r="D90" s="2900">
        <v>2.5910000000000002</v>
      </c>
      <c r="E90" s="2897">
        <v>2.5659999999999998</v>
      </c>
      <c r="F90" s="2897">
        <v>3.1819999999999999</v>
      </c>
      <c r="G90" s="2897">
        <v>2.2519999999999998</v>
      </c>
      <c r="H90" s="175"/>
    </row>
    <row r="91" spans="3:20" s="167" customFormat="1">
      <c r="C91" s="2890" t="s">
        <v>1766</v>
      </c>
    </row>
    <row r="92" spans="3:20" s="167" customFormat="1">
      <c r="C92" s="2891">
        <v>41254</v>
      </c>
    </row>
    <row r="93" spans="3:20" ht="13.5" thickBot="1">
      <c r="D93" s="2329"/>
      <c r="E93" s="2329"/>
      <c r="F93" s="2329"/>
      <c r="G93" s="2329"/>
      <c r="H93" s="2214" t="s">
        <v>1512</v>
      </c>
      <c r="I93" s="2215"/>
      <c r="J93" s="2215"/>
      <c r="K93" s="2215"/>
      <c r="L93" s="2215"/>
      <c r="M93" s="2329"/>
      <c r="N93" s="2329"/>
      <c r="O93" s="2329"/>
      <c r="P93" s="2329"/>
      <c r="Q93" s="2329"/>
      <c r="R93" s="2329"/>
      <c r="S93" s="2329"/>
      <c r="T93" s="2329"/>
    </row>
    <row r="94" spans="3:20">
      <c r="C94" s="1972"/>
      <c r="D94" s="2863"/>
      <c r="E94" s="2863"/>
      <c r="F94" s="2863"/>
      <c r="G94" s="3036" t="s">
        <v>1119</v>
      </c>
      <c r="H94" s="3036" t="s">
        <v>1263</v>
      </c>
      <c r="I94" s="3036" t="s">
        <v>1120</v>
      </c>
      <c r="J94" s="2216" t="s">
        <v>1121</v>
      </c>
      <c r="K94" s="2217"/>
      <c r="L94" s="2329"/>
      <c r="M94" s="2329"/>
      <c r="N94" s="2329"/>
      <c r="O94" s="2329"/>
      <c r="P94" s="2329"/>
      <c r="Q94" s="2329"/>
      <c r="R94" s="2329"/>
      <c r="S94" s="2329"/>
    </row>
    <row r="95" spans="3:20" ht="15.75">
      <c r="C95" s="2218" t="s">
        <v>520</v>
      </c>
      <c r="D95" s="2219"/>
      <c r="E95" s="2219"/>
      <c r="F95" s="2219"/>
      <c r="G95" s="2219"/>
      <c r="H95" s="2219"/>
      <c r="I95" s="2219"/>
      <c r="J95" s="2220"/>
      <c r="K95" s="2215"/>
      <c r="L95" s="2329"/>
      <c r="M95" s="2329"/>
      <c r="N95" s="2329"/>
      <c r="O95" s="2329"/>
      <c r="P95" s="2329"/>
      <c r="Q95" s="2329"/>
      <c r="R95" s="2329"/>
      <c r="S95" s="2329"/>
    </row>
    <row r="96" spans="3:20">
      <c r="C96" s="2221" t="s">
        <v>377</v>
      </c>
      <c r="D96" s="2219"/>
      <c r="E96" s="2219"/>
      <c r="F96" s="2219"/>
      <c r="G96" s="2222">
        <v>4.7800000000000002E-2</v>
      </c>
      <c r="H96" s="2222">
        <f>H42</f>
        <v>0.10309433962264149</v>
      </c>
      <c r="I96" s="2219"/>
      <c r="J96" s="2223">
        <v>0.38</v>
      </c>
      <c r="K96" s="2215"/>
      <c r="L96" s="2329"/>
      <c r="M96" s="2329"/>
      <c r="N96" s="2329"/>
      <c r="O96" s="2329"/>
      <c r="P96" s="2329"/>
      <c r="Q96" s="2329"/>
      <c r="R96" s="2329"/>
      <c r="S96" s="2329"/>
    </row>
    <row r="97" spans="3:20">
      <c r="C97" s="2221" t="s">
        <v>523</v>
      </c>
      <c r="D97" s="2219"/>
      <c r="E97" s="2219"/>
      <c r="F97" s="2219"/>
      <c r="G97" s="2222">
        <v>4.4200000000000003E-2</v>
      </c>
      <c r="H97" s="2222">
        <f>H43</f>
        <v>9.7142105263157891E-2</v>
      </c>
      <c r="I97" s="2219"/>
      <c r="J97" s="2223">
        <v>0.71</v>
      </c>
      <c r="K97" s="2215"/>
      <c r="L97" s="2329"/>
      <c r="M97" s="2329"/>
      <c r="N97" s="2329"/>
      <c r="O97" s="2329"/>
      <c r="P97" s="2329"/>
      <c r="Q97" s="2329"/>
      <c r="R97" s="2329"/>
      <c r="S97" s="2329"/>
    </row>
    <row r="98" spans="3:20">
      <c r="C98" s="2221" t="s">
        <v>378</v>
      </c>
      <c r="D98" s="2219"/>
      <c r="E98" s="2219"/>
      <c r="F98" s="2219"/>
      <c r="G98" s="2222">
        <v>4.3099999999999999E-2</v>
      </c>
      <c r="H98" s="2222">
        <f>H44</f>
        <v>0.10095068493150684</v>
      </c>
      <c r="I98" s="2219"/>
      <c r="J98" s="2223">
        <v>0.62</v>
      </c>
      <c r="K98" s="2215"/>
      <c r="L98" s="2329"/>
      <c r="M98" s="2329"/>
      <c r="N98" s="2329"/>
      <c r="O98" s="2329"/>
      <c r="P98" s="2329"/>
      <c r="Q98" s="2329"/>
      <c r="R98" s="2329"/>
      <c r="S98" s="2329"/>
    </row>
    <row r="99" spans="3:20">
      <c r="C99" s="2224"/>
      <c r="D99" s="2219"/>
      <c r="E99" s="2219"/>
      <c r="F99" s="2219"/>
      <c r="G99" s="2219"/>
      <c r="H99" s="2225"/>
      <c r="I99" s="2219"/>
      <c r="J99" s="2226"/>
      <c r="K99" s="2215"/>
      <c r="L99" s="2329"/>
      <c r="M99" s="2329"/>
      <c r="N99" s="2329"/>
      <c r="O99" s="2329"/>
      <c r="P99" s="2329"/>
      <c r="Q99" s="2329"/>
      <c r="R99" s="2329"/>
      <c r="S99" s="2329"/>
    </row>
    <row r="100" spans="3:20">
      <c r="C100" s="2221" t="s">
        <v>522</v>
      </c>
      <c r="D100" s="2219"/>
      <c r="E100" s="2227" t="s">
        <v>1059</v>
      </c>
      <c r="F100" s="2227" t="s">
        <v>1059</v>
      </c>
      <c r="G100" s="2228">
        <f>$H$33+I100</f>
        <v>8.7599999999999997E-2</v>
      </c>
      <c r="H100" s="2228">
        <f>G33+$J$103*J100</f>
        <v>0.17004</v>
      </c>
      <c r="I100" s="2229">
        <f>E70</f>
        <v>0.06</v>
      </c>
      <c r="J100" s="2230">
        <v>3.1</v>
      </c>
      <c r="K100" s="2215" t="s">
        <v>1063</v>
      </c>
      <c r="M100" s="2329"/>
      <c r="N100" s="2329"/>
      <c r="O100" s="2329"/>
      <c r="P100" s="2329"/>
      <c r="Q100" s="2329"/>
      <c r="R100" s="2329"/>
      <c r="S100" s="2329"/>
    </row>
    <row r="101" spans="3:20">
      <c r="C101" s="2221" t="s">
        <v>524</v>
      </c>
      <c r="D101" s="2219"/>
      <c r="E101" s="2227" t="s">
        <v>1060</v>
      </c>
      <c r="F101" s="2227" t="s">
        <v>1060</v>
      </c>
      <c r="G101" s="2228">
        <f>$H$33+I101</f>
        <v>7.51E-2</v>
      </c>
      <c r="H101" s="2228">
        <f>G34+$J$103*J101</f>
        <v>0.11065999999999998</v>
      </c>
      <c r="I101" s="2229">
        <f>E68</f>
        <v>4.7500000000000001E-2</v>
      </c>
      <c r="J101" s="2230">
        <v>2.4</v>
      </c>
      <c r="K101" s="118"/>
      <c r="M101" s="2329"/>
      <c r="N101" s="2329"/>
      <c r="O101" s="2329"/>
      <c r="P101" s="2329"/>
      <c r="Q101" s="2329"/>
      <c r="R101" s="2329"/>
      <c r="S101" s="2329"/>
    </row>
    <row r="102" spans="3:20">
      <c r="C102" s="2221" t="s">
        <v>1061</v>
      </c>
      <c r="D102" s="2219"/>
      <c r="E102" s="2227" t="s">
        <v>1062</v>
      </c>
      <c r="F102" s="2227" t="s">
        <v>1062</v>
      </c>
      <c r="G102" s="2228">
        <f>$H$33+I102</f>
        <v>8.2600000000000007E-2</v>
      </c>
      <c r="H102" s="2228">
        <f>G30+$J$103*J102</f>
        <v>0.19691999999999998</v>
      </c>
      <c r="I102" s="2229">
        <f>E69</f>
        <v>5.5E-2</v>
      </c>
      <c r="J102" s="2230">
        <v>3</v>
      </c>
      <c r="K102" s="118"/>
      <c r="M102" s="2329"/>
      <c r="N102" s="2329"/>
      <c r="O102" s="2329"/>
      <c r="P102" s="2329"/>
      <c r="Q102" s="2329"/>
      <c r="R102" s="2329"/>
      <c r="S102" s="2329"/>
    </row>
    <row r="103" spans="3:20">
      <c r="C103" s="2224"/>
      <c r="D103" s="2219"/>
      <c r="E103" s="2219"/>
      <c r="F103" s="2219"/>
      <c r="G103" s="2231"/>
      <c r="H103" s="2219"/>
      <c r="I103" s="2219"/>
      <c r="J103" s="2232">
        <v>4.8399999999999999E-2</v>
      </c>
      <c r="K103" s="2329"/>
      <c r="M103" s="2329"/>
      <c r="N103" s="2329"/>
      <c r="O103" s="2329"/>
      <c r="P103" s="2329"/>
      <c r="Q103" s="2329"/>
      <c r="R103" s="2329"/>
      <c r="S103" s="2329"/>
    </row>
    <row r="104" spans="3:20" s="1494" customFormat="1">
      <c r="C104" s="2233" t="s">
        <v>1188</v>
      </c>
      <c r="D104" s="2225">
        <v>2015</v>
      </c>
      <c r="E104" s="2234" t="s">
        <v>1054</v>
      </c>
      <c r="F104" s="2234" t="s">
        <v>1054</v>
      </c>
      <c r="G104" s="2235">
        <v>3.594E-2</v>
      </c>
      <c r="H104" s="2225"/>
      <c r="I104" s="2225"/>
      <c r="J104" s="2226">
        <f>$E$61</f>
        <v>6.4999999999999997E-3</v>
      </c>
    </row>
    <row r="105" spans="3:20" s="1494" customFormat="1">
      <c r="C105" s="2236" t="s">
        <v>1055</v>
      </c>
      <c r="D105" s="2225">
        <v>2018</v>
      </c>
      <c r="E105" s="2234" t="s">
        <v>1054</v>
      </c>
      <c r="F105" s="2234" t="s">
        <v>1054</v>
      </c>
      <c r="G105" s="2235">
        <v>3.9699999999999999E-2</v>
      </c>
      <c r="H105" s="2225"/>
      <c r="I105" s="2225"/>
      <c r="J105" s="2226">
        <f>$E$61</f>
        <v>6.4999999999999997E-3</v>
      </c>
    </row>
    <row r="106" spans="3:20" s="1494" customFormat="1">
      <c r="C106" s="2236" t="s">
        <v>1057</v>
      </c>
      <c r="D106" s="2225">
        <v>2022</v>
      </c>
      <c r="E106" s="2234" t="s">
        <v>1054</v>
      </c>
      <c r="F106" s="2234" t="s">
        <v>1054</v>
      </c>
      <c r="G106" s="2235">
        <v>4.2720000000000001E-2</v>
      </c>
      <c r="H106" s="2225"/>
      <c r="I106" s="2225"/>
      <c r="J106" s="2226">
        <f>$E$61</f>
        <v>6.4999999999999997E-3</v>
      </c>
    </row>
    <row r="107" spans="3:20" s="1494" customFormat="1">
      <c r="C107" s="2236" t="s">
        <v>1058</v>
      </c>
      <c r="D107" s="2225">
        <v>2023</v>
      </c>
      <c r="E107" s="2234" t="s">
        <v>1054</v>
      </c>
      <c r="F107" s="2234" t="s">
        <v>1054</v>
      </c>
      <c r="G107" s="2235">
        <v>4.3459999999999999E-2</v>
      </c>
      <c r="H107" s="2225"/>
      <c r="I107" s="2225"/>
      <c r="J107" s="2226">
        <f>$E$61</f>
        <v>6.4999999999999997E-3</v>
      </c>
    </row>
    <row r="108" spans="3:20" s="1494" customFormat="1" ht="13.5" thickBot="1">
      <c r="C108" s="2237" t="s">
        <v>1056</v>
      </c>
      <c r="D108" s="2238">
        <v>2028</v>
      </c>
      <c r="E108" s="2239" t="s">
        <v>1054</v>
      </c>
      <c r="F108" s="2239" t="s">
        <v>1054</v>
      </c>
      <c r="G108" s="2240">
        <v>4.4659999999999998E-2</v>
      </c>
      <c r="H108" s="2238"/>
      <c r="I108" s="2238"/>
      <c r="J108" s="2241">
        <f>$E$61</f>
        <v>6.4999999999999997E-3</v>
      </c>
    </row>
    <row r="109" spans="3:20">
      <c r="D109" s="2329"/>
      <c r="E109" s="2329"/>
      <c r="F109" s="2329"/>
      <c r="G109" s="2329"/>
      <c r="H109" s="2329"/>
      <c r="I109" s="2329"/>
      <c r="J109" s="2329"/>
      <c r="K109" s="2200"/>
      <c r="L109" s="2329"/>
      <c r="M109" s="2329"/>
      <c r="N109" s="2329"/>
      <c r="O109" s="2329"/>
      <c r="P109" s="2329"/>
      <c r="Q109" s="2329"/>
      <c r="R109" s="2329"/>
      <c r="S109" s="2329"/>
      <c r="T109" s="2329"/>
    </row>
    <row r="110" spans="3:20">
      <c r="D110" s="2329"/>
      <c r="E110" s="2329"/>
      <c r="F110" s="2329"/>
      <c r="G110" s="2329"/>
      <c r="H110" s="2329"/>
      <c r="I110" s="2329"/>
      <c r="J110" s="2329"/>
      <c r="K110" s="2200"/>
      <c r="L110" s="2329"/>
      <c r="M110" s="2329"/>
      <c r="N110" s="2329"/>
      <c r="O110" s="2329"/>
      <c r="P110" s="2329"/>
      <c r="Q110" s="2329"/>
      <c r="R110" s="2329"/>
      <c r="S110" s="2329"/>
      <c r="T110" s="2329"/>
    </row>
    <row r="111" spans="3:20">
      <c r="D111" s="2329"/>
      <c r="E111" s="2329"/>
      <c r="F111" s="2329"/>
      <c r="G111" s="2329"/>
      <c r="H111" s="2329"/>
      <c r="I111" s="2329"/>
      <c r="J111" s="2329"/>
      <c r="K111" s="2200"/>
      <c r="L111" s="2329"/>
      <c r="M111" s="2329"/>
      <c r="N111" s="2329"/>
      <c r="O111" s="2329"/>
      <c r="P111" s="2329"/>
      <c r="Q111" s="2329"/>
      <c r="R111" s="2329"/>
      <c r="S111" s="2329"/>
      <c r="T111" s="2329"/>
    </row>
    <row r="112" spans="3:20">
      <c r="D112" s="2329"/>
      <c r="E112" s="2329"/>
      <c r="F112" s="2329"/>
      <c r="G112" s="2329"/>
      <c r="H112" s="2329"/>
      <c r="I112" s="2329"/>
      <c r="J112" s="2329"/>
      <c r="K112" s="2200"/>
      <c r="L112" s="2329"/>
      <c r="M112" s="2329"/>
      <c r="N112" s="2329"/>
      <c r="O112" s="2329"/>
      <c r="P112" s="2329"/>
      <c r="Q112" s="2329"/>
      <c r="R112" s="2329"/>
      <c r="S112" s="2329"/>
      <c r="T112" s="2329"/>
    </row>
    <row r="113" spans="3:20">
      <c r="D113" s="2329"/>
      <c r="E113" s="2329"/>
      <c r="F113" s="2329"/>
      <c r="G113" s="2329"/>
      <c r="H113" s="2329"/>
      <c r="I113" s="2329"/>
      <c r="J113" s="2329"/>
      <c r="K113" s="2200"/>
      <c r="L113" s="2329"/>
      <c r="M113" s="2329"/>
      <c r="N113" s="2329"/>
      <c r="O113" s="2329"/>
      <c r="P113" s="2329"/>
      <c r="Q113" s="2329"/>
      <c r="R113" s="2329"/>
      <c r="S113" s="2329"/>
      <c r="T113" s="2329"/>
    </row>
    <row r="114" spans="3:20">
      <c r="C114" s="2330"/>
      <c r="D114" s="2329"/>
      <c r="E114" s="2329"/>
      <c r="F114" s="2329"/>
      <c r="G114" s="2329"/>
      <c r="H114" s="2329"/>
      <c r="I114" s="2329"/>
      <c r="J114" s="2329"/>
      <c r="K114" s="2200"/>
      <c r="L114" s="2329"/>
      <c r="M114" s="2329"/>
      <c r="N114" s="2329"/>
      <c r="O114" s="2329"/>
      <c r="P114" s="2329"/>
      <c r="Q114" s="2329"/>
      <c r="R114" s="2329"/>
      <c r="S114" s="2329"/>
      <c r="T114" s="2329"/>
    </row>
    <row r="115" spans="3:20">
      <c r="C115" s="2330"/>
      <c r="D115" s="2329"/>
      <c r="E115" s="2329"/>
      <c r="F115" s="2329"/>
      <c r="G115" s="2329"/>
      <c r="H115" s="2329"/>
      <c r="I115" s="2329"/>
      <c r="J115" s="2329"/>
      <c r="K115" s="2200"/>
      <c r="L115" s="2329"/>
      <c r="M115" s="2329"/>
      <c r="N115" s="2329"/>
      <c r="O115" s="2329"/>
      <c r="P115" s="2329"/>
      <c r="Q115" s="2329"/>
      <c r="R115" s="2329"/>
      <c r="S115" s="2329"/>
      <c r="T115" s="2329"/>
    </row>
    <row r="116" spans="3:20">
      <c r="C116" s="2330"/>
      <c r="D116" s="2329"/>
      <c r="E116" s="2329"/>
      <c r="F116" s="2329"/>
      <c r="G116" s="2329"/>
      <c r="H116" s="2329"/>
      <c r="I116" s="2329"/>
      <c r="J116" s="2329"/>
      <c r="K116" s="2200"/>
      <c r="L116" s="2329"/>
      <c r="M116" s="2329"/>
      <c r="N116" s="2329"/>
      <c r="O116" s="2329"/>
      <c r="P116" s="2329"/>
      <c r="Q116" s="2329"/>
      <c r="R116" s="2329"/>
      <c r="S116" s="2329"/>
      <c r="T116" s="2329"/>
    </row>
    <row r="117" spans="3:20">
      <c r="C117" s="2330"/>
      <c r="D117" s="2329"/>
      <c r="E117" s="2329"/>
      <c r="F117" s="2329"/>
      <c r="G117" s="2329"/>
      <c r="H117" s="2329"/>
      <c r="I117" s="2329"/>
      <c r="J117" s="2329"/>
      <c r="K117" s="2200"/>
      <c r="L117" s="2329"/>
      <c r="M117" s="2329"/>
      <c r="N117" s="2329"/>
      <c r="O117" s="2329"/>
      <c r="P117" s="2329"/>
      <c r="Q117" s="2329"/>
      <c r="R117" s="2329"/>
      <c r="S117" s="2329"/>
      <c r="T117" s="2329"/>
    </row>
  </sheetData>
  <mergeCells count="3">
    <mergeCell ref="B1:C1"/>
    <mergeCell ref="A3:A11"/>
    <mergeCell ref="B14:C14"/>
  </mergeCells>
  <phoneticPr fontId="77" type="noConversion"/>
  <hyperlinks>
    <hyperlink ref="C78" r:id="rId1"/>
    <hyperlink ref="K35" r:id="rId2"/>
    <hyperlink ref="K33" r:id="rId3"/>
    <hyperlink ref="K34" r:id="rId4"/>
    <hyperlink ref="K55" r:id="rId5"/>
    <hyperlink ref="K56" r:id="rId6"/>
  </hyperlinks>
  <pageMargins left="0.75" right="0.75" top="1" bottom="1" header="0.5" footer="0.5"/>
  <pageSetup orientation="portrait" horizontalDpi="4294967293" r:id="rId7"/>
  <headerFooter alignWithMargins="0"/>
  <drawing r:id="rId8"/>
  <legacyDrawing r:id="rId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9" tint="0.39997558519241921"/>
  </sheetPr>
  <dimension ref="A1:AG13"/>
  <sheetViews>
    <sheetView zoomScale="85" zoomScaleNormal="85" workbookViewId="0">
      <pane xSplit="3" ySplit="2" topLeftCell="D3" activePane="bottomRight" state="frozen"/>
      <selection activeCell="D73" sqref="D73"/>
      <selection pane="topRight" activeCell="D73" sqref="D73"/>
      <selection pane="bottomLeft" activeCell="D73" sqref="D73"/>
      <selection pane="bottomRight" activeCell="A8" sqref="A8"/>
    </sheetView>
  </sheetViews>
  <sheetFormatPr defaultColWidth="9.140625" defaultRowHeight="15"/>
  <cols>
    <col min="1" max="1" width="20.140625" style="3211" customWidth="1"/>
    <col min="2" max="2" width="11.28515625" style="3211" customWidth="1"/>
    <col min="3" max="3" width="13.140625" style="3211" customWidth="1"/>
    <col min="4" max="4" width="10.28515625" style="3211" bestFit="1" customWidth="1"/>
    <col min="5" max="16384" width="9.140625" style="3211"/>
  </cols>
  <sheetData>
    <row r="1" spans="1:33">
      <c r="A1" s="3226" t="s">
        <v>1876</v>
      </c>
    </row>
    <row r="2" spans="1:33">
      <c r="A2" s="3225" t="s">
        <v>70</v>
      </c>
      <c r="B2" s="3223"/>
      <c r="C2" s="3222" t="s">
        <v>521</v>
      </c>
      <c r="D2" s="3221">
        <v>1</v>
      </c>
      <c r="E2" s="3221">
        <v>2</v>
      </c>
      <c r="F2" s="3221">
        <v>3</v>
      </c>
      <c r="G2" s="3221">
        <v>4</v>
      </c>
      <c r="H2" s="3221">
        <v>5</v>
      </c>
      <c r="I2" s="3221">
        <v>6</v>
      </c>
      <c r="J2" s="3221">
        <v>7</v>
      </c>
      <c r="K2" s="3221">
        <v>8</v>
      </c>
      <c r="L2" s="3221">
        <v>9</v>
      </c>
      <c r="M2" s="3221">
        <v>10</v>
      </c>
      <c r="N2" s="3220">
        <v>11</v>
      </c>
      <c r="O2" s="3220">
        <v>12</v>
      </c>
      <c r="P2" s="3220">
        <v>13</v>
      </c>
      <c r="Q2" s="3220">
        <v>14</v>
      </c>
      <c r="R2" s="3220">
        <v>15</v>
      </c>
      <c r="S2" s="3220">
        <v>16</v>
      </c>
      <c r="T2" s="3220">
        <v>17</v>
      </c>
      <c r="U2" s="3220">
        <v>18</v>
      </c>
      <c r="V2" s="3220">
        <v>19</v>
      </c>
      <c r="W2" s="3220">
        <v>20</v>
      </c>
      <c r="X2" s="3220">
        <v>21</v>
      </c>
      <c r="Y2" s="3220">
        <v>22</v>
      </c>
      <c r="Z2" s="3220">
        <v>23</v>
      </c>
      <c r="AA2" s="3220">
        <v>24</v>
      </c>
      <c r="AB2" s="3220">
        <v>25</v>
      </c>
      <c r="AC2" s="3220">
        <v>26</v>
      </c>
      <c r="AD2" s="3220">
        <v>27</v>
      </c>
      <c r="AE2" s="3220">
        <v>28</v>
      </c>
      <c r="AF2" s="3220">
        <v>29</v>
      </c>
      <c r="AG2" s="3220">
        <v>30</v>
      </c>
    </row>
    <row r="3" spans="1:33" s="3215" customFormat="1" ht="30">
      <c r="A3" s="3219" t="s">
        <v>1875</v>
      </c>
      <c r="B3" s="3218" t="s">
        <v>1873</v>
      </c>
      <c r="C3" s="3217" t="s">
        <v>1872</v>
      </c>
      <c r="D3" s="3216">
        <v>0.01</v>
      </c>
      <c r="E3" s="3216">
        <f t="shared" ref="E3:M3" si="0">D3</f>
        <v>0.01</v>
      </c>
      <c r="F3" s="3216">
        <f t="shared" si="0"/>
        <v>0.01</v>
      </c>
      <c r="G3" s="3216">
        <f t="shared" si="0"/>
        <v>0.01</v>
      </c>
      <c r="H3" s="3216">
        <f t="shared" si="0"/>
        <v>0.01</v>
      </c>
      <c r="I3" s="3216">
        <f t="shared" si="0"/>
        <v>0.01</v>
      </c>
      <c r="J3" s="3216">
        <f t="shared" si="0"/>
        <v>0.01</v>
      </c>
      <c r="K3" s="3216">
        <f t="shared" si="0"/>
        <v>0.01</v>
      </c>
      <c r="L3" s="3216">
        <f t="shared" si="0"/>
        <v>0.01</v>
      </c>
      <c r="M3" s="3216">
        <f t="shared" si="0"/>
        <v>0.01</v>
      </c>
      <c r="N3" s="3216">
        <v>0.95</v>
      </c>
      <c r="O3" s="3216">
        <v>0.95</v>
      </c>
      <c r="P3" s="3216">
        <v>0.95</v>
      </c>
      <c r="Q3" s="3216">
        <v>0.95</v>
      </c>
      <c r="R3" s="3216">
        <v>0.95</v>
      </c>
      <c r="S3" s="3216">
        <v>0.95</v>
      </c>
      <c r="T3" s="3216">
        <v>0.95</v>
      </c>
      <c r="U3" s="3216">
        <v>0.95</v>
      </c>
      <c r="V3" s="3216">
        <v>0.95</v>
      </c>
      <c r="W3" s="3216">
        <v>0.95</v>
      </c>
      <c r="X3" s="3216">
        <v>0.95</v>
      </c>
      <c r="Y3" s="3216">
        <v>0.95</v>
      </c>
      <c r="Z3" s="3216">
        <v>0.95</v>
      </c>
      <c r="AA3" s="3216">
        <v>0.95</v>
      </c>
      <c r="AB3" s="3216">
        <v>0.95</v>
      </c>
      <c r="AC3" s="3216">
        <v>0.95</v>
      </c>
      <c r="AD3" s="3216">
        <v>0.95</v>
      </c>
      <c r="AE3" s="3216">
        <v>0.95</v>
      </c>
      <c r="AF3" s="3216">
        <v>0.95</v>
      </c>
      <c r="AG3" s="3216">
        <v>0.95</v>
      </c>
    </row>
    <row r="4" spans="1:33">
      <c r="A4" s="3211" t="s">
        <v>1871</v>
      </c>
      <c r="B4" s="3212">
        <v>0.15</v>
      </c>
      <c r="C4" s="3267">
        <f>(B6-B5)/(B4-B5)</f>
        <v>0.6366666666666666</v>
      </c>
      <c r="D4" s="3212">
        <f t="shared" ref="D4:AG4" si="1">D3*$B4</f>
        <v>1.5E-3</v>
      </c>
      <c r="E4" s="3212">
        <f t="shared" si="1"/>
        <v>1.5E-3</v>
      </c>
      <c r="F4" s="3212">
        <f t="shared" si="1"/>
        <v>1.5E-3</v>
      </c>
      <c r="G4" s="3212">
        <f t="shared" si="1"/>
        <v>1.5E-3</v>
      </c>
      <c r="H4" s="3212">
        <f t="shared" si="1"/>
        <v>1.5E-3</v>
      </c>
      <c r="I4" s="3212">
        <f t="shared" si="1"/>
        <v>1.5E-3</v>
      </c>
      <c r="J4" s="3212">
        <f t="shared" si="1"/>
        <v>1.5E-3</v>
      </c>
      <c r="K4" s="3212">
        <f t="shared" si="1"/>
        <v>1.5E-3</v>
      </c>
      <c r="L4" s="3212">
        <f t="shared" si="1"/>
        <v>1.5E-3</v>
      </c>
      <c r="M4" s="3212">
        <f t="shared" si="1"/>
        <v>1.5E-3</v>
      </c>
      <c r="N4" s="3212">
        <f t="shared" si="1"/>
        <v>0.14249999999999999</v>
      </c>
      <c r="O4" s="3212">
        <f t="shared" si="1"/>
        <v>0.14249999999999999</v>
      </c>
      <c r="P4" s="3212">
        <f t="shared" si="1"/>
        <v>0.14249999999999999</v>
      </c>
      <c r="Q4" s="3212">
        <f t="shared" si="1"/>
        <v>0.14249999999999999</v>
      </c>
      <c r="R4" s="3212">
        <f t="shared" si="1"/>
        <v>0.14249999999999999</v>
      </c>
      <c r="S4" s="3212">
        <f t="shared" si="1"/>
        <v>0.14249999999999999</v>
      </c>
      <c r="T4" s="3212">
        <f t="shared" si="1"/>
        <v>0.14249999999999999</v>
      </c>
      <c r="U4" s="3212">
        <f t="shared" si="1"/>
        <v>0.14249999999999999</v>
      </c>
      <c r="V4" s="3212">
        <f t="shared" si="1"/>
        <v>0.14249999999999999</v>
      </c>
      <c r="W4" s="3212">
        <f t="shared" si="1"/>
        <v>0.14249999999999999</v>
      </c>
      <c r="X4" s="3212">
        <f t="shared" si="1"/>
        <v>0.14249999999999999</v>
      </c>
      <c r="Y4" s="3212">
        <f t="shared" si="1"/>
        <v>0.14249999999999999</v>
      </c>
      <c r="Z4" s="3212">
        <f t="shared" si="1"/>
        <v>0.14249999999999999</v>
      </c>
      <c r="AA4" s="3212">
        <f t="shared" si="1"/>
        <v>0.14249999999999999</v>
      </c>
      <c r="AB4" s="3212">
        <f t="shared" si="1"/>
        <v>0.14249999999999999</v>
      </c>
      <c r="AC4" s="3212">
        <f t="shared" si="1"/>
        <v>0.14249999999999999</v>
      </c>
      <c r="AD4" s="3212">
        <f t="shared" si="1"/>
        <v>0.14249999999999999</v>
      </c>
      <c r="AE4" s="3212">
        <f t="shared" si="1"/>
        <v>0.14249999999999999</v>
      </c>
      <c r="AF4" s="3212">
        <f t="shared" si="1"/>
        <v>0.14249999999999999</v>
      </c>
      <c r="AG4" s="3212">
        <f t="shared" si="1"/>
        <v>0.14249999999999999</v>
      </c>
    </row>
    <row r="5" spans="1:33">
      <c r="A5" s="3211" t="s">
        <v>1870</v>
      </c>
      <c r="B5" s="3212">
        <v>0.1</v>
      </c>
      <c r="C5" s="3267">
        <f>1-C4</f>
        <v>0.3633333333333334</v>
      </c>
      <c r="D5" s="3212">
        <f t="shared" ref="D5:AG5" si="2">(1-D$3)*$B5</f>
        <v>9.9000000000000005E-2</v>
      </c>
      <c r="E5" s="3212">
        <f t="shared" si="2"/>
        <v>9.9000000000000005E-2</v>
      </c>
      <c r="F5" s="3212">
        <f t="shared" si="2"/>
        <v>9.9000000000000005E-2</v>
      </c>
      <c r="G5" s="3212">
        <f t="shared" si="2"/>
        <v>9.9000000000000005E-2</v>
      </c>
      <c r="H5" s="3212">
        <f t="shared" si="2"/>
        <v>9.9000000000000005E-2</v>
      </c>
      <c r="I5" s="3212">
        <f t="shared" si="2"/>
        <v>9.9000000000000005E-2</v>
      </c>
      <c r="J5" s="3212">
        <f t="shared" si="2"/>
        <v>9.9000000000000005E-2</v>
      </c>
      <c r="K5" s="3212">
        <f t="shared" si="2"/>
        <v>9.9000000000000005E-2</v>
      </c>
      <c r="L5" s="3212">
        <f t="shared" si="2"/>
        <v>9.9000000000000005E-2</v>
      </c>
      <c r="M5" s="3212">
        <f t="shared" si="2"/>
        <v>9.9000000000000005E-2</v>
      </c>
      <c r="N5" s="3212">
        <f t="shared" si="2"/>
        <v>5.0000000000000044E-3</v>
      </c>
      <c r="O5" s="3212">
        <f t="shared" si="2"/>
        <v>5.0000000000000044E-3</v>
      </c>
      <c r="P5" s="3212">
        <f t="shared" si="2"/>
        <v>5.0000000000000044E-3</v>
      </c>
      <c r="Q5" s="3212">
        <f t="shared" si="2"/>
        <v>5.0000000000000044E-3</v>
      </c>
      <c r="R5" s="3212">
        <f t="shared" si="2"/>
        <v>5.0000000000000044E-3</v>
      </c>
      <c r="S5" s="3212">
        <f t="shared" si="2"/>
        <v>5.0000000000000044E-3</v>
      </c>
      <c r="T5" s="3212">
        <f t="shared" si="2"/>
        <v>5.0000000000000044E-3</v>
      </c>
      <c r="U5" s="3212">
        <f t="shared" si="2"/>
        <v>5.0000000000000044E-3</v>
      </c>
      <c r="V5" s="3212">
        <f t="shared" si="2"/>
        <v>5.0000000000000044E-3</v>
      </c>
      <c r="W5" s="3212">
        <f t="shared" si="2"/>
        <v>5.0000000000000044E-3</v>
      </c>
      <c r="X5" s="3212">
        <f t="shared" si="2"/>
        <v>5.0000000000000044E-3</v>
      </c>
      <c r="Y5" s="3212">
        <f t="shared" si="2"/>
        <v>5.0000000000000044E-3</v>
      </c>
      <c r="Z5" s="3212">
        <f t="shared" si="2"/>
        <v>5.0000000000000044E-3</v>
      </c>
      <c r="AA5" s="3212">
        <f t="shared" si="2"/>
        <v>5.0000000000000044E-3</v>
      </c>
      <c r="AB5" s="3212">
        <f t="shared" si="2"/>
        <v>5.0000000000000044E-3</v>
      </c>
      <c r="AC5" s="3212">
        <f t="shared" si="2"/>
        <v>5.0000000000000044E-3</v>
      </c>
      <c r="AD5" s="3212">
        <f t="shared" si="2"/>
        <v>5.0000000000000044E-3</v>
      </c>
      <c r="AE5" s="3212">
        <f t="shared" si="2"/>
        <v>5.0000000000000044E-3</v>
      </c>
      <c r="AF5" s="3212">
        <f t="shared" si="2"/>
        <v>5.0000000000000044E-3</v>
      </c>
      <c r="AG5" s="3212">
        <f t="shared" si="2"/>
        <v>5.0000000000000044E-3</v>
      </c>
    </row>
    <row r="6" spans="1:33">
      <c r="B6" s="3214">
        <f>AVERAGE(D6:AG6)</f>
        <v>0.13183333333333333</v>
      </c>
      <c r="D6" s="3212">
        <f t="shared" ref="D6:AG6" si="3">SUM(D4:D5)</f>
        <v>0.10050000000000001</v>
      </c>
      <c r="E6" s="3212">
        <f t="shared" si="3"/>
        <v>0.10050000000000001</v>
      </c>
      <c r="F6" s="3212">
        <f t="shared" si="3"/>
        <v>0.10050000000000001</v>
      </c>
      <c r="G6" s="3212">
        <f t="shared" si="3"/>
        <v>0.10050000000000001</v>
      </c>
      <c r="H6" s="3212">
        <f t="shared" si="3"/>
        <v>0.10050000000000001</v>
      </c>
      <c r="I6" s="3212">
        <f t="shared" si="3"/>
        <v>0.10050000000000001</v>
      </c>
      <c r="J6" s="3212">
        <f t="shared" si="3"/>
        <v>0.10050000000000001</v>
      </c>
      <c r="K6" s="3212">
        <f t="shared" si="3"/>
        <v>0.10050000000000001</v>
      </c>
      <c r="L6" s="3212">
        <f t="shared" si="3"/>
        <v>0.10050000000000001</v>
      </c>
      <c r="M6" s="3212">
        <f t="shared" si="3"/>
        <v>0.10050000000000001</v>
      </c>
      <c r="N6" s="3212">
        <f t="shared" si="3"/>
        <v>0.14749999999999999</v>
      </c>
      <c r="O6" s="3212">
        <f t="shared" si="3"/>
        <v>0.14749999999999999</v>
      </c>
      <c r="P6" s="3212">
        <f t="shared" si="3"/>
        <v>0.14749999999999999</v>
      </c>
      <c r="Q6" s="3212">
        <f t="shared" si="3"/>
        <v>0.14749999999999999</v>
      </c>
      <c r="R6" s="3212">
        <f t="shared" si="3"/>
        <v>0.14749999999999999</v>
      </c>
      <c r="S6" s="3212">
        <f t="shared" si="3"/>
        <v>0.14749999999999999</v>
      </c>
      <c r="T6" s="3212">
        <f t="shared" si="3"/>
        <v>0.14749999999999999</v>
      </c>
      <c r="U6" s="3212">
        <f t="shared" si="3"/>
        <v>0.14749999999999999</v>
      </c>
      <c r="V6" s="3212">
        <f t="shared" si="3"/>
        <v>0.14749999999999999</v>
      </c>
      <c r="W6" s="3212">
        <f t="shared" si="3"/>
        <v>0.14749999999999999</v>
      </c>
      <c r="X6" s="3212">
        <f t="shared" si="3"/>
        <v>0.14749999999999999</v>
      </c>
      <c r="Y6" s="3212">
        <f t="shared" si="3"/>
        <v>0.14749999999999999</v>
      </c>
      <c r="Z6" s="3212">
        <f t="shared" si="3"/>
        <v>0.14749999999999999</v>
      </c>
      <c r="AA6" s="3212">
        <f t="shared" si="3"/>
        <v>0.14749999999999999</v>
      </c>
      <c r="AB6" s="3212">
        <f t="shared" si="3"/>
        <v>0.14749999999999999</v>
      </c>
      <c r="AC6" s="3212">
        <f t="shared" si="3"/>
        <v>0.14749999999999999</v>
      </c>
      <c r="AD6" s="3212">
        <f t="shared" si="3"/>
        <v>0.14749999999999999</v>
      </c>
      <c r="AE6" s="3212">
        <f t="shared" si="3"/>
        <v>0.14749999999999999</v>
      </c>
      <c r="AF6" s="3212">
        <f t="shared" si="3"/>
        <v>0.14749999999999999</v>
      </c>
      <c r="AG6" s="3212">
        <f t="shared" si="3"/>
        <v>0.14749999999999999</v>
      </c>
    </row>
    <row r="8" spans="1:33">
      <c r="A8" s="3224" t="s">
        <v>69</v>
      </c>
      <c r="B8" s="3223"/>
      <c r="C8" s="3222" t="s">
        <v>521</v>
      </c>
      <c r="D8" s="3221">
        <v>1</v>
      </c>
      <c r="E8" s="3221">
        <v>2</v>
      </c>
      <c r="F8" s="3221">
        <v>3</v>
      </c>
      <c r="G8" s="3221">
        <v>4</v>
      </c>
      <c r="H8" s="3221">
        <v>5</v>
      </c>
      <c r="I8" s="3221">
        <v>6</v>
      </c>
      <c r="J8" s="3221">
        <v>7</v>
      </c>
      <c r="K8" s="3221">
        <v>8</v>
      </c>
      <c r="L8" s="3221">
        <v>9</v>
      </c>
      <c r="M8" s="3221">
        <v>10</v>
      </c>
      <c r="N8" s="3221">
        <v>11</v>
      </c>
      <c r="O8" s="3221">
        <v>12</v>
      </c>
      <c r="P8" s="3221">
        <v>13</v>
      </c>
      <c r="Q8" s="3221">
        <v>14</v>
      </c>
      <c r="R8" s="3221">
        <v>15</v>
      </c>
      <c r="S8" s="3221">
        <v>16</v>
      </c>
      <c r="T8" s="3221">
        <v>17</v>
      </c>
      <c r="U8" s="3221">
        <v>18</v>
      </c>
      <c r="V8" s="3221">
        <v>19</v>
      </c>
      <c r="W8" s="3221">
        <v>20</v>
      </c>
      <c r="X8" s="3221">
        <v>21</v>
      </c>
      <c r="Y8" s="3221">
        <v>22</v>
      </c>
      <c r="Z8" s="3221">
        <v>23</v>
      </c>
      <c r="AA8" s="3221">
        <v>24</v>
      </c>
      <c r="AB8" s="3220">
        <v>25</v>
      </c>
      <c r="AC8" s="3220">
        <v>26</v>
      </c>
      <c r="AD8" s="3220">
        <v>27</v>
      </c>
      <c r="AE8" s="3220">
        <v>28</v>
      </c>
      <c r="AF8" s="3220">
        <v>29</v>
      </c>
      <c r="AG8" s="3220">
        <v>30</v>
      </c>
    </row>
    <row r="9" spans="1:33" s="3215" customFormat="1" ht="30">
      <c r="A9" s="3219" t="s">
        <v>1874</v>
      </c>
      <c r="B9" s="3218" t="s">
        <v>1873</v>
      </c>
      <c r="C9" s="3217" t="s">
        <v>1872</v>
      </c>
      <c r="D9" s="3216">
        <v>0.8</v>
      </c>
      <c r="E9" s="3216">
        <f t="shared" ref="E9:AA9" si="4">D9</f>
        <v>0.8</v>
      </c>
      <c r="F9" s="3216">
        <f t="shared" si="4"/>
        <v>0.8</v>
      </c>
      <c r="G9" s="3216">
        <f t="shared" si="4"/>
        <v>0.8</v>
      </c>
      <c r="H9" s="3216">
        <f t="shared" si="4"/>
        <v>0.8</v>
      </c>
      <c r="I9" s="3216">
        <f t="shared" si="4"/>
        <v>0.8</v>
      </c>
      <c r="J9" s="3216">
        <f t="shared" si="4"/>
        <v>0.8</v>
      </c>
      <c r="K9" s="3216">
        <f t="shared" si="4"/>
        <v>0.8</v>
      </c>
      <c r="L9" s="3216">
        <f t="shared" si="4"/>
        <v>0.8</v>
      </c>
      <c r="M9" s="3216">
        <f t="shared" si="4"/>
        <v>0.8</v>
      </c>
      <c r="N9" s="3216">
        <f t="shared" si="4"/>
        <v>0.8</v>
      </c>
      <c r="O9" s="3216">
        <f t="shared" si="4"/>
        <v>0.8</v>
      </c>
      <c r="P9" s="3216">
        <f t="shared" si="4"/>
        <v>0.8</v>
      </c>
      <c r="Q9" s="3216">
        <f t="shared" si="4"/>
        <v>0.8</v>
      </c>
      <c r="R9" s="3216">
        <f t="shared" si="4"/>
        <v>0.8</v>
      </c>
      <c r="S9" s="3216">
        <f t="shared" si="4"/>
        <v>0.8</v>
      </c>
      <c r="T9" s="3216">
        <f t="shared" si="4"/>
        <v>0.8</v>
      </c>
      <c r="U9" s="3216">
        <f t="shared" si="4"/>
        <v>0.8</v>
      </c>
      <c r="V9" s="3216">
        <f t="shared" si="4"/>
        <v>0.8</v>
      </c>
      <c r="W9" s="3216">
        <f t="shared" si="4"/>
        <v>0.8</v>
      </c>
      <c r="X9" s="3216">
        <f t="shared" si="4"/>
        <v>0.8</v>
      </c>
      <c r="Y9" s="3216">
        <f t="shared" si="4"/>
        <v>0.8</v>
      </c>
      <c r="Z9" s="3216">
        <f t="shared" si="4"/>
        <v>0.8</v>
      </c>
      <c r="AA9" s="3216">
        <f t="shared" si="4"/>
        <v>0.8</v>
      </c>
      <c r="AB9" s="3216">
        <v>1</v>
      </c>
      <c r="AC9" s="3216">
        <v>1</v>
      </c>
      <c r="AD9" s="3216">
        <v>1</v>
      </c>
      <c r="AE9" s="3216">
        <v>1</v>
      </c>
      <c r="AF9" s="3216">
        <v>1</v>
      </c>
      <c r="AG9" s="3216">
        <v>1</v>
      </c>
    </row>
    <row r="10" spans="1:33">
      <c r="A10" s="3211" t="s">
        <v>1871</v>
      </c>
      <c r="B10" s="3212">
        <f>B4</f>
        <v>0.15</v>
      </c>
      <c r="C10" s="3267">
        <f>(B12-B11)/(B10-B11)</f>
        <v>0.84000000000000041</v>
      </c>
      <c r="D10" s="3212">
        <f t="shared" ref="D10:AG10" si="5">D9*$B10</f>
        <v>0.12</v>
      </c>
      <c r="E10" s="3212">
        <f t="shared" si="5"/>
        <v>0.12</v>
      </c>
      <c r="F10" s="3212">
        <f t="shared" si="5"/>
        <v>0.12</v>
      </c>
      <c r="G10" s="3212">
        <f t="shared" si="5"/>
        <v>0.12</v>
      </c>
      <c r="H10" s="3212">
        <f t="shared" si="5"/>
        <v>0.12</v>
      </c>
      <c r="I10" s="3212">
        <f t="shared" si="5"/>
        <v>0.12</v>
      </c>
      <c r="J10" s="3212">
        <f t="shared" si="5"/>
        <v>0.12</v>
      </c>
      <c r="K10" s="3212">
        <f t="shared" si="5"/>
        <v>0.12</v>
      </c>
      <c r="L10" s="3212">
        <f t="shared" si="5"/>
        <v>0.12</v>
      </c>
      <c r="M10" s="3212">
        <f t="shared" si="5"/>
        <v>0.12</v>
      </c>
      <c r="N10" s="3212">
        <f t="shared" si="5"/>
        <v>0.12</v>
      </c>
      <c r="O10" s="3212">
        <f t="shared" si="5"/>
        <v>0.12</v>
      </c>
      <c r="P10" s="3212">
        <f t="shared" si="5"/>
        <v>0.12</v>
      </c>
      <c r="Q10" s="3212">
        <f t="shared" si="5"/>
        <v>0.12</v>
      </c>
      <c r="R10" s="3212">
        <f t="shared" si="5"/>
        <v>0.12</v>
      </c>
      <c r="S10" s="3212">
        <f t="shared" si="5"/>
        <v>0.12</v>
      </c>
      <c r="T10" s="3212">
        <f t="shared" si="5"/>
        <v>0.12</v>
      </c>
      <c r="U10" s="3212">
        <f t="shared" si="5"/>
        <v>0.12</v>
      </c>
      <c r="V10" s="3212">
        <f t="shared" si="5"/>
        <v>0.12</v>
      </c>
      <c r="W10" s="3212">
        <f t="shared" si="5"/>
        <v>0.12</v>
      </c>
      <c r="X10" s="3212">
        <f t="shared" si="5"/>
        <v>0.12</v>
      </c>
      <c r="Y10" s="3212">
        <f t="shared" si="5"/>
        <v>0.12</v>
      </c>
      <c r="Z10" s="3212">
        <f t="shared" si="5"/>
        <v>0.12</v>
      </c>
      <c r="AA10" s="3212">
        <f t="shared" si="5"/>
        <v>0.12</v>
      </c>
      <c r="AB10" s="3212">
        <f t="shared" si="5"/>
        <v>0.15</v>
      </c>
      <c r="AC10" s="3212">
        <f t="shared" si="5"/>
        <v>0.15</v>
      </c>
      <c r="AD10" s="3212">
        <f t="shared" si="5"/>
        <v>0.15</v>
      </c>
      <c r="AE10" s="3212">
        <f t="shared" si="5"/>
        <v>0.15</v>
      </c>
      <c r="AF10" s="3212">
        <f t="shared" si="5"/>
        <v>0.15</v>
      </c>
      <c r="AG10" s="3212">
        <f t="shared" si="5"/>
        <v>0.15</v>
      </c>
    </row>
    <row r="11" spans="1:33">
      <c r="A11" s="3211" t="s">
        <v>1870</v>
      </c>
      <c r="B11" s="3212">
        <f>B5</f>
        <v>0.1</v>
      </c>
      <c r="C11" s="3267">
        <f>1-C10</f>
        <v>0.15999999999999959</v>
      </c>
      <c r="D11" s="3212">
        <f t="shared" ref="D11:AG11" si="6">(1-D$9)*$B11</f>
        <v>1.9999999999999997E-2</v>
      </c>
      <c r="E11" s="3212">
        <f t="shared" si="6"/>
        <v>1.9999999999999997E-2</v>
      </c>
      <c r="F11" s="3212">
        <f t="shared" si="6"/>
        <v>1.9999999999999997E-2</v>
      </c>
      <c r="G11" s="3212">
        <f t="shared" si="6"/>
        <v>1.9999999999999997E-2</v>
      </c>
      <c r="H11" s="3212">
        <f t="shared" si="6"/>
        <v>1.9999999999999997E-2</v>
      </c>
      <c r="I11" s="3212">
        <f t="shared" si="6"/>
        <v>1.9999999999999997E-2</v>
      </c>
      <c r="J11" s="3212">
        <f t="shared" si="6"/>
        <v>1.9999999999999997E-2</v>
      </c>
      <c r="K11" s="3212">
        <f t="shared" si="6"/>
        <v>1.9999999999999997E-2</v>
      </c>
      <c r="L11" s="3212">
        <f t="shared" si="6"/>
        <v>1.9999999999999997E-2</v>
      </c>
      <c r="M11" s="3212">
        <f t="shared" si="6"/>
        <v>1.9999999999999997E-2</v>
      </c>
      <c r="N11" s="3212">
        <f t="shared" si="6"/>
        <v>1.9999999999999997E-2</v>
      </c>
      <c r="O11" s="3212">
        <f t="shared" si="6"/>
        <v>1.9999999999999997E-2</v>
      </c>
      <c r="P11" s="3212">
        <f t="shared" si="6"/>
        <v>1.9999999999999997E-2</v>
      </c>
      <c r="Q11" s="3212">
        <f t="shared" si="6"/>
        <v>1.9999999999999997E-2</v>
      </c>
      <c r="R11" s="3212">
        <f t="shared" si="6"/>
        <v>1.9999999999999997E-2</v>
      </c>
      <c r="S11" s="3212">
        <f t="shared" si="6"/>
        <v>1.9999999999999997E-2</v>
      </c>
      <c r="T11" s="3212">
        <f t="shared" si="6"/>
        <v>1.9999999999999997E-2</v>
      </c>
      <c r="U11" s="3212">
        <f t="shared" si="6"/>
        <v>1.9999999999999997E-2</v>
      </c>
      <c r="V11" s="3212">
        <f t="shared" si="6"/>
        <v>1.9999999999999997E-2</v>
      </c>
      <c r="W11" s="3212">
        <f t="shared" si="6"/>
        <v>1.9999999999999997E-2</v>
      </c>
      <c r="X11" s="3212">
        <f t="shared" si="6"/>
        <v>1.9999999999999997E-2</v>
      </c>
      <c r="Y11" s="3212">
        <f t="shared" si="6"/>
        <v>1.9999999999999997E-2</v>
      </c>
      <c r="Z11" s="3212">
        <f t="shared" si="6"/>
        <v>1.9999999999999997E-2</v>
      </c>
      <c r="AA11" s="3212">
        <f t="shared" si="6"/>
        <v>1.9999999999999997E-2</v>
      </c>
      <c r="AB11" s="3212">
        <f t="shared" si="6"/>
        <v>0</v>
      </c>
      <c r="AC11" s="3212">
        <f t="shared" si="6"/>
        <v>0</v>
      </c>
      <c r="AD11" s="3212">
        <f t="shared" si="6"/>
        <v>0</v>
      </c>
      <c r="AE11" s="3212">
        <f t="shared" si="6"/>
        <v>0</v>
      </c>
      <c r="AF11" s="3212">
        <f t="shared" si="6"/>
        <v>0</v>
      </c>
      <c r="AG11" s="3212">
        <f t="shared" si="6"/>
        <v>0</v>
      </c>
    </row>
    <row r="12" spans="1:33">
      <c r="B12" s="3214">
        <f>AVERAGE(D12:AG12)</f>
        <v>0.14200000000000002</v>
      </c>
      <c r="D12" s="3212">
        <f t="shared" ref="D12:AG12" si="7">SUM(D10:D11)</f>
        <v>0.13999999999999999</v>
      </c>
      <c r="E12" s="3212">
        <f t="shared" si="7"/>
        <v>0.13999999999999999</v>
      </c>
      <c r="F12" s="3212">
        <f t="shared" si="7"/>
        <v>0.13999999999999999</v>
      </c>
      <c r="G12" s="3212">
        <f t="shared" si="7"/>
        <v>0.13999999999999999</v>
      </c>
      <c r="H12" s="3212">
        <f t="shared" si="7"/>
        <v>0.13999999999999999</v>
      </c>
      <c r="I12" s="3212">
        <f t="shared" si="7"/>
        <v>0.13999999999999999</v>
      </c>
      <c r="J12" s="3212">
        <f t="shared" si="7"/>
        <v>0.13999999999999999</v>
      </c>
      <c r="K12" s="3212">
        <f t="shared" si="7"/>
        <v>0.13999999999999999</v>
      </c>
      <c r="L12" s="3212">
        <f t="shared" si="7"/>
        <v>0.13999999999999999</v>
      </c>
      <c r="M12" s="3212">
        <f t="shared" si="7"/>
        <v>0.13999999999999999</v>
      </c>
      <c r="N12" s="3212">
        <f t="shared" si="7"/>
        <v>0.13999999999999999</v>
      </c>
      <c r="O12" s="3212">
        <f t="shared" si="7"/>
        <v>0.13999999999999999</v>
      </c>
      <c r="P12" s="3212">
        <f t="shared" si="7"/>
        <v>0.13999999999999999</v>
      </c>
      <c r="Q12" s="3212">
        <f t="shared" si="7"/>
        <v>0.13999999999999999</v>
      </c>
      <c r="R12" s="3212">
        <f t="shared" si="7"/>
        <v>0.13999999999999999</v>
      </c>
      <c r="S12" s="3212">
        <f t="shared" si="7"/>
        <v>0.13999999999999999</v>
      </c>
      <c r="T12" s="3212">
        <f t="shared" si="7"/>
        <v>0.13999999999999999</v>
      </c>
      <c r="U12" s="3212">
        <f t="shared" si="7"/>
        <v>0.13999999999999999</v>
      </c>
      <c r="V12" s="3212">
        <f t="shared" si="7"/>
        <v>0.13999999999999999</v>
      </c>
      <c r="W12" s="3212">
        <f t="shared" si="7"/>
        <v>0.13999999999999999</v>
      </c>
      <c r="X12" s="3212">
        <f t="shared" si="7"/>
        <v>0.13999999999999999</v>
      </c>
      <c r="Y12" s="3212">
        <f t="shared" si="7"/>
        <v>0.13999999999999999</v>
      </c>
      <c r="Z12" s="3212">
        <f t="shared" si="7"/>
        <v>0.13999999999999999</v>
      </c>
      <c r="AA12" s="3212">
        <f t="shared" si="7"/>
        <v>0.13999999999999999</v>
      </c>
      <c r="AB12" s="3212">
        <f t="shared" si="7"/>
        <v>0.15</v>
      </c>
      <c r="AC12" s="3212">
        <f t="shared" si="7"/>
        <v>0.15</v>
      </c>
      <c r="AD12" s="3212">
        <f t="shared" si="7"/>
        <v>0.15</v>
      </c>
      <c r="AE12" s="3212">
        <f t="shared" si="7"/>
        <v>0.15</v>
      </c>
      <c r="AF12" s="3212">
        <f t="shared" si="7"/>
        <v>0.15</v>
      </c>
      <c r="AG12" s="3212">
        <f t="shared" si="7"/>
        <v>0.15</v>
      </c>
    </row>
    <row r="13" spans="1:33">
      <c r="C13" s="3213"/>
      <c r="D13" s="3212"/>
      <c r="E13" s="3212"/>
      <c r="F13" s="3212"/>
      <c r="G13" s="3212"/>
      <c r="H13" s="3212"/>
      <c r="I13" s="3212"/>
      <c r="J13" s="3212"/>
      <c r="K13" s="3212"/>
      <c r="L13" s="3212"/>
      <c r="M13" s="3212"/>
      <c r="N13" s="3212"/>
      <c r="O13" s="3212"/>
      <c r="P13" s="3212"/>
      <c r="Q13" s="3212"/>
      <c r="R13" s="3212"/>
      <c r="S13" s="3212"/>
      <c r="T13" s="3212"/>
      <c r="U13" s="3212"/>
      <c r="V13" s="3212"/>
      <c r="W13" s="3212"/>
      <c r="X13" s="3212"/>
      <c r="Y13" s="3212"/>
      <c r="Z13" s="3212"/>
      <c r="AA13" s="3212"/>
      <c r="AB13" s="3212"/>
      <c r="AC13" s="3212"/>
      <c r="AD13" s="3212"/>
      <c r="AE13" s="3212"/>
      <c r="AF13" s="3212"/>
      <c r="AG13" s="3212"/>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9" tint="0.39997558519241921"/>
  </sheetPr>
  <dimension ref="A1:N46"/>
  <sheetViews>
    <sheetView showGridLines="0" zoomScale="85" zoomScaleNormal="85" workbookViewId="0">
      <selection activeCell="J27" sqref="J27"/>
    </sheetView>
  </sheetViews>
  <sheetFormatPr defaultColWidth="9.140625" defaultRowHeight="15"/>
  <cols>
    <col min="1" max="1" width="28" style="1932" customWidth="1"/>
    <col min="2" max="2" width="11.85546875" style="1932" customWidth="1"/>
    <col min="3" max="4" width="12.85546875" style="1932" customWidth="1"/>
    <col min="5" max="5" width="10.5703125" style="2044" customWidth="1"/>
    <col min="6" max="6" width="12.85546875" style="1932" customWidth="1"/>
    <col min="7" max="7" width="13.140625" style="1932" customWidth="1"/>
    <col min="8" max="8" width="11.7109375" style="1932" customWidth="1"/>
    <col min="9" max="9" width="12.140625" style="1932" customWidth="1"/>
    <col min="10" max="10" width="10.7109375" style="1932" customWidth="1"/>
    <col min="11" max="13" width="9.140625" style="2044"/>
    <col min="14" max="16384" width="9.140625" style="1932"/>
  </cols>
  <sheetData>
    <row r="1" spans="1:14">
      <c r="A1" s="1931" t="s">
        <v>14</v>
      </c>
      <c r="B1" s="2495"/>
      <c r="C1" s="2495"/>
      <c r="D1" s="2495"/>
      <c r="E1" s="2496"/>
      <c r="F1" s="2495"/>
      <c r="G1" s="2495"/>
      <c r="H1" s="2495"/>
      <c r="I1" s="2495"/>
      <c r="J1" s="2495"/>
      <c r="K1" s="2496"/>
      <c r="L1" s="2496"/>
      <c r="M1" s="2496"/>
      <c r="N1" s="2065"/>
    </row>
    <row r="2" spans="1:14">
      <c r="A2" s="1933"/>
      <c r="B2" s="1934"/>
      <c r="C2" s="1934"/>
      <c r="D2" s="1935" t="s">
        <v>282</v>
      </c>
      <c r="E2" s="1935"/>
      <c r="F2" s="2035"/>
      <c r="G2" s="1934"/>
      <c r="H2" s="1934"/>
      <c r="I2" s="1934"/>
      <c r="J2" s="1934"/>
      <c r="K2" s="2035"/>
      <c r="L2" s="2035"/>
      <c r="M2" s="2035"/>
      <c r="N2" s="2045"/>
    </row>
    <row r="3" spans="1:14" s="1938" customFormat="1" ht="30">
      <c r="A3" s="1936" t="s">
        <v>15</v>
      </c>
      <c r="B3" s="2062" t="s">
        <v>55</v>
      </c>
      <c r="C3" s="1937" t="s">
        <v>131</v>
      </c>
      <c r="D3" s="1937" t="s">
        <v>16</v>
      </c>
      <c r="E3" s="1937" t="s">
        <v>17</v>
      </c>
      <c r="F3" s="2036" t="s">
        <v>32</v>
      </c>
      <c r="G3" s="1937" t="s">
        <v>58</v>
      </c>
      <c r="H3" s="1937" t="s">
        <v>18</v>
      </c>
      <c r="I3" s="1937" t="s">
        <v>19</v>
      </c>
      <c r="J3" s="1937" t="s">
        <v>59</v>
      </c>
      <c r="K3" s="2036" t="s">
        <v>20</v>
      </c>
      <c r="L3" s="2036" t="s">
        <v>21</v>
      </c>
      <c r="M3" s="2036" t="s">
        <v>22</v>
      </c>
      <c r="N3" s="2046" t="s">
        <v>23</v>
      </c>
    </row>
    <row r="4" spans="1:14">
      <c r="A4" s="1939" t="s">
        <v>24</v>
      </c>
      <c r="B4" s="2059"/>
      <c r="C4" s="1934"/>
      <c r="D4" s="1934"/>
      <c r="E4" s="1934"/>
      <c r="F4" s="2035"/>
      <c r="G4" s="1934"/>
      <c r="H4" s="1934"/>
      <c r="I4" s="1934"/>
      <c r="J4" s="1934"/>
      <c r="K4" s="2035"/>
      <c r="L4" s="2035"/>
      <c r="M4" s="2035"/>
      <c r="N4" s="2045"/>
    </row>
    <row r="5" spans="1:14">
      <c r="A5" s="1948" t="s">
        <v>53</v>
      </c>
      <c r="B5" s="3243"/>
      <c r="C5" s="1940">
        <v>21</v>
      </c>
      <c r="D5" s="1940">
        <v>10</v>
      </c>
      <c r="E5" s="1940">
        <v>21</v>
      </c>
      <c r="F5" s="2037">
        <v>10</v>
      </c>
      <c r="G5" s="1940">
        <v>21</v>
      </c>
      <c r="H5" s="1940">
        <v>10</v>
      </c>
      <c r="I5" s="1940">
        <v>10</v>
      </c>
      <c r="J5" s="1934"/>
      <c r="K5" s="2035"/>
      <c r="L5" s="2035"/>
      <c r="M5" s="2035"/>
      <c r="N5" s="2045"/>
    </row>
    <row r="6" spans="1:14">
      <c r="A6" s="1948" t="s">
        <v>56</v>
      </c>
      <c r="B6" s="1940"/>
      <c r="C6" s="1940">
        <v>15</v>
      </c>
      <c r="D6" s="1941">
        <v>7.5</v>
      </c>
      <c r="E6" s="1940">
        <v>15</v>
      </c>
      <c r="F6" s="2038">
        <v>7.5</v>
      </c>
      <c r="G6" s="1940">
        <v>15</v>
      </c>
      <c r="H6" s="1941">
        <v>7.5</v>
      </c>
      <c r="I6" s="1941">
        <v>7.5</v>
      </c>
      <c r="J6" s="1934"/>
      <c r="K6" s="2035"/>
      <c r="L6" s="2035"/>
      <c r="M6" s="2035"/>
      <c r="N6" s="2045"/>
    </row>
    <row r="7" spans="1:14">
      <c r="A7" s="1948" t="s">
        <v>57</v>
      </c>
      <c r="B7" s="2063">
        <v>10</v>
      </c>
      <c r="C7" s="2063">
        <v>10</v>
      </c>
      <c r="D7" s="2063">
        <v>10</v>
      </c>
      <c r="E7" s="2063">
        <v>10</v>
      </c>
      <c r="F7" s="2064">
        <v>10</v>
      </c>
      <c r="G7" s="2063">
        <v>10</v>
      </c>
      <c r="H7" s="2063">
        <v>10</v>
      </c>
      <c r="I7" s="2063">
        <v>10</v>
      </c>
      <c r="J7" s="1934"/>
      <c r="K7" s="2035"/>
      <c r="L7" s="2035"/>
      <c r="M7" s="2035"/>
      <c r="N7" s="2045"/>
    </row>
    <row r="8" spans="1:14" ht="17.25">
      <c r="A8" s="1948" t="s">
        <v>1652</v>
      </c>
      <c r="B8" s="1942">
        <v>2010</v>
      </c>
      <c r="C8" s="1942">
        <v>2014</v>
      </c>
      <c r="D8" s="1942">
        <v>2014</v>
      </c>
      <c r="E8" s="1942">
        <v>2014</v>
      </c>
      <c r="F8" s="2039">
        <v>2014</v>
      </c>
      <c r="G8" s="1942">
        <v>2014</v>
      </c>
      <c r="H8" s="1942">
        <v>2014</v>
      </c>
      <c r="I8" s="1942">
        <v>2014</v>
      </c>
      <c r="J8" s="1934"/>
      <c r="K8" s="2035"/>
      <c r="L8" s="2035"/>
      <c r="M8" s="2035"/>
      <c r="N8" s="2045"/>
    </row>
    <row r="9" spans="1:14">
      <c r="A9" s="1933" t="s">
        <v>25</v>
      </c>
      <c r="B9" s="1943" t="s">
        <v>128</v>
      </c>
      <c r="C9" s="1943" t="s">
        <v>128</v>
      </c>
      <c r="D9" s="1943" t="s">
        <v>128</v>
      </c>
      <c r="E9" s="1943" t="s">
        <v>128</v>
      </c>
      <c r="F9" s="2040" t="s">
        <v>128</v>
      </c>
      <c r="G9" s="1943" t="s">
        <v>128</v>
      </c>
      <c r="H9" s="1943" t="s">
        <v>128</v>
      </c>
      <c r="I9" s="1943" t="s">
        <v>128</v>
      </c>
      <c r="J9" s="1934"/>
      <c r="K9" s="2035"/>
      <c r="L9" s="2035"/>
      <c r="M9" s="2035"/>
      <c r="N9" s="2045"/>
    </row>
    <row r="10" spans="1:14">
      <c r="A10" s="1939" t="s">
        <v>1418</v>
      </c>
      <c r="B10" s="1934"/>
      <c r="C10" s="1934"/>
      <c r="D10" s="1934"/>
      <c r="E10" s="1934"/>
      <c r="F10" s="2035"/>
      <c r="G10" s="1934"/>
      <c r="H10" s="1934"/>
      <c r="I10" s="1934"/>
      <c r="J10" s="1934"/>
      <c r="K10" s="2035"/>
      <c r="L10" s="2035"/>
      <c r="M10" s="2035"/>
      <c r="N10" s="2045"/>
    </row>
    <row r="11" spans="1:14">
      <c r="A11" s="1948" t="s">
        <v>26</v>
      </c>
      <c r="B11" s="1944">
        <v>0.2</v>
      </c>
      <c r="C11" s="1934"/>
      <c r="D11" s="1934"/>
      <c r="E11" s="1934"/>
      <c r="F11" s="2079"/>
      <c r="G11" s="1944">
        <v>0.1</v>
      </c>
      <c r="H11" s="2081"/>
      <c r="I11" s="2077"/>
      <c r="J11" s="1990" t="s">
        <v>36</v>
      </c>
      <c r="K11" s="2041">
        <v>0.3</v>
      </c>
      <c r="L11" s="2041">
        <v>0.3</v>
      </c>
      <c r="M11" s="2041">
        <v>0.1</v>
      </c>
      <c r="N11" s="2047">
        <v>0.1</v>
      </c>
    </row>
    <row r="12" spans="1:14">
      <c r="A12" s="1933" t="s">
        <v>27</v>
      </c>
      <c r="B12" s="1945">
        <f>0.5*B11</f>
        <v>0.1</v>
      </c>
      <c r="C12" s="1934"/>
      <c r="D12" s="1934"/>
      <c r="E12" s="1934"/>
      <c r="F12" s="2079"/>
      <c r="G12" s="1945">
        <f>0.5*G11</f>
        <v>0.05</v>
      </c>
      <c r="H12" s="2081"/>
      <c r="I12" s="2077"/>
      <c r="J12" s="1991" t="s">
        <v>37</v>
      </c>
      <c r="K12" s="2048">
        <f>0.5*K11</f>
        <v>0.15</v>
      </c>
      <c r="L12" s="2048">
        <f>0.5*L11</f>
        <v>0.15</v>
      </c>
      <c r="M12" s="2048">
        <f>0.5*M11</f>
        <v>0.05</v>
      </c>
      <c r="N12" s="2049">
        <f>0.5*N11</f>
        <v>0.05</v>
      </c>
    </row>
    <row r="13" spans="1:14" ht="17.25">
      <c r="A13" s="1948" t="s">
        <v>1652</v>
      </c>
      <c r="B13" s="1943">
        <v>2010</v>
      </c>
      <c r="C13" s="1934"/>
      <c r="D13" s="1934"/>
      <c r="E13" s="1934"/>
      <c r="F13" s="2079"/>
      <c r="G13" s="1943" t="s">
        <v>28</v>
      </c>
      <c r="H13" s="2081"/>
      <c r="I13" s="2077"/>
      <c r="J13" s="1942">
        <v>2017</v>
      </c>
      <c r="K13" s="2039">
        <v>2017</v>
      </c>
      <c r="L13" s="2039">
        <v>2017</v>
      </c>
      <c r="M13" s="2039">
        <v>2017</v>
      </c>
      <c r="N13" s="2039">
        <v>2017</v>
      </c>
    </row>
    <row r="14" spans="1:14">
      <c r="A14" s="1948" t="s">
        <v>62</v>
      </c>
      <c r="B14" s="1942">
        <v>20</v>
      </c>
      <c r="C14" s="1934"/>
      <c r="D14" s="1934"/>
      <c r="E14" s="1934"/>
      <c r="F14" s="2079"/>
      <c r="G14" s="1942">
        <v>20</v>
      </c>
      <c r="H14" s="2081"/>
      <c r="I14" s="2077"/>
      <c r="J14" s="1942">
        <v>20</v>
      </c>
      <c r="K14" s="2039">
        <v>20</v>
      </c>
      <c r="L14" s="2039">
        <v>20</v>
      </c>
      <c r="M14" s="2039">
        <v>20</v>
      </c>
      <c r="N14" s="2050">
        <v>20</v>
      </c>
    </row>
    <row r="15" spans="1:14" s="1947" customFormat="1" ht="30">
      <c r="A15" s="2494" t="s">
        <v>25</v>
      </c>
      <c r="B15" s="1946" t="s">
        <v>29</v>
      </c>
      <c r="C15" s="2060"/>
      <c r="D15" s="2060"/>
      <c r="E15" s="2060"/>
      <c r="F15" s="2080"/>
      <c r="G15" s="1946" t="s">
        <v>29</v>
      </c>
      <c r="H15" s="2082"/>
      <c r="I15" s="2061"/>
      <c r="J15" s="1946" t="s">
        <v>29</v>
      </c>
      <c r="K15" s="2042" t="s">
        <v>29</v>
      </c>
      <c r="L15" s="2042" t="s">
        <v>29</v>
      </c>
      <c r="M15" s="2042" t="s">
        <v>29</v>
      </c>
      <c r="N15" s="2051" t="s">
        <v>29</v>
      </c>
    </row>
    <row r="16" spans="1:14">
      <c r="A16" s="1939" t="s">
        <v>30</v>
      </c>
      <c r="B16" s="1934"/>
      <c r="C16" s="1934"/>
      <c r="D16" s="1934"/>
      <c r="E16" s="1934"/>
      <c r="F16" s="2035"/>
      <c r="G16" s="1934"/>
      <c r="H16" s="1934"/>
      <c r="I16" s="1934"/>
      <c r="J16" s="1934"/>
      <c r="K16" s="2035"/>
      <c r="L16" s="2035"/>
      <c r="M16" s="2035"/>
      <c r="N16" s="2045"/>
    </row>
    <row r="17" spans="1:14">
      <c r="A17" s="1933" t="s">
        <v>31</v>
      </c>
      <c r="B17" s="1944">
        <v>0.3</v>
      </c>
      <c r="C17" s="1944">
        <v>0.3</v>
      </c>
      <c r="D17" s="1944">
        <v>0.3</v>
      </c>
      <c r="E17" s="1944">
        <v>0.3</v>
      </c>
      <c r="F17" s="2041">
        <v>0.3</v>
      </c>
      <c r="G17" s="2067">
        <v>0.3</v>
      </c>
      <c r="H17" s="1944">
        <v>0.3</v>
      </c>
      <c r="I17" s="1944">
        <v>0.3</v>
      </c>
      <c r="J17" s="1944">
        <v>0.3</v>
      </c>
      <c r="K17" s="2041">
        <v>0.3</v>
      </c>
      <c r="L17" s="2041">
        <v>0.3</v>
      </c>
      <c r="M17" s="2041">
        <v>0.3</v>
      </c>
      <c r="N17" s="2047">
        <v>0.3</v>
      </c>
    </row>
    <row r="18" spans="1:14" ht="17.25">
      <c r="A18" s="1948" t="s">
        <v>1652</v>
      </c>
      <c r="B18" s="1942">
        <v>2014</v>
      </c>
      <c r="C18" s="3244">
        <v>2014</v>
      </c>
      <c r="D18" s="1942">
        <v>2014</v>
      </c>
      <c r="E18" s="1942">
        <v>2014</v>
      </c>
      <c r="F18" s="2039">
        <v>2014</v>
      </c>
      <c r="G18" s="1942">
        <v>2014</v>
      </c>
      <c r="H18" s="1942">
        <v>2014</v>
      </c>
      <c r="I18" s="1942">
        <v>2014</v>
      </c>
      <c r="J18" s="2764">
        <v>2017</v>
      </c>
      <c r="K18" s="2039">
        <v>2014</v>
      </c>
      <c r="L18" s="2039">
        <v>2014</v>
      </c>
      <c r="M18" s="2039">
        <v>2014</v>
      </c>
      <c r="N18" s="2050">
        <v>2014</v>
      </c>
    </row>
    <row r="19" spans="1:14" s="1947" customFormat="1" ht="30">
      <c r="A19" s="1949" t="s">
        <v>25</v>
      </c>
      <c r="B19" s="1946" t="s">
        <v>29</v>
      </c>
      <c r="C19" s="1946" t="s">
        <v>29</v>
      </c>
      <c r="D19" s="1946" t="s">
        <v>29</v>
      </c>
      <c r="E19" s="1946" t="s">
        <v>29</v>
      </c>
      <c r="F19" s="2042" t="s">
        <v>29</v>
      </c>
      <c r="G19" s="2066" t="s">
        <v>128</v>
      </c>
      <c r="H19" s="1946" t="s">
        <v>29</v>
      </c>
      <c r="I19" s="1946" t="s">
        <v>29</v>
      </c>
      <c r="J19" s="1946" t="s">
        <v>29</v>
      </c>
      <c r="K19" s="2042" t="s">
        <v>29</v>
      </c>
      <c r="L19" s="2042" t="s">
        <v>29</v>
      </c>
      <c r="M19" s="2042" t="s">
        <v>29</v>
      </c>
      <c r="N19" s="2051" t="s">
        <v>29</v>
      </c>
    </row>
    <row r="20" spans="1:14" ht="17.25">
      <c r="A20" s="1939" t="s">
        <v>66</v>
      </c>
      <c r="B20" s="1934"/>
      <c r="C20" s="1934"/>
      <c r="D20" s="1934"/>
      <c r="E20" s="1934"/>
      <c r="F20" s="2035"/>
      <c r="G20" s="1934"/>
      <c r="H20" s="1934"/>
      <c r="I20" s="1934"/>
      <c r="J20" s="1934"/>
      <c r="K20" s="2035"/>
      <c r="L20" s="2035"/>
      <c r="M20" s="2035"/>
      <c r="N20" s="2045"/>
    </row>
    <row r="21" spans="1:14">
      <c r="A21" s="1948" t="s">
        <v>64</v>
      </c>
      <c r="B21" s="2076"/>
      <c r="C21" s="1950">
        <f>$C$5*$C$36</f>
        <v>0</v>
      </c>
      <c r="D21" s="1942"/>
      <c r="E21" s="1950">
        <f>$C$5*$C$36</f>
        <v>0</v>
      </c>
      <c r="F21" s="2039"/>
      <c r="G21" s="1950">
        <f>$C$5*$C$36</f>
        <v>0</v>
      </c>
      <c r="H21" s="2083"/>
      <c r="I21" s="1950">
        <f>$C$5*$C$36</f>
        <v>0</v>
      </c>
      <c r="J21" s="1950">
        <f>$C$5*$C$36</f>
        <v>0</v>
      </c>
      <c r="K21" s="2075"/>
      <c r="L21" s="2035"/>
      <c r="M21" s="2035"/>
      <c r="N21" s="2045"/>
    </row>
    <row r="22" spans="1:14">
      <c r="A22" s="1948" t="s">
        <v>65</v>
      </c>
      <c r="B22" s="2077"/>
      <c r="C22" s="1942"/>
      <c r="D22" s="1951">
        <f>$C$5*$C$38</f>
        <v>0</v>
      </c>
      <c r="E22" s="1942"/>
      <c r="F22" s="2043">
        <f>$C$5*$C$38</f>
        <v>0</v>
      </c>
      <c r="G22" s="1942"/>
      <c r="H22" s="2083"/>
      <c r="I22" s="1942"/>
      <c r="J22" s="1942"/>
      <c r="K22" s="2035"/>
      <c r="L22" s="2035"/>
      <c r="M22" s="2035"/>
      <c r="N22" s="2045"/>
    </row>
    <row r="23" spans="1:14">
      <c r="A23" s="1948" t="s">
        <v>57</v>
      </c>
      <c r="B23" s="2078"/>
      <c r="C23" s="2063">
        <v>10</v>
      </c>
      <c r="D23" s="2063">
        <v>10</v>
      </c>
      <c r="E23" s="2063">
        <v>10</v>
      </c>
      <c r="F23" s="2064">
        <v>10</v>
      </c>
      <c r="G23" s="2063">
        <v>10</v>
      </c>
      <c r="H23" s="2084"/>
      <c r="I23" s="2063">
        <v>10</v>
      </c>
      <c r="J23" s="1942">
        <v>10</v>
      </c>
      <c r="K23" s="2035"/>
      <c r="L23" s="2035"/>
      <c r="M23" s="2035"/>
      <c r="N23" s="2045"/>
    </row>
    <row r="24" spans="1:14" ht="17.25">
      <c r="A24" s="1948" t="s">
        <v>1652</v>
      </c>
      <c r="B24" s="2077"/>
      <c r="C24" s="2508">
        <v>2027</v>
      </c>
      <c r="D24" s="2508">
        <v>2027</v>
      </c>
      <c r="E24" s="2508">
        <v>2027</v>
      </c>
      <c r="F24" s="2509">
        <v>2018</v>
      </c>
      <c r="G24" s="2508">
        <v>2027</v>
      </c>
      <c r="H24" s="2510"/>
      <c r="I24" s="2508">
        <v>2027</v>
      </c>
      <c r="J24" s="2508">
        <v>2027</v>
      </c>
      <c r="K24" s="2035"/>
      <c r="L24" s="2035"/>
      <c r="M24" s="2035"/>
      <c r="N24" s="2045"/>
    </row>
    <row r="25" spans="1:14" s="1934" customFormat="1">
      <c r="A25" s="1933" t="s">
        <v>25</v>
      </c>
      <c r="B25" s="2462"/>
      <c r="C25" s="2462" t="s">
        <v>33</v>
      </c>
      <c r="D25" s="2462" t="s">
        <v>33</v>
      </c>
      <c r="E25" s="2462" t="s">
        <v>33</v>
      </c>
      <c r="F25" s="2463" t="s">
        <v>33</v>
      </c>
      <c r="G25" s="2462" t="s">
        <v>33</v>
      </c>
      <c r="I25" s="2462" t="s">
        <v>33</v>
      </c>
      <c r="J25" s="2462" t="s">
        <v>33</v>
      </c>
      <c r="K25" s="2035"/>
      <c r="L25" s="2035"/>
      <c r="M25" s="2035"/>
      <c r="N25" s="2045"/>
    </row>
    <row r="26" spans="1:14">
      <c r="A26" s="2515" t="s">
        <v>1636</v>
      </c>
      <c r="B26" s="2516"/>
      <c r="C26" s="2516"/>
      <c r="D26" s="2516"/>
      <c r="E26" s="2516"/>
      <c r="F26" s="2517"/>
      <c r="G26" s="2516"/>
      <c r="H26" s="2518"/>
      <c r="I26" s="2516"/>
      <c r="J26" s="2516"/>
      <c r="K26" s="2035"/>
      <c r="L26" s="2035"/>
      <c r="M26" s="2035"/>
      <c r="N26" s="2045"/>
    </row>
    <row r="27" spans="1:14" s="1934" customFormat="1" ht="18" thickBot="1">
      <c r="A27" s="2519" t="s">
        <v>1652</v>
      </c>
      <c r="B27" s="2520"/>
      <c r="C27" s="2520"/>
      <c r="D27" s="2520"/>
      <c r="E27" s="2520"/>
      <c r="F27" s="2521"/>
      <c r="G27" s="2520"/>
      <c r="H27" s="2522"/>
      <c r="I27" s="2520"/>
      <c r="J27" s="3245"/>
      <c r="K27" s="2052"/>
      <c r="L27" s="2052"/>
      <c r="M27" s="2052"/>
      <c r="N27" s="2053"/>
    </row>
    <row r="28" spans="1:14">
      <c r="A28" s="2464"/>
      <c r="B28" s="2462"/>
      <c r="C28" s="2462"/>
      <c r="D28" s="2462"/>
      <c r="E28" s="2462"/>
      <c r="F28" s="2463"/>
      <c r="G28" s="2462"/>
      <c r="H28" s="1934"/>
      <c r="I28" s="2462"/>
      <c r="J28" s="2462"/>
      <c r="K28" s="2035"/>
      <c r="L28" s="2035"/>
      <c r="M28" s="2035"/>
      <c r="N28" s="2035"/>
    </row>
    <row r="29" spans="1:14">
      <c r="A29" s="2085" t="s">
        <v>54</v>
      </c>
    </row>
    <row r="30" spans="1:14" s="2073" customFormat="1">
      <c r="A30" s="2072" t="s">
        <v>63</v>
      </c>
      <c r="E30" s="2074"/>
      <c r="K30" s="2074"/>
      <c r="L30" s="2074"/>
      <c r="M30" s="2074"/>
    </row>
    <row r="31" spans="1:14" s="2073" customFormat="1">
      <c r="A31" s="2072" t="s">
        <v>60</v>
      </c>
      <c r="E31" s="2074"/>
      <c r="K31" s="2074"/>
      <c r="L31" s="2074"/>
      <c r="M31" s="2074"/>
    </row>
    <row r="32" spans="1:14" s="2073" customFormat="1">
      <c r="A32" s="2072" t="s">
        <v>61</v>
      </c>
      <c r="E32" s="2074"/>
      <c r="K32" s="2074"/>
      <c r="L32" s="2074"/>
      <c r="M32" s="2074"/>
    </row>
    <row r="33" spans="1:13" s="2073" customFormat="1">
      <c r="A33" s="3246" t="s">
        <v>1880</v>
      </c>
      <c r="E33" s="2074"/>
      <c r="K33" s="2074"/>
      <c r="L33" s="2074"/>
      <c r="M33" s="2074"/>
    </row>
    <row r="34" spans="1:13" ht="15.75" thickBot="1">
      <c r="A34" s="3047" t="s">
        <v>1801</v>
      </c>
    </row>
    <row r="35" spans="1:13" customFormat="1" ht="12.75">
      <c r="A35" s="2054" t="s">
        <v>52</v>
      </c>
      <c r="B35" s="2485">
        <v>2011</v>
      </c>
      <c r="C35" s="2486"/>
      <c r="E35" s="1968"/>
      <c r="K35" s="1968"/>
      <c r="L35" s="1968"/>
      <c r="M35" s="1968"/>
    </row>
    <row r="36" spans="1:13" customFormat="1" ht="12.75">
      <c r="A36" s="2055" t="s">
        <v>1479</v>
      </c>
      <c r="B36" s="2487">
        <v>0</v>
      </c>
      <c r="C36" s="2488">
        <v>0</v>
      </c>
      <c r="E36" s="1968"/>
      <c r="K36" s="1968"/>
      <c r="L36" s="1968"/>
      <c r="M36" s="1968"/>
    </row>
    <row r="37" spans="1:13" customFormat="1" ht="12.75">
      <c r="A37" s="2055" t="s">
        <v>1480</v>
      </c>
      <c r="B37" s="2487">
        <v>0</v>
      </c>
      <c r="C37" s="2489"/>
      <c r="E37" s="1968"/>
      <c r="K37" s="1968"/>
      <c r="L37" s="1968"/>
      <c r="M37" s="1968"/>
    </row>
    <row r="38" spans="1:13" customFormat="1" ht="12.75">
      <c r="A38" s="2055" t="s">
        <v>1481</v>
      </c>
      <c r="B38" s="2487">
        <v>0</v>
      </c>
      <c r="C38" s="2488">
        <v>0</v>
      </c>
      <c r="E38" s="1968"/>
      <c r="K38" s="1968"/>
      <c r="L38" s="1968"/>
      <c r="M38" s="1968"/>
    </row>
    <row r="39" spans="1:13" customFormat="1" ht="13.5" thickBot="1">
      <c r="A39" s="2056" t="s">
        <v>1482</v>
      </c>
      <c r="B39" s="2490">
        <v>0</v>
      </c>
      <c r="C39" s="2491"/>
      <c r="E39" s="1968"/>
      <c r="K39" s="1968"/>
      <c r="L39" s="1968"/>
      <c r="M39" s="1968"/>
    </row>
    <row r="40" spans="1:13">
      <c r="A40" s="2484" t="s">
        <v>1648</v>
      </c>
    </row>
    <row r="41" spans="1:13">
      <c r="A41" s="2210" t="s">
        <v>1647</v>
      </c>
    </row>
    <row r="42" spans="1:13">
      <c r="A42" s="2500" t="s">
        <v>1658</v>
      </c>
    </row>
    <row r="43" spans="1:13">
      <c r="A43" s="2499" t="s">
        <v>1657</v>
      </c>
    </row>
    <row r="44" spans="1:13">
      <c r="A44" s="2210" t="s">
        <v>1653</v>
      </c>
    </row>
    <row r="45" spans="1:13">
      <c r="A45" s="2210" t="s">
        <v>1654</v>
      </c>
    </row>
    <row r="46" spans="1:13">
      <c r="A46" s="2210" t="s">
        <v>1655</v>
      </c>
    </row>
  </sheetData>
  <phoneticPr fontId="0" type="noConversion"/>
  <hyperlinks>
    <hyperlink ref="A41" r:id="rId1"/>
    <hyperlink ref="A44" r:id="rId2"/>
    <hyperlink ref="A45" r:id="rId3"/>
    <hyperlink ref="A46" r:id="rId4"/>
  </hyperlinks>
  <pageMargins left="0.7" right="0.7" top="0.75" bottom="0.75" header="0.3" footer="0.3"/>
  <pageSetup orientation="portrait" r:id="rId5"/>
  <legacyDrawing r:id="rId6"/>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B0F0"/>
    <pageSetUpPr fitToPage="1"/>
  </sheetPr>
  <dimension ref="A1:BI98"/>
  <sheetViews>
    <sheetView showGridLines="0" topLeftCell="C1" zoomScale="80" zoomScaleNormal="80" workbookViewId="0">
      <selection activeCell="Q2" sqref="Q2"/>
    </sheetView>
  </sheetViews>
  <sheetFormatPr defaultColWidth="9.140625" defaultRowHeight="15"/>
  <cols>
    <col min="1" max="1" width="10.7109375" style="2808" customWidth="1"/>
    <col min="2" max="2" width="15.85546875" style="2808" customWidth="1"/>
    <col min="3" max="3" width="12.85546875" style="2808" customWidth="1"/>
    <col min="4" max="5" width="10.7109375" style="2808" customWidth="1"/>
    <col min="6" max="10" width="9.7109375" style="2808" customWidth="1"/>
    <col min="11" max="11" width="10.7109375" style="2808" customWidth="1"/>
    <col min="12" max="12" width="44" style="2808" customWidth="1"/>
    <col min="13" max="13" width="10.7109375" style="2808" customWidth="1"/>
    <col min="14" max="14" width="11.85546875" style="2808" customWidth="1"/>
    <col min="15" max="15" width="10.7109375" style="2808" customWidth="1"/>
    <col min="16" max="16" width="10.28515625" style="2808" bestFit="1" customWidth="1"/>
    <col min="17" max="17" width="12.42578125" style="2808" customWidth="1"/>
    <col min="18" max="19" width="10.140625" style="2808" bestFit="1" customWidth="1"/>
    <col min="20" max="20" width="11" style="2808" customWidth="1"/>
    <col min="21" max="31" width="10.140625" style="2808" bestFit="1" customWidth="1"/>
    <col min="32" max="16384" width="9.140625" style="2808"/>
  </cols>
  <sheetData>
    <row r="1" spans="1:61" ht="15.75" thickBot="1">
      <c r="A1" s="2851" t="s">
        <v>2024</v>
      </c>
      <c r="G1" s="2850">
        <v>1</v>
      </c>
      <c r="H1" s="2850">
        <v>2</v>
      </c>
      <c r="I1" s="2850">
        <v>3</v>
      </c>
      <c r="J1" s="2850">
        <v>4</v>
      </c>
      <c r="L1" s="4342"/>
      <c r="M1" s="4342"/>
      <c r="N1" s="4343"/>
      <c r="O1" s="4344"/>
      <c r="P1" s="4344"/>
      <c r="Q1" s="4344"/>
      <c r="R1" s="4344"/>
      <c r="S1" s="4344"/>
      <c r="T1" s="4344"/>
      <c r="U1" s="4344"/>
      <c r="V1" s="4344"/>
      <c r="W1" s="4344"/>
      <c r="X1" s="4344"/>
      <c r="Y1" s="4344"/>
      <c r="Z1" s="4344"/>
      <c r="AA1" s="4344"/>
      <c r="AB1" s="4344"/>
      <c r="AC1" s="4344"/>
    </row>
    <row r="2" spans="1:61" ht="18" customHeight="1" thickBot="1">
      <c r="A2" s="4614" t="s">
        <v>1740</v>
      </c>
      <c r="B2" s="4615"/>
      <c r="C2" s="4615"/>
      <c r="D2" s="4615"/>
      <c r="E2" s="4615"/>
      <c r="F2" s="4615"/>
      <c r="G2" s="4615"/>
      <c r="H2" s="4615"/>
      <c r="I2" s="4615"/>
      <c r="J2" s="4616"/>
      <c r="L2" s="4345"/>
      <c r="M2" s="4345"/>
      <c r="N2" s="4346"/>
      <c r="O2" s="4347"/>
      <c r="P2" s="4348"/>
      <c r="Q2" s="4348"/>
      <c r="R2" s="4348"/>
      <c r="S2" s="4348"/>
      <c r="T2" s="4348"/>
      <c r="U2" s="4348"/>
      <c r="V2" s="4348"/>
      <c r="W2" s="4348"/>
      <c r="X2" s="4348"/>
      <c r="Y2" s="4348"/>
      <c r="Z2" s="4348"/>
      <c r="AA2" s="4349"/>
      <c r="AB2" s="4349"/>
      <c r="AC2" s="4349"/>
    </row>
    <row r="3" spans="1:61" ht="15.75" customHeight="1">
      <c r="A3" s="4076" t="s">
        <v>1739</v>
      </c>
      <c r="B3" s="4077" t="s">
        <v>1738</v>
      </c>
      <c r="C3" s="4077" t="s">
        <v>1737</v>
      </c>
      <c r="D3" s="4077" t="s">
        <v>1737</v>
      </c>
      <c r="E3" s="4077" t="s">
        <v>1736</v>
      </c>
      <c r="F3" s="4077" t="s">
        <v>1734</v>
      </c>
      <c r="G3" s="4078" t="s">
        <v>1735</v>
      </c>
      <c r="H3" s="4077" t="s">
        <v>1734</v>
      </c>
      <c r="I3" s="4077" t="s">
        <v>1734</v>
      </c>
      <c r="J3" s="4079" t="s">
        <v>1734</v>
      </c>
      <c r="L3" s="4345"/>
      <c r="M3" s="4345"/>
      <c r="N3" s="4350"/>
      <c r="O3" s="4351"/>
      <c r="P3" s="4350"/>
      <c r="Q3" s="4350"/>
      <c r="R3" s="4350"/>
      <c r="S3" s="4350"/>
      <c r="T3" s="4350"/>
      <c r="U3" s="4350"/>
      <c r="V3" s="4350"/>
      <c r="W3" s="4350"/>
      <c r="X3" s="4350"/>
      <c r="Y3" s="4350"/>
      <c r="Z3" s="4350"/>
      <c r="AA3" s="4352"/>
      <c r="AB3" s="4352"/>
      <c r="AC3" s="4352"/>
    </row>
    <row r="4" spans="1:61">
      <c r="A4" s="4076" t="s">
        <v>1733</v>
      </c>
      <c r="B4" s="4077" t="s">
        <v>1732</v>
      </c>
      <c r="C4" s="4077" t="s">
        <v>1731</v>
      </c>
      <c r="D4" s="4077" t="s">
        <v>1021</v>
      </c>
      <c r="E4" s="4077" t="s">
        <v>1730</v>
      </c>
      <c r="F4" s="4077" t="s">
        <v>1729</v>
      </c>
      <c r="G4" s="4078" t="s">
        <v>1728</v>
      </c>
      <c r="H4" s="4077" t="s">
        <v>1727</v>
      </c>
      <c r="I4" s="4077" t="s">
        <v>1726</v>
      </c>
      <c r="J4" s="4079" t="s">
        <v>1726</v>
      </c>
      <c r="K4" s="2810"/>
      <c r="L4" s="4345"/>
      <c r="M4" s="4345"/>
      <c r="N4" s="4350"/>
      <c r="O4" s="4351"/>
      <c r="P4" s="4350"/>
      <c r="Q4" s="4350"/>
      <c r="R4" s="4350"/>
      <c r="S4" s="4350"/>
      <c r="T4" s="4350"/>
      <c r="U4" s="4350"/>
      <c r="V4" s="4350"/>
      <c r="W4" s="4350"/>
      <c r="X4" s="4350"/>
      <c r="Y4" s="4350"/>
      <c r="Z4" s="4350"/>
      <c r="AA4" s="4352"/>
      <c r="AB4" s="4352"/>
      <c r="AC4" s="4352"/>
      <c r="AD4" s="3774"/>
      <c r="AE4" s="3774"/>
      <c r="AF4" s="3774"/>
      <c r="AG4" s="3774"/>
      <c r="AH4" s="3774"/>
      <c r="AI4" s="3774"/>
      <c r="AJ4" s="3774"/>
      <c r="AK4" s="3774"/>
      <c r="AL4" s="3774"/>
      <c r="AM4" s="3774"/>
      <c r="AN4" s="3774"/>
      <c r="AO4" s="3774"/>
      <c r="AP4" s="3774"/>
      <c r="AQ4" s="3774"/>
      <c r="AR4" s="3774"/>
      <c r="AS4" s="3774"/>
      <c r="AT4" s="3774"/>
      <c r="AU4" s="3774"/>
      <c r="AV4" s="3774"/>
      <c r="AW4" s="3774"/>
      <c r="AX4" s="3774"/>
      <c r="AY4" s="3774"/>
      <c r="AZ4" s="3774"/>
      <c r="BA4" s="3774"/>
      <c r="BB4" s="3774"/>
      <c r="BC4" s="3774"/>
      <c r="BD4" s="3774"/>
      <c r="BE4" s="3774"/>
      <c r="BF4" s="3774"/>
      <c r="BG4" s="3774"/>
      <c r="BH4" s="3774"/>
      <c r="BI4" s="3774"/>
    </row>
    <row r="5" spans="1:61">
      <c r="A5" s="4076" t="s">
        <v>1725</v>
      </c>
      <c r="B5" s="4077" t="s">
        <v>1724</v>
      </c>
      <c r="C5" s="4077" t="s">
        <v>1721</v>
      </c>
      <c r="D5" s="4077" t="s">
        <v>1023</v>
      </c>
      <c r="E5" s="4077" t="s">
        <v>1723</v>
      </c>
      <c r="F5" s="4077" t="s">
        <v>1722</v>
      </c>
      <c r="G5" s="4078" t="s">
        <v>1023</v>
      </c>
      <c r="H5" s="4077" t="s">
        <v>1721</v>
      </c>
      <c r="I5" s="4077" t="s">
        <v>1023</v>
      </c>
      <c r="J5" s="4079" t="s">
        <v>1720</v>
      </c>
      <c r="K5" s="2810"/>
      <c r="L5" s="4345"/>
      <c r="M5" s="4345"/>
      <c r="N5" s="4350"/>
      <c r="O5" s="4351"/>
      <c r="P5" s="4350"/>
      <c r="Q5" s="4350"/>
      <c r="R5" s="4350"/>
      <c r="S5" s="4350"/>
      <c r="T5" s="4350"/>
      <c r="U5" s="4350"/>
      <c r="V5" s="4350"/>
      <c r="W5" s="4350"/>
      <c r="X5" s="4350"/>
      <c r="Y5" s="4350"/>
      <c r="Z5" s="4350"/>
      <c r="AA5" s="4352"/>
      <c r="AB5" s="4352"/>
      <c r="AC5" s="4352"/>
      <c r="AD5" s="3774"/>
      <c r="AE5" s="3774"/>
      <c r="AF5" s="3774"/>
      <c r="AG5" s="3774"/>
      <c r="AH5" s="3774"/>
      <c r="AI5" s="3774"/>
      <c r="AJ5" s="3774"/>
      <c r="AK5" s="3774"/>
      <c r="AL5" s="3774"/>
      <c r="AM5" s="3774"/>
      <c r="AN5" s="3774"/>
      <c r="AO5" s="3774"/>
      <c r="AP5" s="3774"/>
      <c r="AQ5" s="3774"/>
      <c r="AR5" s="3774"/>
      <c r="AS5" s="3774"/>
      <c r="AT5" s="3774"/>
      <c r="AU5" s="3774"/>
      <c r="AV5" s="3774"/>
      <c r="AW5" s="3774"/>
      <c r="AX5" s="3774"/>
      <c r="AY5" s="3774"/>
      <c r="AZ5" s="3774"/>
      <c r="BA5" s="3774"/>
      <c r="BB5" s="3774"/>
      <c r="BC5" s="3774"/>
      <c r="BD5" s="3774"/>
      <c r="BE5" s="3774"/>
      <c r="BF5" s="3774"/>
      <c r="BG5" s="3774"/>
      <c r="BH5" s="3774"/>
      <c r="BI5" s="3774"/>
    </row>
    <row r="6" spans="1:61">
      <c r="A6" s="4080">
        <v>34.5</v>
      </c>
      <c r="B6" s="2848" t="s">
        <v>1719</v>
      </c>
      <c r="C6" s="2838">
        <v>210</v>
      </c>
      <c r="D6" s="2834">
        <f t="shared" ref="D6:D20" si="0">+A6*C6*1.732/1000</f>
        <v>12.54834</v>
      </c>
      <c r="E6" s="2837">
        <v>1.1200000000000001</v>
      </c>
      <c r="F6" s="2836">
        <v>10</v>
      </c>
      <c r="G6" s="2835">
        <v>10</v>
      </c>
      <c r="H6" s="2834">
        <f t="shared" ref="H6:H20" si="1">(+G6*1000)/(A6*1.732)</f>
        <v>167.35281320078991</v>
      </c>
      <c r="I6" s="2833">
        <f t="shared" ref="I6:I20" si="2">3*(+H6*H6*E6*F6)/1000000</f>
        <v>0.94103399329694126</v>
      </c>
      <c r="J6" s="4081">
        <f t="shared" ref="J6:J20" si="3">+I6/G6</f>
        <v>9.4103399329694123E-2</v>
      </c>
      <c r="K6" s="2810"/>
      <c r="L6" s="4353"/>
      <c r="M6" s="4353"/>
      <c r="N6" s="4354"/>
      <c r="O6" s="4347"/>
      <c r="P6" s="4348"/>
      <c r="Q6" s="4350"/>
      <c r="R6" s="4348"/>
      <c r="S6" s="4348"/>
      <c r="T6" s="4348"/>
      <c r="U6" s="4348"/>
      <c r="V6" s="4348"/>
      <c r="W6" s="4348"/>
      <c r="X6" s="4350"/>
      <c r="Y6" s="4350"/>
      <c r="Z6" s="4350"/>
      <c r="AA6" s="4352"/>
      <c r="AB6" s="4352"/>
      <c r="AC6" s="4352"/>
      <c r="AD6" s="3782"/>
      <c r="AE6" s="3782"/>
      <c r="AF6" s="3782"/>
      <c r="AG6" s="3782"/>
      <c r="AH6" s="3782"/>
      <c r="AI6" s="3782"/>
      <c r="AJ6" s="3782"/>
      <c r="AK6" s="3782"/>
      <c r="AL6" s="3782"/>
      <c r="AM6" s="3782"/>
      <c r="AN6" s="3782"/>
      <c r="AO6" s="3782"/>
      <c r="AP6" s="3782"/>
      <c r="AQ6" s="3782"/>
      <c r="AR6" s="3782"/>
      <c r="AS6" s="3782"/>
      <c r="AT6" s="3782"/>
      <c r="AU6" s="3782"/>
      <c r="AV6" s="3782"/>
      <c r="AW6" s="3782"/>
      <c r="AX6" s="3782"/>
      <c r="AY6" s="3782"/>
      <c r="AZ6" s="3782"/>
      <c r="BA6" s="3782"/>
      <c r="BB6" s="3782"/>
      <c r="BC6" s="3782"/>
      <c r="BD6" s="3782"/>
      <c r="BE6" s="3782"/>
      <c r="BF6" s="3782"/>
      <c r="BG6" s="3782"/>
      <c r="BH6" s="3782"/>
      <c r="BI6" s="3782"/>
    </row>
    <row r="7" spans="1:61">
      <c r="A7" s="4082">
        <v>34.5</v>
      </c>
      <c r="B7" s="2849" t="s">
        <v>1718</v>
      </c>
      <c r="C7" s="2831">
        <v>280</v>
      </c>
      <c r="D7" s="2827">
        <f t="shared" si="0"/>
        <v>16.731120000000001</v>
      </c>
      <c r="E7" s="2830">
        <v>0.72299999999999998</v>
      </c>
      <c r="F7" s="2829">
        <v>10</v>
      </c>
      <c r="G7" s="2828">
        <v>15</v>
      </c>
      <c r="H7" s="2827">
        <f t="shared" si="1"/>
        <v>251.02921980118487</v>
      </c>
      <c r="I7" s="2826">
        <f t="shared" si="2"/>
        <v>1.3668098648176776</v>
      </c>
      <c r="J7" s="4083">
        <f t="shared" si="3"/>
        <v>9.1120657654511841E-2</v>
      </c>
      <c r="K7" s="2810"/>
      <c r="L7" s="4345"/>
      <c r="M7" s="4345"/>
      <c r="N7" s="4350"/>
      <c r="O7" s="4351"/>
      <c r="P7" s="4350"/>
      <c r="Q7" s="4350"/>
      <c r="R7" s="4350"/>
      <c r="S7" s="4350"/>
      <c r="T7" s="4350"/>
      <c r="U7" s="4350"/>
      <c r="V7" s="4350"/>
      <c r="W7" s="4350"/>
      <c r="X7" s="4350"/>
      <c r="Y7" s="4350"/>
      <c r="Z7" s="4350"/>
      <c r="AA7" s="4352"/>
      <c r="AB7" s="4352"/>
      <c r="AC7" s="4352"/>
      <c r="AD7" s="3784"/>
      <c r="AE7" s="3784"/>
      <c r="AF7" s="3784"/>
      <c r="AG7" s="3784"/>
      <c r="AH7" s="3784"/>
      <c r="AI7" s="3784"/>
      <c r="AJ7" s="3784"/>
      <c r="AK7" s="3784"/>
      <c r="AL7" s="3784"/>
      <c r="AM7" s="3784"/>
      <c r="AN7" s="3784"/>
      <c r="AO7" s="3784"/>
      <c r="AP7" s="3784"/>
      <c r="AQ7" s="3784"/>
      <c r="AR7" s="3784"/>
      <c r="AS7" s="3784"/>
      <c r="AT7" s="3784"/>
      <c r="AU7" s="3784"/>
      <c r="AV7" s="3784"/>
      <c r="AW7" s="3784"/>
      <c r="AX7" s="3784"/>
      <c r="AY7" s="3784"/>
      <c r="AZ7" s="3784"/>
      <c r="BA7" s="3784"/>
      <c r="BB7" s="3784"/>
      <c r="BC7" s="3784"/>
      <c r="BD7" s="3784"/>
      <c r="BE7" s="3784"/>
      <c r="BF7" s="3784"/>
      <c r="BG7" s="3784"/>
      <c r="BH7" s="3784"/>
      <c r="BI7" s="3784"/>
    </row>
    <row r="8" spans="1:61">
      <c r="A8" s="4084">
        <v>34.5</v>
      </c>
      <c r="B8" s="2846">
        <v>336.4</v>
      </c>
      <c r="C8" s="2845">
        <v>500</v>
      </c>
      <c r="D8" s="2841">
        <f t="shared" si="0"/>
        <v>29.876999999999999</v>
      </c>
      <c r="E8" s="2844">
        <v>0.29899999999999999</v>
      </c>
      <c r="F8" s="2843">
        <v>10</v>
      </c>
      <c r="G8" s="2842">
        <v>25</v>
      </c>
      <c r="H8" s="2841">
        <f t="shared" si="1"/>
        <v>418.38203300197478</v>
      </c>
      <c r="I8" s="2840">
        <f t="shared" si="2"/>
        <v>1.5701404240836236</v>
      </c>
      <c r="J8" s="4085">
        <f t="shared" si="3"/>
        <v>6.280561696334494E-2</v>
      </c>
      <c r="K8" s="2810"/>
      <c r="L8" s="4345"/>
      <c r="M8" s="4345"/>
      <c r="N8" s="4350"/>
      <c r="O8" s="4351"/>
      <c r="P8" s="4350"/>
      <c r="Q8" s="4350"/>
      <c r="R8" s="4350"/>
      <c r="S8" s="4350"/>
      <c r="T8" s="4350"/>
      <c r="U8" s="4350"/>
      <c r="V8" s="4350"/>
      <c r="W8" s="4350"/>
      <c r="X8" s="4350"/>
      <c r="Y8" s="4350"/>
      <c r="Z8" s="4350"/>
      <c r="AA8" s="4352"/>
      <c r="AB8" s="4352"/>
      <c r="AC8" s="4352"/>
      <c r="AD8" s="3784"/>
      <c r="AE8" s="3784"/>
      <c r="AF8" s="3784"/>
      <c r="AG8" s="3784"/>
      <c r="AH8" s="3784"/>
      <c r="AI8" s="3784"/>
      <c r="AJ8" s="3784"/>
      <c r="AK8" s="3784"/>
      <c r="AL8" s="3784"/>
      <c r="AM8" s="3784"/>
      <c r="AN8" s="3784"/>
      <c r="AO8" s="3784"/>
      <c r="AP8" s="3784"/>
      <c r="AQ8" s="3784"/>
      <c r="AR8" s="3784"/>
      <c r="AS8" s="3784"/>
      <c r="AT8" s="3784"/>
      <c r="AU8" s="3784"/>
      <c r="AV8" s="3784"/>
      <c r="AW8" s="3784"/>
      <c r="AX8" s="3784"/>
      <c r="AY8" s="3784"/>
      <c r="AZ8" s="3784"/>
      <c r="BA8" s="3784"/>
      <c r="BB8" s="3784"/>
      <c r="BC8" s="3784"/>
      <c r="BD8" s="3784"/>
      <c r="BE8" s="3784"/>
      <c r="BF8" s="3784"/>
      <c r="BG8" s="3784"/>
      <c r="BH8" s="3784"/>
      <c r="BI8" s="3784"/>
    </row>
    <row r="9" spans="1:61">
      <c r="A9" s="4086">
        <v>69</v>
      </c>
      <c r="B9" s="2848" t="s">
        <v>1717</v>
      </c>
      <c r="C9" s="2838">
        <v>320</v>
      </c>
      <c r="D9" s="2834">
        <f t="shared" si="0"/>
        <v>38.242559999999997</v>
      </c>
      <c r="E9" s="2837">
        <v>0.59199999999999997</v>
      </c>
      <c r="F9" s="2836">
        <v>10</v>
      </c>
      <c r="G9" s="2835">
        <v>35</v>
      </c>
      <c r="H9" s="2834">
        <f t="shared" si="1"/>
        <v>292.86742310138237</v>
      </c>
      <c r="I9" s="2833">
        <f t="shared" si="2"/>
        <v>1.5232987766494235</v>
      </c>
      <c r="J9" s="4081">
        <f t="shared" si="3"/>
        <v>4.3522822189983525E-2</v>
      </c>
      <c r="K9" s="2810"/>
      <c r="L9" s="4345"/>
      <c r="M9" s="4345"/>
      <c r="N9" s="4350"/>
      <c r="O9" s="4351"/>
      <c r="P9" s="4350"/>
      <c r="Q9" s="4350"/>
      <c r="R9" s="4350"/>
      <c r="S9" s="4350"/>
      <c r="T9" s="4350"/>
      <c r="U9" s="4350"/>
      <c r="V9" s="4350"/>
      <c r="W9" s="4350"/>
      <c r="X9" s="4350"/>
      <c r="Y9" s="4350"/>
      <c r="Z9" s="4350"/>
      <c r="AA9" s="4352"/>
      <c r="AB9" s="4352"/>
      <c r="AC9" s="4352"/>
      <c r="AD9" s="3784"/>
      <c r="AE9" s="3784"/>
      <c r="AF9" s="3784"/>
      <c r="AG9" s="3784"/>
      <c r="AH9" s="3784"/>
      <c r="AI9" s="3784"/>
      <c r="AJ9" s="3784"/>
      <c r="AK9" s="3784"/>
      <c r="AL9" s="3784"/>
      <c r="AM9" s="3784"/>
      <c r="AN9" s="3784"/>
      <c r="AO9" s="3784"/>
      <c r="AP9" s="3784"/>
      <c r="AQ9" s="3784"/>
      <c r="AR9" s="3784"/>
      <c r="AS9" s="3784"/>
      <c r="AT9" s="3784"/>
      <c r="AU9" s="3784"/>
      <c r="AV9" s="3784"/>
      <c r="AW9" s="3784"/>
      <c r="AX9" s="3784"/>
      <c r="AY9" s="3784"/>
      <c r="AZ9" s="3784"/>
      <c r="BA9" s="3784"/>
      <c r="BB9" s="3784"/>
      <c r="BC9" s="3784"/>
      <c r="BD9" s="3784"/>
      <c r="BE9" s="3784"/>
      <c r="BF9" s="3784"/>
      <c r="BG9" s="3784"/>
      <c r="BH9" s="3784"/>
      <c r="BI9" s="3784"/>
    </row>
    <row r="10" spans="1:61">
      <c r="A10" s="4087">
        <v>69</v>
      </c>
      <c r="B10" s="2832">
        <v>336.4</v>
      </c>
      <c r="C10" s="2831">
        <v>500</v>
      </c>
      <c r="D10" s="2827">
        <f t="shared" si="0"/>
        <v>59.753999999999998</v>
      </c>
      <c r="E10" s="2830">
        <v>0.29899999999999999</v>
      </c>
      <c r="F10" s="2829">
        <v>10</v>
      </c>
      <c r="G10" s="2828">
        <v>50</v>
      </c>
      <c r="H10" s="2827">
        <f t="shared" si="1"/>
        <v>418.38203300197478</v>
      </c>
      <c r="I10" s="2826">
        <f t="shared" si="2"/>
        <v>1.5701404240836236</v>
      </c>
      <c r="J10" s="4083">
        <f t="shared" si="3"/>
        <v>3.140280848167247E-2</v>
      </c>
      <c r="K10" s="2810"/>
      <c r="L10" s="4345"/>
      <c r="M10" s="4345"/>
      <c r="N10" s="4350"/>
      <c r="O10" s="4351"/>
      <c r="P10" s="4350"/>
      <c r="Q10" s="4350"/>
      <c r="R10" s="4350"/>
      <c r="S10" s="4350"/>
      <c r="T10" s="4350"/>
      <c r="U10" s="4350"/>
      <c r="V10" s="4350"/>
      <c r="W10" s="4350"/>
      <c r="X10" s="4350"/>
      <c r="Y10" s="4350"/>
      <c r="Z10" s="4350"/>
      <c r="AA10" s="4352"/>
      <c r="AB10" s="4352"/>
      <c r="AC10" s="4352"/>
      <c r="AD10" s="3784"/>
      <c r="AE10" s="3784"/>
      <c r="AF10" s="3784"/>
      <c r="AG10" s="3784"/>
      <c r="AH10" s="3784"/>
      <c r="AI10" s="3784"/>
      <c r="AJ10" s="3784"/>
      <c r="AK10" s="3784"/>
      <c r="AL10" s="3784"/>
      <c r="AM10" s="3784"/>
      <c r="AN10" s="3784"/>
      <c r="AO10" s="3784"/>
      <c r="AP10" s="3784"/>
      <c r="AQ10" s="3784"/>
      <c r="AR10" s="3784"/>
      <c r="AS10" s="3784"/>
      <c r="AT10" s="3784"/>
      <c r="AU10" s="3784"/>
      <c r="AV10" s="3784"/>
      <c r="AW10" s="3784"/>
      <c r="AX10" s="3784"/>
      <c r="AY10" s="3784"/>
      <c r="AZ10" s="3784"/>
      <c r="BA10" s="3784"/>
      <c r="BB10" s="3784"/>
      <c r="BC10" s="3784"/>
      <c r="BD10" s="3784"/>
      <c r="BE10" s="3784"/>
      <c r="BF10" s="3784"/>
      <c r="BG10" s="3784"/>
      <c r="BH10" s="3784"/>
      <c r="BI10" s="3784"/>
    </row>
    <row r="11" spans="1:61">
      <c r="A11" s="4087">
        <v>69</v>
      </c>
      <c r="B11" s="2832">
        <v>477</v>
      </c>
      <c r="C11" s="2831">
        <v>630</v>
      </c>
      <c r="D11" s="2827">
        <f t="shared" si="0"/>
        <v>75.290039999999991</v>
      </c>
      <c r="E11" s="2830">
        <v>0.21229999999999999</v>
      </c>
      <c r="F11" s="2829">
        <v>10</v>
      </c>
      <c r="G11" s="2828">
        <v>70</v>
      </c>
      <c r="H11" s="2827">
        <f t="shared" si="1"/>
        <v>585.73484620276474</v>
      </c>
      <c r="I11" s="2826">
        <f t="shared" si="2"/>
        <v>2.1851103397477876</v>
      </c>
      <c r="J11" s="4083">
        <f t="shared" si="3"/>
        <v>3.1215861996396966E-2</v>
      </c>
      <c r="K11" s="2810"/>
      <c r="L11" s="4345"/>
      <c r="M11" s="4345"/>
      <c r="N11" s="4350"/>
      <c r="O11" s="4351"/>
      <c r="P11" s="4350"/>
      <c r="Q11" s="4350"/>
      <c r="R11" s="4350"/>
      <c r="S11" s="4350"/>
      <c r="T11" s="4350"/>
      <c r="U11" s="4350"/>
      <c r="V11" s="4350"/>
      <c r="W11" s="4350"/>
      <c r="X11" s="4350"/>
      <c r="Y11" s="4350"/>
      <c r="Z11" s="4350"/>
      <c r="AA11" s="4352"/>
      <c r="AB11" s="4352"/>
      <c r="AC11" s="4352"/>
      <c r="AD11" s="3784"/>
      <c r="AE11" s="3784"/>
      <c r="AF11" s="3784"/>
      <c r="AG11" s="3784"/>
      <c r="AH11" s="3784"/>
      <c r="AI11" s="3784"/>
      <c r="AJ11" s="3784"/>
      <c r="AK11" s="3784"/>
      <c r="AL11" s="3784"/>
      <c r="AM11" s="3784"/>
      <c r="AN11" s="3784"/>
      <c r="AO11" s="3784"/>
      <c r="AP11" s="3784"/>
      <c r="AQ11" s="3784"/>
      <c r="AR11" s="3784"/>
      <c r="AS11" s="3784"/>
      <c r="AT11" s="3784"/>
      <c r="AU11" s="3784"/>
      <c r="AV11" s="3784"/>
      <c r="AW11" s="3784"/>
      <c r="AX11" s="3784"/>
      <c r="AY11" s="3784"/>
      <c r="AZ11" s="3784"/>
      <c r="BA11" s="3784"/>
      <c r="BB11" s="3784"/>
      <c r="BC11" s="3784"/>
      <c r="BD11" s="3784"/>
      <c r="BE11" s="3784"/>
      <c r="BF11" s="3784"/>
      <c r="BG11" s="3784"/>
      <c r="BH11" s="3784"/>
      <c r="BI11" s="3784"/>
    </row>
    <row r="12" spans="1:61">
      <c r="A12" s="4088">
        <v>69</v>
      </c>
      <c r="B12" s="2825">
        <v>636</v>
      </c>
      <c r="C12" s="2817">
        <v>730</v>
      </c>
      <c r="D12" s="2813">
        <f t="shared" si="0"/>
        <v>87.240839999999992</v>
      </c>
      <c r="E12" s="2816">
        <v>0.15890000000000001</v>
      </c>
      <c r="F12" s="2815">
        <v>10</v>
      </c>
      <c r="G12" s="2814">
        <v>80</v>
      </c>
      <c r="H12" s="2813">
        <f t="shared" si="1"/>
        <v>669.41125280315964</v>
      </c>
      <c r="I12" s="2812">
        <f t="shared" si="2"/>
        <v>2.136147164784056</v>
      </c>
      <c r="J12" s="4089">
        <f t="shared" si="3"/>
        <v>2.67018395598007E-2</v>
      </c>
      <c r="K12" s="2810"/>
      <c r="L12" s="4345"/>
      <c r="M12" s="4345"/>
      <c r="N12" s="4350"/>
      <c r="O12" s="4351"/>
      <c r="P12" s="4350"/>
      <c r="Q12" s="4350"/>
      <c r="R12" s="4350"/>
      <c r="S12" s="4350"/>
      <c r="T12" s="4350"/>
      <c r="U12" s="4350"/>
      <c r="V12" s="4350"/>
      <c r="W12" s="4350"/>
      <c r="X12" s="4350"/>
      <c r="Y12" s="4350"/>
      <c r="Z12" s="4350"/>
      <c r="AA12" s="4352"/>
      <c r="AB12" s="4352"/>
      <c r="AC12" s="4352"/>
      <c r="AD12" s="3784"/>
      <c r="AE12" s="3784"/>
      <c r="AF12" s="3784"/>
      <c r="AG12" s="3784"/>
      <c r="AH12" s="3784"/>
      <c r="AI12" s="3784"/>
      <c r="AJ12" s="3784"/>
      <c r="AK12" s="3784"/>
      <c r="AL12" s="3784"/>
      <c r="AM12" s="3784"/>
      <c r="AN12" s="3784"/>
      <c r="AO12" s="3784"/>
      <c r="AP12" s="3784"/>
      <c r="AQ12" s="3784"/>
      <c r="AR12" s="3784"/>
      <c r="AS12" s="3784"/>
      <c r="AT12" s="3784"/>
      <c r="AU12" s="3784"/>
      <c r="AV12" s="3784"/>
      <c r="AW12" s="3784"/>
      <c r="AX12" s="3784"/>
      <c r="AY12" s="3784"/>
      <c r="AZ12" s="3784"/>
      <c r="BA12" s="3784"/>
      <c r="BB12" s="3784"/>
      <c r="BC12" s="3784"/>
      <c r="BD12" s="3784"/>
      <c r="BE12" s="3784"/>
      <c r="BF12" s="3784"/>
      <c r="BG12" s="3784"/>
      <c r="BH12" s="3784"/>
      <c r="BI12" s="3784"/>
    </row>
    <row r="13" spans="1:61">
      <c r="A13" s="4090">
        <v>115</v>
      </c>
      <c r="B13" s="2847">
        <v>397.5</v>
      </c>
      <c r="C13" s="2823">
        <v>570</v>
      </c>
      <c r="D13" s="2819">
        <f t="shared" si="0"/>
        <v>113.5326</v>
      </c>
      <c r="E13" s="2822">
        <v>0.85399999999999998</v>
      </c>
      <c r="F13" s="2821">
        <v>10</v>
      </c>
      <c r="G13" s="2820">
        <v>100</v>
      </c>
      <c r="H13" s="2819">
        <f t="shared" si="1"/>
        <v>502.05843960236967</v>
      </c>
      <c r="I13" s="2818">
        <f t="shared" si="2"/>
        <v>6.4578457790002561</v>
      </c>
      <c r="J13" s="4091">
        <f t="shared" si="3"/>
        <v>6.4578457790002555E-2</v>
      </c>
      <c r="K13" s="2810"/>
      <c r="L13" s="4345"/>
      <c r="M13" s="4345"/>
      <c r="N13" s="4350"/>
      <c r="O13" s="4351"/>
      <c r="P13" s="4350"/>
      <c r="Q13" s="4350"/>
      <c r="R13" s="4350"/>
      <c r="S13" s="4350"/>
      <c r="T13" s="4350"/>
      <c r="U13" s="4350"/>
      <c r="V13" s="4350"/>
      <c r="W13" s="4350"/>
      <c r="X13" s="4350"/>
      <c r="Y13" s="4350"/>
      <c r="Z13" s="4350"/>
      <c r="AA13" s="4352"/>
      <c r="AB13" s="4352"/>
      <c r="AC13" s="4352"/>
      <c r="AD13" s="3790"/>
      <c r="AE13" s="3790"/>
      <c r="AF13" s="3790"/>
      <c r="AG13" s="3790"/>
      <c r="AH13" s="3790"/>
      <c r="AI13" s="3790"/>
      <c r="AJ13" s="3790"/>
      <c r="AK13" s="3790"/>
      <c r="AL13" s="3790"/>
      <c r="AM13" s="3790"/>
      <c r="AN13" s="3790"/>
      <c r="AO13" s="3790"/>
      <c r="AP13" s="3790"/>
      <c r="AQ13" s="3790"/>
      <c r="AR13" s="3790"/>
      <c r="AS13" s="3790"/>
      <c r="AT13" s="3790"/>
      <c r="AU13" s="3790"/>
      <c r="AV13" s="3790"/>
      <c r="AW13" s="3790"/>
      <c r="AX13" s="3790"/>
      <c r="AY13" s="3790"/>
      <c r="AZ13" s="3790"/>
      <c r="BA13" s="3790"/>
      <c r="BB13" s="3790"/>
      <c r="BC13" s="3790"/>
      <c r="BD13" s="3790"/>
      <c r="BE13" s="3790"/>
      <c r="BF13" s="3790"/>
      <c r="BG13" s="3790"/>
      <c r="BH13" s="3790"/>
      <c r="BI13" s="3790"/>
    </row>
    <row r="14" spans="1:61">
      <c r="A14" s="4082">
        <v>115</v>
      </c>
      <c r="B14" s="2832">
        <v>556.5</v>
      </c>
      <c r="C14" s="2831">
        <v>690</v>
      </c>
      <c r="D14" s="2827">
        <f t="shared" si="0"/>
        <v>137.4342</v>
      </c>
      <c r="E14" s="2830">
        <v>0.1822</v>
      </c>
      <c r="F14" s="2829">
        <v>10</v>
      </c>
      <c r="G14" s="2828">
        <v>120</v>
      </c>
      <c r="H14" s="2827">
        <f t="shared" si="1"/>
        <v>602.47012752284365</v>
      </c>
      <c r="I14" s="2826">
        <f t="shared" si="2"/>
        <v>1.9839954114107019</v>
      </c>
      <c r="J14" s="4083">
        <f t="shared" si="3"/>
        <v>1.6533295095089183E-2</v>
      </c>
      <c r="K14" s="2810"/>
      <c r="L14" s="4345"/>
      <c r="M14" s="4345"/>
      <c r="N14" s="4350"/>
      <c r="O14" s="4351"/>
      <c r="P14" s="4350"/>
      <c r="Q14" s="4350"/>
      <c r="R14" s="4350"/>
      <c r="S14" s="4350"/>
      <c r="T14" s="4350"/>
      <c r="U14" s="4350"/>
      <c r="V14" s="4350"/>
      <c r="W14" s="4350"/>
      <c r="X14" s="4350"/>
      <c r="Y14" s="4350"/>
      <c r="Z14" s="4350"/>
      <c r="AA14" s="4352"/>
      <c r="AB14" s="4352"/>
      <c r="AC14" s="4352"/>
      <c r="AD14" s="3790"/>
      <c r="AE14" s="3790"/>
      <c r="AF14" s="3790"/>
      <c r="AG14" s="3790"/>
      <c r="AH14" s="3790"/>
      <c r="AI14" s="3790"/>
      <c r="AJ14" s="3790"/>
      <c r="AK14" s="3790"/>
      <c r="AL14" s="3790"/>
      <c r="AM14" s="3790"/>
      <c r="AN14" s="3790"/>
      <c r="AO14" s="3790"/>
      <c r="AP14" s="3790"/>
      <c r="AQ14" s="3790"/>
      <c r="AR14" s="3790"/>
      <c r="AS14" s="3790"/>
      <c r="AT14" s="3790"/>
      <c r="AU14" s="3790"/>
      <c r="AV14" s="3790"/>
      <c r="AW14" s="3790"/>
      <c r="AX14" s="3790"/>
      <c r="AY14" s="3790"/>
      <c r="AZ14" s="3790"/>
      <c r="BA14" s="3790"/>
      <c r="BB14" s="3790"/>
      <c r="BC14" s="3790"/>
      <c r="BD14" s="3790"/>
      <c r="BE14" s="3790"/>
      <c r="BF14" s="3790"/>
      <c r="BG14" s="3790"/>
      <c r="BH14" s="3790"/>
      <c r="BI14" s="3790"/>
    </row>
    <row r="15" spans="1:61">
      <c r="A15" s="4084">
        <v>115</v>
      </c>
      <c r="B15" s="2846">
        <v>795</v>
      </c>
      <c r="C15" s="2845">
        <v>850</v>
      </c>
      <c r="D15" s="2841">
        <f t="shared" si="0"/>
        <v>169.303</v>
      </c>
      <c r="E15" s="2844">
        <v>0.1278</v>
      </c>
      <c r="F15" s="2843">
        <v>10</v>
      </c>
      <c r="G15" s="2842">
        <v>150</v>
      </c>
      <c r="H15" s="2841">
        <f t="shared" si="1"/>
        <v>753.08765940355454</v>
      </c>
      <c r="I15" s="2840">
        <f t="shared" si="2"/>
        <v>2.174418681207873</v>
      </c>
      <c r="J15" s="4085">
        <f t="shared" si="3"/>
        <v>1.4496124541385819E-2</v>
      </c>
      <c r="K15" s="2810"/>
      <c r="L15" s="4345"/>
      <c r="M15" s="4345"/>
      <c r="N15" s="4350"/>
      <c r="O15" s="4351"/>
      <c r="P15" s="4350"/>
      <c r="Q15" s="4350"/>
      <c r="R15" s="4350"/>
      <c r="S15" s="4350"/>
      <c r="T15" s="4350"/>
      <c r="U15" s="4350"/>
      <c r="V15" s="4350"/>
      <c r="W15" s="4350"/>
      <c r="X15" s="4350"/>
      <c r="Y15" s="4350"/>
      <c r="Z15" s="4350"/>
      <c r="AA15" s="4352"/>
      <c r="AB15" s="4352"/>
      <c r="AC15" s="4352"/>
      <c r="AD15" s="3790"/>
      <c r="AE15" s="3790"/>
      <c r="AF15" s="3790"/>
      <c r="AG15" s="3790"/>
      <c r="AH15" s="3790"/>
      <c r="AI15" s="3790"/>
      <c r="AJ15" s="3790"/>
      <c r="AK15" s="3790"/>
      <c r="AL15" s="3790"/>
      <c r="AM15" s="3790"/>
      <c r="AN15" s="3790"/>
      <c r="AO15" s="3790"/>
      <c r="AP15" s="3790"/>
      <c r="AQ15" s="3790"/>
      <c r="AR15" s="3790"/>
      <c r="AS15" s="3790"/>
      <c r="AT15" s="3790"/>
      <c r="AU15" s="3790"/>
      <c r="AV15" s="3790"/>
      <c r="AW15" s="3790"/>
      <c r="AX15" s="3790"/>
      <c r="AY15" s="3790"/>
      <c r="AZ15" s="3790"/>
      <c r="BA15" s="3790"/>
      <c r="BB15" s="3790"/>
      <c r="BC15" s="3790"/>
      <c r="BD15" s="3790"/>
      <c r="BE15" s="3790"/>
      <c r="BF15" s="3790"/>
      <c r="BG15" s="3790"/>
      <c r="BH15" s="3790"/>
      <c r="BI15" s="3790"/>
    </row>
    <row r="16" spans="1:61">
      <c r="A16" s="4086">
        <v>230</v>
      </c>
      <c r="B16" s="2839">
        <v>795</v>
      </c>
      <c r="C16" s="2838">
        <v>850</v>
      </c>
      <c r="D16" s="2834">
        <f t="shared" si="0"/>
        <v>338.60599999999999</v>
      </c>
      <c r="E16" s="2837">
        <v>0.1278</v>
      </c>
      <c r="F16" s="2836">
        <v>10</v>
      </c>
      <c r="G16" s="2835">
        <v>325</v>
      </c>
      <c r="H16" s="2834">
        <f t="shared" si="1"/>
        <v>815.84496435385074</v>
      </c>
      <c r="I16" s="2833">
        <f t="shared" si="2"/>
        <v>2.5519219244731293</v>
      </c>
      <c r="J16" s="4081">
        <f t="shared" si="3"/>
        <v>7.8520674599173203E-3</v>
      </c>
      <c r="K16" s="2810"/>
      <c r="L16" s="4345"/>
      <c r="M16" s="4345"/>
      <c r="N16" s="4350"/>
      <c r="O16" s="4351"/>
      <c r="P16" s="4350"/>
      <c r="Q16" s="4350"/>
      <c r="R16" s="4350"/>
      <c r="S16" s="4350"/>
      <c r="T16" s="4350"/>
      <c r="U16" s="4350"/>
      <c r="V16" s="4350"/>
      <c r="W16" s="4350"/>
      <c r="X16" s="4350"/>
      <c r="Y16" s="4350"/>
      <c r="Z16" s="4350"/>
      <c r="AA16" s="4352"/>
      <c r="AB16" s="4352"/>
      <c r="AC16" s="4352"/>
      <c r="AD16" s="3790"/>
      <c r="AE16" s="3790"/>
      <c r="AF16" s="3790"/>
      <c r="AG16" s="3790"/>
      <c r="AH16" s="3790"/>
      <c r="AI16" s="3790"/>
      <c r="AJ16" s="3790"/>
      <c r="AK16" s="3790"/>
      <c r="AL16" s="3790"/>
      <c r="AM16" s="3790"/>
      <c r="AN16" s="3790"/>
      <c r="AO16" s="3790"/>
      <c r="AP16" s="3790"/>
      <c r="AQ16" s="3790"/>
      <c r="AR16" s="3790"/>
      <c r="AS16" s="3790"/>
      <c r="AT16" s="3790"/>
      <c r="AU16" s="3790"/>
      <c r="AV16" s="3790"/>
      <c r="AW16" s="3790"/>
      <c r="AX16" s="3790"/>
      <c r="AY16" s="3790"/>
      <c r="AZ16" s="3790"/>
      <c r="BA16" s="3790"/>
      <c r="BB16" s="3790"/>
      <c r="BC16" s="3790"/>
      <c r="BD16" s="3790"/>
      <c r="BE16" s="3790"/>
      <c r="BF16" s="3790"/>
      <c r="BG16" s="3790"/>
      <c r="BH16" s="3790"/>
      <c r="BI16" s="3790"/>
    </row>
    <row r="17" spans="1:61">
      <c r="A17" s="4087">
        <v>230</v>
      </c>
      <c r="B17" s="2832">
        <v>954</v>
      </c>
      <c r="C17" s="2831">
        <v>960</v>
      </c>
      <c r="D17" s="2827">
        <f t="shared" si="0"/>
        <v>382.42559999999997</v>
      </c>
      <c r="E17" s="2830">
        <v>0.10879999999999999</v>
      </c>
      <c r="F17" s="2829">
        <v>10</v>
      </c>
      <c r="G17" s="2828">
        <v>350</v>
      </c>
      <c r="H17" s="2827">
        <f t="shared" si="1"/>
        <v>878.60226930414694</v>
      </c>
      <c r="I17" s="2826">
        <f t="shared" si="2"/>
        <v>2.5196185170525589</v>
      </c>
      <c r="J17" s="4083">
        <f t="shared" si="3"/>
        <v>7.1989100487215973E-3</v>
      </c>
      <c r="K17" s="2810"/>
      <c r="L17" s="4345"/>
      <c r="M17" s="4345"/>
      <c r="N17" s="4350"/>
      <c r="O17" s="4351"/>
      <c r="P17" s="4350"/>
      <c r="Q17" s="4350"/>
      <c r="R17" s="4350"/>
      <c r="S17" s="4350"/>
      <c r="T17" s="4350"/>
      <c r="U17" s="4350"/>
      <c r="V17" s="4350"/>
      <c r="W17" s="4350"/>
      <c r="X17" s="4350"/>
      <c r="Y17" s="4350"/>
      <c r="Z17" s="4350"/>
      <c r="AA17" s="4352"/>
      <c r="AB17" s="4352"/>
      <c r="AC17" s="4352"/>
      <c r="AD17" s="3790"/>
      <c r="AE17" s="3790"/>
      <c r="AF17" s="3790"/>
      <c r="AG17" s="3790"/>
      <c r="AH17" s="3790"/>
      <c r="AI17" s="3790"/>
      <c r="AJ17" s="3790"/>
      <c r="AK17" s="3790"/>
      <c r="AL17" s="3790"/>
      <c r="AM17" s="3790"/>
      <c r="AN17" s="3790"/>
      <c r="AO17" s="3790"/>
      <c r="AP17" s="3790"/>
      <c r="AQ17" s="3790"/>
      <c r="AR17" s="3790"/>
      <c r="AS17" s="3790"/>
      <c r="AT17" s="3790"/>
      <c r="AU17" s="3790"/>
      <c r="AV17" s="3790"/>
      <c r="AW17" s="3790"/>
      <c r="AX17" s="3790"/>
      <c r="AY17" s="3790"/>
      <c r="AZ17" s="3790"/>
      <c r="BA17" s="3790"/>
      <c r="BB17" s="3790"/>
      <c r="BC17" s="3790"/>
      <c r="BD17" s="3790"/>
      <c r="BE17" s="3790"/>
      <c r="BF17" s="3790"/>
      <c r="BG17" s="3790"/>
      <c r="BH17" s="3790"/>
      <c r="BI17" s="3790"/>
    </row>
    <row r="18" spans="1:61">
      <c r="A18" s="4088">
        <v>230</v>
      </c>
      <c r="B18" s="2825">
        <v>1272</v>
      </c>
      <c r="C18" s="2817">
        <v>1140</v>
      </c>
      <c r="D18" s="2813">
        <f t="shared" si="0"/>
        <v>454.13040000000001</v>
      </c>
      <c r="E18" s="2816">
        <v>8.1799999999999998E-2</v>
      </c>
      <c r="F18" s="2815">
        <v>10</v>
      </c>
      <c r="G18" s="2814">
        <v>400</v>
      </c>
      <c r="H18" s="2813">
        <f t="shared" si="1"/>
        <v>1004.1168792047393</v>
      </c>
      <c r="I18" s="2812">
        <f t="shared" si="2"/>
        <v>2.4742472352328848</v>
      </c>
      <c r="J18" s="4089">
        <f t="shared" si="3"/>
        <v>6.185618088082212E-3</v>
      </c>
      <c r="K18" s="2810"/>
      <c r="L18" s="4345"/>
      <c r="M18" s="4345"/>
      <c r="N18" s="4350"/>
      <c r="O18" s="4351"/>
      <c r="P18" s="4350"/>
      <c r="Q18" s="4350"/>
      <c r="R18" s="4350"/>
      <c r="S18" s="4350"/>
      <c r="T18" s="4350"/>
      <c r="U18" s="4350"/>
      <c r="V18" s="4350"/>
      <c r="W18" s="4350"/>
      <c r="X18" s="4350"/>
      <c r="Y18" s="4350"/>
      <c r="Z18" s="4350"/>
      <c r="AA18" s="4352"/>
      <c r="AB18" s="4352"/>
      <c r="AC18" s="4352"/>
      <c r="AD18" s="3790"/>
      <c r="AE18" s="3790"/>
      <c r="AF18" s="3790"/>
      <c r="AG18" s="3790"/>
      <c r="AH18" s="3790"/>
      <c r="AI18" s="3790"/>
      <c r="AJ18" s="3790"/>
      <c r="AK18" s="3790"/>
      <c r="AL18" s="3790"/>
      <c r="AM18" s="3790"/>
      <c r="AN18" s="3790"/>
      <c r="AO18" s="3790"/>
      <c r="AP18" s="3790"/>
      <c r="AQ18" s="3790"/>
      <c r="AR18" s="3790"/>
      <c r="AS18" s="3790"/>
      <c r="AT18" s="3790"/>
      <c r="AU18" s="3790"/>
      <c r="AV18" s="3790"/>
      <c r="AW18" s="3790"/>
      <c r="AX18" s="3790"/>
      <c r="AY18" s="3790"/>
      <c r="AZ18" s="3790"/>
      <c r="BA18" s="3790"/>
      <c r="BB18" s="3790"/>
      <c r="BC18" s="3790"/>
      <c r="BD18" s="3790"/>
      <c r="BE18" s="3790"/>
      <c r="BF18" s="3790"/>
      <c r="BG18" s="3790"/>
      <c r="BH18" s="3790"/>
      <c r="BI18" s="3790"/>
    </row>
    <row r="19" spans="1:61">
      <c r="A19" s="4090">
        <v>500</v>
      </c>
      <c r="B19" s="2824" t="s">
        <v>1716</v>
      </c>
      <c r="C19" s="2823">
        <v>1300</v>
      </c>
      <c r="D19" s="2819">
        <f t="shared" si="0"/>
        <v>1125.8</v>
      </c>
      <c r="E19" s="2822">
        <v>6.7100000000000007E-2</v>
      </c>
      <c r="F19" s="2821">
        <v>10</v>
      </c>
      <c r="G19" s="2820">
        <v>750</v>
      </c>
      <c r="H19" s="2819">
        <f t="shared" si="1"/>
        <v>866.0508083140877</v>
      </c>
      <c r="I19" s="2818">
        <f t="shared" si="2"/>
        <v>1.5098385771965288</v>
      </c>
      <c r="J19" s="4091">
        <f t="shared" si="3"/>
        <v>2.013118102928705E-3</v>
      </c>
      <c r="K19" s="2810"/>
      <c r="L19" s="4345"/>
      <c r="M19" s="4345"/>
      <c r="N19" s="4350"/>
      <c r="O19" s="4351"/>
      <c r="P19" s="4350"/>
      <c r="Q19" s="4350"/>
      <c r="R19" s="4350"/>
      <c r="S19" s="4350"/>
      <c r="T19" s="4350"/>
      <c r="U19" s="4350"/>
      <c r="V19" s="4350"/>
      <c r="W19" s="4350"/>
      <c r="X19" s="4350"/>
      <c r="Y19" s="4350"/>
      <c r="Z19" s="4350"/>
      <c r="AA19" s="4352"/>
      <c r="AB19" s="4352"/>
      <c r="AC19" s="4352"/>
      <c r="AD19" s="3790"/>
      <c r="AE19" s="3790"/>
      <c r="AF19" s="3790"/>
      <c r="AG19" s="3790"/>
      <c r="AH19" s="3790"/>
      <c r="AI19" s="3790"/>
      <c r="AJ19" s="3790"/>
      <c r="AK19" s="3790"/>
      <c r="AL19" s="3790"/>
      <c r="AM19" s="3790"/>
      <c r="AN19" s="3790"/>
      <c r="AO19" s="3790"/>
      <c r="AP19" s="3790"/>
      <c r="AQ19" s="3790"/>
      <c r="AR19" s="3790"/>
      <c r="AS19" s="3790"/>
      <c r="AT19" s="3790"/>
      <c r="AU19" s="3790"/>
      <c r="AV19" s="3790"/>
      <c r="AW19" s="3790"/>
      <c r="AX19" s="3790"/>
      <c r="AY19" s="3790"/>
      <c r="AZ19" s="3790"/>
      <c r="BA19" s="3790"/>
      <c r="BB19" s="3790"/>
      <c r="BC19" s="3790"/>
      <c r="BD19" s="3790"/>
      <c r="BE19" s="3790"/>
      <c r="BF19" s="3790"/>
      <c r="BG19" s="3790"/>
      <c r="BH19" s="3790"/>
      <c r="BI19" s="3790"/>
    </row>
    <row r="20" spans="1:61" ht="15.75" thickBot="1">
      <c r="A20" s="4092">
        <v>500</v>
      </c>
      <c r="B20" s="4093" t="s">
        <v>1715</v>
      </c>
      <c r="C20" s="4094">
        <v>2600</v>
      </c>
      <c r="D20" s="4095">
        <f t="shared" si="0"/>
        <v>2251.6</v>
      </c>
      <c r="E20" s="4096">
        <v>3.3599999999999998E-2</v>
      </c>
      <c r="F20" s="4097">
        <v>10</v>
      </c>
      <c r="G20" s="4098">
        <v>1500</v>
      </c>
      <c r="H20" s="4095">
        <f t="shared" si="1"/>
        <v>1732.1016166281754</v>
      </c>
      <c r="I20" s="4099">
        <f t="shared" si="2"/>
        <v>3.0241774184085455</v>
      </c>
      <c r="J20" s="4100">
        <f t="shared" si="3"/>
        <v>2.0161182789390302E-3</v>
      </c>
      <c r="K20" s="2810"/>
      <c r="L20" s="4345"/>
      <c r="M20" s="4345"/>
      <c r="N20" s="4350"/>
      <c r="O20" s="4351"/>
      <c r="P20" s="4350"/>
      <c r="Q20" s="4350"/>
      <c r="R20" s="4350"/>
      <c r="S20" s="4350"/>
      <c r="T20" s="4350"/>
      <c r="U20" s="4350"/>
      <c r="V20" s="4350"/>
      <c r="W20" s="4350"/>
      <c r="X20" s="4350"/>
      <c r="Y20" s="4350"/>
      <c r="Z20" s="4350"/>
      <c r="AA20" s="4352"/>
      <c r="AB20" s="4352"/>
      <c r="AC20" s="4352"/>
      <c r="AD20" s="3790"/>
      <c r="AE20" s="3790"/>
      <c r="AF20" s="3790"/>
      <c r="AG20" s="3790"/>
      <c r="AH20" s="3790"/>
      <c r="AI20" s="3790"/>
      <c r="AJ20" s="3790"/>
      <c r="AK20" s="3790"/>
      <c r="AL20" s="3790"/>
      <c r="AM20" s="3790"/>
      <c r="AN20" s="3790"/>
      <c r="AO20" s="3790"/>
      <c r="AP20" s="3790"/>
      <c r="AQ20" s="3790"/>
      <c r="AR20" s="3790"/>
      <c r="AS20" s="3790"/>
      <c r="AT20" s="3790"/>
      <c r="AU20" s="3790"/>
      <c r="AV20" s="3790"/>
      <c r="AW20" s="3790"/>
      <c r="AX20" s="3790"/>
      <c r="AY20" s="3790"/>
      <c r="AZ20" s="3790"/>
      <c r="BA20" s="3790"/>
      <c r="BB20" s="3790"/>
      <c r="BC20" s="3790"/>
      <c r="BD20" s="3790"/>
      <c r="BE20" s="3790"/>
      <c r="BF20" s="3790"/>
      <c r="BG20" s="3790"/>
      <c r="BH20" s="3790"/>
      <c r="BI20" s="3790"/>
    </row>
    <row r="21" spans="1:61">
      <c r="A21" s="2810"/>
      <c r="B21" s="2810"/>
      <c r="C21" s="2810"/>
      <c r="D21" s="2810"/>
      <c r="E21" s="2810"/>
      <c r="F21" s="2810"/>
      <c r="G21" s="2810"/>
      <c r="H21" s="2810"/>
      <c r="I21" s="2810"/>
      <c r="J21" s="2810"/>
      <c r="K21" s="2810"/>
      <c r="L21" s="4345"/>
      <c r="M21" s="4345"/>
      <c r="N21" s="4350"/>
      <c r="O21" s="4351"/>
      <c r="P21" s="4350"/>
      <c r="Q21" s="4350"/>
      <c r="R21" s="4350"/>
      <c r="S21" s="4350"/>
      <c r="T21" s="4350"/>
      <c r="U21" s="4350"/>
      <c r="V21" s="4350"/>
      <c r="W21" s="4350"/>
      <c r="X21" s="4350"/>
      <c r="Y21" s="4350"/>
      <c r="Z21" s="4350"/>
      <c r="AA21" s="4352"/>
      <c r="AB21" s="4352"/>
      <c r="AC21" s="4352"/>
      <c r="AD21" s="3790"/>
      <c r="AE21" s="3790"/>
      <c r="AF21" s="3790"/>
      <c r="AG21" s="3790"/>
      <c r="AH21" s="3790"/>
      <c r="AI21" s="3790"/>
      <c r="AJ21" s="3790"/>
      <c r="AK21" s="3790"/>
      <c r="AL21" s="3790"/>
      <c r="AM21" s="3790"/>
      <c r="AN21" s="3790"/>
      <c r="AO21" s="3790"/>
      <c r="AP21" s="3790"/>
      <c r="AQ21" s="3790"/>
      <c r="AR21" s="3790"/>
      <c r="AS21" s="3790"/>
      <c r="AT21" s="3790"/>
      <c r="AU21" s="3790"/>
      <c r="AV21" s="3790"/>
      <c r="AW21" s="3790"/>
      <c r="AX21" s="3790"/>
      <c r="AY21" s="3790"/>
      <c r="AZ21" s="3790"/>
      <c r="BA21" s="3790"/>
      <c r="BB21" s="3790"/>
      <c r="BC21" s="3790"/>
      <c r="BD21" s="3790"/>
      <c r="BE21" s="3790"/>
      <c r="BF21" s="3790"/>
      <c r="BG21" s="3790"/>
      <c r="BH21" s="3790"/>
      <c r="BI21" s="3790"/>
    </row>
    <row r="22" spans="1:61">
      <c r="A22" s="2811" t="s">
        <v>1714</v>
      </c>
      <c r="B22" s="2810"/>
      <c r="C22" s="2810"/>
      <c r="D22" s="2810"/>
      <c r="E22" s="2810"/>
      <c r="F22" s="2810"/>
      <c r="G22" s="2810"/>
      <c r="H22" s="2810"/>
      <c r="I22" s="2810"/>
      <c r="J22" s="2810"/>
      <c r="K22" s="2810"/>
      <c r="L22" s="3779"/>
      <c r="M22" s="3779"/>
      <c r="N22" s="4341"/>
      <c r="O22" s="3784"/>
      <c r="P22" s="3784"/>
      <c r="Q22" s="3784"/>
      <c r="R22" s="3784"/>
      <c r="S22" s="3784"/>
      <c r="T22" s="3784"/>
      <c r="U22" s="3784"/>
      <c r="V22" s="3784"/>
      <c r="W22" s="3784"/>
      <c r="X22" s="3784"/>
      <c r="Y22" s="3784"/>
      <c r="Z22" s="3784"/>
      <c r="AA22" s="3784"/>
      <c r="AB22" s="3784"/>
      <c r="AC22" s="3784"/>
      <c r="AD22" s="3790"/>
      <c r="AE22" s="3790"/>
      <c r="AF22" s="3790"/>
      <c r="AG22" s="3790"/>
      <c r="AH22" s="3790"/>
      <c r="AI22" s="3790"/>
      <c r="AJ22" s="3790"/>
      <c r="AK22" s="3790"/>
      <c r="AL22" s="3790"/>
      <c r="AM22" s="3790"/>
      <c r="AN22" s="3790"/>
      <c r="AO22" s="3790"/>
      <c r="AP22" s="3790"/>
      <c r="AQ22" s="3790"/>
      <c r="AR22" s="3790"/>
      <c r="AS22" s="3790"/>
      <c r="AT22" s="3790"/>
      <c r="AU22" s="3790"/>
      <c r="AV22" s="3790"/>
      <c r="AW22" s="3790"/>
      <c r="AX22" s="3790"/>
      <c r="AY22" s="3790"/>
      <c r="AZ22" s="3790"/>
      <c r="BA22" s="3790"/>
      <c r="BB22" s="3790"/>
      <c r="BC22" s="3790"/>
      <c r="BD22" s="3790"/>
      <c r="BE22" s="3790"/>
      <c r="BF22" s="3790"/>
      <c r="BG22" s="3790"/>
      <c r="BH22" s="3790"/>
      <c r="BI22" s="3790"/>
    </row>
    <row r="23" spans="1:61" ht="15.75" thickBot="1">
      <c r="A23" s="2810"/>
      <c r="B23" s="2810"/>
      <c r="C23" s="2810"/>
      <c r="D23" s="2810"/>
      <c r="E23" s="2810"/>
      <c r="F23" s="2810"/>
      <c r="G23" s="2810"/>
      <c r="H23" s="2810"/>
      <c r="I23" s="2810"/>
      <c r="J23" s="2810"/>
      <c r="K23" s="2810"/>
      <c r="L23" s="3788"/>
      <c r="M23" s="3788"/>
      <c r="N23" s="4101"/>
      <c r="O23" s="3790"/>
      <c r="P23" s="3790"/>
      <c r="Q23" s="3790"/>
      <c r="R23" s="3790"/>
      <c r="S23" s="3790"/>
      <c r="T23" s="3790"/>
      <c r="U23" s="3790"/>
      <c r="V23" s="3790"/>
      <c r="W23" s="3790"/>
      <c r="X23" s="3790"/>
      <c r="Y23" s="3790"/>
      <c r="Z23" s="3790"/>
      <c r="AA23" s="3790"/>
      <c r="AB23" s="3790"/>
      <c r="AC23" s="3790"/>
      <c r="AD23" s="3790"/>
      <c r="AE23" s="3790"/>
      <c r="AF23" s="3790"/>
      <c r="AG23" s="3790"/>
      <c r="AH23" s="3790"/>
      <c r="AI23" s="3790"/>
      <c r="AJ23" s="3790"/>
      <c r="AK23" s="3790"/>
      <c r="AL23" s="3790"/>
      <c r="AM23" s="3790"/>
      <c r="AN23" s="3790"/>
      <c r="AO23" s="3790"/>
      <c r="AP23" s="3790"/>
      <c r="AQ23" s="3790"/>
      <c r="AR23" s="3790"/>
      <c r="AS23" s="3790"/>
      <c r="AT23" s="3790"/>
      <c r="AU23" s="3790"/>
      <c r="AV23" s="3790"/>
      <c r="AW23" s="3790"/>
      <c r="AX23" s="3790"/>
      <c r="AY23" s="3790"/>
      <c r="AZ23" s="3790"/>
      <c r="BA23" s="3790"/>
      <c r="BB23" s="3790"/>
      <c r="BC23" s="3790"/>
      <c r="BD23" s="3790"/>
      <c r="BE23" s="3790"/>
      <c r="BF23" s="3790"/>
      <c r="BG23" s="3790"/>
      <c r="BH23" s="3790"/>
      <c r="BI23" s="3790"/>
    </row>
    <row r="24" spans="1:61" s="3774" customFormat="1" ht="84">
      <c r="A24" s="3771"/>
      <c r="B24" s="3772"/>
      <c r="C24" s="3772"/>
      <c r="D24" s="3773"/>
      <c r="E24" s="3772"/>
      <c r="F24" s="3772"/>
      <c r="G24" s="3772"/>
      <c r="H24" s="3772"/>
      <c r="I24" s="3772"/>
      <c r="J24" s="3772"/>
      <c r="K24" s="3772"/>
      <c r="L24" s="4103" t="s">
        <v>2025</v>
      </c>
      <c r="M24" s="4104" t="s">
        <v>1785</v>
      </c>
      <c r="N24" s="4104" t="s">
        <v>1786</v>
      </c>
      <c r="O24" s="4104" t="s">
        <v>1787</v>
      </c>
      <c r="P24" s="4105" t="s">
        <v>1788</v>
      </c>
      <c r="Q24" s="4105" t="s">
        <v>1789</v>
      </c>
      <c r="R24" s="4105" t="s">
        <v>1790</v>
      </c>
      <c r="S24" s="4105" t="s">
        <v>1791</v>
      </c>
      <c r="T24" s="4105" t="s">
        <v>1792</v>
      </c>
      <c r="U24" s="4105" t="s">
        <v>1806</v>
      </c>
      <c r="V24" s="4105" t="s">
        <v>1807</v>
      </c>
      <c r="W24" s="4104" t="s">
        <v>1917</v>
      </c>
      <c r="X24" s="4104" t="s">
        <v>1881</v>
      </c>
      <c r="Y24" s="4104" t="s">
        <v>1883</v>
      </c>
      <c r="Z24" s="4104" t="s">
        <v>1793</v>
      </c>
      <c r="AA24" s="4104" t="s">
        <v>1794</v>
      </c>
      <c r="AB24" s="4104" t="s">
        <v>1891</v>
      </c>
      <c r="AC24" s="4104" t="s">
        <v>1892</v>
      </c>
      <c r="AD24" s="4104" t="s">
        <v>1795</v>
      </c>
      <c r="AE24" s="4106" t="s">
        <v>1796</v>
      </c>
      <c r="AF24" s="3790"/>
      <c r="AG24" s="3790"/>
      <c r="AH24" s="3790"/>
      <c r="AI24" s="3790"/>
      <c r="AJ24" s="3790"/>
      <c r="AK24" s="3790"/>
      <c r="AL24" s="3790"/>
      <c r="AM24" s="3790"/>
      <c r="AN24" s="3790"/>
      <c r="AO24" s="3790"/>
      <c r="AP24" s="3790"/>
      <c r="AQ24" s="3790"/>
      <c r="AR24" s="3790"/>
      <c r="AS24" s="3790"/>
      <c r="AT24" s="3790"/>
      <c r="AU24" s="3790"/>
      <c r="AV24" s="3790"/>
      <c r="AW24" s="3790"/>
      <c r="AX24" s="3790"/>
      <c r="AY24" s="3790"/>
      <c r="AZ24" s="3790"/>
      <c r="BA24" s="3790"/>
      <c r="BB24" s="3790"/>
      <c r="BC24" s="3790"/>
      <c r="BD24" s="3790"/>
      <c r="BE24" s="3790"/>
      <c r="BF24" s="3790"/>
      <c r="BG24" s="3790"/>
      <c r="BH24" s="3790"/>
      <c r="BI24" s="3790"/>
    </row>
    <row r="25" spans="1:61" s="3774" customFormat="1">
      <c r="A25" s="3775"/>
      <c r="B25" s="3775"/>
      <c r="C25" s="3775"/>
      <c r="D25" s="3775"/>
      <c r="E25" s="3775"/>
      <c r="F25" s="3775"/>
      <c r="G25" s="3775"/>
      <c r="H25" s="3775"/>
      <c r="I25" s="3775"/>
      <c r="J25" s="3775"/>
      <c r="K25" s="3775"/>
      <c r="L25" s="4102" t="s">
        <v>1997</v>
      </c>
      <c r="M25" s="3818" t="s">
        <v>1983</v>
      </c>
      <c r="N25" s="3818" t="s">
        <v>1984</v>
      </c>
      <c r="O25" s="3818" t="s">
        <v>1985</v>
      </c>
      <c r="P25" s="3819" t="s">
        <v>1985</v>
      </c>
      <c r="Q25" s="3818" t="s">
        <v>1985</v>
      </c>
      <c r="R25" s="3818" t="s">
        <v>1983</v>
      </c>
      <c r="S25" s="3818" t="s">
        <v>1983</v>
      </c>
      <c r="T25" s="3818" t="s">
        <v>1983</v>
      </c>
      <c r="U25" s="3818" t="s">
        <v>1985</v>
      </c>
      <c r="V25" s="3818" t="s">
        <v>1985</v>
      </c>
      <c r="W25" s="3818" t="s">
        <v>1984</v>
      </c>
      <c r="X25" s="3818" t="s">
        <v>1984</v>
      </c>
      <c r="Y25" s="3818" t="s">
        <v>1984</v>
      </c>
      <c r="Z25" s="3818" t="s">
        <v>1984</v>
      </c>
      <c r="AA25" s="3818" t="s">
        <v>1984</v>
      </c>
      <c r="AB25" s="3818" t="s">
        <v>1983</v>
      </c>
      <c r="AC25" s="3818" t="s">
        <v>1983</v>
      </c>
      <c r="AD25" s="3818" t="s">
        <v>1984</v>
      </c>
      <c r="AE25" s="3962" t="s">
        <v>1984</v>
      </c>
      <c r="AF25" s="3790"/>
      <c r="AG25" s="3790"/>
      <c r="AH25" s="3790"/>
      <c r="AI25" s="3790"/>
      <c r="AJ25" s="3790"/>
      <c r="AK25" s="3790"/>
      <c r="AL25" s="3790"/>
      <c r="AM25" s="3790"/>
      <c r="AN25" s="3790"/>
      <c r="AO25" s="3790"/>
      <c r="AP25" s="3790"/>
      <c r="AQ25" s="3790"/>
      <c r="AR25" s="3790"/>
      <c r="AS25" s="3790"/>
      <c r="AT25" s="3790"/>
      <c r="AU25" s="3790"/>
      <c r="AV25" s="3790"/>
      <c r="AW25" s="3790"/>
      <c r="AX25" s="3790"/>
      <c r="AY25" s="3790"/>
      <c r="AZ25" s="3790"/>
      <c r="BA25" s="3790"/>
      <c r="BB25" s="3790"/>
      <c r="BC25" s="3790"/>
      <c r="BD25" s="3790"/>
      <c r="BE25" s="3790"/>
      <c r="BF25" s="3790"/>
      <c r="BG25" s="3790"/>
      <c r="BH25" s="3790"/>
      <c r="BI25" s="3790"/>
    </row>
    <row r="26" spans="1:61" s="3782" customFormat="1" ht="15.75" thickBot="1">
      <c r="A26" s="3777"/>
      <c r="B26" s="3778"/>
      <c r="C26" s="3778"/>
      <c r="D26" s="3779"/>
      <c r="E26" s="3780"/>
      <c r="F26" s="3779"/>
      <c r="G26" s="3779"/>
      <c r="H26" s="3779"/>
      <c r="I26" s="3779"/>
      <c r="J26" s="3779"/>
      <c r="K26" s="3779"/>
      <c r="L26" s="3969" t="s">
        <v>1996</v>
      </c>
      <c r="M26" s="3804">
        <v>49.9</v>
      </c>
      <c r="N26" s="3804">
        <v>100</v>
      </c>
      <c r="O26" s="3804">
        <v>200</v>
      </c>
      <c r="P26" s="3805">
        <v>500</v>
      </c>
      <c r="Q26" s="3806">
        <v>550</v>
      </c>
      <c r="R26" s="3806">
        <v>50</v>
      </c>
      <c r="S26" s="3806">
        <v>30</v>
      </c>
      <c r="T26" s="3806">
        <v>30</v>
      </c>
      <c r="U26" s="3806">
        <v>250</v>
      </c>
      <c r="V26" s="3806">
        <v>250</v>
      </c>
      <c r="W26" s="3804">
        <v>100</v>
      </c>
      <c r="X26" s="3804">
        <v>100</v>
      </c>
      <c r="Y26" s="3804">
        <v>100</v>
      </c>
      <c r="Z26" s="3804">
        <v>100</v>
      </c>
      <c r="AA26" s="3804">
        <v>100</v>
      </c>
      <c r="AB26" s="3804">
        <v>20</v>
      </c>
      <c r="AC26" s="3804">
        <v>20</v>
      </c>
      <c r="AD26" s="3804">
        <v>100</v>
      </c>
      <c r="AE26" s="3963">
        <v>100</v>
      </c>
      <c r="AF26" s="3790"/>
      <c r="AG26" s="3790"/>
      <c r="AH26" s="3790"/>
      <c r="AI26" s="3790"/>
      <c r="AJ26" s="3790"/>
      <c r="AK26" s="3790"/>
      <c r="AL26" s="3790"/>
      <c r="AM26" s="3790"/>
      <c r="AN26" s="3790"/>
      <c r="AO26" s="3790"/>
      <c r="AP26" s="3790"/>
      <c r="AQ26" s="3790"/>
      <c r="AR26" s="3790"/>
      <c r="AS26" s="3790"/>
      <c r="AT26" s="3790"/>
      <c r="AU26" s="3790"/>
      <c r="AV26" s="3790"/>
      <c r="AW26" s="3790"/>
      <c r="AX26" s="3790"/>
      <c r="AY26" s="3790"/>
      <c r="AZ26" s="3790"/>
      <c r="BA26" s="3790"/>
      <c r="BB26" s="3790"/>
      <c r="BC26" s="3790"/>
      <c r="BD26" s="3790"/>
      <c r="BE26" s="3790"/>
      <c r="BF26" s="3790"/>
      <c r="BG26" s="3790"/>
      <c r="BH26" s="3790"/>
      <c r="BI26" s="3790"/>
    </row>
    <row r="27" spans="1:61" s="3784" customFormat="1">
      <c r="A27" s="3779"/>
      <c r="B27" s="3778"/>
      <c r="C27" s="3778"/>
      <c r="D27" s="3779"/>
      <c r="E27" s="3777"/>
      <c r="F27" s="3783"/>
      <c r="G27" s="3779"/>
      <c r="H27" s="3779"/>
      <c r="I27" s="3779"/>
      <c r="J27" s="3779"/>
      <c r="K27" s="3779"/>
      <c r="L27" s="3807" t="s">
        <v>1998</v>
      </c>
      <c r="M27" s="3978">
        <f>M29*3</f>
        <v>13134</v>
      </c>
      <c r="N27" s="3978">
        <f t="shared" ref="N27:AE27" si="4">N29*3</f>
        <v>14643</v>
      </c>
      <c r="O27" s="3978">
        <f t="shared" si="4"/>
        <v>56439</v>
      </c>
      <c r="P27" s="3978">
        <f t="shared" si="4"/>
        <v>56439</v>
      </c>
      <c r="Q27" s="3978">
        <f t="shared" si="4"/>
        <v>56439</v>
      </c>
      <c r="R27" s="3978">
        <f t="shared" si="4"/>
        <v>13134</v>
      </c>
      <c r="S27" s="3978">
        <f t="shared" si="4"/>
        <v>13134</v>
      </c>
      <c r="T27" s="3978">
        <f t="shared" si="4"/>
        <v>13134</v>
      </c>
      <c r="U27" s="3978">
        <f t="shared" si="4"/>
        <v>56439</v>
      </c>
      <c r="V27" s="3978">
        <f t="shared" si="4"/>
        <v>56439</v>
      </c>
      <c r="W27" s="3978">
        <f t="shared" si="4"/>
        <v>14643</v>
      </c>
      <c r="X27" s="3978">
        <f t="shared" si="4"/>
        <v>14643</v>
      </c>
      <c r="Y27" s="3978">
        <f t="shared" si="4"/>
        <v>14643</v>
      </c>
      <c r="Z27" s="3978">
        <f t="shared" si="4"/>
        <v>14643</v>
      </c>
      <c r="AA27" s="3978">
        <f t="shared" si="4"/>
        <v>14643</v>
      </c>
      <c r="AB27" s="3978">
        <f t="shared" si="4"/>
        <v>13134</v>
      </c>
      <c r="AC27" s="3978">
        <f t="shared" si="4"/>
        <v>13134</v>
      </c>
      <c r="AD27" s="3978">
        <f t="shared" si="4"/>
        <v>14643</v>
      </c>
      <c r="AE27" s="3979">
        <f t="shared" si="4"/>
        <v>14643</v>
      </c>
      <c r="AF27" s="3790"/>
      <c r="AG27" s="3790"/>
      <c r="AH27" s="3790"/>
      <c r="AI27" s="3790"/>
      <c r="AJ27" s="3790"/>
      <c r="AK27" s="3790"/>
      <c r="AL27" s="3790"/>
      <c r="AM27" s="3790"/>
      <c r="AN27" s="3790"/>
      <c r="AO27" s="3790"/>
      <c r="AP27" s="3790"/>
      <c r="AQ27" s="3790"/>
      <c r="AR27" s="3790"/>
      <c r="AS27" s="3790"/>
      <c r="AT27" s="3790"/>
      <c r="AU27" s="3790"/>
      <c r="AV27" s="3790"/>
      <c r="AW27" s="3790"/>
      <c r="AX27" s="3790"/>
      <c r="AY27" s="3790"/>
      <c r="AZ27" s="3790"/>
      <c r="BA27" s="3790"/>
      <c r="BB27" s="3790"/>
      <c r="BC27" s="3790"/>
      <c r="BD27" s="3790"/>
      <c r="BE27" s="3790"/>
      <c r="BF27" s="3790"/>
      <c r="BG27" s="3790"/>
      <c r="BH27" s="3790"/>
      <c r="BI27" s="3790"/>
    </row>
    <row r="28" spans="1:61" s="3784" customFormat="1">
      <c r="A28" s="3779"/>
      <c r="B28" s="3778"/>
      <c r="C28" s="3778"/>
      <c r="D28" s="3779"/>
      <c r="E28" s="3777"/>
      <c r="F28" s="3785"/>
      <c r="G28" s="3779"/>
      <c r="H28" s="3779"/>
      <c r="I28" s="3779"/>
      <c r="J28" s="3779"/>
      <c r="K28" s="3779"/>
      <c r="L28" s="3808" t="s">
        <v>1999</v>
      </c>
      <c r="M28" s="3972">
        <f>M29*1.5</f>
        <v>6567</v>
      </c>
      <c r="N28" s="3972">
        <f t="shared" ref="N28:AE28" si="5">N29*1.5</f>
        <v>7321.5</v>
      </c>
      <c r="O28" s="3972">
        <f t="shared" si="5"/>
        <v>28219.5</v>
      </c>
      <c r="P28" s="3972">
        <f t="shared" si="5"/>
        <v>28219.5</v>
      </c>
      <c r="Q28" s="3972">
        <f t="shared" si="5"/>
        <v>28219.5</v>
      </c>
      <c r="R28" s="3972">
        <f t="shared" si="5"/>
        <v>6567</v>
      </c>
      <c r="S28" s="3972">
        <f t="shared" si="5"/>
        <v>6567</v>
      </c>
      <c r="T28" s="3972">
        <f t="shared" si="5"/>
        <v>6567</v>
      </c>
      <c r="U28" s="3972">
        <f t="shared" si="5"/>
        <v>28219.5</v>
      </c>
      <c r="V28" s="3972">
        <f t="shared" si="5"/>
        <v>28219.5</v>
      </c>
      <c r="W28" s="3972">
        <f t="shared" si="5"/>
        <v>7321.5</v>
      </c>
      <c r="X28" s="3972">
        <f t="shared" si="5"/>
        <v>7321.5</v>
      </c>
      <c r="Y28" s="3972">
        <f t="shared" si="5"/>
        <v>7321.5</v>
      </c>
      <c r="Z28" s="3972">
        <f t="shared" si="5"/>
        <v>7321.5</v>
      </c>
      <c r="AA28" s="3972">
        <f t="shared" si="5"/>
        <v>7321.5</v>
      </c>
      <c r="AB28" s="3972">
        <f t="shared" si="5"/>
        <v>6567</v>
      </c>
      <c r="AC28" s="3972">
        <f t="shared" si="5"/>
        <v>6567</v>
      </c>
      <c r="AD28" s="3972">
        <f t="shared" si="5"/>
        <v>7321.5</v>
      </c>
      <c r="AE28" s="3973">
        <f t="shared" si="5"/>
        <v>7321.5</v>
      </c>
      <c r="AF28" s="3790"/>
      <c r="AG28" s="3790"/>
      <c r="AH28" s="3790"/>
      <c r="AI28" s="3790"/>
      <c r="AJ28" s="3790"/>
      <c r="AK28" s="3790"/>
      <c r="AL28" s="3790"/>
      <c r="AM28" s="3790"/>
      <c r="AN28" s="3790"/>
      <c r="AO28" s="3790"/>
      <c r="AP28" s="3790"/>
      <c r="AQ28" s="3790"/>
      <c r="AR28" s="3790"/>
      <c r="AS28" s="3790"/>
      <c r="AT28" s="3790"/>
      <c r="AU28" s="3790"/>
      <c r="AV28" s="3790"/>
      <c r="AW28" s="3790"/>
      <c r="AX28" s="3790"/>
      <c r="AY28" s="3790"/>
      <c r="AZ28" s="3790"/>
      <c r="BA28" s="3790"/>
      <c r="BB28" s="3790"/>
      <c r="BC28" s="3790"/>
      <c r="BD28" s="3790"/>
      <c r="BE28" s="3790"/>
      <c r="BF28" s="3790"/>
      <c r="BG28" s="3790"/>
      <c r="BH28" s="3790"/>
      <c r="BI28" s="3790"/>
    </row>
    <row r="29" spans="1:61" s="3784" customFormat="1" ht="15.75" thickBot="1">
      <c r="A29" s="3779"/>
      <c r="B29" s="3778"/>
      <c r="C29" s="3778"/>
      <c r="D29" s="3779"/>
      <c r="E29" s="3777"/>
      <c r="F29" s="3786"/>
      <c r="G29" s="3779"/>
      <c r="H29" s="3779"/>
      <c r="I29" s="3779"/>
      <c r="J29" s="3779"/>
      <c r="K29" s="3779"/>
      <c r="L29" s="3809" t="s">
        <v>2000</v>
      </c>
      <c r="M29" s="3974">
        <v>4378</v>
      </c>
      <c r="N29" s="3974">
        <v>4881</v>
      </c>
      <c r="O29" s="3974">
        <v>18813</v>
      </c>
      <c r="P29" s="3974">
        <v>18813</v>
      </c>
      <c r="Q29" s="3974">
        <v>18813</v>
      </c>
      <c r="R29" s="3974">
        <v>4378</v>
      </c>
      <c r="S29" s="3974">
        <v>4378</v>
      </c>
      <c r="T29" s="3974">
        <v>4378</v>
      </c>
      <c r="U29" s="3974">
        <v>18813</v>
      </c>
      <c r="V29" s="3974">
        <v>18813</v>
      </c>
      <c r="W29" s="3974">
        <v>4881</v>
      </c>
      <c r="X29" s="3974">
        <v>4881</v>
      </c>
      <c r="Y29" s="3974">
        <v>4881</v>
      </c>
      <c r="Z29" s="3974">
        <v>4881</v>
      </c>
      <c r="AA29" s="3974">
        <v>4881</v>
      </c>
      <c r="AB29" s="3974">
        <v>4378</v>
      </c>
      <c r="AC29" s="3974">
        <v>4378</v>
      </c>
      <c r="AD29" s="3974">
        <v>4881</v>
      </c>
      <c r="AE29" s="3975">
        <v>4881</v>
      </c>
      <c r="AF29" s="3790"/>
      <c r="AG29" s="3790"/>
      <c r="AH29" s="3790"/>
      <c r="AI29" s="3790"/>
      <c r="AJ29" s="3790"/>
      <c r="AK29" s="3790"/>
      <c r="AL29" s="3790"/>
      <c r="AM29" s="3790"/>
      <c r="AN29" s="3790"/>
      <c r="AO29" s="3790"/>
      <c r="AP29" s="3790"/>
      <c r="AQ29" s="3790"/>
      <c r="AR29" s="3790"/>
      <c r="AS29" s="3790"/>
      <c r="AT29" s="3790"/>
      <c r="AU29" s="3790"/>
      <c r="AV29" s="3790"/>
      <c r="AW29" s="3790"/>
      <c r="AX29" s="3790"/>
      <c r="AY29" s="3790"/>
      <c r="AZ29" s="3790"/>
      <c r="BA29" s="3790"/>
      <c r="BB29" s="3790"/>
      <c r="BC29" s="3790"/>
      <c r="BD29" s="3790"/>
      <c r="BE29" s="3790"/>
      <c r="BF29" s="3790"/>
      <c r="BG29" s="3790"/>
      <c r="BH29" s="3790"/>
      <c r="BI29" s="3790"/>
    </row>
    <row r="30" spans="1:61" s="3784" customFormat="1">
      <c r="A30" s="3779"/>
      <c r="B30" s="3779"/>
      <c r="C30" s="3779"/>
      <c r="D30" s="3779"/>
      <c r="E30" s="3779"/>
      <c r="F30" s="3779"/>
      <c r="G30" s="3779"/>
      <c r="H30" s="3779"/>
      <c r="I30" s="3779"/>
      <c r="J30" s="3779"/>
      <c r="K30" s="3779"/>
      <c r="L30" s="3812" t="s">
        <v>2004</v>
      </c>
      <c r="M30" s="3813">
        <v>5</v>
      </c>
      <c r="N30" s="3813">
        <v>5</v>
      </c>
      <c r="O30" s="3813">
        <v>5</v>
      </c>
      <c r="P30" s="3814">
        <v>5</v>
      </c>
      <c r="Q30" s="3815">
        <v>5</v>
      </c>
      <c r="R30" s="3815">
        <v>5</v>
      </c>
      <c r="S30" s="3815">
        <v>5</v>
      </c>
      <c r="T30" s="3815">
        <v>5</v>
      </c>
      <c r="U30" s="3815">
        <v>5</v>
      </c>
      <c r="V30" s="3815">
        <v>5</v>
      </c>
      <c r="W30" s="3815">
        <v>5</v>
      </c>
      <c r="X30" s="3815">
        <v>5</v>
      </c>
      <c r="Y30" s="3815">
        <v>5</v>
      </c>
      <c r="Z30" s="3815">
        <v>5</v>
      </c>
      <c r="AA30" s="3815">
        <v>5</v>
      </c>
      <c r="AB30" s="3815">
        <v>5</v>
      </c>
      <c r="AC30" s="3815">
        <v>5</v>
      </c>
      <c r="AD30" s="3815">
        <v>5</v>
      </c>
      <c r="AE30" s="3965">
        <v>5</v>
      </c>
      <c r="AF30" s="3790"/>
      <c r="AG30" s="3790"/>
      <c r="AH30" s="3790"/>
      <c r="AI30" s="3790"/>
      <c r="AJ30" s="3790"/>
      <c r="AK30" s="3790"/>
      <c r="AL30" s="3790"/>
      <c r="AM30" s="3790"/>
      <c r="AN30" s="3790"/>
      <c r="AO30" s="3790"/>
      <c r="AP30" s="3790"/>
      <c r="AQ30" s="3790"/>
      <c r="AR30" s="3790"/>
      <c r="AS30" s="3790"/>
      <c r="AT30" s="3790"/>
      <c r="AU30" s="3790"/>
      <c r="AV30" s="3790"/>
      <c r="AW30" s="3790"/>
      <c r="AX30" s="3790"/>
      <c r="AY30" s="3790"/>
      <c r="AZ30" s="3790"/>
      <c r="BA30" s="3790"/>
      <c r="BB30" s="3790"/>
      <c r="BC30" s="3790"/>
      <c r="BD30" s="3790"/>
      <c r="BE30" s="3790"/>
      <c r="BF30" s="3790"/>
      <c r="BG30" s="3790"/>
      <c r="BH30" s="3790"/>
      <c r="BI30" s="3790"/>
    </row>
    <row r="31" spans="1:61" s="3784" customFormat="1">
      <c r="A31" s="3780"/>
      <c r="B31" s="3779"/>
      <c r="C31" s="3779"/>
      <c r="D31" s="3787"/>
      <c r="E31" s="3779"/>
      <c r="F31" s="3779"/>
      <c r="G31" s="3779"/>
      <c r="H31" s="3779"/>
      <c r="I31" s="3779"/>
      <c r="J31" s="3779"/>
      <c r="K31" s="3779"/>
      <c r="L31" s="3808" t="s">
        <v>2005</v>
      </c>
      <c r="M31" s="3802">
        <v>1.5</v>
      </c>
      <c r="N31" s="3802">
        <v>1.5</v>
      </c>
      <c r="O31" s="3802">
        <v>1.5</v>
      </c>
      <c r="P31" s="3802">
        <v>1.5</v>
      </c>
      <c r="Q31" s="3802">
        <v>1.5</v>
      </c>
      <c r="R31" s="3802">
        <v>1.5</v>
      </c>
      <c r="S31" s="3802">
        <v>1.5</v>
      </c>
      <c r="T31" s="3802">
        <v>1.5</v>
      </c>
      <c r="U31" s="3802">
        <v>1.5</v>
      </c>
      <c r="V31" s="3802">
        <v>1.5</v>
      </c>
      <c r="W31" s="3802">
        <v>1.5</v>
      </c>
      <c r="X31" s="3802">
        <v>1.5</v>
      </c>
      <c r="Y31" s="3802">
        <v>1.5</v>
      </c>
      <c r="Z31" s="3802">
        <v>1.5</v>
      </c>
      <c r="AA31" s="3802">
        <v>1.5</v>
      </c>
      <c r="AB31" s="3802">
        <v>1.5</v>
      </c>
      <c r="AC31" s="3802">
        <v>1.5</v>
      </c>
      <c r="AD31" s="3802">
        <v>1.5</v>
      </c>
      <c r="AE31" s="3964">
        <v>1.5</v>
      </c>
      <c r="AF31" s="3774"/>
      <c r="AG31" s="3774"/>
      <c r="AH31" s="3774"/>
      <c r="AI31" s="3774"/>
      <c r="AJ31" s="3774"/>
      <c r="AK31" s="3774"/>
      <c r="AL31" s="3774"/>
      <c r="AM31" s="3774"/>
      <c r="AN31" s="3774"/>
      <c r="AO31" s="3774"/>
      <c r="AP31" s="3774"/>
      <c r="AQ31" s="3774"/>
      <c r="AR31" s="3774"/>
      <c r="AS31" s="3774"/>
      <c r="AT31" s="3774"/>
      <c r="AU31" s="3774"/>
      <c r="AV31" s="3774"/>
      <c r="AW31" s="3774"/>
      <c r="AX31" s="3774"/>
      <c r="AY31" s="3774"/>
      <c r="AZ31" s="3774"/>
      <c r="BA31" s="3774"/>
      <c r="BB31" s="3774"/>
      <c r="BC31" s="3774"/>
      <c r="BD31" s="3774"/>
      <c r="BE31" s="3774"/>
      <c r="BF31" s="3774"/>
      <c r="BG31" s="3774"/>
      <c r="BH31" s="3774"/>
      <c r="BI31" s="3774"/>
    </row>
    <row r="32" spans="1:61" s="3784" customFormat="1" ht="15.75" thickBot="1">
      <c r="A32" s="3781"/>
      <c r="B32" s="3781"/>
      <c r="C32" s="3781"/>
      <c r="D32" s="3781"/>
      <c r="E32" s="3779"/>
      <c r="F32" s="3779"/>
      <c r="G32" s="3779"/>
      <c r="H32" s="3779"/>
      <c r="I32" s="3779"/>
      <c r="J32" s="3779"/>
      <c r="K32" s="3779"/>
      <c r="L32" s="3809" t="s">
        <v>2006</v>
      </c>
      <c r="M32" s="3810">
        <v>0.5</v>
      </c>
      <c r="N32" s="3810">
        <v>0.5</v>
      </c>
      <c r="O32" s="3810">
        <v>0.5</v>
      </c>
      <c r="P32" s="3810">
        <v>0.5</v>
      </c>
      <c r="Q32" s="3810">
        <v>0.5</v>
      </c>
      <c r="R32" s="3810">
        <v>0.5</v>
      </c>
      <c r="S32" s="3810">
        <v>0.5</v>
      </c>
      <c r="T32" s="3810">
        <v>0.5</v>
      </c>
      <c r="U32" s="3810">
        <v>0.5</v>
      </c>
      <c r="V32" s="3810">
        <v>0.5</v>
      </c>
      <c r="W32" s="3810">
        <v>0.5</v>
      </c>
      <c r="X32" s="3810">
        <v>0.5</v>
      </c>
      <c r="Y32" s="3810">
        <v>0.5</v>
      </c>
      <c r="Z32" s="3810">
        <v>0.5</v>
      </c>
      <c r="AA32" s="3810">
        <v>0.5</v>
      </c>
      <c r="AB32" s="3810">
        <v>0.5</v>
      </c>
      <c r="AC32" s="3810">
        <v>0.5</v>
      </c>
      <c r="AD32" s="3810">
        <v>0.5</v>
      </c>
      <c r="AE32" s="3811">
        <v>0.5</v>
      </c>
      <c r="AF32" s="2808"/>
      <c r="AG32" s="2808"/>
      <c r="AH32" s="2808"/>
      <c r="AI32" s="2808"/>
      <c r="AJ32" s="2808"/>
      <c r="AK32" s="2808"/>
      <c r="AL32" s="2808"/>
      <c r="AM32" s="2808"/>
      <c r="AN32" s="2808"/>
      <c r="AO32" s="2808"/>
      <c r="AP32" s="2808"/>
      <c r="AQ32" s="2808"/>
      <c r="AR32" s="2808"/>
      <c r="AS32" s="2808"/>
      <c r="AT32" s="2808"/>
      <c r="AU32" s="2808"/>
      <c r="AV32" s="2808"/>
      <c r="AW32" s="2808"/>
      <c r="AX32" s="2808"/>
      <c r="AY32" s="2808"/>
      <c r="AZ32" s="2808"/>
      <c r="BA32" s="2808"/>
      <c r="BB32" s="2808"/>
      <c r="BC32" s="2808"/>
      <c r="BD32" s="2808"/>
      <c r="BE32" s="2808"/>
      <c r="BF32" s="2808"/>
      <c r="BG32" s="2808"/>
      <c r="BH32" s="2808"/>
      <c r="BI32" s="2808"/>
    </row>
    <row r="33" spans="1:61" s="3790" customFormat="1">
      <c r="A33" s="3788"/>
      <c r="B33" s="3776"/>
      <c r="C33" s="3776"/>
      <c r="D33" s="3788"/>
      <c r="E33" s="3789"/>
      <c r="F33" s="3788"/>
      <c r="G33" s="3788"/>
      <c r="H33" s="3788"/>
      <c r="I33" s="3788"/>
      <c r="J33" s="3788"/>
      <c r="K33" s="3788"/>
      <c r="L33" s="3812" t="s">
        <v>2001</v>
      </c>
      <c r="M33" s="3970">
        <f>M34*1.5</f>
        <v>1390.5</v>
      </c>
      <c r="N33" s="3970">
        <f t="shared" ref="N33:AE33" si="6">N34*1.5</f>
        <v>1390.5</v>
      </c>
      <c r="O33" s="3970">
        <f t="shared" si="6"/>
        <v>2226</v>
      </c>
      <c r="P33" s="3970">
        <f t="shared" si="6"/>
        <v>2226</v>
      </c>
      <c r="Q33" s="3970">
        <f t="shared" si="6"/>
        <v>2781</v>
      </c>
      <c r="R33" s="3970">
        <f t="shared" si="6"/>
        <v>1390.5</v>
      </c>
      <c r="S33" s="3970">
        <f t="shared" si="6"/>
        <v>1390.5</v>
      </c>
      <c r="T33" s="3970">
        <f t="shared" si="6"/>
        <v>1390.5</v>
      </c>
      <c r="U33" s="3970">
        <f t="shared" si="6"/>
        <v>2226</v>
      </c>
      <c r="V33" s="3970">
        <f t="shared" si="6"/>
        <v>2226</v>
      </c>
      <c r="W33" s="3970">
        <f t="shared" si="6"/>
        <v>1390.5</v>
      </c>
      <c r="X33" s="3970">
        <f t="shared" si="6"/>
        <v>1390.5</v>
      </c>
      <c r="Y33" s="3970">
        <f t="shared" si="6"/>
        <v>1390.5</v>
      </c>
      <c r="Z33" s="3970">
        <f t="shared" si="6"/>
        <v>1390.5</v>
      </c>
      <c r="AA33" s="3970">
        <f t="shared" si="6"/>
        <v>1390.5</v>
      </c>
      <c r="AB33" s="3970">
        <f t="shared" si="6"/>
        <v>1390.5</v>
      </c>
      <c r="AC33" s="3970">
        <f t="shared" si="6"/>
        <v>1390.5</v>
      </c>
      <c r="AD33" s="3970">
        <f t="shared" si="6"/>
        <v>1390.5</v>
      </c>
      <c r="AE33" s="3971">
        <f t="shared" si="6"/>
        <v>1390.5</v>
      </c>
      <c r="AF33" s="2808"/>
      <c r="AG33" s="2808"/>
      <c r="AH33" s="2808"/>
      <c r="AI33" s="2808"/>
      <c r="AJ33" s="2808"/>
      <c r="AK33" s="2808"/>
      <c r="AL33" s="2808"/>
      <c r="AM33" s="2808"/>
      <c r="AN33" s="2808"/>
      <c r="AO33" s="2808"/>
      <c r="AP33" s="2808"/>
      <c r="AQ33" s="2808"/>
      <c r="AR33" s="2808"/>
      <c r="AS33" s="2808"/>
      <c r="AT33" s="2808"/>
      <c r="AU33" s="2808"/>
      <c r="AV33" s="2808"/>
      <c r="AW33" s="2808"/>
      <c r="AX33" s="2808"/>
      <c r="AY33" s="2808"/>
      <c r="AZ33" s="2808"/>
      <c r="BA33" s="2808"/>
      <c r="BB33" s="2808"/>
      <c r="BC33" s="2808"/>
      <c r="BD33" s="2808"/>
      <c r="BE33" s="2808"/>
      <c r="BF33" s="2808"/>
      <c r="BG33" s="2808"/>
      <c r="BH33" s="2808"/>
      <c r="BI33" s="2808"/>
    </row>
    <row r="34" spans="1:61" s="3790" customFormat="1">
      <c r="A34" s="3788"/>
      <c r="B34" s="3776"/>
      <c r="C34" s="3776"/>
      <c r="D34" s="3788"/>
      <c r="E34" s="3791"/>
      <c r="F34" s="3788"/>
      <c r="G34" s="3788"/>
      <c r="H34" s="3788"/>
      <c r="I34" s="3788"/>
      <c r="J34" s="3788"/>
      <c r="K34" s="3788"/>
      <c r="L34" s="3808" t="s">
        <v>2002</v>
      </c>
      <c r="M34" s="3972">
        <v>927</v>
      </c>
      <c r="N34" s="3972">
        <v>927</v>
      </c>
      <c r="O34" s="3972">
        <v>1484</v>
      </c>
      <c r="P34" s="3972">
        <v>1484</v>
      </c>
      <c r="Q34" s="3972">
        <v>1854</v>
      </c>
      <c r="R34" s="3972">
        <v>927</v>
      </c>
      <c r="S34" s="3972">
        <v>927</v>
      </c>
      <c r="T34" s="3972">
        <v>927</v>
      </c>
      <c r="U34" s="3972">
        <v>1484</v>
      </c>
      <c r="V34" s="3972">
        <v>1484</v>
      </c>
      <c r="W34" s="3972">
        <v>927</v>
      </c>
      <c r="X34" s="3972">
        <v>927</v>
      </c>
      <c r="Y34" s="3972">
        <v>927</v>
      </c>
      <c r="Z34" s="3972">
        <v>927</v>
      </c>
      <c r="AA34" s="3972">
        <v>927</v>
      </c>
      <c r="AB34" s="3972">
        <v>927</v>
      </c>
      <c r="AC34" s="3972">
        <v>927</v>
      </c>
      <c r="AD34" s="3972">
        <v>927</v>
      </c>
      <c r="AE34" s="3973">
        <v>927</v>
      </c>
      <c r="AF34" s="2808"/>
      <c r="AG34" s="2808"/>
      <c r="AH34" s="2808"/>
      <c r="AI34" s="2808"/>
      <c r="AJ34" s="2808"/>
      <c r="AK34" s="2808"/>
      <c r="AL34" s="2808"/>
      <c r="AM34" s="2808"/>
      <c r="AN34" s="2808"/>
      <c r="AO34" s="2808"/>
      <c r="AP34" s="2808"/>
      <c r="AQ34" s="2808"/>
      <c r="AR34" s="2808"/>
      <c r="AS34" s="2808"/>
      <c r="AT34" s="2808"/>
      <c r="AU34" s="2808"/>
      <c r="AV34" s="2808"/>
      <c r="AW34" s="2808"/>
      <c r="AX34" s="2808"/>
      <c r="AY34" s="2808"/>
      <c r="AZ34" s="2808"/>
      <c r="BA34" s="2808"/>
      <c r="BB34" s="2808"/>
      <c r="BC34" s="2808"/>
      <c r="BD34" s="2808"/>
      <c r="BE34" s="2808"/>
      <c r="BF34" s="2808"/>
      <c r="BG34" s="2808"/>
      <c r="BH34" s="2808"/>
      <c r="BI34" s="2808"/>
    </row>
    <row r="35" spans="1:61" s="3790" customFormat="1" ht="15.75" thickBot="1">
      <c r="A35" s="3788"/>
      <c r="B35" s="3776"/>
      <c r="C35" s="3776"/>
      <c r="D35" s="3788"/>
      <c r="E35" s="3791"/>
      <c r="F35" s="3788"/>
      <c r="G35" s="3788"/>
      <c r="H35" s="3788"/>
      <c r="I35" s="3788"/>
      <c r="J35" s="3788"/>
      <c r="K35" s="3788"/>
      <c r="L35" s="3809" t="s">
        <v>2003</v>
      </c>
      <c r="M35" s="3974">
        <f>M34*0.75</f>
        <v>695.25</v>
      </c>
      <c r="N35" s="3974">
        <f t="shared" ref="N35:AE35" si="7">N34*0.75</f>
        <v>695.25</v>
      </c>
      <c r="O35" s="3974">
        <f t="shared" si="7"/>
        <v>1113</v>
      </c>
      <c r="P35" s="3974">
        <f t="shared" si="7"/>
        <v>1113</v>
      </c>
      <c r="Q35" s="3974">
        <f t="shared" si="7"/>
        <v>1390.5</v>
      </c>
      <c r="R35" s="3974">
        <f t="shared" si="7"/>
        <v>695.25</v>
      </c>
      <c r="S35" s="3974">
        <f t="shared" si="7"/>
        <v>695.25</v>
      </c>
      <c r="T35" s="3974">
        <f t="shared" si="7"/>
        <v>695.25</v>
      </c>
      <c r="U35" s="3974">
        <f t="shared" si="7"/>
        <v>1113</v>
      </c>
      <c r="V35" s="3974">
        <f t="shared" si="7"/>
        <v>1113</v>
      </c>
      <c r="W35" s="3974">
        <f t="shared" si="7"/>
        <v>695.25</v>
      </c>
      <c r="X35" s="3974">
        <f t="shared" si="7"/>
        <v>695.25</v>
      </c>
      <c r="Y35" s="3974">
        <f t="shared" si="7"/>
        <v>695.25</v>
      </c>
      <c r="Z35" s="3974">
        <f t="shared" si="7"/>
        <v>695.25</v>
      </c>
      <c r="AA35" s="3974">
        <f t="shared" si="7"/>
        <v>695.25</v>
      </c>
      <c r="AB35" s="3974">
        <f t="shared" si="7"/>
        <v>695.25</v>
      </c>
      <c r="AC35" s="3974">
        <f t="shared" si="7"/>
        <v>695.25</v>
      </c>
      <c r="AD35" s="3974">
        <f t="shared" si="7"/>
        <v>695.25</v>
      </c>
      <c r="AE35" s="3975">
        <f t="shared" si="7"/>
        <v>695.25</v>
      </c>
      <c r="AF35" s="2808"/>
      <c r="AG35" s="2808"/>
      <c r="AH35" s="2808"/>
      <c r="AI35" s="2808"/>
      <c r="AJ35" s="2808"/>
      <c r="AK35" s="2808"/>
      <c r="AL35" s="2808"/>
      <c r="AM35" s="2808"/>
      <c r="AN35" s="2808"/>
      <c r="AO35" s="2808"/>
      <c r="AP35" s="2808"/>
      <c r="AQ35" s="2808"/>
      <c r="AR35" s="2808"/>
      <c r="AS35" s="2808"/>
      <c r="AT35" s="2808"/>
      <c r="AU35" s="2808"/>
      <c r="AV35" s="2808"/>
      <c r="AW35" s="2808"/>
      <c r="AX35" s="2808"/>
      <c r="AY35" s="2808"/>
      <c r="AZ35" s="2808"/>
      <c r="BA35" s="2808"/>
      <c r="BB35" s="2808"/>
      <c r="BC35" s="2808"/>
      <c r="BD35" s="2808"/>
      <c r="BE35" s="2808"/>
      <c r="BF35" s="2808"/>
      <c r="BG35" s="2808"/>
      <c r="BH35" s="2808"/>
      <c r="BI35" s="2808"/>
    </row>
    <row r="36" spans="1:61" s="3790" customFormat="1">
      <c r="A36" s="3788"/>
      <c r="B36" s="3776"/>
      <c r="C36" s="3776"/>
      <c r="D36" s="3788"/>
      <c r="E36" s="3791"/>
      <c r="F36" s="3788"/>
      <c r="G36" s="3788"/>
      <c r="H36" s="3788"/>
      <c r="I36" s="3788"/>
      <c r="J36" s="3788"/>
      <c r="K36" s="3788"/>
      <c r="L36" s="3984" t="s">
        <v>2007</v>
      </c>
      <c r="M36" s="3976">
        <f t="shared" ref="M36:M37" si="8">M27+(M30*M33)</f>
        <v>20086.5</v>
      </c>
      <c r="N36" s="3976">
        <f t="shared" ref="N36:AE36" si="9">N27+(N30*N33)</f>
        <v>21595.5</v>
      </c>
      <c r="O36" s="3976">
        <f t="shared" si="9"/>
        <v>67569</v>
      </c>
      <c r="P36" s="3976">
        <f t="shared" si="9"/>
        <v>67569</v>
      </c>
      <c r="Q36" s="3976">
        <f t="shared" si="9"/>
        <v>70344</v>
      </c>
      <c r="R36" s="3976">
        <f t="shared" si="9"/>
        <v>20086.5</v>
      </c>
      <c r="S36" s="3976">
        <f t="shared" si="9"/>
        <v>20086.5</v>
      </c>
      <c r="T36" s="3976">
        <f t="shared" si="9"/>
        <v>20086.5</v>
      </c>
      <c r="U36" s="3976">
        <f t="shared" si="9"/>
        <v>67569</v>
      </c>
      <c r="V36" s="3976">
        <f t="shared" si="9"/>
        <v>67569</v>
      </c>
      <c r="W36" s="3976">
        <f t="shared" si="9"/>
        <v>21595.5</v>
      </c>
      <c r="X36" s="3976">
        <f t="shared" si="9"/>
        <v>21595.5</v>
      </c>
      <c r="Y36" s="3976">
        <f t="shared" si="9"/>
        <v>21595.5</v>
      </c>
      <c r="Z36" s="3976">
        <f t="shared" si="9"/>
        <v>21595.5</v>
      </c>
      <c r="AA36" s="3976">
        <f t="shared" si="9"/>
        <v>21595.5</v>
      </c>
      <c r="AB36" s="3976">
        <f t="shared" si="9"/>
        <v>20086.5</v>
      </c>
      <c r="AC36" s="3976">
        <f t="shared" si="9"/>
        <v>20086.5</v>
      </c>
      <c r="AD36" s="3976">
        <f t="shared" si="9"/>
        <v>21595.5</v>
      </c>
      <c r="AE36" s="3977">
        <f t="shared" si="9"/>
        <v>21595.5</v>
      </c>
      <c r="AF36" s="2808"/>
      <c r="AG36" s="2808"/>
      <c r="AH36" s="2808"/>
      <c r="AI36" s="2808"/>
      <c r="AJ36" s="2808"/>
      <c r="AK36" s="2808"/>
      <c r="AL36" s="2808"/>
      <c r="AM36" s="2808"/>
      <c r="AN36" s="2808"/>
      <c r="AO36" s="2808"/>
      <c r="AP36" s="2808"/>
      <c r="AQ36" s="2808"/>
      <c r="AR36" s="2808"/>
      <c r="AS36" s="2808"/>
      <c r="AT36" s="2808"/>
      <c r="AU36" s="2808"/>
      <c r="AV36" s="2808"/>
      <c r="AW36" s="2808"/>
      <c r="AX36" s="2808"/>
      <c r="AY36" s="2808"/>
      <c r="AZ36" s="2808"/>
      <c r="BA36" s="2808"/>
      <c r="BB36" s="2808"/>
      <c r="BC36" s="2808"/>
      <c r="BD36" s="2808"/>
      <c r="BE36" s="2808"/>
      <c r="BF36" s="2808"/>
      <c r="BG36" s="2808"/>
      <c r="BH36" s="2808"/>
      <c r="BI36" s="2808"/>
    </row>
    <row r="37" spans="1:61" s="3790" customFormat="1">
      <c r="A37" s="3788"/>
      <c r="B37" s="3788"/>
      <c r="C37" s="3788"/>
      <c r="D37" s="3788"/>
      <c r="E37" s="3791"/>
      <c r="F37" s="3788"/>
      <c r="G37" s="3788"/>
      <c r="H37" s="3788"/>
      <c r="I37" s="3788"/>
      <c r="J37" s="3788"/>
      <c r="K37" s="3788"/>
      <c r="L37" s="3985" t="s">
        <v>2008</v>
      </c>
      <c r="M37" s="3972">
        <f t="shared" si="8"/>
        <v>7957.5</v>
      </c>
      <c r="N37" s="3972">
        <f t="shared" ref="N37:AE37" si="10">N28+(N31*N34)</f>
        <v>8712</v>
      </c>
      <c r="O37" s="3972">
        <f t="shared" si="10"/>
        <v>30445.5</v>
      </c>
      <c r="P37" s="3972">
        <f t="shared" si="10"/>
        <v>30445.5</v>
      </c>
      <c r="Q37" s="3972">
        <f t="shared" si="10"/>
        <v>31000.5</v>
      </c>
      <c r="R37" s="3972">
        <f t="shared" si="10"/>
        <v>7957.5</v>
      </c>
      <c r="S37" s="3972">
        <f t="shared" si="10"/>
        <v>7957.5</v>
      </c>
      <c r="T37" s="3972">
        <f t="shared" si="10"/>
        <v>7957.5</v>
      </c>
      <c r="U37" s="3972">
        <f t="shared" si="10"/>
        <v>30445.5</v>
      </c>
      <c r="V37" s="3972">
        <f t="shared" si="10"/>
        <v>30445.5</v>
      </c>
      <c r="W37" s="3972">
        <f t="shared" si="10"/>
        <v>8712</v>
      </c>
      <c r="X37" s="3972">
        <f t="shared" si="10"/>
        <v>8712</v>
      </c>
      <c r="Y37" s="3972">
        <f t="shared" si="10"/>
        <v>8712</v>
      </c>
      <c r="Z37" s="3972">
        <f t="shared" si="10"/>
        <v>8712</v>
      </c>
      <c r="AA37" s="3972">
        <f t="shared" si="10"/>
        <v>8712</v>
      </c>
      <c r="AB37" s="3972">
        <f t="shared" si="10"/>
        <v>7957.5</v>
      </c>
      <c r="AC37" s="3972">
        <f t="shared" si="10"/>
        <v>7957.5</v>
      </c>
      <c r="AD37" s="3972">
        <f t="shared" si="10"/>
        <v>8712</v>
      </c>
      <c r="AE37" s="3973">
        <f t="shared" si="10"/>
        <v>8712</v>
      </c>
      <c r="AF37" s="2808"/>
      <c r="AG37" s="2808"/>
      <c r="AH37" s="2808"/>
      <c r="AI37" s="2808"/>
      <c r="AJ37" s="2808"/>
      <c r="AK37" s="2808"/>
      <c r="AL37" s="2808"/>
      <c r="AM37" s="2808"/>
      <c r="AN37" s="2808"/>
      <c r="AO37" s="2808"/>
      <c r="AP37" s="2808"/>
      <c r="AQ37" s="2808"/>
      <c r="AR37" s="2808"/>
      <c r="AS37" s="2808"/>
      <c r="AT37" s="2808"/>
      <c r="AU37" s="2808"/>
      <c r="AV37" s="2808"/>
      <c r="AW37" s="2808"/>
      <c r="AX37" s="2808"/>
      <c r="AY37" s="2808"/>
      <c r="AZ37" s="2808"/>
      <c r="BA37" s="2808"/>
      <c r="BB37" s="2808"/>
      <c r="BC37" s="2808"/>
      <c r="BD37" s="2808"/>
      <c r="BE37" s="2808"/>
      <c r="BF37" s="2808"/>
      <c r="BG37" s="2808"/>
      <c r="BH37" s="2808"/>
      <c r="BI37" s="2808"/>
    </row>
    <row r="38" spans="1:61" s="3790" customFormat="1" ht="15.75" thickBot="1">
      <c r="A38" s="3792"/>
      <c r="B38" s="3788"/>
      <c r="C38" s="3788"/>
      <c r="D38" s="3793"/>
      <c r="E38" s="3791"/>
      <c r="F38" s="3788"/>
      <c r="G38" s="3788"/>
      <c r="H38" s="3788"/>
      <c r="I38" s="3788"/>
      <c r="J38" s="3788"/>
      <c r="K38" s="3788"/>
      <c r="L38" s="3986" t="s">
        <v>2009</v>
      </c>
      <c r="M38" s="3987">
        <f>M29+(M32*M35)</f>
        <v>4725.625</v>
      </c>
      <c r="N38" s="3987">
        <f t="shared" ref="N38:AE38" si="11">N29+(N32*N35)</f>
        <v>5228.625</v>
      </c>
      <c r="O38" s="3987">
        <f t="shared" si="11"/>
        <v>19369.5</v>
      </c>
      <c r="P38" s="3987">
        <f t="shared" si="11"/>
        <v>19369.5</v>
      </c>
      <c r="Q38" s="3987">
        <f t="shared" si="11"/>
        <v>19508.25</v>
      </c>
      <c r="R38" s="3987">
        <f t="shared" si="11"/>
        <v>4725.625</v>
      </c>
      <c r="S38" s="3987">
        <f t="shared" si="11"/>
        <v>4725.625</v>
      </c>
      <c r="T38" s="3987">
        <f t="shared" si="11"/>
        <v>4725.625</v>
      </c>
      <c r="U38" s="3987">
        <f t="shared" si="11"/>
        <v>19369.5</v>
      </c>
      <c r="V38" s="3987">
        <f t="shared" si="11"/>
        <v>19369.5</v>
      </c>
      <c r="W38" s="3987">
        <f t="shared" si="11"/>
        <v>5228.625</v>
      </c>
      <c r="X38" s="3987">
        <f t="shared" si="11"/>
        <v>5228.625</v>
      </c>
      <c r="Y38" s="3987">
        <f t="shared" si="11"/>
        <v>5228.625</v>
      </c>
      <c r="Z38" s="3987">
        <f t="shared" si="11"/>
        <v>5228.625</v>
      </c>
      <c r="AA38" s="3987">
        <f t="shared" si="11"/>
        <v>5228.625</v>
      </c>
      <c r="AB38" s="3987">
        <f t="shared" si="11"/>
        <v>4725.625</v>
      </c>
      <c r="AC38" s="3987">
        <f t="shared" si="11"/>
        <v>4725.625</v>
      </c>
      <c r="AD38" s="3987">
        <f t="shared" si="11"/>
        <v>5228.625</v>
      </c>
      <c r="AE38" s="3988">
        <f t="shared" si="11"/>
        <v>5228.625</v>
      </c>
      <c r="AF38" s="2808"/>
      <c r="AG38" s="2808"/>
      <c r="AH38" s="2808"/>
      <c r="AI38" s="2808"/>
      <c r="AJ38" s="2808"/>
      <c r="AK38" s="2808"/>
      <c r="AL38" s="2808"/>
      <c r="AM38" s="2808"/>
      <c r="AN38" s="2808"/>
      <c r="AO38" s="2808"/>
      <c r="AP38" s="2808"/>
      <c r="AQ38" s="2808"/>
      <c r="AR38" s="2808"/>
      <c r="AS38" s="2808"/>
      <c r="AT38" s="2808"/>
      <c r="AU38" s="2808"/>
      <c r="AV38" s="2808"/>
      <c r="AW38" s="2808"/>
      <c r="AX38" s="2808"/>
      <c r="AY38" s="2808"/>
      <c r="AZ38" s="2808"/>
      <c r="BA38" s="2808"/>
      <c r="BB38" s="2808"/>
      <c r="BC38" s="2808"/>
      <c r="BD38" s="2808"/>
      <c r="BE38" s="2808"/>
      <c r="BF38" s="2808"/>
      <c r="BG38" s="2808"/>
      <c r="BH38" s="2808"/>
      <c r="BI38" s="2808"/>
    </row>
    <row r="39" spans="1:61" s="3790" customFormat="1">
      <c r="A39" s="3794"/>
      <c r="B39" s="3794"/>
      <c r="C39" s="3794"/>
      <c r="D39" s="3794"/>
      <c r="E39" s="3791"/>
      <c r="F39" s="3788"/>
      <c r="G39" s="3788"/>
      <c r="H39" s="3788"/>
      <c r="I39" s="3788"/>
      <c r="J39" s="3788"/>
      <c r="K39" s="3788"/>
      <c r="L39" s="3989" t="s">
        <v>2010</v>
      </c>
      <c r="M39" s="3990">
        <f t="shared" ref="M39:AE39" si="12">((VLOOKUP(M$26,$G$6:$J$20,$J$1,TRUE))/10)*M30</f>
        <v>2.1761411094991762E-2</v>
      </c>
      <c r="N39" s="3990">
        <f t="shared" si="12"/>
        <v>3.2289228895001278E-2</v>
      </c>
      <c r="O39" s="3990">
        <f t="shared" si="12"/>
        <v>7.2480622706929095E-3</v>
      </c>
      <c r="P39" s="3990">
        <f t="shared" si="12"/>
        <v>3.092809044041106E-3</v>
      </c>
      <c r="Q39" s="3990">
        <f t="shared" si="12"/>
        <v>3.092809044041106E-3</v>
      </c>
      <c r="R39" s="3990">
        <f t="shared" si="12"/>
        <v>1.5701404240836235E-2</v>
      </c>
      <c r="S39" s="3990">
        <f t="shared" si="12"/>
        <v>3.140280848167247E-2</v>
      </c>
      <c r="T39" s="3990">
        <f t="shared" si="12"/>
        <v>3.140280848167247E-2</v>
      </c>
      <c r="U39" s="3990">
        <f t="shared" si="12"/>
        <v>7.2480622706929095E-3</v>
      </c>
      <c r="V39" s="3990">
        <f t="shared" si="12"/>
        <v>7.2480622706929095E-3</v>
      </c>
      <c r="W39" s="3990">
        <f t="shared" si="12"/>
        <v>3.2289228895001278E-2</v>
      </c>
      <c r="X39" s="3990">
        <f t="shared" si="12"/>
        <v>3.2289228895001278E-2</v>
      </c>
      <c r="Y39" s="3990">
        <f t="shared" si="12"/>
        <v>3.2289228895001278E-2</v>
      </c>
      <c r="Z39" s="3990">
        <f t="shared" si="12"/>
        <v>3.2289228895001278E-2</v>
      </c>
      <c r="AA39" s="3990">
        <f t="shared" si="12"/>
        <v>3.2289228895001278E-2</v>
      </c>
      <c r="AB39" s="3990">
        <f t="shared" si="12"/>
        <v>4.5560328827255921E-2</v>
      </c>
      <c r="AC39" s="3990">
        <f t="shared" si="12"/>
        <v>4.5560328827255921E-2</v>
      </c>
      <c r="AD39" s="3990">
        <f t="shared" si="12"/>
        <v>3.2289228895001278E-2</v>
      </c>
      <c r="AE39" s="3991">
        <f t="shared" si="12"/>
        <v>3.2289228895001278E-2</v>
      </c>
      <c r="AF39" s="2808"/>
      <c r="AG39" s="2808"/>
      <c r="AH39" s="2808"/>
      <c r="AI39" s="2808"/>
      <c r="AJ39" s="2808"/>
      <c r="AK39" s="2808"/>
      <c r="AL39" s="2808"/>
      <c r="AM39" s="2808"/>
      <c r="AN39" s="2808"/>
      <c r="AO39" s="2808"/>
      <c r="AP39" s="2808"/>
      <c r="AQ39" s="2808"/>
      <c r="AR39" s="2808"/>
      <c r="AS39" s="2808"/>
      <c r="AT39" s="2808"/>
      <c r="AU39" s="2808"/>
      <c r="AV39" s="2808"/>
      <c r="AW39" s="2808"/>
      <c r="AX39" s="2808"/>
      <c r="AY39" s="2808"/>
      <c r="AZ39" s="2808"/>
      <c r="BA39" s="2808"/>
      <c r="BB39" s="2808"/>
      <c r="BC39" s="2808"/>
      <c r="BD39" s="2808"/>
      <c r="BE39" s="2808"/>
      <c r="BF39" s="2808"/>
      <c r="BG39" s="2808"/>
      <c r="BH39" s="2808"/>
      <c r="BI39" s="2808"/>
    </row>
    <row r="40" spans="1:61" s="3790" customFormat="1">
      <c r="A40" s="3788"/>
      <c r="B40" s="3776"/>
      <c r="C40" s="3776"/>
      <c r="D40" s="3788"/>
      <c r="E40" s="3789"/>
      <c r="F40" s="3788"/>
      <c r="G40" s="3788"/>
      <c r="H40" s="3788"/>
      <c r="I40" s="3788"/>
      <c r="J40" s="3788"/>
      <c r="K40" s="3788"/>
      <c r="L40" s="3982" t="s">
        <v>2011</v>
      </c>
      <c r="M40" s="3803">
        <f t="shared" ref="M40:AE40" si="13">((VLOOKUP(M$26,$G$6:$J$20,$J$1,TRUE))/10)*M31</f>
        <v>6.528423328497528E-3</v>
      </c>
      <c r="N40" s="3803">
        <f t="shared" si="13"/>
        <v>9.6867686685003819E-3</v>
      </c>
      <c r="O40" s="3803">
        <f t="shared" si="13"/>
        <v>2.1744186812078727E-3</v>
      </c>
      <c r="P40" s="3803">
        <f t="shared" si="13"/>
        <v>9.2784271321233187E-4</v>
      </c>
      <c r="Q40" s="3803">
        <f t="shared" si="13"/>
        <v>9.2784271321233187E-4</v>
      </c>
      <c r="R40" s="3803">
        <f t="shared" si="13"/>
        <v>4.7104212722508705E-3</v>
      </c>
      <c r="S40" s="3803">
        <f t="shared" si="13"/>
        <v>9.420842544501741E-3</v>
      </c>
      <c r="T40" s="3803">
        <f t="shared" si="13"/>
        <v>9.420842544501741E-3</v>
      </c>
      <c r="U40" s="3803">
        <f t="shared" si="13"/>
        <v>2.1744186812078727E-3</v>
      </c>
      <c r="V40" s="3803">
        <f t="shared" si="13"/>
        <v>2.1744186812078727E-3</v>
      </c>
      <c r="W40" s="3803">
        <f t="shared" si="13"/>
        <v>9.6867686685003819E-3</v>
      </c>
      <c r="X40" s="3803">
        <f t="shared" si="13"/>
        <v>9.6867686685003819E-3</v>
      </c>
      <c r="Y40" s="3803">
        <f t="shared" si="13"/>
        <v>9.6867686685003819E-3</v>
      </c>
      <c r="Z40" s="3803">
        <f t="shared" si="13"/>
        <v>9.6867686685003819E-3</v>
      </c>
      <c r="AA40" s="3803">
        <f t="shared" si="13"/>
        <v>9.6867686685003819E-3</v>
      </c>
      <c r="AB40" s="3803">
        <f t="shared" si="13"/>
        <v>1.3668098648176776E-2</v>
      </c>
      <c r="AC40" s="3803">
        <f t="shared" si="13"/>
        <v>1.3668098648176776E-2</v>
      </c>
      <c r="AD40" s="3803">
        <f t="shared" si="13"/>
        <v>9.6867686685003819E-3</v>
      </c>
      <c r="AE40" s="3966">
        <f t="shared" si="13"/>
        <v>9.6867686685003819E-3</v>
      </c>
      <c r="AF40" s="2808"/>
      <c r="AG40" s="2808"/>
      <c r="AH40" s="2808"/>
      <c r="AI40" s="2808"/>
      <c r="AJ40" s="2808"/>
      <c r="AK40" s="2808"/>
      <c r="AL40" s="2808"/>
      <c r="AM40" s="2808"/>
      <c r="AN40" s="2808"/>
      <c r="AO40" s="2808"/>
      <c r="AP40" s="2808"/>
      <c r="AQ40" s="2808"/>
      <c r="AR40" s="2808"/>
      <c r="AS40" s="2808"/>
      <c r="AT40" s="2808"/>
      <c r="AU40" s="2808"/>
      <c r="AV40" s="2808"/>
      <c r="AW40" s="2808"/>
      <c r="AX40" s="2808"/>
      <c r="AY40" s="2808"/>
      <c r="AZ40" s="2808"/>
      <c r="BA40" s="2808"/>
      <c r="BB40" s="2808"/>
      <c r="BC40" s="2808"/>
      <c r="BD40" s="2808"/>
      <c r="BE40" s="2808"/>
      <c r="BF40" s="2808"/>
      <c r="BG40" s="2808"/>
      <c r="BH40" s="2808"/>
      <c r="BI40" s="2808"/>
    </row>
    <row r="41" spans="1:61" s="3790" customFormat="1" ht="15.75" thickBot="1">
      <c r="A41" s="3788"/>
      <c r="B41" s="3776"/>
      <c r="C41" s="3776"/>
      <c r="D41" s="3788"/>
      <c r="E41" s="3788"/>
      <c r="F41" s="3788"/>
      <c r="G41" s="3788"/>
      <c r="H41" s="3788"/>
      <c r="I41" s="3788"/>
      <c r="J41" s="3788"/>
      <c r="K41" s="3788"/>
      <c r="L41" s="3983" t="s">
        <v>2012</v>
      </c>
      <c r="M41" s="3967">
        <f t="shared" ref="M41:AE41" si="14">((VLOOKUP(M$26,$G$6:$J$20,$J$1,TRUE))/10)*M32</f>
        <v>2.1761411094991761E-3</v>
      </c>
      <c r="N41" s="3967">
        <f t="shared" si="14"/>
        <v>3.2289228895001276E-3</v>
      </c>
      <c r="O41" s="3967">
        <f t="shared" si="14"/>
        <v>7.2480622706929093E-4</v>
      </c>
      <c r="P41" s="3967">
        <f t="shared" si="14"/>
        <v>3.0928090440411062E-4</v>
      </c>
      <c r="Q41" s="3967">
        <f t="shared" si="14"/>
        <v>3.0928090440411062E-4</v>
      </c>
      <c r="R41" s="3967">
        <f t="shared" si="14"/>
        <v>1.5701404240836235E-3</v>
      </c>
      <c r="S41" s="3967">
        <f t="shared" si="14"/>
        <v>3.140280848167247E-3</v>
      </c>
      <c r="T41" s="3967">
        <f t="shared" si="14"/>
        <v>3.140280848167247E-3</v>
      </c>
      <c r="U41" s="3967">
        <f t="shared" si="14"/>
        <v>7.2480622706929093E-4</v>
      </c>
      <c r="V41" s="3967">
        <f t="shared" si="14"/>
        <v>7.2480622706929093E-4</v>
      </c>
      <c r="W41" s="3967">
        <f t="shared" si="14"/>
        <v>3.2289228895001276E-3</v>
      </c>
      <c r="X41" s="3967">
        <f t="shared" si="14"/>
        <v>3.2289228895001276E-3</v>
      </c>
      <c r="Y41" s="3967">
        <f t="shared" si="14"/>
        <v>3.2289228895001276E-3</v>
      </c>
      <c r="Z41" s="3967">
        <f t="shared" si="14"/>
        <v>3.2289228895001276E-3</v>
      </c>
      <c r="AA41" s="3967">
        <f t="shared" si="14"/>
        <v>3.2289228895001276E-3</v>
      </c>
      <c r="AB41" s="3967">
        <f t="shared" si="14"/>
        <v>4.5560328827255921E-3</v>
      </c>
      <c r="AC41" s="3967">
        <f t="shared" si="14"/>
        <v>4.5560328827255921E-3</v>
      </c>
      <c r="AD41" s="3967">
        <f t="shared" si="14"/>
        <v>3.2289228895001276E-3</v>
      </c>
      <c r="AE41" s="3968">
        <f t="shared" si="14"/>
        <v>3.2289228895001276E-3</v>
      </c>
      <c r="AF41" s="2808"/>
      <c r="AG41" s="2808"/>
      <c r="AH41" s="2808"/>
      <c r="AI41" s="2808"/>
      <c r="AJ41" s="2808"/>
      <c r="AK41" s="2808"/>
      <c r="AL41" s="2808"/>
      <c r="AM41" s="2808"/>
      <c r="AN41" s="2808"/>
      <c r="AO41" s="2808"/>
      <c r="AP41" s="2808"/>
      <c r="AQ41" s="2808"/>
      <c r="AR41" s="2808"/>
      <c r="AS41" s="2808"/>
      <c r="AT41" s="2808"/>
      <c r="AU41" s="2808"/>
      <c r="AV41" s="2808"/>
      <c r="AW41" s="2808"/>
      <c r="AX41" s="2808"/>
      <c r="AY41" s="2808"/>
      <c r="AZ41" s="2808"/>
      <c r="BA41" s="2808"/>
      <c r="BB41" s="2808"/>
      <c r="BC41" s="2808"/>
      <c r="BD41" s="2808"/>
      <c r="BE41" s="2808"/>
      <c r="BF41" s="2808"/>
      <c r="BG41" s="2808"/>
      <c r="BH41" s="2808"/>
      <c r="BI41" s="2808"/>
    </row>
    <row r="42" spans="1:61" s="3790" customFormat="1" ht="15.75" thickBot="1">
      <c r="A42" s="3788"/>
      <c r="B42" s="3776"/>
      <c r="C42" s="3776"/>
      <c r="D42" s="3788"/>
      <c r="E42" s="3788"/>
      <c r="F42" s="3788"/>
      <c r="G42" s="3788"/>
      <c r="H42" s="3788"/>
      <c r="I42" s="3788"/>
      <c r="J42" s="3788"/>
      <c r="K42" s="3788"/>
      <c r="L42" s="2808"/>
      <c r="M42" s="2810"/>
      <c r="N42" s="2809"/>
      <c r="O42" s="2808"/>
      <c r="P42" s="2808"/>
      <c r="Q42" s="2808"/>
      <c r="R42" s="2808"/>
      <c r="S42" s="2808"/>
      <c r="T42" s="2808"/>
      <c r="U42" s="2808"/>
      <c r="V42" s="2808"/>
      <c r="W42" s="2808"/>
      <c r="X42" s="2808"/>
      <c r="Y42" s="2808"/>
      <c r="Z42" s="2808"/>
      <c r="AA42" s="2808"/>
      <c r="AB42" s="2808"/>
      <c r="AC42" s="2808"/>
      <c r="AD42" s="2808"/>
      <c r="AE42" s="2808"/>
      <c r="AF42" s="2808"/>
      <c r="AG42" s="2808"/>
      <c r="AH42" s="2808"/>
      <c r="AI42" s="2808"/>
      <c r="AJ42" s="2808"/>
      <c r="AK42" s="2808"/>
      <c r="AL42" s="2808"/>
      <c r="AM42" s="2808"/>
      <c r="AN42" s="2808"/>
      <c r="AO42" s="2808"/>
      <c r="AP42" s="2808"/>
      <c r="AQ42" s="2808"/>
      <c r="AR42" s="2808"/>
      <c r="AS42" s="2808"/>
      <c r="AT42" s="2808"/>
      <c r="AU42" s="2808"/>
      <c r="AV42" s="2808"/>
      <c r="AW42" s="2808"/>
      <c r="AX42" s="2808"/>
      <c r="AY42" s="2808"/>
      <c r="AZ42" s="2808"/>
      <c r="BA42" s="2808"/>
      <c r="BB42" s="2808"/>
      <c r="BC42" s="2808"/>
      <c r="BD42" s="2808"/>
      <c r="BE42" s="2808"/>
      <c r="BF42" s="2808"/>
      <c r="BG42" s="2808"/>
      <c r="BH42" s="2808"/>
      <c r="BI42" s="2808"/>
    </row>
    <row r="43" spans="1:61" s="3790" customFormat="1">
      <c r="A43" s="3788"/>
      <c r="B43" s="3776"/>
      <c r="C43" s="3776"/>
      <c r="D43" s="3788"/>
      <c r="E43" s="3788"/>
      <c r="F43" s="3788"/>
      <c r="G43" s="3788"/>
      <c r="H43" s="3788"/>
      <c r="I43" s="3788"/>
      <c r="J43" s="3788"/>
      <c r="K43" s="3788"/>
      <c r="L43" s="3989" t="s">
        <v>2023</v>
      </c>
      <c r="M43" s="4069"/>
      <c r="N43" s="4070"/>
      <c r="O43" s="4071"/>
      <c r="P43" s="4071"/>
      <c r="Q43" s="4071"/>
      <c r="R43" s="4071"/>
      <c r="S43" s="4071"/>
      <c r="T43" s="4071"/>
      <c r="U43" s="4071"/>
      <c r="V43" s="4071"/>
      <c r="W43" s="4071"/>
      <c r="X43" s="4071"/>
      <c r="Y43" s="4071"/>
      <c r="Z43" s="4071"/>
      <c r="AA43" s="4071"/>
      <c r="AB43" s="4071"/>
      <c r="AC43" s="4071"/>
      <c r="AD43" s="4071"/>
      <c r="AE43" s="4072"/>
      <c r="AF43" s="2808"/>
      <c r="AG43" s="2808"/>
      <c r="AH43" s="2808"/>
      <c r="AI43" s="2808"/>
      <c r="AJ43" s="2808"/>
      <c r="AK43" s="2808"/>
      <c r="AL43" s="2808"/>
      <c r="AM43" s="2808"/>
      <c r="AN43" s="2808"/>
      <c r="AO43" s="2808"/>
      <c r="AP43" s="2808"/>
      <c r="AQ43" s="2808"/>
      <c r="AR43" s="2808"/>
      <c r="AS43" s="2808"/>
      <c r="AT43" s="2808"/>
      <c r="AU43" s="2808"/>
      <c r="AV43" s="2808"/>
      <c r="AW43" s="2808"/>
      <c r="AX43" s="2808"/>
      <c r="AY43" s="2808"/>
      <c r="AZ43" s="2808"/>
      <c r="BA43" s="2808"/>
      <c r="BB43" s="2808"/>
      <c r="BC43" s="2808"/>
      <c r="BD43" s="2808"/>
      <c r="BE43" s="2808"/>
      <c r="BF43" s="2808"/>
      <c r="BG43" s="2808"/>
      <c r="BH43" s="2808"/>
      <c r="BI43" s="2808"/>
    </row>
    <row r="44" spans="1:61" s="3790" customFormat="1">
      <c r="A44" s="3788"/>
      <c r="B44" s="3788"/>
      <c r="C44" s="3788"/>
      <c r="D44" s="3788"/>
      <c r="E44" s="3788"/>
      <c r="F44" s="3788"/>
      <c r="G44" s="3788"/>
      <c r="H44" s="3788"/>
      <c r="I44" s="3788"/>
      <c r="J44" s="3788"/>
      <c r="K44" s="3788"/>
      <c r="L44" s="3982" t="s">
        <v>249</v>
      </c>
      <c r="M44" s="4068">
        <f t="shared" ref="M44:AC44" si="15">M36/M$26</f>
        <v>402.5350701402806</v>
      </c>
      <c r="N44" s="4068">
        <f t="shared" si="15"/>
        <v>215.95500000000001</v>
      </c>
      <c r="O44" s="4068">
        <f t="shared" si="15"/>
        <v>337.84500000000003</v>
      </c>
      <c r="P44" s="4068">
        <f t="shared" si="15"/>
        <v>135.13800000000001</v>
      </c>
      <c r="Q44" s="4068">
        <f t="shared" si="15"/>
        <v>127.89818181818181</v>
      </c>
      <c r="R44" s="4068">
        <f t="shared" si="15"/>
        <v>401.73</v>
      </c>
      <c r="S44" s="4068">
        <f t="shared" si="15"/>
        <v>669.55</v>
      </c>
      <c r="T44" s="4068">
        <f t="shared" si="15"/>
        <v>669.55</v>
      </c>
      <c r="U44" s="4068">
        <f t="shared" si="15"/>
        <v>270.27600000000001</v>
      </c>
      <c r="V44" s="4068">
        <f t="shared" si="15"/>
        <v>270.27600000000001</v>
      </c>
      <c r="W44" s="4068">
        <f t="shared" si="15"/>
        <v>215.95500000000001</v>
      </c>
      <c r="X44" s="4068">
        <f t="shared" si="15"/>
        <v>215.95500000000001</v>
      </c>
      <c r="Y44" s="4068">
        <f t="shared" si="15"/>
        <v>215.95500000000001</v>
      </c>
      <c r="Z44" s="4068">
        <f t="shared" si="15"/>
        <v>215.95500000000001</v>
      </c>
      <c r="AA44" s="4068">
        <f t="shared" si="15"/>
        <v>215.95500000000001</v>
      </c>
      <c r="AB44" s="4068">
        <f t="shared" si="15"/>
        <v>1004.325</v>
      </c>
      <c r="AC44" s="4068">
        <f t="shared" si="15"/>
        <v>1004.325</v>
      </c>
      <c r="AD44" s="4068">
        <f t="shared" ref="AD44:AE46" si="16">AD36/AD$26</f>
        <v>215.95500000000001</v>
      </c>
      <c r="AE44" s="4073">
        <f t="shared" si="16"/>
        <v>215.95500000000001</v>
      </c>
      <c r="AF44" s="2808"/>
      <c r="AG44" s="2808"/>
      <c r="AH44" s="2808"/>
      <c r="AI44" s="2808"/>
      <c r="AJ44" s="2808"/>
      <c r="AK44" s="2808"/>
      <c r="AL44" s="2808"/>
      <c r="AM44" s="2808"/>
      <c r="AN44" s="2808"/>
      <c r="AO44" s="2808"/>
      <c r="AP44" s="2808"/>
      <c r="AQ44" s="2808"/>
      <c r="AR44" s="2808"/>
      <c r="AS44" s="2808"/>
      <c r="AT44" s="2808"/>
      <c r="AU44" s="2808"/>
      <c r="AV44" s="2808"/>
      <c r="AW44" s="2808"/>
      <c r="AX44" s="2808"/>
      <c r="AY44" s="2808"/>
      <c r="AZ44" s="2808"/>
      <c r="BA44" s="2808"/>
      <c r="BB44" s="2808"/>
      <c r="BC44" s="2808"/>
      <c r="BD44" s="2808"/>
      <c r="BE44" s="2808"/>
      <c r="BF44" s="2808"/>
      <c r="BG44" s="2808"/>
      <c r="BH44" s="2808"/>
      <c r="BI44" s="2808"/>
    </row>
    <row r="45" spans="1:61" s="3790" customFormat="1">
      <c r="A45" s="3792"/>
      <c r="B45" s="3788"/>
      <c r="C45" s="3788"/>
      <c r="D45" s="3793"/>
      <c r="E45" s="3791"/>
      <c r="F45" s="3788"/>
      <c r="G45" s="3788"/>
      <c r="H45" s="3788"/>
      <c r="I45" s="3788"/>
      <c r="J45" s="3788"/>
      <c r="K45" s="3788"/>
      <c r="L45" s="3982" t="s">
        <v>1742</v>
      </c>
      <c r="M45" s="4068">
        <f t="shared" ref="M45:AB46" si="17">M37/M$26</f>
        <v>159.46893787575152</v>
      </c>
      <c r="N45" s="4068">
        <f t="shared" si="17"/>
        <v>87.12</v>
      </c>
      <c r="O45" s="4068">
        <f t="shared" si="17"/>
        <v>152.22749999999999</v>
      </c>
      <c r="P45" s="4068">
        <f t="shared" si="17"/>
        <v>60.890999999999998</v>
      </c>
      <c r="Q45" s="4068">
        <f t="shared" si="17"/>
        <v>56.364545454545457</v>
      </c>
      <c r="R45" s="4068">
        <f t="shared" si="17"/>
        <v>159.15</v>
      </c>
      <c r="S45" s="4068">
        <f t="shared" si="17"/>
        <v>265.25</v>
      </c>
      <c r="T45" s="4068">
        <f t="shared" si="17"/>
        <v>265.25</v>
      </c>
      <c r="U45" s="4068">
        <f t="shared" si="17"/>
        <v>121.782</v>
      </c>
      <c r="V45" s="4068">
        <f t="shared" si="17"/>
        <v>121.782</v>
      </c>
      <c r="W45" s="4068">
        <f t="shared" si="17"/>
        <v>87.12</v>
      </c>
      <c r="X45" s="4068">
        <f t="shared" si="17"/>
        <v>87.12</v>
      </c>
      <c r="Y45" s="4068">
        <f t="shared" si="17"/>
        <v>87.12</v>
      </c>
      <c r="Z45" s="4068">
        <f t="shared" si="17"/>
        <v>87.12</v>
      </c>
      <c r="AA45" s="4068">
        <f t="shared" si="17"/>
        <v>87.12</v>
      </c>
      <c r="AB45" s="4068">
        <f t="shared" si="17"/>
        <v>397.875</v>
      </c>
      <c r="AC45" s="4068">
        <f>AC37/AC$26</f>
        <v>397.875</v>
      </c>
      <c r="AD45" s="4068">
        <f t="shared" si="16"/>
        <v>87.12</v>
      </c>
      <c r="AE45" s="4073">
        <f t="shared" si="16"/>
        <v>87.12</v>
      </c>
      <c r="AF45" s="2808"/>
      <c r="AG45" s="2808"/>
      <c r="AH45" s="2808"/>
      <c r="AI45" s="2808"/>
      <c r="AJ45" s="2808"/>
      <c r="AK45" s="2808"/>
      <c r="AL45" s="2808"/>
      <c r="AM45" s="2808"/>
      <c r="AN45" s="2808"/>
      <c r="AO45" s="2808"/>
      <c r="AP45" s="2808"/>
      <c r="AQ45" s="2808"/>
      <c r="AR45" s="2808"/>
      <c r="AS45" s="2808"/>
      <c r="AT45" s="2808"/>
      <c r="AU45" s="2808"/>
      <c r="AV45" s="2808"/>
      <c r="AW45" s="2808"/>
      <c r="AX45" s="2808"/>
      <c r="AY45" s="2808"/>
      <c r="AZ45" s="2808"/>
      <c r="BA45" s="2808"/>
      <c r="BB45" s="2808"/>
      <c r="BC45" s="2808"/>
      <c r="BD45" s="2808"/>
      <c r="BE45" s="2808"/>
      <c r="BF45" s="2808"/>
      <c r="BG45" s="2808"/>
      <c r="BH45" s="2808"/>
      <c r="BI45" s="2808"/>
    </row>
    <row r="46" spans="1:61" s="3790" customFormat="1" ht="15.75" thickBot="1">
      <c r="A46" s="3794"/>
      <c r="B46" s="3794"/>
      <c r="C46" s="3794"/>
      <c r="D46" s="3794"/>
      <c r="E46" s="3791"/>
      <c r="F46" s="3788"/>
      <c r="G46" s="3788"/>
      <c r="H46" s="3788"/>
      <c r="I46" s="3788"/>
      <c r="J46" s="3788"/>
      <c r="K46" s="3788"/>
      <c r="L46" s="3983" t="s">
        <v>248</v>
      </c>
      <c r="M46" s="4074">
        <f t="shared" si="17"/>
        <v>94.701903807615238</v>
      </c>
      <c r="N46" s="4074">
        <f t="shared" ref="N46:AB46" si="18">N38/N$26</f>
        <v>52.286250000000003</v>
      </c>
      <c r="O46" s="4074">
        <f t="shared" si="18"/>
        <v>96.847499999999997</v>
      </c>
      <c r="P46" s="4074">
        <f t="shared" si="18"/>
        <v>38.738999999999997</v>
      </c>
      <c r="Q46" s="4074">
        <f t="shared" si="18"/>
        <v>35.469545454545454</v>
      </c>
      <c r="R46" s="4074">
        <f t="shared" si="18"/>
        <v>94.512500000000003</v>
      </c>
      <c r="S46" s="4074">
        <f t="shared" si="18"/>
        <v>157.52083333333334</v>
      </c>
      <c r="T46" s="4074">
        <f t="shared" si="18"/>
        <v>157.52083333333334</v>
      </c>
      <c r="U46" s="4074">
        <f t="shared" si="18"/>
        <v>77.477999999999994</v>
      </c>
      <c r="V46" s="4074">
        <f t="shared" si="18"/>
        <v>77.477999999999994</v>
      </c>
      <c r="W46" s="4074">
        <f t="shared" si="18"/>
        <v>52.286250000000003</v>
      </c>
      <c r="X46" s="4074">
        <f t="shared" si="18"/>
        <v>52.286250000000003</v>
      </c>
      <c r="Y46" s="4074">
        <f t="shared" si="18"/>
        <v>52.286250000000003</v>
      </c>
      <c r="Z46" s="4074">
        <f t="shared" si="18"/>
        <v>52.286250000000003</v>
      </c>
      <c r="AA46" s="4074">
        <f t="shared" si="18"/>
        <v>52.286250000000003</v>
      </c>
      <c r="AB46" s="4074">
        <f t="shared" si="18"/>
        <v>236.28125</v>
      </c>
      <c r="AC46" s="4074">
        <f>AC38/AC$26</f>
        <v>236.28125</v>
      </c>
      <c r="AD46" s="4074">
        <f t="shared" si="16"/>
        <v>52.286250000000003</v>
      </c>
      <c r="AE46" s="4075">
        <f t="shared" si="16"/>
        <v>52.286250000000003</v>
      </c>
      <c r="AF46" s="2808"/>
      <c r="AG46" s="2808"/>
      <c r="AH46" s="2808"/>
      <c r="AI46" s="2808"/>
      <c r="AJ46" s="2808"/>
      <c r="AK46" s="2808"/>
      <c r="AL46" s="2808"/>
      <c r="AM46" s="2808"/>
      <c r="AN46" s="2808"/>
      <c r="AO46" s="2808"/>
      <c r="AP46" s="2808"/>
      <c r="AQ46" s="2808"/>
      <c r="AR46" s="2808"/>
      <c r="AS46" s="2808"/>
      <c r="AT46" s="2808"/>
      <c r="AU46" s="2808"/>
      <c r="AV46" s="2808"/>
      <c r="AW46" s="2808"/>
      <c r="AX46" s="2808"/>
      <c r="AY46" s="2808"/>
      <c r="AZ46" s="2808"/>
      <c r="BA46" s="2808"/>
      <c r="BB46" s="2808"/>
      <c r="BC46" s="2808"/>
      <c r="BD46" s="2808"/>
      <c r="BE46" s="2808"/>
      <c r="BF46" s="2808"/>
      <c r="BG46" s="2808"/>
      <c r="BH46" s="2808"/>
      <c r="BI46" s="2808"/>
    </row>
    <row r="47" spans="1:61" s="3790" customFormat="1">
      <c r="A47" s="3788"/>
      <c r="B47" s="3776"/>
      <c r="C47" s="3776"/>
      <c r="D47" s="3788"/>
      <c r="E47" s="3789"/>
      <c r="F47" s="3788"/>
      <c r="G47" s="3788"/>
      <c r="H47" s="3788"/>
      <c r="I47" s="3788"/>
      <c r="J47" s="3788"/>
      <c r="K47" s="3788"/>
      <c r="L47" s="2808"/>
      <c r="M47" s="2810"/>
      <c r="N47" s="2809"/>
      <c r="O47" s="2808"/>
      <c r="P47" s="2808"/>
      <c r="Q47" s="2808"/>
      <c r="R47" s="2808"/>
      <c r="S47" s="2808"/>
      <c r="T47" s="2808"/>
      <c r="U47" s="2808"/>
      <c r="V47" s="2808"/>
      <c r="W47" s="2808"/>
      <c r="X47" s="2808"/>
      <c r="Y47" s="2808"/>
      <c r="Z47" s="2808"/>
      <c r="AA47" s="2808"/>
      <c r="AB47" s="2808"/>
      <c r="AC47" s="2808"/>
      <c r="AD47" s="2808"/>
      <c r="AE47" s="2808"/>
      <c r="AF47" s="2808"/>
      <c r="AG47" s="2808"/>
      <c r="AH47" s="2808"/>
      <c r="AI47" s="2808"/>
      <c r="AJ47" s="2808"/>
      <c r="AK47" s="2808"/>
      <c r="AL47" s="2808"/>
      <c r="AM47" s="2808"/>
      <c r="AN47" s="2808"/>
      <c r="AO47" s="2808"/>
      <c r="AP47" s="2808"/>
      <c r="AQ47" s="2808"/>
      <c r="AR47" s="2808"/>
      <c r="AS47" s="2808"/>
      <c r="AT47" s="2808"/>
      <c r="AU47" s="2808"/>
      <c r="AV47" s="2808"/>
      <c r="AW47" s="2808"/>
      <c r="AX47" s="2808"/>
      <c r="AY47" s="2808"/>
      <c r="AZ47" s="2808"/>
      <c r="BA47" s="2808"/>
      <c r="BB47" s="2808"/>
      <c r="BC47" s="2808"/>
      <c r="BD47" s="2808"/>
      <c r="BE47" s="2808"/>
      <c r="BF47" s="2808"/>
      <c r="BG47" s="2808"/>
      <c r="BH47" s="2808"/>
      <c r="BI47" s="2808"/>
    </row>
    <row r="48" spans="1:61" s="3790" customFormat="1">
      <c r="A48" s="3788"/>
      <c r="B48" s="3776"/>
      <c r="C48" s="3776"/>
      <c r="D48" s="3788"/>
      <c r="E48" s="3788"/>
      <c r="F48" s="3788"/>
      <c r="G48" s="3788"/>
      <c r="H48" s="3788"/>
      <c r="I48" s="3788"/>
      <c r="J48" s="3788"/>
      <c r="K48" s="3788"/>
      <c r="L48" s="2808"/>
      <c r="M48" s="2810"/>
      <c r="N48" s="2809"/>
      <c r="O48" s="2808"/>
      <c r="P48" s="2808"/>
      <c r="Q48" s="2808"/>
      <c r="R48" s="2808"/>
      <c r="S48" s="2808"/>
      <c r="T48" s="2808"/>
      <c r="U48" s="2808"/>
      <c r="V48" s="2808"/>
      <c r="W48" s="2808"/>
      <c r="X48" s="2808"/>
      <c r="Y48" s="2808"/>
      <c r="Z48" s="2808"/>
      <c r="AA48" s="2808"/>
      <c r="AB48" s="2808"/>
      <c r="AC48" s="2808"/>
      <c r="AD48" s="2808"/>
      <c r="AE48" s="2808"/>
      <c r="AF48" s="2808"/>
      <c r="AG48" s="2808"/>
      <c r="AH48" s="2808"/>
      <c r="AI48" s="2808"/>
      <c r="AJ48" s="2808"/>
      <c r="AK48" s="2808"/>
      <c r="AL48" s="2808"/>
      <c r="AM48" s="2808"/>
      <c r="AN48" s="2808"/>
      <c r="AO48" s="2808"/>
      <c r="AP48" s="2808"/>
      <c r="AQ48" s="2808"/>
      <c r="AR48" s="2808"/>
      <c r="AS48" s="2808"/>
      <c r="AT48" s="2808"/>
      <c r="AU48" s="2808"/>
      <c r="AV48" s="2808"/>
      <c r="AW48" s="2808"/>
      <c r="AX48" s="2808"/>
      <c r="AY48" s="2808"/>
      <c r="AZ48" s="2808"/>
      <c r="BA48" s="2808"/>
      <c r="BB48" s="2808"/>
      <c r="BC48" s="2808"/>
      <c r="BD48" s="2808"/>
      <c r="BE48" s="2808"/>
      <c r="BF48" s="2808"/>
      <c r="BG48" s="2808"/>
      <c r="BH48" s="2808"/>
      <c r="BI48" s="2808"/>
    </row>
    <row r="49" spans="1:61" s="3790" customFormat="1">
      <c r="A49" s="3788"/>
      <c r="B49" s="3776"/>
      <c r="C49" s="3776"/>
      <c r="D49" s="3788"/>
      <c r="E49" s="3788"/>
      <c r="F49" s="3788"/>
      <c r="G49" s="3788"/>
      <c r="H49" s="3788"/>
      <c r="I49" s="3788"/>
      <c r="J49" s="3788"/>
      <c r="K49" s="3788"/>
      <c r="L49" s="2808"/>
      <c r="M49" s="2810">
        <f>1080-M45</f>
        <v>920.53106212424848</v>
      </c>
      <c r="N49" s="2810">
        <f>1080-N45</f>
        <v>992.88</v>
      </c>
      <c r="O49" s="2775">
        <v>890.54012694493554</v>
      </c>
      <c r="P49" s="2808">
        <f>1114-P45</f>
        <v>1053.1089999999999</v>
      </c>
      <c r="Q49" s="2808">
        <f>1114-Q45</f>
        <v>1057.6354545454546</v>
      </c>
      <c r="R49" s="2808">
        <f>4191-R45</f>
        <v>4031.85</v>
      </c>
      <c r="S49" s="2808">
        <f>'PTA-Mid'!J85-Transmission!S45</f>
        <v>4462.5</v>
      </c>
      <c r="T49" s="2808">
        <f>'PTA-Mid'!K85-Transmission!T45</f>
        <v>5091.5</v>
      </c>
      <c r="U49" s="2808"/>
      <c r="V49" s="2808"/>
      <c r="W49" s="2808"/>
      <c r="X49" s="2808"/>
      <c r="Y49" s="2808"/>
      <c r="Z49" s="2808"/>
      <c r="AA49" s="2808"/>
      <c r="AB49" s="2808"/>
      <c r="AC49" s="2808"/>
      <c r="AD49" s="2808"/>
      <c r="AE49" s="2808"/>
      <c r="AF49" s="2808"/>
      <c r="AG49" s="2808"/>
      <c r="AH49" s="2808"/>
      <c r="AI49" s="2808"/>
      <c r="AJ49" s="2808"/>
      <c r="AK49" s="2808"/>
      <c r="AL49" s="2808"/>
      <c r="AM49" s="2808"/>
      <c r="AN49" s="2808"/>
      <c r="AO49" s="2808"/>
      <c r="AP49" s="2808"/>
      <c r="AQ49" s="2808"/>
      <c r="AR49" s="2808"/>
      <c r="AS49" s="2808"/>
      <c r="AT49" s="2808"/>
      <c r="AU49" s="2808"/>
      <c r="AV49" s="2808"/>
      <c r="AW49" s="2808"/>
      <c r="AX49" s="2808"/>
      <c r="AY49" s="2808"/>
      <c r="AZ49" s="2808"/>
      <c r="BA49" s="2808"/>
      <c r="BB49" s="2808"/>
      <c r="BC49" s="2808"/>
      <c r="BD49" s="2808"/>
      <c r="BE49" s="2808"/>
      <c r="BF49" s="2808"/>
      <c r="BG49" s="2808"/>
      <c r="BH49" s="2808"/>
      <c r="BI49" s="2808"/>
    </row>
    <row r="50" spans="1:61" s="3790" customFormat="1">
      <c r="A50" s="3788"/>
      <c r="B50" s="3776"/>
      <c r="C50" s="3776"/>
      <c r="D50" s="3788"/>
      <c r="E50" s="3788"/>
      <c r="F50" s="3788"/>
      <c r="G50" s="3788"/>
      <c r="H50" s="3788"/>
      <c r="I50" s="3788"/>
      <c r="J50" s="3788"/>
      <c r="K50" s="3788"/>
      <c r="L50" s="2808"/>
      <c r="M50" s="2810"/>
      <c r="N50" s="2809"/>
      <c r="O50" s="3816">
        <f>O49-O45</f>
        <v>738.31262694493557</v>
      </c>
      <c r="P50" s="2808"/>
      <c r="Q50" s="2808"/>
      <c r="R50" s="2808"/>
      <c r="S50" s="2808"/>
      <c r="T50" s="2808"/>
      <c r="U50" s="2808"/>
      <c r="V50" s="2808"/>
      <c r="W50" s="2808"/>
      <c r="X50" s="2808"/>
      <c r="Y50" s="2808"/>
      <c r="Z50" s="2808"/>
      <c r="AA50" s="2808"/>
      <c r="AB50" s="2808"/>
      <c r="AC50" s="2808"/>
      <c r="AD50" s="2808"/>
      <c r="AE50" s="2808"/>
      <c r="AF50" s="2808"/>
      <c r="AG50" s="2808"/>
      <c r="AH50" s="2808"/>
      <c r="AI50" s="2808"/>
      <c r="AJ50" s="2808"/>
      <c r="AK50" s="2808"/>
      <c r="AL50" s="2808"/>
      <c r="AM50" s="2808"/>
      <c r="AN50" s="2808"/>
      <c r="AO50" s="2808"/>
      <c r="AP50" s="2808"/>
      <c r="AQ50" s="2808"/>
      <c r="AR50" s="2808"/>
      <c r="AS50" s="2808"/>
      <c r="AT50" s="2808"/>
      <c r="AU50" s="2808"/>
      <c r="AV50" s="2808"/>
      <c r="AW50" s="2808"/>
      <c r="AX50" s="2808"/>
      <c r="AY50" s="2808"/>
      <c r="AZ50" s="2808"/>
      <c r="BA50" s="2808"/>
      <c r="BB50" s="2808"/>
      <c r="BC50" s="2808"/>
      <c r="BD50" s="2808"/>
      <c r="BE50" s="2808"/>
      <c r="BF50" s="2808"/>
      <c r="BG50" s="2808"/>
      <c r="BH50" s="2808"/>
      <c r="BI50" s="2808"/>
    </row>
    <row r="51" spans="1:61" s="3774" customFormat="1">
      <c r="A51" s="3772"/>
      <c r="B51" s="3776"/>
      <c r="C51" s="3776"/>
      <c r="D51" s="3772"/>
      <c r="E51" s="3772"/>
      <c r="F51" s="3772"/>
      <c r="G51" s="3772"/>
      <c r="H51" s="3772"/>
      <c r="I51" s="3772"/>
      <c r="J51" s="3772"/>
      <c r="K51" s="3772"/>
      <c r="L51" s="2808"/>
      <c r="M51" s="2810"/>
      <c r="N51" s="2809"/>
      <c r="O51" s="2808"/>
      <c r="P51" s="2808"/>
      <c r="Q51" s="2808"/>
      <c r="R51" s="2808"/>
      <c r="S51" s="2808"/>
      <c r="T51" s="2808"/>
      <c r="U51" s="2808"/>
      <c r="V51" s="2808"/>
      <c r="W51" s="2808"/>
      <c r="X51" s="2808"/>
      <c r="Y51" s="2808"/>
      <c r="Z51" s="2808"/>
      <c r="AA51" s="2808"/>
      <c r="AB51" s="2808"/>
      <c r="AC51" s="2808"/>
      <c r="AD51" s="2808"/>
      <c r="AE51" s="2808"/>
      <c r="AF51" s="2808"/>
      <c r="AG51" s="2808"/>
      <c r="AH51" s="2808"/>
      <c r="AI51" s="2808"/>
      <c r="AJ51" s="2808"/>
      <c r="AK51" s="2808"/>
      <c r="AL51" s="2808"/>
      <c r="AM51" s="2808"/>
      <c r="AN51" s="2808"/>
      <c r="AO51" s="2808"/>
      <c r="AP51" s="2808"/>
      <c r="AQ51" s="2808"/>
      <c r="AR51" s="2808"/>
      <c r="AS51" s="2808"/>
      <c r="AT51" s="2808"/>
      <c r="AU51" s="2808"/>
      <c r="AV51" s="2808"/>
      <c r="AW51" s="2808"/>
      <c r="AX51" s="2808"/>
      <c r="AY51" s="2808"/>
      <c r="AZ51" s="2808"/>
      <c r="BA51" s="2808"/>
      <c r="BB51" s="2808"/>
      <c r="BC51" s="2808"/>
      <c r="BD51" s="2808"/>
      <c r="BE51" s="2808"/>
      <c r="BF51" s="2808"/>
      <c r="BG51" s="2808"/>
      <c r="BH51" s="2808"/>
      <c r="BI51" s="2808"/>
    </row>
    <row r="52" spans="1:61">
      <c r="C52" s="2810"/>
      <c r="D52" s="2810"/>
      <c r="E52" s="2810"/>
      <c r="F52" s="2810"/>
      <c r="G52" s="2810"/>
      <c r="H52" s="2810"/>
      <c r="I52" s="2810"/>
      <c r="J52" s="2810"/>
      <c r="K52" s="2810"/>
      <c r="M52" s="2810"/>
      <c r="N52" s="2809"/>
    </row>
    <row r="53" spans="1:61">
      <c r="C53" s="2810"/>
      <c r="D53" s="2810"/>
      <c r="E53" s="2810"/>
      <c r="F53" s="2810"/>
      <c r="G53" s="2810"/>
      <c r="H53" s="2810"/>
      <c r="I53" s="2810"/>
      <c r="J53" s="2810"/>
      <c r="K53" s="2810"/>
      <c r="M53" s="2810"/>
      <c r="N53" s="2809"/>
    </row>
    <row r="54" spans="1:61">
      <c r="M54" s="2810"/>
      <c r="N54" s="2809"/>
    </row>
    <row r="55" spans="1:61" ht="15" customHeight="1">
      <c r="M55" s="2810"/>
      <c r="N55" s="2809"/>
    </row>
    <row r="56" spans="1:61">
      <c r="M56" s="2810"/>
      <c r="N56" s="2809"/>
    </row>
    <row r="57" spans="1:61" ht="15" customHeight="1">
      <c r="M57" s="2810"/>
      <c r="N57" s="2809"/>
    </row>
    <row r="58" spans="1:61">
      <c r="M58" s="2810"/>
      <c r="N58" s="2809"/>
    </row>
    <row r="59" spans="1:61">
      <c r="M59" s="2810"/>
      <c r="N59" s="2809"/>
    </row>
    <row r="60" spans="1:61">
      <c r="M60" s="2810"/>
      <c r="N60" s="2809"/>
    </row>
    <row r="61" spans="1:61">
      <c r="M61" s="2810"/>
      <c r="N61" s="2809"/>
    </row>
    <row r="62" spans="1:61" ht="15.75" customHeight="1">
      <c r="M62" s="2810"/>
      <c r="N62" s="2809"/>
    </row>
    <row r="63" spans="1:61">
      <c r="M63" s="2810"/>
      <c r="N63" s="2809"/>
    </row>
    <row r="64" spans="1:61">
      <c r="M64" s="2810"/>
      <c r="N64" s="2809"/>
    </row>
    <row r="65" spans="12:14">
      <c r="L65" s="2810"/>
      <c r="M65" s="2810"/>
      <c r="N65" s="2809"/>
    </row>
    <row r="66" spans="12:14">
      <c r="L66" s="2810"/>
      <c r="M66" s="2810"/>
      <c r="N66" s="2809"/>
    </row>
    <row r="67" spans="12:14">
      <c r="L67" s="2810"/>
      <c r="M67" s="2810"/>
      <c r="N67" s="2809"/>
    </row>
    <row r="68" spans="12:14">
      <c r="L68" s="2810"/>
      <c r="M68" s="2810"/>
      <c r="N68" s="2809"/>
    </row>
    <row r="69" spans="12:14">
      <c r="L69" s="2810"/>
      <c r="M69" s="2810"/>
      <c r="N69" s="2809"/>
    </row>
    <row r="70" spans="12:14">
      <c r="L70" s="2810"/>
      <c r="M70" s="2810"/>
      <c r="N70" s="2809"/>
    </row>
    <row r="71" spans="12:14">
      <c r="L71" s="2810"/>
      <c r="M71" s="2810"/>
      <c r="N71" s="2809"/>
    </row>
    <row r="72" spans="12:14">
      <c r="L72" s="2810"/>
      <c r="M72" s="2810"/>
      <c r="N72" s="2809"/>
    </row>
    <row r="73" spans="12:14">
      <c r="L73" s="2810"/>
      <c r="M73" s="2810"/>
      <c r="N73" s="2809"/>
    </row>
    <row r="74" spans="12:14">
      <c r="L74" s="2810"/>
      <c r="M74" s="2810"/>
      <c r="N74" s="2809"/>
    </row>
    <row r="75" spans="12:14">
      <c r="L75" s="2810"/>
      <c r="M75" s="2810"/>
      <c r="N75" s="2809"/>
    </row>
    <row r="76" spans="12:14">
      <c r="L76" s="2810"/>
      <c r="M76" s="2810"/>
      <c r="N76" s="2809"/>
    </row>
    <row r="77" spans="12:14">
      <c r="L77" s="2810"/>
      <c r="M77" s="2810"/>
      <c r="N77" s="2809"/>
    </row>
    <row r="78" spans="12:14">
      <c r="L78" s="2809"/>
      <c r="M78" s="2809"/>
      <c r="N78" s="2809"/>
    </row>
    <row r="84" spans="1:11">
      <c r="A84" s="2810"/>
      <c r="B84" s="2810"/>
      <c r="C84" s="2810"/>
      <c r="D84" s="2810"/>
      <c r="E84" s="2810"/>
      <c r="F84" s="2810"/>
      <c r="G84" s="2810"/>
      <c r="H84" s="2810"/>
      <c r="I84" s="2810"/>
      <c r="J84" s="2810"/>
      <c r="K84" s="2810"/>
    </row>
    <row r="85" spans="1:11">
      <c r="A85" s="2810"/>
      <c r="B85" s="2810"/>
      <c r="C85" s="2810"/>
      <c r="D85" s="2810"/>
      <c r="E85" s="2810"/>
      <c r="F85" s="2810"/>
      <c r="G85" s="2810"/>
      <c r="H85" s="2810"/>
      <c r="I85" s="2810"/>
      <c r="J85" s="2810"/>
      <c r="K85" s="2810"/>
    </row>
    <row r="86" spans="1:11">
      <c r="A86" s="2810"/>
      <c r="B86" s="2810"/>
      <c r="C86" s="2810"/>
      <c r="D86" s="2810"/>
      <c r="E86" s="2810"/>
      <c r="F86" s="2810"/>
      <c r="G86" s="2810"/>
      <c r="H86" s="2810"/>
      <c r="I86" s="2810"/>
      <c r="J86" s="2810"/>
      <c r="K86" s="2810"/>
    </row>
    <row r="87" spans="1:11">
      <c r="A87" s="2810"/>
      <c r="B87" s="2810"/>
      <c r="C87" s="2810"/>
      <c r="D87" s="2810"/>
      <c r="E87" s="2810"/>
      <c r="F87" s="2810"/>
      <c r="G87" s="2810"/>
      <c r="H87" s="2810"/>
      <c r="I87" s="2810"/>
      <c r="J87" s="2810"/>
      <c r="K87" s="2810"/>
    </row>
    <row r="88" spans="1:11">
      <c r="A88" s="2810"/>
      <c r="B88" s="2810"/>
      <c r="C88" s="2810"/>
      <c r="D88" s="2810"/>
      <c r="E88" s="2810"/>
      <c r="F88" s="2810"/>
      <c r="G88" s="2810"/>
      <c r="H88" s="2810"/>
      <c r="I88" s="2810"/>
      <c r="J88" s="2810"/>
      <c r="K88" s="2810"/>
    </row>
    <row r="89" spans="1:11">
      <c r="A89" s="2810"/>
      <c r="B89" s="2810"/>
      <c r="C89" s="2810"/>
      <c r="D89" s="2810"/>
      <c r="E89" s="2810"/>
      <c r="F89" s="2810"/>
      <c r="G89" s="2810"/>
      <c r="H89" s="2810"/>
      <c r="I89" s="2810"/>
      <c r="J89" s="2810"/>
      <c r="K89" s="2810"/>
    </row>
    <row r="90" spans="1:11">
      <c r="A90" s="2810"/>
      <c r="B90" s="2810"/>
      <c r="C90" s="2810"/>
      <c r="D90" s="2810"/>
      <c r="E90" s="2810"/>
      <c r="F90" s="2810"/>
      <c r="G90" s="2810"/>
      <c r="H90" s="2810"/>
      <c r="I90" s="2810"/>
      <c r="J90" s="2810"/>
      <c r="K90" s="2810"/>
    </row>
    <row r="91" spans="1:11">
      <c r="A91" s="2810"/>
      <c r="B91" s="2810"/>
      <c r="C91" s="2810"/>
      <c r="D91" s="2810"/>
      <c r="E91" s="2810"/>
      <c r="F91" s="2810"/>
      <c r="G91" s="2810"/>
      <c r="H91" s="2810"/>
      <c r="I91" s="2810"/>
      <c r="J91" s="2810"/>
      <c r="K91" s="2810"/>
    </row>
    <row r="92" spans="1:11">
      <c r="A92" s="2810"/>
      <c r="B92" s="2810"/>
      <c r="C92" s="2810"/>
      <c r="D92" s="2810"/>
      <c r="E92" s="2810"/>
      <c r="F92" s="2810"/>
      <c r="G92" s="2810"/>
      <c r="H92" s="2810"/>
      <c r="I92" s="2810"/>
      <c r="J92" s="2810"/>
      <c r="K92" s="2810"/>
    </row>
    <row r="93" spans="1:11">
      <c r="A93" s="2810"/>
      <c r="B93" s="2810"/>
      <c r="C93" s="2810"/>
      <c r="D93" s="2810"/>
      <c r="E93" s="2810"/>
      <c r="F93" s="2810"/>
      <c r="G93" s="2810"/>
      <c r="H93" s="2810"/>
      <c r="I93" s="2810"/>
      <c r="J93" s="2810"/>
      <c r="K93" s="2810"/>
    </row>
    <row r="94" spans="1:11">
      <c r="A94" s="2810"/>
      <c r="B94" s="2810"/>
      <c r="C94" s="2810"/>
      <c r="D94" s="2810"/>
      <c r="E94" s="2810"/>
      <c r="F94" s="2810"/>
      <c r="G94" s="2810"/>
      <c r="H94" s="2810"/>
      <c r="I94" s="2810"/>
      <c r="J94" s="2810"/>
      <c r="K94" s="2810"/>
    </row>
    <row r="95" spans="1:11">
      <c r="A95" s="2810"/>
      <c r="B95" s="2810"/>
      <c r="C95" s="2810"/>
      <c r="D95" s="2810"/>
      <c r="E95" s="2810"/>
      <c r="F95" s="2810"/>
      <c r="G95" s="2810"/>
      <c r="H95" s="2810"/>
      <c r="I95" s="2810"/>
      <c r="J95" s="2810"/>
      <c r="K95" s="2810"/>
    </row>
    <row r="96" spans="1:11">
      <c r="A96" s="2810"/>
      <c r="B96" s="2810"/>
      <c r="C96" s="2810"/>
      <c r="D96" s="2810"/>
      <c r="E96" s="2810"/>
      <c r="F96" s="2810"/>
      <c r="G96" s="2810"/>
      <c r="H96" s="2810"/>
      <c r="I96" s="2810"/>
      <c r="J96" s="2810"/>
      <c r="K96" s="2810"/>
    </row>
    <row r="97" spans="1:11">
      <c r="A97" s="2810"/>
      <c r="B97" s="2810"/>
      <c r="C97" s="2810"/>
      <c r="D97" s="2810"/>
      <c r="E97" s="2810"/>
      <c r="F97" s="2810"/>
      <c r="G97" s="2810"/>
      <c r="H97" s="2810"/>
      <c r="I97" s="2810"/>
      <c r="J97" s="2810"/>
      <c r="K97" s="2809"/>
    </row>
    <row r="98" spans="1:11">
      <c r="A98" s="2809"/>
      <c r="B98" s="2809"/>
      <c r="C98" s="2809"/>
      <c r="D98" s="2809"/>
      <c r="E98" s="2809"/>
      <c r="F98" s="2809"/>
      <c r="G98" s="2809"/>
      <c r="H98" s="2809"/>
      <c r="I98" s="2809"/>
      <c r="J98" s="2809"/>
    </row>
  </sheetData>
  <mergeCells count="1">
    <mergeCell ref="A2:J2"/>
  </mergeCells>
  <printOptions horizontalCentered="1"/>
  <pageMargins left="0.2" right="0.2" top="0.5" bottom="0.5" header="0" footer="0.3"/>
  <pageSetup scale="55" orientation="landscape" r:id="rId1"/>
  <headerFooter>
    <oddFooter>&amp;C&amp;"Arial,Regular"&amp;9&amp;F</oddFooter>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rgb="FFFF99CC"/>
  </sheetPr>
  <dimension ref="A1:CM308"/>
  <sheetViews>
    <sheetView showGridLines="0" zoomScale="50" zoomScaleNormal="50" workbookViewId="0">
      <pane xSplit="6" ySplit="4" topLeftCell="G16" activePane="bottomRight" state="frozen"/>
      <selection activeCell="D73" sqref="D73"/>
      <selection pane="topRight" activeCell="D73" sqref="D73"/>
      <selection pane="bottomLeft" activeCell="D73" sqref="D73"/>
      <selection pane="bottomRight" activeCell="A16" sqref="A16:D71"/>
    </sheetView>
  </sheetViews>
  <sheetFormatPr defaultRowHeight="12.75"/>
  <cols>
    <col min="4" max="4" width="10.42578125" customWidth="1"/>
    <col min="5" max="6" width="9.28515625" bestFit="1" customWidth="1"/>
    <col min="7" max="7" width="8.28515625" customWidth="1"/>
    <col min="8" max="8" width="7.5703125" bestFit="1" customWidth="1"/>
    <col min="9" max="9" width="6.5703125" bestFit="1" customWidth="1"/>
    <col min="10" max="10" width="8.140625" customWidth="1"/>
    <col min="11" max="11" width="8.7109375" bestFit="1" customWidth="1"/>
    <col min="12" max="12" width="8.5703125" customWidth="1"/>
    <col min="13" max="13" width="7.42578125" customWidth="1"/>
    <col min="14" max="14" width="10.140625" customWidth="1"/>
    <col min="15" max="15" width="11" customWidth="1"/>
    <col min="16" max="16" width="10.5703125" customWidth="1"/>
    <col min="17" max="17" width="9.28515625" bestFit="1" customWidth="1"/>
    <col min="18" max="21" width="9.85546875" customWidth="1"/>
    <col min="22" max="25" width="11.85546875" customWidth="1"/>
    <col min="26" max="30" width="8.85546875" customWidth="1"/>
    <col min="31" max="31" width="10" customWidth="1"/>
    <col min="32" max="32" width="8.85546875" customWidth="1"/>
    <col min="33" max="33" width="13.5703125" customWidth="1"/>
    <col min="34" max="35" width="11.28515625" customWidth="1"/>
    <col min="36" max="36" width="10.85546875" style="3" customWidth="1"/>
    <col min="37" max="37" width="9.140625" style="1362" customWidth="1"/>
    <col min="38" max="38" width="10.5703125" bestFit="1" customWidth="1"/>
    <col min="39" max="39" width="10.42578125" customWidth="1"/>
    <col min="40" max="40" width="9.28515625" bestFit="1" customWidth="1"/>
    <col min="41" max="41" width="11.140625" customWidth="1"/>
    <col min="42" max="44" width="9.28515625" bestFit="1" customWidth="1"/>
    <col min="45" max="45" width="7.28515625" customWidth="1"/>
    <col min="46" max="46" width="6.140625" customWidth="1"/>
    <col min="47" max="47" width="8.28515625" customWidth="1"/>
    <col min="48" max="48" width="7.5703125" customWidth="1"/>
    <col min="49" max="50" width="8.28515625" customWidth="1"/>
    <col min="51" max="51" width="9.42578125" customWidth="1"/>
    <col min="52" max="53" width="8.28515625" customWidth="1"/>
    <col min="54" max="74" width="9.28515625" bestFit="1" customWidth="1"/>
  </cols>
  <sheetData>
    <row r="1" spans="1:66" ht="15.75">
      <c r="A1" s="2183" t="s">
        <v>1915</v>
      </c>
      <c r="D1" s="88"/>
      <c r="E1" s="88"/>
      <c r="F1" s="99"/>
      <c r="H1" s="88"/>
      <c r="I1" s="88"/>
      <c r="J1" s="88"/>
      <c r="K1" s="88"/>
      <c r="L1" s="99"/>
      <c r="AT1" s="88"/>
      <c r="AU1" s="88"/>
      <c r="AV1" s="88"/>
      <c r="AW1" s="88"/>
    </row>
    <row r="2" spans="1:66" ht="13.5" thickBot="1">
      <c r="F2" s="99"/>
      <c r="H2" s="3311" t="s">
        <v>1921</v>
      </c>
      <c r="I2" s="3302"/>
      <c r="J2" s="3302"/>
      <c r="K2" s="3302"/>
      <c r="L2" s="3302"/>
      <c r="M2" s="3302"/>
      <c r="N2" s="3302"/>
      <c r="O2" s="1772"/>
      <c r="AK2" s="4629"/>
      <c r="AL2" s="4629"/>
      <c r="AM2" s="4629"/>
      <c r="AN2" s="4629"/>
      <c r="AO2" s="4629"/>
      <c r="AP2" s="4629"/>
      <c r="AQ2" s="4629"/>
      <c r="AR2" s="858"/>
      <c r="AS2" s="858"/>
      <c r="AU2" s="598"/>
    </row>
    <row r="3" spans="1:66" ht="13.5" thickBot="1">
      <c r="F3" s="3272"/>
      <c r="G3" s="3272"/>
      <c r="H3" s="3273" t="s">
        <v>1957</v>
      </c>
      <c r="I3" s="3274"/>
      <c r="J3" s="3274"/>
      <c r="K3" s="3274"/>
      <c r="L3" s="3274"/>
      <c r="M3" s="3274"/>
      <c r="N3" s="604"/>
      <c r="O3" s="604"/>
      <c r="P3" s="991"/>
      <c r="Q3" s="990"/>
      <c r="R3" s="990"/>
      <c r="S3" s="2190"/>
      <c r="T3" s="990"/>
      <c r="U3" s="990"/>
      <c r="V3" s="990"/>
      <c r="W3" s="990"/>
      <c r="X3" s="990"/>
      <c r="Y3" s="990"/>
      <c r="Z3" s="990"/>
      <c r="AA3" s="990"/>
      <c r="AB3" s="990"/>
      <c r="AC3" s="990"/>
      <c r="AD3" s="990"/>
      <c r="AE3" s="990"/>
      <c r="AF3" s="990"/>
      <c r="AG3" s="990"/>
      <c r="AH3" s="990"/>
      <c r="AI3" s="990"/>
      <c r="AJ3" s="990"/>
      <c r="AK3" s="4609"/>
      <c r="AL3" s="4609"/>
      <c r="AM3" s="4609"/>
      <c r="AN3" s="4609"/>
      <c r="AO3" s="4609"/>
      <c r="AP3" s="4609"/>
      <c r="AQ3" s="4610"/>
      <c r="AR3" s="31"/>
      <c r="AS3" s="4608" t="s">
        <v>408</v>
      </c>
      <c r="AT3" s="4609"/>
      <c r="AU3" s="4609"/>
      <c r="AV3" s="4609"/>
      <c r="AW3" s="4609"/>
      <c r="AX3" s="4609"/>
      <c r="AY3" s="4609"/>
      <c r="AZ3" s="556">
        <f>StartYr</f>
        <v>2013</v>
      </c>
      <c r="BA3" s="603" t="s">
        <v>404</v>
      </c>
      <c r="BB3" s="604"/>
      <c r="BC3" s="604"/>
      <c r="BD3" s="604"/>
      <c r="BE3" s="604"/>
      <c r="BF3" s="604"/>
      <c r="BG3" s="604"/>
      <c r="BH3" s="604"/>
      <c r="BI3" s="604"/>
      <c r="BJ3" s="84"/>
      <c r="BN3" s="2330" t="s">
        <v>1805</v>
      </c>
    </row>
    <row r="4" spans="1:66" ht="54" customHeight="1" thickBot="1">
      <c r="B4" s="548" t="s">
        <v>1438</v>
      </c>
      <c r="C4" s="1473" t="s">
        <v>982</v>
      </c>
      <c r="D4" s="2" t="s">
        <v>1428</v>
      </c>
      <c r="G4" s="296" t="s">
        <v>292</v>
      </c>
      <c r="H4" s="3271" t="s">
        <v>281</v>
      </c>
      <c r="I4" s="600" t="s">
        <v>523</v>
      </c>
      <c r="J4" s="877" t="s">
        <v>378</v>
      </c>
      <c r="K4" s="877" t="s">
        <v>405</v>
      </c>
      <c r="L4" s="877" t="s">
        <v>406</v>
      </c>
      <c r="M4" s="1252" t="s">
        <v>407</v>
      </c>
      <c r="N4" s="1357" t="s">
        <v>1261</v>
      </c>
      <c r="O4" s="1357" t="s">
        <v>5</v>
      </c>
      <c r="P4" s="3276" t="s">
        <v>1384</v>
      </c>
      <c r="Q4" s="3277" t="s">
        <v>1385</v>
      </c>
      <c r="R4" s="1358" t="s">
        <v>489</v>
      </c>
      <c r="S4" s="1358" t="s">
        <v>6</v>
      </c>
      <c r="T4" s="1358" t="s">
        <v>1429</v>
      </c>
      <c r="U4" s="1358" t="s">
        <v>1430</v>
      </c>
      <c r="V4" s="1773" t="s">
        <v>491</v>
      </c>
      <c r="W4" s="1774" t="s">
        <v>7</v>
      </c>
      <c r="X4" s="1774" t="s">
        <v>1431</v>
      </c>
      <c r="Y4" s="1774" t="s">
        <v>1432</v>
      </c>
      <c r="Z4" s="1478" t="s">
        <v>132</v>
      </c>
      <c r="AA4" s="1478" t="s">
        <v>551</v>
      </c>
      <c r="AB4" s="1478" t="s">
        <v>286</v>
      </c>
      <c r="AC4" s="1478" t="s">
        <v>490</v>
      </c>
      <c r="AD4" s="1478" t="s">
        <v>131</v>
      </c>
      <c r="AE4" s="1478" t="s">
        <v>1294</v>
      </c>
      <c r="AF4" s="1478" t="s">
        <v>492</v>
      </c>
      <c r="AG4" s="1479" t="s">
        <v>282</v>
      </c>
      <c r="AH4" s="1480" t="s">
        <v>1893</v>
      </c>
      <c r="AI4" s="1480" t="s">
        <v>1439</v>
      </c>
      <c r="AJ4" s="1481" t="s">
        <v>1440</v>
      </c>
      <c r="AK4" s="3316" t="s">
        <v>4</v>
      </c>
      <c r="AL4" s="877" t="s">
        <v>1680</v>
      </c>
      <c r="AM4" s="877" t="s">
        <v>1404</v>
      </c>
      <c r="AN4" s="877" t="s">
        <v>1403</v>
      </c>
      <c r="AO4" s="3317" t="s">
        <v>1916</v>
      </c>
      <c r="AP4" s="877"/>
      <c r="AQ4" s="881"/>
      <c r="AR4" s="7"/>
      <c r="AS4" s="11"/>
      <c r="AT4" s="7"/>
      <c r="AU4" s="599" t="s">
        <v>281</v>
      </c>
      <c r="AV4" s="600" t="s">
        <v>523</v>
      </c>
      <c r="AW4" s="600" t="s">
        <v>378</v>
      </c>
      <c r="AX4" s="600" t="s">
        <v>405</v>
      </c>
      <c r="AY4" s="600" t="s">
        <v>406</v>
      </c>
      <c r="AZ4" s="600" t="s">
        <v>407</v>
      </c>
      <c r="BA4" s="601" t="s">
        <v>1147</v>
      </c>
      <c r="BB4" s="7"/>
      <c r="BC4" s="7"/>
      <c r="BD4" s="7"/>
      <c r="BE4" s="7"/>
      <c r="BF4" s="7"/>
      <c r="BG4" s="7"/>
      <c r="BH4" s="7"/>
      <c r="BI4" s="7"/>
      <c r="BJ4" s="15"/>
      <c r="BN4" s="3069" t="s">
        <v>1804</v>
      </c>
    </row>
    <row r="5" spans="1:66">
      <c r="C5" t="s">
        <v>526</v>
      </c>
      <c r="D5" s="2" t="s">
        <v>1427</v>
      </c>
      <c r="E5" s="186"/>
      <c r="F5">
        <v>2002</v>
      </c>
      <c r="G5" s="186">
        <f>Inflation!B9</f>
        <v>1.6780813854379684E-2</v>
      </c>
      <c r="H5" s="882"/>
      <c r="I5" s="883"/>
      <c r="J5" s="883"/>
      <c r="K5" s="884"/>
      <c r="L5" s="885"/>
      <c r="M5" s="870"/>
      <c r="N5" s="870"/>
      <c r="O5" s="870"/>
      <c r="P5" s="870"/>
      <c r="Q5" s="1303"/>
      <c r="R5" s="1297"/>
      <c r="S5" s="870"/>
      <c r="T5" s="870"/>
      <c r="U5" s="870"/>
      <c r="V5" s="870"/>
      <c r="W5" s="870"/>
      <c r="X5" s="870"/>
      <c r="Y5" s="870"/>
      <c r="Z5" s="1297"/>
      <c r="AA5" s="870"/>
      <c r="AB5" s="870"/>
      <c r="AC5" s="870"/>
      <c r="AD5" s="870"/>
      <c r="AE5" s="870"/>
      <c r="AF5" s="870"/>
      <c r="AG5" s="1363"/>
      <c r="AH5" s="1364"/>
      <c r="AI5" s="1364"/>
      <c r="AJ5" s="1474"/>
      <c r="AK5" s="3060"/>
      <c r="AL5" s="3061"/>
      <c r="AM5" s="3061"/>
      <c r="AN5" s="3061"/>
      <c r="AO5" s="3061"/>
      <c r="AP5" s="870"/>
      <c r="AQ5" s="870"/>
      <c r="AR5" s="7"/>
      <c r="AS5" s="11">
        <f t="shared" ref="AS5:AS48" si="0">F5</f>
        <v>2002</v>
      </c>
      <c r="AT5" s="605">
        <f>Inflation!E9</f>
        <v>0.79620017302562041</v>
      </c>
      <c r="AU5" s="602" t="str">
        <f t="shared" ref="AU5:AU48" si="1">IF(H5="","",H5/$AT5)</f>
        <v/>
      </c>
      <c r="AV5" s="602" t="str">
        <f t="shared" ref="AV5:AV48" si="2">IF(I5="","",I5/$AT5)</f>
        <v/>
      </c>
      <c r="AW5" s="602" t="str">
        <f t="shared" ref="AW5:AW48" si="3">IF(J5="","",J5/$AT5)</f>
        <v/>
      </c>
      <c r="AX5" s="602" t="str">
        <f t="shared" ref="AX5:AX48" si="4">IF(K5="","",K5/$AT5)</f>
        <v/>
      </c>
      <c r="AY5" s="602" t="str">
        <f t="shared" ref="AY5:AY48" si="5">IF(L5="","",L5/$AT5)</f>
        <v/>
      </c>
      <c r="AZ5" s="602" t="str">
        <f t="shared" ref="AZ5:AZ48" si="6">IF(M5="","",M5/$AT5)</f>
        <v/>
      </c>
      <c r="BA5" s="602" t="str">
        <f t="shared" ref="BA5:BA48" si="7">IF(N5="","",N5/$AT5)</f>
        <v/>
      </c>
      <c r="BB5" s="7"/>
      <c r="BC5" s="7"/>
      <c r="BD5" s="7"/>
      <c r="BE5" s="7"/>
      <c r="BF5" s="7"/>
      <c r="BG5" s="7"/>
      <c r="BH5" s="7"/>
      <c r="BI5" s="7"/>
      <c r="BJ5" s="15"/>
    </row>
    <row r="6" spans="1:66">
      <c r="E6" s="186"/>
      <c r="F6">
        <v>2003</v>
      </c>
      <c r="G6" s="186">
        <f>Inflation!B10</f>
        <v>1.8623199206047936E-2</v>
      </c>
      <c r="H6" s="886"/>
      <c r="I6" s="873"/>
      <c r="J6" s="873"/>
      <c r="K6" s="878"/>
      <c r="L6" s="879"/>
      <c r="M6" s="869"/>
      <c r="N6" s="869"/>
      <c r="O6" s="869"/>
      <c r="P6" s="869"/>
      <c r="Q6" s="1304"/>
      <c r="R6" s="1298"/>
      <c r="S6" s="869"/>
      <c r="T6" s="869"/>
      <c r="U6" s="869"/>
      <c r="V6" s="869"/>
      <c r="W6" s="869"/>
      <c r="X6" s="869"/>
      <c r="Y6" s="869"/>
      <c r="Z6" s="1298"/>
      <c r="AA6" s="869"/>
      <c r="AB6" s="869"/>
      <c r="AC6" s="869"/>
      <c r="AD6" s="869"/>
      <c r="AE6" s="869"/>
      <c r="AF6" s="869"/>
      <c r="AG6" s="1475"/>
      <c r="AH6" s="1476"/>
      <c r="AI6" s="1476"/>
      <c r="AJ6" s="1477"/>
      <c r="AK6" s="3062"/>
      <c r="AL6" s="3063"/>
      <c r="AM6" s="3063"/>
      <c r="AN6" s="3063"/>
      <c r="AO6" s="3063"/>
      <c r="AP6" s="869"/>
      <c r="AQ6" s="869"/>
      <c r="AR6" s="7"/>
      <c r="AS6" s="11">
        <f t="shared" si="0"/>
        <v>2003</v>
      </c>
      <c r="AT6" s="605">
        <f>Inflation!E10</f>
        <v>0.81102796745576633</v>
      </c>
      <c r="AU6" s="602" t="str">
        <f t="shared" si="1"/>
        <v/>
      </c>
      <c r="AV6" s="602" t="str">
        <f t="shared" si="2"/>
        <v/>
      </c>
      <c r="AW6" s="602" t="str">
        <f t="shared" si="3"/>
        <v/>
      </c>
      <c r="AX6" s="602" t="str">
        <f t="shared" si="4"/>
        <v/>
      </c>
      <c r="AY6" s="602" t="str">
        <f t="shared" si="5"/>
        <v/>
      </c>
      <c r="AZ6" s="602" t="str">
        <f t="shared" si="6"/>
        <v/>
      </c>
      <c r="BA6" s="602" t="str">
        <f t="shared" si="7"/>
        <v/>
      </c>
      <c r="BB6" s="7"/>
      <c r="BC6" s="7"/>
      <c r="BD6" s="7"/>
      <c r="BE6" s="7"/>
      <c r="BF6" s="7"/>
      <c r="BG6" s="7"/>
      <c r="BH6" s="7"/>
      <c r="BI6" s="7"/>
      <c r="BJ6" s="15"/>
    </row>
    <row r="7" spans="1:66">
      <c r="E7" s="186"/>
      <c r="F7">
        <v>2004</v>
      </c>
      <c r="G7" s="186">
        <f>Inflation!B11</f>
        <v>2.7334805345212709E-2</v>
      </c>
      <c r="H7" s="876"/>
      <c r="I7" s="872"/>
      <c r="J7" s="872"/>
      <c r="K7" s="880"/>
      <c r="L7" s="874"/>
      <c r="M7" s="871"/>
      <c r="N7" s="871"/>
      <c r="O7" s="871"/>
      <c r="P7" s="871"/>
      <c r="Q7" s="1304"/>
      <c r="R7" s="1299"/>
      <c r="S7" s="871"/>
      <c r="T7" s="871"/>
      <c r="U7" s="871"/>
      <c r="V7" s="869"/>
      <c r="W7" s="869"/>
      <c r="X7" s="869"/>
      <c r="Y7" s="869"/>
      <c r="Z7" s="1299"/>
      <c r="AA7" s="871"/>
      <c r="AB7" s="871"/>
      <c r="AC7" s="871"/>
      <c r="AD7" s="871"/>
      <c r="AE7" s="871"/>
      <c r="AF7" s="871"/>
      <c r="AG7" s="1475"/>
      <c r="AH7" s="1476"/>
      <c r="AI7" s="1476"/>
      <c r="AJ7" s="1477"/>
      <c r="AK7" s="3062"/>
      <c r="AL7" s="3063"/>
      <c r="AM7" s="3063"/>
      <c r="AN7" s="3063"/>
      <c r="AO7" s="3063"/>
      <c r="AP7" s="871"/>
      <c r="AQ7" s="871"/>
      <c r="AR7" s="7"/>
      <c r="AS7" s="11">
        <f t="shared" si="0"/>
        <v>2004</v>
      </c>
      <c r="AT7" s="605">
        <f>Inflation!E11</f>
        <v>0.8331972590756932</v>
      </c>
      <c r="AU7" s="602" t="str">
        <f t="shared" si="1"/>
        <v/>
      </c>
      <c r="AV7" s="602" t="str">
        <f t="shared" si="2"/>
        <v/>
      </c>
      <c r="AW7" s="602" t="str">
        <f t="shared" si="3"/>
        <v/>
      </c>
      <c r="AX7" s="602" t="str">
        <f t="shared" si="4"/>
        <v/>
      </c>
      <c r="AY7" s="602" t="str">
        <f t="shared" si="5"/>
        <v/>
      </c>
      <c r="AZ7" s="602" t="str">
        <f t="shared" si="6"/>
        <v/>
      </c>
      <c r="BA7" s="602" t="str">
        <f t="shared" si="7"/>
        <v/>
      </c>
      <c r="BB7" s="7"/>
      <c r="BC7" s="7"/>
      <c r="BD7" s="7"/>
      <c r="BE7" s="7"/>
      <c r="BF7" s="7"/>
      <c r="BG7" s="7"/>
      <c r="BH7" s="7"/>
      <c r="BI7" s="7"/>
      <c r="BJ7" s="15"/>
    </row>
    <row r="8" spans="1:66">
      <c r="E8" s="186"/>
      <c r="F8">
        <v>2005</v>
      </c>
      <c r="G8" s="186">
        <f>Inflation!B12</f>
        <v>2.8120490685126009E-2</v>
      </c>
      <c r="H8" s="3106"/>
      <c r="I8" s="874"/>
      <c r="J8" s="874"/>
      <c r="K8" s="880"/>
      <c r="L8" s="874"/>
      <c r="M8" s="874"/>
      <c r="N8" s="872"/>
      <c r="O8" s="3275"/>
      <c r="P8" s="2186"/>
      <c r="Q8" s="2185"/>
      <c r="R8" s="1300"/>
      <c r="S8" s="872"/>
      <c r="T8" s="872"/>
      <c r="U8" s="872"/>
      <c r="V8" s="869"/>
      <c r="W8" s="869"/>
      <c r="X8" s="869"/>
      <c r="Y8" s="869"/>
      <c r="Z8" s="1300"/>
      <c r="AA8" s="872"/>
      <c r="AB8" s="872"/>
      <c r="AC8" s="872"/>
      <c r="AD8" s="872"/>
      <c r="AE8" s="872"/>
      <c r="AF8" s="872"/>
      <c r="AG8" s="1475"/>
      <c r="AH8" s="1476"/>
      <c r="AI8" s="1476"/>
      <c r="AJ8" s="1477"/>
      <c r="AK8" s="3062"/>
      <c r="AL8" s="3063"/>
      <c r="AM8" s="3063"/>
      <c r="AN8" s="3063"/>
      <c r="AO8" s="3063"/>
      <c r="AP8" s="874"/>
      <c r="AQ8" s="872"/>
      <c r="AR8" s="7"/>
      <c r="AS8" s="11">
        <f t="shared" si="0"/>
        <v>2005</v>
      </c>
      <c r="AT8" s="605">
        <f>Inflation!E12</f>
        <v>0.85662717483840378</v>
      </c>
      <c r="AU8" s="602" t="str">
        <f t="shared" si="1"/>
        <v/>
      </c>
      <c r="AV8" s="602" t="str">
        <f t="shared" si="2"/>
        <v/>
      </c>
      <c r="AW8" s="602" t="str">
        <f t="shared" si="3"/>
        <v/>
      </c>
      <c r="AX8" s="602" t="str">
        <f t="shared" si="4"/>
        <v/>
      </c>
      <c r="AY8" s="602" t="str">
        <f t="shared" si="5"/>
        <v/>
      </c>
      <c r="AZ8" s="602" t="str">
        <f t="shared" si="6"/>
        <v/>
      </c>
      <c r="BA8" s="602" t="str">
        <f t="shared" si="7"/>
        <v/>
      </c>
      <c r="BB8" s="7"/>
      <c r="BC8" s="7"/>
      <c r="BD8" s="7"/>
      <c r="BE8" s="7"/>
      <c r="BF8" s="7"/>
      <c r="BG8" s="7"/>
      <c r="BH8" s="7"/>
      <c r="BI8" s="7"/>
      <c r="BJ8" s="15"/>
    </row>
    <row r="9" spans="1:66">
      <c r="E9" s="186"/>
      <c r="F9">
        <v>2006</v>
      </c>
      <c r="G9" s="186">
        <f>Inflation!B13</f>
        <v>3.2572969848762234E-2</v>
      </c>
      <c r="H9" s="3431">
        <v>4.5916531055075254</v>
      </c>
      <c r="I9" s="3429">
        <v>5.0992368217625765</v>
      </c>
      <c r="J9" s="3429">
        <v>5.2376772232474433</v>
      </c>
      <c r="K9" s="3429">
        <v>4.5916531055075254</v>
      </c>
      <c r="L9" s="3429">
        <v>5.0992368217625765</v>
      </c>
      <c r="M9" s="874">
        <f>L9</f>
        <v>5.0992368217625765</v>
      </c>
      <c r="N9" s="872">
        <f t="shared" ref="N9:N43" si="8">IF(CostScenario="Higher Cost",P9,IF(CostScenario="Lower Cost",Q9,O9))</f>
        <v>4.899505871665788</v>
      </c>
      <c r="O9" s="3429">
        <v>4.899505871665788</v>
      </c>
      <c r="P9" s="3429">
        <v>6.6689376511407188</v>
      </c>
      <c r="Q9" s="3430">
        <v>4.0237415760909281</v>
      </c>
      <c r="R9" s="1300">
        <f t="shared" ref="R9:R40" si="9">IF(CostScenario="Higher Cost",T9,IF(CostScenario="Lower Cost",U9,S9))</f>
        <v>0.54</v>
      </c>
      <c r="S9" s="872">
        <v>0.54</v>
      </c>
      <c r="T9" s="872">
        <v>0.54</v>
      </c>
      <c r="U9" s="872">
        <v>0.54</v>
      </c>
      <c r="V9" s="873">
        <f t="shared" ref="V9:V40" si="10">IF(CostScenario="Higher Cost",X9,IF(CostScenario="Lower Cost",Y9,W9))</f>
        <v>1.5508333333333333</v>
      </c>
      <c r="W9" s="873">
        <v>1.5508333333333333</v>
      </c>
      <c r="X9" s="873">
        <v>1.5508333333333333</v>
      </c>
      <c r="Y9" s="873">
        <v>1.5508333333333333</v>
      </c>
      <c r="Z9" s="1300"/>
      <c r="AA9" s="872"/>
      <c r="AB9" s="872"/>
      <c r="AC9" s="872"/>
      <c r="AD9" s="872"/>
      <c r="AE9" s="872"/>
      <c r="AF9" s="872"/>
      <c r="AG9" s="1475"/>
      <c r="AH9" s="1476"/>
      <c r="AI9" s="1476"/>
      <c r="AJ9" s="1477"/>
      <c r="AK9" s="3062"/>
      <c r="AL9" s="3063"/>
      <c r="AM9" s="3063"/>
      <c r="AN9" s="3063"/>
      <c r="AO9" s="3063"/>
      <c r="AP9" s="874"/>
      <c r="AQ9" s="872"/>
      <c r="AR9" s="7"/>
      <c r="AS9" s="11">
        <f t="shared" si="0"/>
        <v>2006</v>
      </c>
      <c r="AT9" s="605">
        <f>Inflation!E13</f>
        <v>0.88453006597604544</v>
      </c>
      <c r="AU9" s="602">
        <f t="shared" si="1"/>
        <v>5.1910650436068675</v>
      </c>
      <c r="AV9" s="602">
        <f t="shared" si="2"/>
        <v>5.7649106773275838</v>
      </c>
      <c r="AW9" s="602">
        <f t="shared" si="3"/>
        <v>5.9214236177126036</v>
      </c>
      <c r="AX9" s="602">
        <f t="shared" si="4"/>
        <v>5.1910650436068675</v>
      </c>
      <c r="AY9" s="602">
        <f t="shared" si="5"/>
        <v>5.7649106773275838</v>
      </c>
      <c r="AZ9" s="602">
        <f t="shared" si="6"/>
        <v>5.7649106773275838</v>
      </c>
      <c r="BA9" s="602">
        <f t="shared" si="7"/>
        <v>5.5391060859637014</v>
      </c>
      <c r="BB9" s="7"/>
      <c r="BC9" s="7"/>
      <c r="BD9" s="7"/>
      <c r="BE9" s="7"/>
      <c r="BF9" s="7"/>
      <c r="BG9" s="7"/>
      <c r="BH9" s="7"/>
      <c r="BI9" s="7"/>
      <c r="BJ9" s="15"/>
    </row>
    <row r="10" spans="1:66">
      <c r="E10" s="186"/>
      <c r="F10">
        <v>2007</v>
      </c>
      <c r="G10" s="186">
        <f>Inflation!B14</f>
        <v>2.9432967771249929E-2</v>
      </c>
      <c r="H10" s="3431">
        <v>4.9250520883064448</v>
      </c>
      <c r="I10" s="3429">
        <v>5.4328348784767755</v>
      </c>
      <c r="J10" s="3429">
        <v>5.5901706118330301</v>
      </c>
      <c r="K10" s="3429">
        <v>4.9250520883064448</v>
      </c>
      <c r="L10" s="3429">
        <v>5.4328348784767755</v>
      </c>
      <c r="M10" s="874">
        <f t="shared" ref="M10:M73" si="11">L10</f>
        <v>5.4328348784767755</v>
      </c>
      <c r="N10" s="872">
        <f t="shared" si="8"/>
        <v>5.2332073206922969</v>
      </c>
      <c r="O10" s="3429">
        <v>5.2332073206922969</v>
      </c>
      <c r="P10" s="3429">
        <v>7.0748370537672551</v>
      </c>
      <c r="Q10" s="3430">
        <v>4.2464537316142392</v>
      </c>
      <c r="R10" s="1300">
        <f t="shared" si="9"/>
        <v>0.63</v>
      </c>
      <c r="S10" s="872">
        <v>0.63</v>
      </c>
      <c r="T10" s="872">
        <v>0.63</v>
      </c>
      <c r="U10" s="872">
        <v>0.63</v>
      </c>
      <c r="V10" s="873">
        <f t="shared" si="10"/>
        <v>1.4683333333333335</v>
      </c>
      <c r="W10" s="873">
        <v>1.4683333333333335</v>
      </c>
      <c r="X10" s="873">
        <v>1.4683333333333335</v>
      </c>
      <c r="Y10" s="873">
        <v>1.4683333333333335</v>
      </c>
      <c r="Z10" s="1300"/>
      <c r="AA10" s="872"/>
      <c r="AB10" s="872"/>
      <c r="AC10" s="872"/>
      <c r="AD10" s="872"/>
      <c r="AE10" s="872"/>
      <c r="AF10" s="872"/>
      <c r="AG10" s="1475"/>
      <c r="AH10" s="1476"/>
      <c r="AI10" s="1476"/>
      <c r="AJ10" s="1477"/>
      <c r="AK10" s="3062"/>
      <c r="AL10" s="3063"/>
      <c r="AM10" s="3063"/>
      <c r="AN10" s="3063"/>
      <c r="AO10" s="3063"/>
      <c r="AP10" s="874"/>
      <c r="AQ10" s="872"/>
      <c r="AR10" s="7"/>
      <c r="AS10" s="11">
        <f t="shared" si="0"/>
        <v>2007</v>
      </c>
      <c r="AT10" s="605">
        <f>Inflation!E14</f>
        <v>0.91056441090062001</v>
      </c>
      <c r="AU10" s="602">
        <f t="shared" si="1"/>
        <v>5.408790448371664</v>
      </c>
      <c r="AV10" s="602">
        <f t="shared" si="2"/>
        <v>5.9664476377934355</v>
      </c>
      <c r="AW10" s="602">
        <f t="shared" si="3"/>
        <v>6.1392368787002232</v>
      </c>
      <c r="AX10" s="602">
        <f t="shared" si="4"/>
        <v>5.408790448371664</v>
      </c>
      <c r="AY10" s="602">
        <f t="shared" si="5"/>
        <v>5.9664476377934355</v>
      </c>
      <c r="AZ10" s="602">
        <f t="shared" si="6"/>
        <v>5.9664476377934355</v>
      </c>
      <c r="BA10" s="602">
        <f t="shared" si="7"/>
        <v>5.7472126716617904</v>
      </c>
      <c r="BB10" s="7"/>
      <c r="BC10" s="7"/>
      <c r="BD10" s="7"/>
      <c r="BE10" s="7"/>
      <c r="BF10" s="7"/>
      <c r="BG10" s="7"/>
      <c r="BH10" s="7"/>
      <c r="BI10" s="7"/>
      <c r="BJ10" s="15"/>
    </row>
    <row r="11" spans="1:66">
      <c r="E11" s="186"/>
      <c r="F11">
        <v>2008</v>
      </c>
      <c r="G11" s="186">
        <f>Inflation!B15</f>
        <v>2.1851754398441336E-2</v>
      </c>
      <c r="H11" s="3431">
        <v>7.3239547744154088</v>
      </c>
      <c r="I11" s="3429">
        <v>6.5685016007166483</v>
      </c>
      <c r="J11" s="3429">
        <v>6.7988991461932597</v>
      </c>
      <c r="K11" s="3429">
        <v>7.3239547744154088</v>
      </c>
      <c r="L11" s="3429">
        <v>6.5685016007166483</v>
      </c>
      <c r="M11" s="874">
        <f t="shared" si="11"/>
        <v>6.5685016007166483</v>
      </c>
      <c r="N11" s="872">
        <f t="shared" si="8"/>
        <v>6.8896443359756132</v>
      </c>
      <c r="O11" s="3429">
        <v>6.8896443359756132</v>
      </c>
      <c r="P11" s="3429">
        <v>9.253855043988084</v>
      </c>
      <c r="Q11" s="3430">
        <v>5.5264420337967497</v>
      </c>
      <c r="R11" s="1300">
        <f t="shared" si="9"/>
        <v>0.74691634613471269</v>
      </c>
      <c r="S11" s="872">
        <v>0.74691634613471269</v>
      </c>
      <c r="T11" s="872">
        <v>0.74691634613471269</v>
      </c>
      <c r="U11" s="872">
        <v>0.74691634613471269</v>
      </c>
      <c r="V11" s="873">
        <f t="shared" si="10"/>
        <v>1.6780038461108615</v>
      </c>
      <c r="W11" s="873">
        <v>1.6780038461108615</v>
      </c>
      <c r="X11" s="873">
        <v>1.6780038461108615</v>
      </c>
      <c r="Y11" s="873">
        <v>1.6780038461108615</v>
      </c>
      <c r="Z11" s="1300"/>
      <c r="AA11" s="872"/>
      <c r="AB11" s="872"/>
      <c r="AC11" s="872"/>
      <c r="AD11" s="872"/>
      <c r="AE11" s="872"/>
      <c r="AF11" s="872"/>
      <c r="AG11" s="1475"/>
      <c r="AH11" s="1476"/>
      <c r="AI11" s="1476"/>
      <c r="AJ11" s="1477"/>
      <c r="AK11" s="3062"/>
      <c r="AL11" s="3063"/>
      <c r="AM11" s="3063"/>
      <c r="AN11" s="3063"/>
      <c r="AO11" s="3063"/>
      <c r="AP11" s="874"/>
      <c r="AQ11" s="872"/>
      <c r="AR11" s="7"/>
      <c r="AS11" s="11">
        <f t="shared" si="0"/>
        <v>2008</v>
      </c>
      <c r="AT11" s="605">
        <f>Inflation!E15</f>
        <v>0.93046184077158178</v>
      </c>
      <c r="AU11" s="602">
        <f t="shared" si="1"/>
        <v>7.8713112709082713</v>
      </c>
      <c r="AV11" s="602">
        <f t="shared" si="2"/>
        <v>7.0593992283119791</v>
      </c>
      <c r="AW11" s="602">
        <f t="shared" si="3"/>
        <v>7.3070155575163618</v>
      </c>
      <c r="AX11" s="602">
        <f t="shared" si="4"/>
        <v>7.8713112709082713</v>
      </c>
      <c r="AY11" s="602">
        <f t="shared" si="5"/>
        <v>7.0593992283119791</v>
      </c>
      <c r="AZ11" s="602">
        <f t="shared" si="6"/>
        <v>7.0593992283119791</v>
      </c>
      <c r="BA11" s="602">
        <f t="shared" si="7"/>
        <v>7.4045425981815685</v>
      </c>
      <c r="BB11" s="7"/>
      <c r="BC11" s="7"/>
      <c r="BD11" s="7"/>
      <c r="BE11" s="7"/>
      <c r="BF11" s="7"/>
      <c r="BG11" s="7"/>
      <c r="BH11" s="7"/>
      <c r="BI11" s="7"/>
      <c r="BJ11" s="15"/>
    </row>
    <row r="12" spans="1:66">
      <c r="E12" s="186"/>
      <c r="F12">
        <v>2009</v>
      </c>
      <c r="G12" s="186">
        <f>Inflation!B16</f>
        <v>9.1661227424675307E-3</v>
      </c>
      <c r="H12" s="3431">
        <v>3.4692044756863472</v>
      </c>
      <c r="I12" s="3429">
        <v>4.0142989643084528</v>
      </c>
      <c r="J12" s="3429">
        <v>4.0901536806361793</v>
      </c>
      <c r="K12" s="3432">
        <v>3.4692044756863472</v>
      </c>
      <c r="L12" s="3429">
        <v>4.0142989643084528</v>
      </c>
      <c r="M12" s="874">
        <f t="shared" si="11"/>
        <v>4.0142989643084528</v>
      </c>
      <c r="N12" s="872">
        <f t="shared" si="8"/>
        <v>3.8008165346172214</v>
      </c>
      <c r="O12" s="3429">
        <v>3.8008165346172214</v>
      </c>
      <c r="P12" s="3429">
        <v>5.2900662411467305</v>
      </c>
      <c r="Q12" s="3430">
        <v>2.7464663584987865</v>
      </c>
      <c r="R12" s="1300">
        <f t="shared" si="9"/>
        <v>0.63</v>
      </c>
      <c r="S12" s="872">
        <v>0.63</v>
      </c>
      <c r="T12" s="872">
        <v>0.74</v>
      </c>
      <c r="U12" s="872">
        <v>0.53</v>
      </c>
      <c r="V12" s="873">
        <f t="shared" si="10"/>
        <v>1.8</v>
      </c>
      <c r="W12" s="873">
        <v>1.8</v>
      </c>
      <c r="X12" s="873">
        <v>3.13</v>
      </c>
      <c r="Y12" s="873">
        <v>1.31</v>
      </c>
      <c r="Z12" s="1300"/>
      <c r="AA12" s="872"/>
      <c r="AB12" s="872"/>
      <c r="AC12" s="872"/>
      <c r="AD12" s="872"/>
      <c r="AE12" s="872"/>
      <c r="AF12" s="872"/>
      <c r="AG12" s="1475">
        <f t="shared" ref="AG12:AG48" si="12">IF(CostScenario="Higher Cost",AI12,IF(CostScenario="Lower Cost",AJ12,AH12))</f>
        <v>2</v>
      </c>
      <c r="AH12" s="1777">
        <v>2</v>
      </c>
      <c r="AI12" s="1476">
        <v>3</v>
      </c>
      <c r="AJ12" s="1477">
        <v>1.75</v>
      </c>
      <c r="AK12" s="3062"/>
      <c r="AL12" s="3063"/>
      <c r="AM12" s="3063"/>
      <c r="AN12" s="3063"/>
      <c r="AO12" s="3063"/>
      <c r="AP12" s="874"/>
      <c r="AQ12" s="872"/>
      <c r="AR12" s="7"/>
      <c r="AS12" s="11">
        <f t="shared" si="0"/>
        <v>2009</v>
      </c>
      <c r="AT12" s="605">
        <f>Inflation!E16</f>
        <v>0.93899056821127636</v>
      </c>
      <c r="AU12" s="602">
        <f t="shared" si="1"/>
        <v>3.6946105670635059</v>
      </c>
      <c r="AV12" s="602">
        <f t="shared" si="2"/>
        <v>4.2751217107062791</v>
      </c>
      <c r="AW12" s="602">
        <f t="shared" si="3"/>
        <v>4.3559049676374171</v>
      </c>
      <c r="AX12" s="602">
        <f t="shared" si="4"/>
        <v>3.6946105670635059</v>
      </c>
      <c r="AY12" s="602">
        <f t="shared" si="5"/>
        <v>4.2751217107062791</v>
      </c>
      <c r="AZ12" s="602">
        <f t="shared" si="6"/>
        <v>4.2751217107062791</v>
      </c>
      <c r="BA12" s="602">
        <f t="shared" si="7"/>
        <v>4.0477685967150459</v>
      </c>
      <c r="BB12" s="7"/>
      <c r="BC12" s="7"/>
      <c r="BD12" s="7"/>
      <c r="BE12" s="7"/>
      <c r="BF12" s="7"/>
      <c r="BG12" s="7"/>
      <c r="BH12" s="7"/>
      <c r="BI12" s="7"/>
      <c r="BJ12" s="15"/>
    </row>
    <row r="13" spans="1:66">
      <c r="E13" s="186"/>
      <c r="F13">
        <v>2010</v>
      </c>
      <c r="G13" s="186">
        <f>Inflation!B17</f>
        <v>9.4754585875813646E-3</v>
      </c>
      <c r="H13" s="3431">
        <v>3.8894817004083069</v>
      </c>
      <c r="I13" s="3429">
        <v>4.4395113624077833</v>
      </c>
      <c r="J13" s="3429">
        <v>4.5365527066290472</v>
      </c>
      <c r="K13" s="3432">
        <v>3.8894817004083069</v>
      </c>
      <c r="L13" s="3429">
        <v>4.4395113624077833</v>
      </c>
      <c r="M13" s="874">
        <f t="shared" si="11"/>
        <v>4.4395113624077833</v>
      </c>
      <c r="N13" s="872">
        <f t="shared" si="8"/>
        <v>4.2089239785629875</v>
      </c>
      <c r="O13" s="3429">
        <v>4.2089239785629875</v>
      </c>
      <c r="P13" s="3429">
        <v>5.9540120847799125</v>
      </c>
      <c r="Q13" s="3430">
        <v>2.8635004179511343</v>
      </c>
      <c r="R13" s="1300">
        <f t="shared" si="9"/>
        <v>0.65</v>
      </c>
      <c r="S13" s="872">
        <v>0.65</v>
      </c>
      <c r="T13" s="872">
        <v>0.74</v>
      </c>
      <c r="U13" s="872">
        <v>0.56999999999999995</v>
      </c>
      <c r="V13" s="873">
        <f t="shared" si="10"/>
        <v>2.1</v>
      </c>
      <c r="W13" s="873">
        <v>2.1</v>
      </c>
      <c r="X13" s="873">
        <v>3.6539999999999999</v>
      </c>
      <c r="Y13" s="873">
        <v>1.5329999999999999</v>
      </c>
      <c r="Z13" s="1300"/>
      <c r="AA13" s="872"/>
      <c r="AB13" s="872"/>
      <c r="AC13" s="872"/>
      <c r="AD13" s="872"/>
      <c r="AE13" s="872"/>
      <c r="AF13" s="872"/>
      <c r="AG13" s="1775">
        <f t="shared" si="12"/>
        <v>2.0380237123893821</v>
      </c>
      <c r="AH13" s="1776">
        <v>2.0380237123893821</v>
      </c>
      <c r="AI13" s="1476">
        <v>2.5475296404867276</v>
      </c>
      <c r="AJ13" s="1477">
        <v>1.5285177842920366</v>
      </c>
      <c r="AK13" s="3062"/>
      <c r="AL13" s="3063"/>
      <c r="AM13" s="3063"/>
      <c r="AN13" s="3063"/>
      <c r="AO13" s="3063"/>
      <c r="AP13" s="874"/>
      <c r="AQ13" s="872"/>
      <c r="AR13" s="7"/>
      <c r="AS13" s="11">
        <f t="shared" si="0"/>
        <v>2010</v>
      </c>
      <c r="AT13" s="605">
        <f>Inflation!E17</f>
        <v>0.94788793445449182</v>
      </c>
      <c r="AU13" s="602">
        <f t="shared" si="1"/>
        <v>4.1033138613022837</v>
      </c>
      <c r="AV13" s="602">
        <f t="shared" si="2"/>
        <v>4.6835825217700613</v>
      </c>
      <c r="AW13" s="602">
        <f t="shared" si="3"/>
        <v>4.7859589111025311</v>
      </c>
      <c r="AX13" s="602">
        <f t="shared" si="4"/>
        <v>4.1033138613022837</v>
      </c>
      <c r="AY13" s="602">
        <f t="shared" si="5"/>
        <v>4.6835825217700613</v>
      </c>
      <c r="AZ13" s="602">
        <f t="shared" si="6"/>
        <v>4.6835825217700613</v>
      </c>
      <c r="BA13" s="602">
        <f t="shared" si="7"/>
        <v>4.4403181278863073</v>
      </c>
      <c r="BB13" s="7"/>
      <c r="BC13" s="7"/>
      <c r="BD13" s="7"/>
      <c r="BE13" s="7"/>
      <c r="BF13" s="7"/>
      <c r="BG13" s="7"/>
      <c r="BH13" s="7"/>
      <c r="BI13" s="7"/>
      <c r="BJ13" s="15"/>
    </row>
    <row r="14" spans="1:66">
      <c r="E14" s="186"/>
      <c r="F14">
        <v>2011</v>
      </c>
      <c r="G14" s="186">
        <f>Inflation!B18</f>
        <v>7.8354627851782155E-3</v>
      </c>
      <c r="H14" s="3431">
        <v>3.8123730683490438</v>
      </c>
      <c r="I14" s="3429">
        <v>4.3946333776880442</v>
      </c>
      <c r="J14" s="3429">
        <v>4.3440162525393067</v>
      </c>
      <c r="K14" s="3432">
        <v>3.8123730683490438</v>
      </c>
      <c r="L14" s="3429">
        <v>4.3946333776880442</v>
      </c>
      <c r="M14" s="874">
        <f t="shared" si="11"/>
        <v>4.3946333776880442</v>
      </c>
      <c r="N14" s="872">
        <f t="shared" si="8"/>
        <v>4.1462161746245494</v>
      </c>
      <c r="O14" s="3429">
        <v>4.1462161746245494</v>
      </c>
      <c r="P14" s="3429">
        <v>5.9407657504371745</v>
      </c>
      <c r="Q14" s="3430">
        <v>2.6984318180110329</v>
      </c>
      <c r="R14" s="1300">
        <f t="shared" si="9"/>
        <v>0.68400000000000005</v>
      </c>
      <c r="S14" s="872">
        <v>0.68400000000000005</v>
      </c>
      <c r="T14" s="872">
        <v>0.78400000000000003</v>
      </c>
      <c r="U14" s="872">
        <v>0.59399999999999997</v>
      </c>
      <c r="V14" s="873">
        <f t="shared" si="10"/>
        <v>2.1480000000000001</v>
      </c>
      <c r="W14" s="873">
        <v>2.1480000000000001</v>
      </c>
      <c r="X14" s="873">
        <v>3.7375200000000004</v>
      </c>
      <c r="Y14" s="873">
        <v>1.5680400000000001</v>
      </c>
      <c r="Z14" s="1300"/>
      <c r="AA14" s="872"/>
      <c r="AB14" s="872"/>
      <c r="AC14" s="872"/>
      <c r="AD14" s="872"/>
      <c r="AE14" s="872"/>
      <c r="AF14" s="872"/>
      <c r="AG14" s="1775">
        <f t="shared" si="12"/>
        <v>2.0767703261306996</v>
      </c>
      <c r="AH14" s="1776">
        <v>2.0767703261306996</v>
      </c>
      <c r="AI14" s="1476">
        <v>2.5959629076633743</v>
      </c>
      <c r="AJ14" s="1477">
        <v>1.5575777445980248</v>
      </c>
      <c r="AK14" s="3062"/>
      <c r="AL14" s="3063"/>
      <c r="AM14" s="3063"/>
      <c r="AN14" s="3063"/>
      <c r="AO14" s="3063"/>
      <c r="AP14" s="874"/>
      <c r="AQ14" s="872"/>
      <c r="AR14" s="7"/>
      <c r="AS14" s="11">
        <f t="shared" si="0"/>
        <v>2011</v>
      </c>
      <c r="AT14" s="605">
        <f>Inflation!E18</f>
        <v>0.95531507508942948</v>
      </c>
      <c r="AU14" s="602">
        <f t="shared" si="1"/>
        <v>3.9906970671347963</v>
      </c>
      <c r="AV14" s="602">
        <f t="shared" si="2"/>
        <v>4.6001926403984061</v>
      </c>
      <c r="AW14" s="602">
        <f t="shared" si="3"/>
        <v>4.5472078959213036</v>
      </c>
      <c r="AX14" s="602">
        <f t="shared" si="4"/>
        <v>3.9906970671347963</v>
      </c>
      <c r="AY14" s="602">
        <f t="shared" si="5"/>
        <v>4.6001926403984061</v>
      </c>
      <c r="AZ14" s="602">
        <f t="shared" si="6"/>
        <v>4.6001926403984061</v>
      </c>
      <c r="BA14" s="602">
        <f t="shared" si="7"/>
        <v>4.3401557064682681</v>
      </c>
      <c r="BB14" s="7"/>
      <c r="BC14" s="7"/>
      <c r="BD14" s="7"/>
      <c r="BE14" s="7"/>
      <c r="BF14" s="7"/>
      <c r="BG14" s="7"/>
      <c r="BH14" s="7"/>
      <c r="BI14" s="7"/>
      <c r="BJ14" s="15"/>
    </row>
    <row r="15" spans="1:66">
      <c r="E15" s="186"/>
      <c r="F15">
        <v>2012</v>
      </c>
      <c r="G15" s="186">
        <f>Inflation!B19</f>
        <v>1.9084655798737193E-2</v>
      </c>
      <c r="H15" s="3431">
        <v>2.9702181712051612</v>
      </c>
      <c r="I15" s="3429">
        <v>3.5837220023335283</v>
      </c>
      <c r="J15" s="3429">
        <v>3.5054687436104648</v>
      </c>
      <c r="K15" s="3432">
        <v>2.9702181712051612</v>
      </c>
      <c r="L15" s="3429">
        <v>3.5837220023335283</v>
      </c>
      <c r="M15" s="874">
        <f t="shared" si="11"/>
        <v>3.5837220023335283</v>
      </c>
      <c r="N15" s="872">
        <f t="shared" si="8"/>
        <v>3.3197655776194255</v>
      </c>
      <c r="O15" s="3429">
        <v>3.3197655776194255</v>
      </c>
      <c r="P15" s="3429">
        <v>4.8071467954733285</v>
      </c>
      <c r="Q15" s="3430">
        <v>2.0865830438336808</v>
      </c>
      <c r="R15" s="1300">
        <f t="shared" si="9"/>
        <v>0.71800000000000008</v>
      </c>
      <c r="S15" s="872">
        <v>0.71800000000000008</v>
      </c>
      <c r="T15" s="872">
        <v>0.82800000000000007</v>
      </c>
      <c r="U15" s="872">
        <v>0.61799999999999999</v>
      </c>
      <c r="V15" s="873">
        <f t="shared" si="10"/>
        <v>2.1960000000000002</v>
      </c>
      <c r="W15" s="873">
        <v>2.1960000000000002</v>
      </c>
      <c r="X15" s="873">
        <v>3.8210400000000004</v>
      </c>
      <c r="Y15" s="873">
        <v>1.6030800000000001</v>
      </c>
      <c r="Z15" s="1300"/>
      <c r="AA15" s="872"/>
      <c r="AB15" s="872"/>
      <c r="AC15" s="872"/>
      <c r="AD15" s="872"/>
      <c r="AE15" s="872"/>
      <c r="AF15" s="872"/>
      <c r="AG15" s="1775">
        <f t="shared" si="12"/>
        <v>2.1162535849204982</v>
      </c>
      <c r="AH15" s="1776">
        <v>2.1162535849204982</v>
      </c>
      <c r="AI15" s="1476">
        <v>2.6453169811506227</v>
      </c>
      <c r="AJ15" s="1477">
        <v>1.5871901886903736</v>
      </c>
      <c r="AK15" s="3064">
        <v>0</v>
      </c>
      <c r="AL15" s="3312">
        <v>13.62</v>
      </c>
      <c r="AM15" s="3065">
        <f>AL15</f>
        <v>13.62</v>
      </c>
      <c r="AN15" s="3315">
        <v>10</v>
      </c>
      <c r="AO15" s="3315">
        <f>AO16</f>
        <v>50</v>
      </c>
      <c r="AP15" s="874"/>
      <c r="AQ15" s="872"/>
      <c r="AR15" s="7"/>
      <c r="AS15" s="11">
        <f t="shared" si="0"/>
        <v>2012</v>
      </c>
      <c r="AT15" s="605">
        <f>Inflation!E19</f>
        <v>0.97354693447685603</v>
      </c>
      <c r="AU15" s="602">
        <f t="shared" si="1"/>
        <v>3.0509244762824239</v>
      </c>
      <c r="AV15" s="602">
        <f t="shared" si="2"/>
        <v>3.6810983378621316</v>
      </c>
      <c r="AW15" s="602">
        <f t="shared" si="3"/>
        <v>3.6007187937930891</v>
      </c>
      <c r="AX15" s="602">
        <f t="shared" si="4"/>
        <v>3.0509244762824239</v>
      </c>
      <c r="AY15" s="602">
        <f t="shared" si="5"/>
        <v>3.6810983378621316</v>
      </c>
      <c r="AZ15" s="602">
        <f t="shared" si="6"/>
        <v>3.6810983378621316</v>
      </c>
      <c r="BA15" s="602">
        <f t="shared" si="7"/>
        <v>3.4099697303277221</v>
      </c>
      <c r="BB15" s="7"/>
      <c r="BC15" s="7"/>
      <c r="BD15" s="7"/>
      <c r="BE15" s="7"/>
      <c r="BF15" s="7"/>
      <c r="BG15" s="7"/>
      <c r="BH15" s="7"/>
      <c r="BI15" s="7"/>
      <c r="BJ15" s="15"/>
    </row>
    <row r="16" spans="1:66">
      <c r="A16">
        <f>StartYr</f>
        <v>2013</v>
      </c>
      <c r="B16" s="1460">
        <f t="shared" ref="B16:B61" si="13">INDEX($G:$G,MATCH($A16,$F:$F,0),1)</f>
        <v>2.7171844095383868E-2</v>
      </c>
      <c r="C16" s="98">
        <f t="shared" ref="C16:C47" si="14">IF(FuelType="Natural Gas",INDEX($H:$Q,MATCH($A16,$F:$F,0),MATCH(UtilityArea,$H$4:$Q$4,0)),INDEX($R:$AJ,MATCH($A16,$F:$F,0),MATCH(FuelType,$R$4:$AJ$4,0)))*FuelPriceMultiplier</f>
        <v>0</v>
      </c>
      <c r="D16" s="98">
        <f t="shared" ref="D16:D47" si="15">INDEX($AK:$AN,MATCH($A16,$F:$F,0),MATCH(CarbonPrice,$AK$4:$AN$4,0))</f>
        <v>13.62</v>
      </c>
      <c r="E16" s="186"/>
      <c r="F16">
        <v>2013</v>
      </c>
      <c r="G16" s="186">
        <f>Inflation!B20</f>
        <v>2.7171844095383868E-2</v>
      </c>
      <c r="H16" s="3431">
        <v>4.1689816447280892</v>
      </c>
      <c r="I16" s="3429">
        <v>4.8462130733245878</v>
      </c>
      <c r="J16" s="3429">
        <v>4.800487731304127</v>
      </c>
      <c r="K16" s="3432">
        <v>4.1689816447280892</v>
      </c>
      <c r="L16" s="3429">
        <v>4.8462130733245878</v>
      </c>
      <c r="M16" s="874">
        <f t="shared" si="11"/>
        <v>4.8462130733245878</v>
      </c>
      <c r="N16" s="872">
        <f t="shared" si="8"/>
        <v>4.5630380383354501</v>
      </c>
      <c r="O16" s="3429">
        <v>4.5630380383354501</v>
      </c>
      <c r="P16" s="3429">
        <v>6.6673400692022877</v>
      </c>
      <c r="Q16" s="3430">
        <v>2.7873269438301946</v>
      </c>
      <c r="R16" s="1300">
        <f t="shared" si="9"/>
        <v>0.75200000000000011</v>
      </c>
      <c r="S16" s="872">
        <v>0.75200000000000011</v>
      </c>
      <c r="T16" s="872">
        <v>0.87200000000000011</v>
      </c>
      <c r="U16" s="872">
        <v>0.64200000000000002</v>
      </c>
      <c r="V16" s="873">
        <f t="shared" si="10"/>
        <v>2.2440000000000002</v>
      </c>
      <c r="W16" s="873">
        <v>2.2440000000000002</v>
      </c>
      <c r="X16" s="873">
        <v>3.9045600000000005</v>
      </c>
      <c r="Y16" s="873">
        <v>1.63812</v>
      </c>
      <c r="Z16" s="1300"/>
      <c r="AA16" s="872"/>
      <c r="AB16" s="872"/>
      <c r="AC16" s="872"/>
      <c r="AD16" s="872"/>
      <c r="AE16" s="872"/>
      <c r="AF16" s="872"/>
      <c r="AG16" s="1775">
        <f t="shared" si="12"/>
        <v>2.1564874937485059</v>
      </c>
      <c r="AH16" s="1776">
        <v>2.1564874937485059</v>
      </c>
      <c r="AI16" s="1476">
        <v>2.6956093671856323</v>
      </c>
      <c r="AJ16" s="1477">
        <v>1.6173656203113795</v>
      </c>
      <c r="AK16" s="1475">
        <v>0</v>
      </c>
      <c r="AL16" s="3310">
        <v>13.62</v>
      </c>
      <c r="AM16" s="3063">
        <f>MIN(3*$AN16,$AO16)</f>
        <v>32.130000000000003</v>
      </c>
      <c r="AN16" s="3066">
        <v>10.71</v>
      </c>
      <c r="AO16" s="3318">
        <v>50</v>
      </c>
      <c r="AP16" s="874"/>
      <c r="AQ16" s="872"/>
      <c r="AR16" s="7"/>
      <c r="AS16" s="11">
        <f t="shared" si="0"/>
        <v>2013</v>
      </c>
      <c r="AT16" s="605">
        <f>Inflation!E20</f>
        <v>1</v>
      </c>
      <c r="AU16" s="602">
        <f t="shared" si="1"/>
        <v>4.1689816447280892</v>
      </c>
      <c r="AV16" s="602">
        <f t="shared" si="2"/>
        <v>4.8462130733245878</v>
      </c>
      <c r="AW16" s="602">
        <f t="shared" si="3"/>
        <v>4.800487731304127</v>
      </c>
      <c r="AX16" s="602">
        <f t="shared" si="4"/>
        <v>4.1689816447280892</v>
      </c>
      <c r="AY16" s="602">
        <f t="shared" si="5"/>
        <v>4.8462130733245878</v>
      </c>
      <c r="AZ16" s="602">
        <f t="shared" si="6"/>
        <v>4.8462130733245878</v>
      </c>
      <c r="BA16" s="602">
        <f t="shared" si="7"/>
        <v>4.5630380383354501</v>
      </c>
      <c r="BB16" s="7"/>
      <c r="BC16" s="7"/>
      <c r="BD16" s="7"/>
      <c r="BE16" s="7"/>
      <c r="BF16" s="7"/>
      <c r="BG16" s="7"/>
      <c r="BH16" s="7"/>
      <c r="BI16" s="7"/>
      <c r="BJ16" s="15"/>
      <c r="BN16" s="3070">
        <v>12</v>
      </c>
    </row>
    <row r="17" spans="1:66">
      <c r="A17">
        <f>A16+1</f>
        <v>2014</v>
      </c>
      <c r="B17" s="1460">
        <f t="shared" si="13"/>
        <v>2.2353037622062644E-2</v>
      </c>
      <c r="C17" s="98">
        <f t="shared" si="14"/>
        <v>0</v>
      </c>
      <c r="D17" s="98">
        <f t="shared" si="15"/>
        <v>17.245306626868363</v>
      </c>
      <c r="E17" s="186"/>
      <c r="F17">
        <v>2014</v>
      </c>
      <c r="G17" s="186">
        <f>Inflation!B21</f>
        <v>2.2353037622062644E-2</v>
      </c>
      <c r="H17" s="3431">
        <v>4.4106049227593491</v>
      </c>
      <c r="I17" s="3429">
        <v>5.1053466057086299</v>
      </c>
      <c r="J17" s="3429">
        <v>5.0631412988029982</v>
      </c>
      <c r="K17" s="3432">
        <v>4.4106049227593491</v>
      </c>
      <c r="L17" s="3429">
        <v>5.1053466057086299</v>
      </c>
      <c r="M17" s="874">
        <f t="shared" si="11"/>
        <v>5.1053466057086299</v>
      </c>
      <c r="N17" s="872">
        <f t="shared" si="8"/>
        <v>4.812236822972574</v>
      </c>
      <c r="O17" s="3429">
        <v>4.812236822972574</v>
      </c>
      <c r="P17" s="3429">
        <v>7.0871027398730275</v>
      </c>
      <c r="Q17" s="3430">
        <v>2.8696105418463973</v>
      </c>
      <c r="R17" s="1300">
        <f t="shared" si="9"/>
        <v>0.78600000000000014</v>
      </c>
      <c r="S17" s="872">
        <v>0.78600000000000014</v>
      </c>
      <c r="T17" s="872">
        <v>0.91600000000000015</v>
      </c>
      <c r="U17" s="872">
        <v>0.66600000000000004</v>
      </c>
      <c r="V17" s="873">
        <f t="shared" si="10"/>
        <v>2.2920000000000003</v>
      </c>
      <c r="W17" s="873">
        <v>2.2920000000000003</v>
      </c>
      <c r="X17" s="873">
        <v>3.9880800000000005</v>
      </c>
      <c r="Y17" s="873">
        <v>1.6731600000000002</v>
      </c>
      <c r="Z17" s="1300"/>
      <c r="AA17" s="872"/>
      <c r="AB17" s="872"/>
      <c r="AC17" s="872"/>
      <c r="AD17" s="872"/>
      <c r="AE17" s="872"/>
      <c r="AF17" s="872"/>
      <c r="AG17" s="1775">
        <f t="shared" si="12"/>
        <v>2.1974863238653022</v>
      </c>
      <c r="AH17" s="1776">
        <v>2.1974863238653022</v>
      </c>
      <c r="AI17" s="1476">
        <v>2.7468579048316277</v>
      </c>
      <c r="AJ17" s="1477">
        <v>1.6481147428989766</v>
      </c>
      <c r="AK17" s="1475">
        <v>0</v>
      </c>
      <c r="AL17" s="3063">
        <f>MIN(1.5*$AN17,$AO17)</f>
        <v>17.245306626868363</v>
      </c>
      <c r="AM17" s="3063">
        <f>MIN(3*$AN17,$AO17)</f>
        <v>34.490613253736726</v>
      </c>
      <c r="AN17" s="1476">
        <f>AN16*(1.05)*(1+$G17)</f>
        <v>11.496871084578908</v>
      </c>
      <c r="AO17" s="3319">
        <f>AO16*(1.05)*(1+$G17)</f>
        <v>53.673534475158291</v>
      </c>
      <c r="AP17" s="874"/>
      <c r="AQ17" s="872"/>
      <c r="AR17" s="7"/>
      <c r="AS17" s="11">
        <f t="shared" si="0"/>
        <v>2014</v>
      </c>
      <c r="AT17" s="605">
        <f>Inflation!E21</f>
        <v>1.0223530376220626</v>
      </c>
      <c r="AU17" s="602">
        <f t="shared" si="1"/>
        <v>4.3141701158517369</v>
      </c>
      <c r="AV17" s="602">
        <f t="shared" si="2"/>
        <v>4.9937217554352724</v>
      </c>
      <c r="AW17" s="602">
        <f t="shared" si="3"/>
        <v>4.9524392381907409</v>
      </c>
      <c r="AX17" s="602">
        <f t="shared" si="4"/>
        <v>4.3141701158517369</v>
      </c>
      <c r="AY17" s="602">
        <f t="shared" si="5"/>
        <v>4.9937217554352724</v>
      </c>
      <c r="AZ17" s="602">
        <f t="shared" si="6"/>
        <v>4.9937217554352724</v>
      </c>
      <c r="BA17" s="602">
        <f t="shared" si="7"/>
        <v>4.7070206140978215</v>
      </c>
      <c r="BB17" s="7"/>
      <c r="BC17" s="7"/>
      <c r="BD17" s="7"/>
      <c r="BE17" s="7"/>
      <c r="BF17" s="7"/>
      <c r="BG17" s="7"/>
      <c r="BH17" s="7"/>
      <c r="BI17" s="7"/>
      <c r="BJ17" s="15"/>
      <c r="BN17" s="3070"/>
    </row>
    <row r="18" spans="1:66">
      <c r="A18">
        <f t="shared" ref="A18:A57" si="16">A17+1</f>
        <v>2015</v>
      </c>
      <c r="B18" s="1460">
        <f t="shared" si="13"/>
        <v>1.9540164511139935E-2</v>
      </c>
      <c r="C18" s="98">
        <f t="shared" si="14"/>
        <v>0</v>
      </c>
      <c r="D18" s="98">
        <f t="shared" si="15"/>
        <v>18.461396893172545</v>
      </c>
      <c r="E18" s="186"/>
      <c r="F18">
        <v>2015</v>
      </c>
      <c r="G18" s="186">
        <f>Inflation!B22</f>
        <v>1.9540164511139935E-2</v>
      </c>
      <c r="H18" s="3431">
        <v>4.6027106923619927</v>
      </c>
      <c r="I18" s="3429">
        <v>5.2867662929546961</v>
      </c>
      <c r="J18" s="3429">
        <v>5.2462237699176049</v>
      </c>
      <c r="K18" s="3432">
        <v>4.6027106923619927</v>
      </c>
      <c r="L18" s="3429">
        <v>5.2867662929546961</v>
      </c>
      <c r="M18" s="874">
        <f t="shared" si="11"/>
        <v>5.2867662929546961</v>
      </c>
      <c r="N18" s="872">
        <f t="shared" si="8"/>
        <v>4.99931710024656</v>
      </c>
      <c r="O18" s="3429">
        <v>4.99931710024656</v>
      </c>
      <c r="P18" s="3429">
        <v>7.4143737568759827</v>
      </c>
      <c r="Q18" s="3430">
        <v>2.9198911814771735</v>
      </c>
      <c r="R18" s="1300">
        <f t="shared" si="9"/>
        <v>0.82</v>
      </c>
      <c r="S18" s="872">
        <v>0.82</v>
      </c>
      <c r="T18" s="872">
        <v>0.94</v>
      </c>
      <c r="U18" s="872">
        <v>0.69</v>
      </c>
      <c r="V18" s="873">
        <f t="shared" si="10"/>
        <v>2.34</v>
      </c>
      <c r="W18" s="873">
        <v>2.34</v>
      </c>
      <c r="X18" s="873">
        <v>4.0716000000000001</v>
      </c>
      <c r="Y18" s="873">
        <v>1.7081999999999999</v>
      </c>
      <c r="Z18" s="1300"/>
      <c r="AA18" s="872"/>
      <c r="AB18" s="872"/>
      <c r="AC18" s="872"/>
      <c r="AD18" s="872"/>
      <c r="AE18" s="872"/>
      <c r="AF18" s="872"/>
      <c r="AG18" s="1775">
        <f t="shared" si="12"/>
        <v>2.2392646178444298</v>
      </c>
      <c r="AH18" s="1776">
        <v>2.2392646178444298</v>
      </c>
      <c r="AI18" s="1476">
        <v>2.7990807723055373</v>
      </c>
      <c r="AJ18" s="1477">
        <v>1.6794484633833222</v>
      </c>
      <c r="AK18" s="1475">
        <v>0</v>
      </c>
      <c r="AL18" s="3063">
        <f t="shared" ref="AL18:AL78" si="17">MIN(1.5*$AN18,$AO18)</f>
        <v>18.461396893172545</v>
      </c>
      <c r="AM18" s="1476">
        <f t="shared" ref="AM18:AM23" si="18">MIN(3*$AN18,$AO18)</f>
        <v>36.922793786345089</v>
      </c>
      <c r="AN18" s="1476">
        <f t="shared" ref="AN18:AO23" si="19">AN17*(1.05)*(1+$G18)</f>
        <v>12.307597928781696</v>
      </c>
      <c r="AO18" s="3319">
        <f t="shared" si="19"/>
        <v>57.458440377132092</v>
      </c>
      <c r="AP18" s="874"/>
      <c r="AQ18" s="872"/>
      <c r="AR18" s="7"/>
      <c r="AS18" s="11">
        <f t="shared" si="0"/>
        <v>2015</v>
      </c>
      <c r="AT18" s="605">
        <f>Inflation!E22</f>
        <v>1.0423299841656615</v>
      </c>
      <c r="AU18" s="602">
        <f t="shared" si="1"/>
        <v>4.4157903564927734</v>
      </c>
      <c r="AV18" s="602">
        <f t="shared" si="2"/>
        <v>5.0720658268182852</v>
      </c>
      <c r="AW18" s="602">
        <f t="shared" si="3"/>
        <v>5.0331697731184164</v>
      </c>
      <c r="AX18" s="602">
        <f t="shared" si="4"/>
        <v>4.4157903564927734</v>
      </c>
      <c r="AY18" s="602">
        <f t="shared" si="5"/>
        <v>5.0720658268182852</v>
      </c>
      <c r="AZ18" s="602">
        <f t="shared" si="6"/>
        <v>5.0720658268182852</v>
      </c>
      <c r="BA18" s="602">
        <f t="shared" si="7"/>
        <v>4.7962902115382295</v>
      </c>
      <c r="BB18" s="7"/>
      <c r="BC18" s="7"/>
      <c r="BD18" s="7"/>
      <c r="BE18" s="7"/>
      <c r="BF18" s="7"/>
      <c r="BG18" s="7"/>
      <c r="BH18" s="7"/>
      <c r="BI18" s="7"/>
      <c r="BJ18" s="15"/>
      <c r="BN18" s="3070"/>
    </row>
    <row r="19" spans="1:66">
      <c r="A19">
        <f t="shared" si="16"/>
        <v>2016</v>
      </c>
      <c r="B19" s="1460">
        <f t="shared" si="13"/>
        <v>1.9023551698312602E-2</v>
      </c>
      <c r="C19" s="98">
        <f t="shared" si="14"/>
        <v>0</v>
      </c>
      <c r="D19" s="98">
        <f t="shared" si="15"/>
        <v>19.753228142962524</v>
      </c>
      <c r="E19" s="186"/>
      <c r="F19">
        <v>2016</v>
      </c>
      <c r="G19" s="186">
        <f>Inflation!B23</f>
        <v>1.9023551698312602E-2</v>
      </c>
      <c r="H19" s="3431">
        <v>5.0532384898545679</v>
      </c>
      <c r="I19" s="3429">
        <v>5.7428041457511707</v>
      </c>
      <c r="J19" s="3429">
        <v>5.7121068165572488</v>
      </c>
      <c r="K19" s="3432">
        <v>5.0532384898545679</v>
      </c>
      <c r="L19" s="3429">
        <v>5.7428041457511707</v>
      </c>
      <c r="M19" s="874">
        <f t="shared" si="11"/>
        <v>5.7428041457511707</v>
      </c>
      <c r="N19" s="872">
        <f t="shared" si="8"/>
        <v>5.4514266162406706</v>
      </c>
      <c r="O19" s="3429">
        <v>5.4514266162406706</v>
      </c>
      <c r="P19" s="3429">
        <v>8.1360450554176715</v>
      </c>
      <c r="Q19" s="3430">
        <v>3.1264626213178848</v>
      </c>
      <c r="R19" s="1300">
        <f t="shared" si="9"/>
        <v>0.85</v>
      </c>
      <c r="S19" s="872">
        <v>0.85</v>
      </c>
      <c r="T19" s="872">
        <v>0.96399999999999997</v>
      </c>
      <c r="U19" s="872">
        <v>0.72699999999999998</v>
      </c>
      <c r="V19" s="872">
        <f t="shared" si="10"/>
        <v>2.3859999999999997</v>
      </c>
      <c r="W19" s="872">
        <v>2.3859999999999997</v>
      </c>
      <c r="X19" s="872">
        <v>4.1516399999999996</v>
      </c>
      <c r="Y19" s="872">
        <v>1.7417799999999997</v>
      </c>
      <c r="Z19" s="1300"/>
      <c r="AA19" s="872"/>
      <c r="AB19" s="872"/>
      <c r="AC19" s="872"/>
      <c r="AD19" s="872"/>
      <c r="AE19" s="872"/>
      <c r="AF19" s="872"/>
      <c r="AG19" s="1775">
        <f t="shared" si="12"/>
        <v>2.2818371947407479</v>
      </c>
      <c r="AH19" s="1776">
        <v>2.2818371947407479</v>
      </c>
      <c r="AI19" s="1476">
        <v>2.8522964934259347</v>
      </c>
      <c r="AJ19" s="1477">
        <v>1.711377896055561</v>
      </c>
      <c r="AK19" s="1475">
        <v>0</v>
      </c>
      <c r="AL19" s="3063">
        <f t="shared" si="17"/>
        <v>19.753228142962524</v>
      </c>
      <c r="AM19" s="1476">
        <f t="shared" si="18"/>
        <v>39.506456285925047</v>
      </c>
      <c r="AN19" s="1476">
        <f t="shared" si="19"/>
        <v>13.168818761975016</v>
      </c>
      <c r="AO19" s="3319">
        <f t="shared" si="19"/>
        <v>61.479079187558419</v>
      </c>
      <c r="AP19" s="874"/>
      <c r="AQ19" s="872"/>
      <c r="AR19" s="7"/>
      <c r="AS19" s="11">
        <f t="shared" si="0"/>
        <v>2016</v>
      </c>
      <c r="AT19" s="605">
        <f>Inflation!E23</f>
        <v>1.0621588025061384</v>
      </c>
      <c r="AU19" s="602">
        <f t="shared" si="1"/>
        <v>4.7575169343148804</v>
      </c>
      <c r="AV19" s="602">
        <f t="shared" si="2"/>
        <v>5.4067283839301252</v>
      </c>
      <c r="AW19" s="602">
        <f t="shared" si="3"/>
        <v>5.3778274991269379</v>
      </c>
      <c r="AX19" s="602">
        <f t="shared" si="4"/>
        <v>4.7575169343148804</v>
      </c>
      <c r="AY19" s="602">
        <f t="shared" si="5"/>
        <v>5.4067283839301252</v>
      </c>
      <c r="AZ19" s="602">
        <f t="shared" si="6"/>
        <v>5.4067283839301252</v>
      </c>
      <c r="BA19" s="602">
        <f t="shared" si="7"/>
        <v>5.1324026156711779</v>
      </c>
      <c r="BB19" s="7"/>
      <c r="BC19" s="7"/>
      <c r="BD19" s="7"/>
      <c r="BE19" s="7"/>
      <c r="BF19" s="7"/>
      <c r="BG19" s="7"/>
      <c r="BH19" s="7"/>
      <c r="BI19" s="7"/>
      <c r="BJ19" s="15"/>
      <c r="BN19" s="3070"/>
    </row>
    <row r="20" spans="1:66">
      <c r="A20">
        <f t="shared" si="16"/>
        <v>2017</v>
      </c>
      <c r="B20" s="1460">
        <f t="shared" si="13"/>
        <v>1.6950171106036249E-2</v>
      </c>
      <c r="C20" s="98">
        <f t="shared" si="14"/>
        <v>0</v>
      </c>
      <c r="D20" s="98">
        <f t="shared" si="15"/>
        <v>21.092451176876423</v>
      </c>
      <c r="E20" s="186"/>
      <c r="F20">
        <v>2017</v>
      </c>
      <c r="G20" s="186">
        <f>Inflation!B24</f>
        <v>1.6950171106036249E-2</v>
      </c>
      <c r="H20" s="3431">
        <v>5.4342902866484906</v>
      </c>
      <c r="I20" s="3429">
        <v>6.1495534437744723</v>
      </c>
      <c r="J20" s="3429">
        <v>6.1275407060473057</v>
      </c>
      <c r="K20" s="3432">
        <v>5.4342902866484906</v>
      </c>
      <c r="L20" s="3429">
        <v>6.1495534437744723</v>
      </c>
      <c r="M20" s="874">
        <f t="shared" si="11"/>
        <v>6.1495534437744723</v>
      </c>
      <c r="N20" s="872">
        <f t="shared" si="8"/>
        <v>5.873842290087893</v>
      </c>
      <c r="O20" s="3429">
        <v>5.873842290087893</v>
      </c>
      <c r="P20" s="3429">
        <v>8.8169525713980121</v>
      </c>
      <c r="Q20" s="3430">
        <v>3.3145866241090745</v>
      </c>
      <c r="R20" s="1300">
        <f t="shared" si="9"/>
        <v>0.88</v>
      </c>
      <c r="S20" s="872">
        <v>0.88</v>
      </c>
      <c r="T20" s="872">
        <v>0.98799999999999999</v>
      </c>
      <c r="U20" s="872">
        <v>0.76400000000000001</v>
      </c>
      <c r="V20" s="872">
        <f t="shared" si="10"/>
        <v>2.4319999999999995</v>
      </c>
      <c r="W20" s="872">
        <v>2.4319999999999995</v>
      </c>
      <c r="X20" s="872">
        <v>4.231679999999999</v>
      </c>
      <c r="Y20" s="872">
        <v>1.7753599999999996</v>
      </c>
      <c r="Z20" s="1300"/>
      <c r="AA20" s="872"/>
      <c r="AB20" s="872"/>
      <c r="AC20" s="872"/>
      <c r="AD20" s="872"/>
      <c r="AE20" s="872"/>
      <c r="AF20" s="872"/>
      <c r="AG20" s="1775">
        <f t="shared" si="12"/>
        <v>2.325219155346856</v>
      </c>
      <c r="AH20" s="1776">
        <v>2.325219155346856</v>
      </c>
      <c r="AI20" s="1476">
        <v>2.90652394418357</v>
      </c>
      <c r="AJ20" s="1477">
        <v>1.743914366510142</v>
      </c>
      <c r="AK20" s="1475">
        <v>0</v>
      </c>
      <c r="AL20" s="3063">
        <f t="shared" si="17"/>
        <v>21.092451176876423</v>
      </c>
      <c r="AM20" s="1476">
        <f t="shared" si="18"/>
        <v>42.184902353752847</v>
      </c>
      <c r="AN20" s="1476">
        <f t="shared" si="19"/>
        <v>14.061634117917617</v>
      </c>
      <c r="AO20" s="3319">
        <f t="shared" si="19"/>
        <v>65.647218104190543</v>
      </c>
      <c r="AP20" s="874"/>
      <c r="AQ20" s="872"/>
      <c r="AR20" s="7"/>
      <c r="AS20" s="11">
        <f t="shared" si="0"/>
        <v>2017</v>
      </c>
      <c r="AT20" s="605">
        <f>Inflation!E24</f>
        <v>1.0801625759503999</v>
      </c>
      <c r="AU20" s="602">
        <f t="shared" si="1"/>
        <v>5.0309929335100652</v>
      </c>
      <c r="AV20" s="602">
        <f t="shared" si="2"/>
        <v>5.6931739542667277</v>
      </c>
      <c r="AW20" s="602">
        <f t="shared" si="3"/>
        <v>5.6727948574369762</v>
      </c>
      <c r="AX20" s="602">
        <f t="shared" si="4"/>
        <v>5.0309929335100652</v>
      </c>
      <c r="AY20" s="602">
        <f t="shared" si="5"/>
        <v>5.6931739542667277</v>
      </c>
      <c r="AZ20" s="602">
        <f t="shared" si="6"/>
        <v>5.6931739542667277</v>
      </c>
      <c r="BA20" s="602">
        <f t="shared" si="7"/>
        <v>5.4379242725750707</v>
      </c>
      <c r="BB20" s="7"/>
      <c r="BC20" s="7"/>
      <c r="BD20" s="7"/>
      <c r="BE20" s="7"/>
      <c r="BF20" s="7"/>
      <c r="BG20" s="7"/>
      <c r="BH20" s="7"/>
      <c r="BI20" s="7"/>
      <c r="BJ20" s="15"/>
      <c r="BN20" s="3070"/>
    </row>
    <row r="21" spans="1:66">
      <c r="A21">
        <f t="shared" si="16"/>
        <v>2018</v>
      </c>
      <c r="B21" s="1460">
        <f t="shared" si="13"/>
        <v>1.5312871690528862E-2</v>
      </c>
      <c r="C21" s="98">
        <f t="shared" si="14"/>
        <v>0</v>
      </c>
      <c r="D21" s="98">
        <f t="shared" si="15"/>
        <v>22.486209034156012</v>
      </c>
      <c r="E21" s="186"/>
      <c r="F21">
        <v>2018</v>
      </c>
      <c r="G21" s="186">
        <f>Inflation!B25</f>
        <v>1.5312871690528862E-2</v>
      </c>
      <c r="H21" s="3431">
        <v>5.3353976861696317</v>
      </c>
      <c r="I21" s="3429">
        <v>6.0818204033926779</v>
      </c>
      <c r="J21" s="3429">
        <v>6.0546452180792025</v>
      </c>
      <c r="K21" s="3429">
        <v>5.3353976861696317</v>
      </c>
      <c r="L21" s="3429">
        <v>6.0818204033926779</v>
      </c>
      <c r="M21" s="874">
        <f t="shared" si="11"/>
        <v>6.0818204033926779</v>
      </c>
      <c r="N21" s="872">
        <f t="shared" si="8"/>
        <v>5.7938511165555289</v>
      </c>
      <c r="O21" s="3429">
        <v>5.7938511165555289</v>
      </c>
      <c r="P21" s="3429">
        <v>8.7428311890667025</v>
      </c>
      <c r="Q21" s="3430">
        <v>3.2221749473185168</v>
      </c>
      <c r="R21" s="1300">
        <f t="shared" si="9"/>
        <v>0.91</v>
      </c>
      <c r="S21" s="872">
        <v>0.91</v>
      </c>
      <c r="T21" s="872">
        <v>1.012</v>
      </c>
      <c r="U21" s="872">
        <v>0.80100000000000005</v>
      </c>
      <c r="V21" s="872">
        <f t="shared" si="10"/>
        <v>2.4779999999999993</v>
      </c>
      <c r="W21" s="872">
        <v>2.4779999999999993</v>
      </c>
      <c r="X21" s="872">
        <v>4.3117199999999984</v>
      </c>
      <c r="Y21" s="872">
        <v>1.8089399999999995</v>
      </c>
      <c r="Z21" s="1300"/>
      <c r="AA21" s="872"/>
      <c r="AB21" s="872"/>
      <c r="AC21" s="872"/>
      <c r="AD21" s="872"/>
      <c r="AE21" s="872"/>
      <c r="AF21" s="872"/>
      <c r="AG21" s="1775">
        <f t="shared" si="12"/>
        <v>2.3694258875494514</v>
      </c>
      <c r="AH21" s="1776">
        <v>2.3694258875494514</v>
      </c>
      <c r="AI21" s="1476">
        <v>2.961782359436814</v>
      </c>
      <c r="AJ21" s="1477">
        <v>1.7770694156620885</v>
      </c>
      <c r="AK21" s="1475">
        <v>0</v>
      </c>
      <c r="AL21" s="3063">
        <f t="shared" si="17"/>
        <v>22.486209034156012</v>
      </c>
      <c r="AM21" s="1476">
        <f t="shared" si="18"/>
        <v>44.972418068312024</v>
      </c>
      <c r="AN21" s="1476">
        <f t="shared" si="19"/>
        <v>14.990806022770675</v>
      </c>
      <c r="AO21" s="3319">
        <f t="shared" si="19"/>
        <v>69.985088808453185</v>
      </c>
      <c r="AP21" s="874"/>
      <c r="AQ21" s="872"/>
      <c r="AR21" s="7"/>
      <c r="AS21" s="11">
        <f t="shared" si="0"/>
        <v>2018</v>
      </c>
      <c r="AT21" s="605">
        <f>Inflation!E25</f>
        <v>1.0967029668808395</v>
      </c>
      <c r="AU21" s="602">
        <f t="shared" si="1"/>
        <v>4.8649432410529272</v>
      </c>
      <c r="AV21" s="602">
        <f t="shared" si="2"/>
        <v>5.5455493301802008</v>
      </c>
      <c r="AW21" s="602">
        <f t="shared" si="3"/>
        <v>5.5207703461397317</v>
      </c>
      <c r="AX21" s="602">
        <f t="shared" si="4"/>
        <v>4.8649432410529272</v>
      </c>
      <c r="AY21" s="602">
        <f t="shared" si="5"/>
        <v>5.5455493301802008</v>
      </c>
      <c r="AZ21" s="602">
        <f t="shared" si="6"/>
        <v>5.5455493301802008</v>
      </c>
      <c r="BA21" s="602">
        <f t="shared" si="7"/>
        <v>5.2829720457800589</v>
      </c>
      <c r="BB21" s="7"/>
      <c r="BC21" s="7"/>
      <c r="BD21" s="7"/>
      <c r="BE21" s="7"/>
      <c r="BF21" s="7"/>
      <c r="BG21" s="7"/>
      <c r="BH21" s="7"/>
      <c r="BI21" s="7"/>
      <c r="BJ21" s="15"/>
      <c r="BN21" s="3070"/>
    </row>
    <row r="22" spans="1:66">
      <c r="A22">
        <f t="shared" si="16"/>
        <v>2019</v>
      </c>
      <c r="B22" s="1460">
        <f t="shared" si="13"/>
        <v>1.4701821460087139E-2</v>
      </c>
      <c r="C22" s="98">
        <f t="shared" si="14"/>
        <v>0</v>
      </c>
      <c r="D22" s="98">
        <f t="shared" si="15"/>
        <v>23.95763712792489</v>
      </c>
      <c r="E22" s="186"/>
      <c r="F22">
        <v>2019</v>
      </c>
      <c r="G22" s="186">
        <f>Inflation!B26</f>
        <v>1.4701821460087139E-2</v>
      </c>
      <c r="H22" s="3431">
        <v>5.543338052130534</v>
      </c>
      <c r="I22" s="3429">
        <v>6.3212760153926499</v>
      </c>
      <c r="J22" s="3429">
        <v>6.2981847183836637</v>
      </c>
      <c r="K22" s="3429">
        <v>5.543338052130534</v>
      </c>
      <c r="L22" s="3429">
        <v>6.3212760153926499</v>
      </c>
      <c r="M22" s="874">
        <f t="shared" si="11"/>
        <v>6.3212760153926499</v>
      </c>
      <c r="N22" s="872">
        <f t="shared" si="8"/>
        <v>6.0214554203769772</v>
      </c>
      <c r="O22" s="3429">
        <v>6.0214554203769772</v>
      </c>
      <c r="P22" s="3429">
        <v>9.1306604371725779</v>
      </c>
      <c r="Q22" s="3430">
        <v>3.3047970300124674</v>
      </c>
      <c r="R22" s="1300">
        <f t="shared" si="9"/>
        <v>0.94</v>
      </c>
      <c r="S22" s="872">
        <v>0.94</v>
      </c>
      <c r="T22" s="872">
        <v>1.036</v>
      </c>
      <c r="U22" s="872">
        <v>0.83800000000000008</v>
      </c>
      <c r="V22" s="872">
        <f t="shared" si="10"/>
        <v>2.5239999999999991</v>
      </c>
      <c r="W22" s="872">
        <v>2.5239999999999991</v>
      </c>
      <c r="X22" s="872">
        <v>4.3917599999999988</v>
      </c>
      <c r="Y22" s="872">
        <v>1.8425199999999993</v>
      </c>
      <c r="Z22" s="1300"/>
      <c r="AA22" s="872"/>
      <c r="AB22" s="872"/>
      <c r="AC22" s="872"/>
      <c r="AD22" s="872"/>
      <c r="AE22" s="872"/>
      <c r="AF22" s="872"/>
      <c r="AG22" s="1775">
        <f t="shared" si="12"/>
        <v>2.4144730717875196</v>
      </c>
      <c r="AH22" s="1776">
        <v>2.4144730717875196</v>
      </c>
      <c r="AI22" s="1476">
        <v>3.0180913397343994</v>
      </c>
      <c r="AJ22" s="1477">
        <v>1.8108548038406398</v>
      </c>
      <c r="AK22" s="1475">
        <v>0</v>
      </c>
      <c r="AL22" s="3063">
        <f t="shared" si="17"/>
        <v>23.95763712792489</v>
      </c>
      <c r="AM22" s="1476">
        <f t="shared" si="18"/>
        <v>47.915274255849781</v>
      </c>
      <c r="AN22" s="1476">
        <f t="shared" si="19"/>
        <v>15.971758085283261</v>
      </c>
      <c r="AO22" s="3319">
        <f t="shared" si="19"/>
        <v>74.56469694343258</v>
      </c>
      <c r="AP22" s="874"/>
      <c r="AQ22" s="872"/>
      <c r="AR22" s="7"/>
      <c r="AS22" s="11">
        <f t="shared" si="0"/>
        <v>2019</v>
      </c>
      <c r="AT22" s="605">
        <f>Inflation!E26</f>
        <v>1.1128264980946694</v>
      </c>
      <c r="AU22" s="602">
        <f t="shared" si="1"/>
        <v>4.9813138540658262</v>
      </c>
      <c r="AV22" s="602">
        <f t="shared" si="2"/>
        <v>5.6803787708287405</v>
      </c>
      <c r="AW22" s="602">
        <f t="shared" si="3"/>
        <v>5.6596286385767476</v>
      </c>
      <c r="AX22" s="602">
        <f t="shared" si="4"/>
        <v>4.9813138540658262</v>
      </c>
      <c r="AY22" s="602">
        <f t="shared" si="5"/>
        <v>5.6803787708287405</v>
      </c>
      <c r="AZ22" s="602">
        <f t="shared" si="6"/>
        <v>5.6803787708287405</v>
      </c>
      <c r="BA22" s="602">
        <f t="shared" si="7"/>
        <v>5.4109561829149806</v>
      </c>
      <c r="BB22" s="7"/>
      <c r="BC22" s="7"/>
      <c r="BD22" s="7"/>
      <c r="BE22" s="7"/>
      <c r="BF22" s="7"/>
      <c r="BG22" s="7"/>
      <c r="BH22" s="7"/>
      <c r="BI22" s="7"/>
      <c r="BJ22" s="15"/>
      <c r="BN22" s="3070"/>
    </row>
    <row r="23" spans="1:66">
      <c r="A23">
        <f t="shared" si="16"/>
        <v>2020</v>
      </c>
      <c r="B23" s="1460">
        <f t="shared" si="13"/>
        <v>1.4395909663810214E-2</v>
      </c>
      <c r="C23" s="98">
        <f t="shared" si="14"/>
        <v>0</v>
      </c>
      <c r="D23" s="98">
        <f t="shared" si="15"/>
        <v>25.51765556316569</v>
      </c>
      <c r="E23" s="186"/>
      <c r="F23">
        <v>2020</v>
      </c>
      <c r="G23" s="186">
        <f>Inflation!B27</f>
        <v>1.4395909663810214E-2</v>
      </c>
      <c r="H23" s="3431">
        <v>5.743320450225692</v>
      </c>
      <c r="I23" s="3429">
        <v>6.5453161213744275</v>
      </c>
      <c r="J23" s="3429">
        <v>6.525870034476255</v>
      </c>
      <c r="K23" s="3429">
        <v>5.743320450225692</v>
      </c>
      <c r="L23" s="3429">
        <v>6.5453161213744275</v>
      </c>
      <c r="M23" s="874">
        <f t="shared" si="11"/>
        <v>6.5453161213744275</v>
      </c>
      <c r="N23" s="872">
        <f t="shared" si="8"/>
        <v>6.2364795922505163</v>
      </c>
      <c r="O23" s="3429">
        <v>6.2364795922505163</v>
      </c>
      <c r="P23" s="3429">
        <v>9.4996701086768649</v>
      </c>
      <c r="Q23" s="3430">
        <v>3.381711784862699</v>
      </c>
      <c r="R23" s="1300">
        <f t="shared" si="9"/>
        <v>0.97</v>
      </c>
      <c r="S23" s="872">
        <v>0.97</v>
      </c>
      <c r="T23" s="872">
        <v>1.06</v>
      </c>
      <c r="U23" s="872">
        <v>0.875</v>
      </c>
      <c r="V23" s="872">
        <f t="shared" si="10"/>
        <v>2.57</v>
      </c>
      <c r="W23" s="872">
        <v>2.57</v>
      </c>
      <c r="X23" s="872">
        <v>4.4718</v>
      </c>
      <c r="Y23" s="872">
        <v>1.8760999999999999</v>
      </c>
      <c r="Z23" s="1300"/>
      <c r="AA23" s="872"/>
      <c r="AB23" s="872"/>
      <c r="AC23" s="872"/>
      <c r="AD23" s="872"/>
      <c r="AE23" s="872"/>
      <c r="AF23" s="872"/>
      <c r="AG23" s="1775">
        <f t="shared" si="12"/>
        <v>2.460376686614298</v>
      </c>
      <c r="AH23" s="1776">
        <v>2.460376686614298</v>
      </c>
      <c r="AI23" s="1476">
        <v>3.0754708582678725</v>
      </c>
      <c r="AJ23" s="1477">
        <v>1.8452825149607235</v>
      </c>
      <c r="AK23" s="3313">
        <v>0</v>
      </c>
      <c r="AL23" s="3314">
        <f t="shared" si="17"/>
        <v>25.51765556316569</v>
      </c>
      <c r="AM23" s="3314">
        <f t="shared" si="18"/>
        <v>51.035311126331379</v>
      </c>
      <c r="AN23" s="3314">
        <f t="shared" si="19"/>
        <v>17.011770375443792</v>
      </c>
      <c r="AO23" s="3319">
        <f t="shared" si="19"/>
        <v>79.420029763976601</v>
      </c>
      <c r="AP23" s="874"/>
      <c r="AQ23" s="872"/>
      <c r="AR23" s="7"/>
      <c r="AS23" s="11">
        <f t="shared" si="0"/>
        <v>2020</v>
      </c>
      <c r="AT23" s="605">
        <f>Inflation!E27</f>
        <v>1.1288466478327346</v>
      </c>
      <c r="AU23" s="602">
        <f t="shared" si="1"/>
        <v>5.0877773887642368</v>
      </c>
      <c r="AV23" s="602">
        <f t="shared" si="2"/>
        <v>5.7982332090375053</v>
      </c>
      <c r="AW23" s="602">
        <f t="shared" si="3"/>
        <v>5.781006700073239</v>
      </c>
      <c r="AX23" s="602">
        <f t="shared" si="4"/>
        <v>5.0877773887642368</v>
      </c>
      <c r="AY23" s="602">
        <f t="shared" si="5"/>
        <v>5.7982332090375053</v>
      </c>
      <c r="AZ23" s="602">
        <f t="shared" si="6"/>
        <v>5.7982332090375053</v>
      </c>
      <c r="BA23" s="602">
        <f t="shared" si="7"/>
        <v>5.5246473063669841</v>
      </c>
      <c r="BB23" s="7"/>
      <c r="BC23" s="7"/>
      <c r="BD23" s="7"/>
      <c r="BE23" s="7"/>
      <c r="BF23" s="7"/>
      <c r="BG23" s="7"/>
      <c r="BH23" s="7"/>
      <c r="BI23" s="7"/>
      <c r="BJ23" s="15"/>
      <c r="BN23" s="3070">
        <v>58</v>
      </c>
    </row>
    <row r="24" spans="1:66">
      <c r="A24">
        <f t="shared" si="16"/>
        <v>2021</v>
      </c>
      <c r="B24" s="1460">
        <f t="shared" si="13"/>
        <v>1.453684404843214E-2</v>
      </c>
      <c r="C24" s="98">
        <f t="shared" si="14"/>
        <v>0</v>
      </c>
      <c r="D24" s="98">
        <f t="shared" si="15"/>
        <v>27.183031829697491</v>
      </c>
      <c r="E24" s="297"/>
      <c r="F24">
        <v>2021</v>
      </c>
      <c r="G24" s="186">
        <f>Inflation!B28</f>
        <v>1.453684404843214E-2</v>
      </c>
      <c r="H24" s="3431">
        <v>5.8762435308289946</v>
      </c>
      <c r="I24" s="3429">
        <v>6.6994772964984186</v>
      </c>
      <c r="J24" s="3429">
        <v>6.6815334272689428</v>
      </c>
      <c r="K24" s="3429">
        <v>5.8762435308289946</v>
      </c>
      <c r="L24" s="3429">
        <v>6.6994772964984186</v>
      </c>
      <c r="M24" s="874">
        <f t="shared" si="11"/>
        <v>6.6994772964984186</v>
      </c>
      <c r="N24" s="872">
        <f t="shared" si="8"/>
        <v>6.382580680788597</v>
      </c>
      <c r="O24" s="3429">
        <v>6.382580680788597</v>
      </c>
      <c r="P24" s="3429">
        <v>9.7635067351363727</v>
      </c>
      <c r="Q24" s="3430">
        <v>3.4226744262837978</v>
      </c>
      <c r="R24" s="1300">
        <f t="shared" si="9"/>
        <v>0.996</v>
      </c>
      <c r="S24" s="872">
        <v>0.996</v>
      </c>
      <c r="T24" s="872">
        <v>1.0980000000000001</v>
      </c>
      <c r="U24" s="872">
        <v>0.88800000000000001</v>
      </c>
      <c r="V24" s="872">
        <f t="shared" si="10"/>
        <v>2.6139999999999999</v>
      </c>
      <c r="W24" s="872">
        <v>2.6139999999999999</v>
      </c>
      <c r="X24" s="872">
        <v>4.5483599999999997</v>
      </c>
      <c r="Y24" s="872">
        <v>1.9082199999999998</v>
      </c>
      <c r="Z24" s="1300"/>
      <c r="AA24" s="872"/>
      <c r="AB24" s="872"/>
      <c r="AC24" s="872"/>
      <c r="AD24" s="872"/>
      <c r="AE24" s="872"/>
      <c r="AF24" s="872"/>
      <c r="AG24" s="1775">
        <f t="shared" si="12"/>
        <v>2.5071530143649796</v>
      </c>
      <c r="AH24" s="1776">
        <v>2.5071530143649796</v>
      </c>
      <c r="AI24" s="1476">
        <v>3.1339412679562244</v>
      </c>
      <c r="AJ24" s="1477">
        <v>1.8803647607737348</v>
      </c>
      <c r="AK24" s="1475">
        <v>0</v>
      </c>
      <c r="AL24" s="3314">
        <f t="shared" si="17"/>
        <v>27.183031829697491</v>
      </c>
      <c r="AM24" s="1476">
        <f t="shared" ref="AM24:AN48" si="20">AM23*(1.05)*(1+$G24)</f>
        <v>54.366063659394982</v>
      </c>
      <c r="AN24" s="1476">
        <f t="shared" si="20"/>
        <v>18.122021219798327</v>
      </c>
      <c r="AO24" s="3319">
        <f t="shared" ref="AO24:AO47" si="21">AO23*(1.05)*(1+$G24)</f>
        <v>84.603273668526242</v>
      </c>
      <c r="AP24" s="874"/>
      <c r="AQ24" s="872"/>
      <c r="AR24" s="7"/>
      <c r="AS24" s="11">
        <f t="shared" si="0"/>
        <v>2021</v>
      </c>
      <c r="AT24" s="605">
        <f>Inflation!E28</f>
        <v>1.1452565155068744</v>
      </c>
      <c r="AU24" s="602">
        <f t="shared" si="1"/>
        <v>5.1309409300572737</v>
      </c>
      <c r="AV24" s="602">
        <f t="shared" si="2"/>
        <v>5.849761346726174</v>
      </c>
      <c r="AW24" s="602">
        <f t="shared" si="3"/>
        <v>5.8340933553316576</v>
      </c>
      <c r="AX24" s="602">
        <f t="shared" si="4"/>
        <v>5.1309409300572737</v>
      </c>
      <c r="AY24" s="602">
        <f t="shared" si="5"/>
        <v>5.849761346726174</v>
      </c>
      <c r="AZ24" s="602">
        <f t="shared" si="6"/>
        <v>5.849761346726174</v>
      </c>
      <c r="BA24" s="602">
        <f t="shared" si="7"/>
        <v>5.5730577336761602</v>
      </c>
      <c r="BB24" s="7"/>
      <c r="BC24" s="7"/>
      <c r="BD24" s="7"/>
      <c r="BE24" s="7"/>
      <c r="BF24" s="7"/>
      <c r="BG24" s="7"/>
      <c r="BH24" s="7"/>
      <c r="BI24" s="7"/>
      <c r="BJ24" s="15"/>
    </row>
    <row r="25" spans="1:66">
      <c r="A25">
        <f t="shared" si="16"/>
        <v>2022</v>
      </c>
      <c r="B25" s="1460">
        <f t="shared" si="13"/>
        <v>1.4668198222247186E-2</v>
      </c>
      <c r="C25" s="98">
        <f t="shared" si="14"/>
        <v>0</v>
      </c>
      <c r="D25" s="98">
        <f t="shared" si="15"/>
        <v>28.960845825300012</v>
      </c>
      <c r="E25" s="297"/>
      <c r="F25">
        <v>2022</v>
      </c>
      <c r="G25" s="186">
        <f>Inflation!B29</f>
        <v>1.4668198222247186E-2</v>
      </c>
      <c r="H25" s="3431">
        <v>6.0838439154405908</v>
      </c>
      <c r="I25" s="3429">
        <v>6.9257962927566634</v>
      </c>
      <c r="J25" s="3429">
        <v>6.9114584139601423</v>
      </c>
      <c r="K25" s="3429">
        <v>6.0838439154405908</v>
      </c>
      <c r="L25" s="3429">
        <v>6.9257962927566634</v>
      </c>
      <c r="M25" s="874">
        <f t="shared" si="11"/>
        <v>6.9257962927566634</v>
      </c>
      <c r="N25" s="872">
        <f t="shared" si="8"/>
        <v>6.6019298225578211</v>
      </c>
      <c r="O25" s="3429">
        <v>6.6019298225578211</v>
      </c>
      <c r="P25" s="3429">
        <v>10.139328205099744</v>
      </c>
      <c r="Q25" s="3430">
        <v>3.5040648735511017</v>
      </c>
      <c r="R25" s="1300">
        <f t="shared" si="9"/>
        <v>1.022</v>
      </c>
      <c r="S25" s="872">
        <v>1.022</v>
      </c>
      <c r="T25" s="872">
        <v>1.1360000000000001</v>
      </c>
      <c r="U25" s="872">
        <v>0.90100000000000002</v>
      </c>
      <c r="V25" s="872">
        <f t="shared" si="10"/>
        <v>2.6579999999999999</v>
      </c>
      <c r="W25" s="872">
        <v>2.6579999999999999</v>
      </c>
      <c r="X25" s="872">
        <v>4.6249199999999995</v>
      </c>
      <c r="Y25" s="872">
        <v>1.94034</v>
      </c>
      <c r="Z25" s="1300"/>
      <c r="AA25" s="872"/>
      <c r="AB25" s="872"/>
      <c r="AC25" s="872"/>
      <c r="AD25" s="872"/>
      <c r="AE25" s="872"/>
      <c r="AF25" s="872"/>
      <c r="AG25" s="1775">
        <f t="shared" si="12"/>
        <v>2.5548186469321728</v>
      </c>
      <c r="AH25" s="1776">
        <v>2.5548186469321728</v>
      </c>
      <c r="AI25" s="1476">
        <v>3.1935233086652159</v>
      </c>
      <c r="AJ25" s="1477">
        <v>1.9161139851991296</v>
      </c>
      <c r="AK25" s="1475">
        <v>0</v>
      </c>
      <c r="AL25" s="3314">
        <f t="shared" si="17"/>
        <v>28.960845825300012</v>
      </c>
      <c r="AM25" s="1476">
        <f t="shared" si="20"/>
        <v>57.92169165060001</v>
      </c>
      <c r="AN25" s="1476">
        <f t="shared" si="20"/>
        <v>19.307230550200007</v>
      </c>
      <c r="AO25" s="3319">
        <f t="shared" si="21"/>
        <v>90.136463819794571</v>
      </c>
      <c r="AP25" s="874"/>
      <c r="AQ25" s="872"/>
      <c r="AR25" s="7"/>
      <c r="AS25" s="11">
        <f t="shared" si="0"/>
        <v>2022</v>
      </c>
      <c r="AT25" s="605">
        <f>Inflation!E29</f>
        <v>1.1620553650916492</v>
      </c>
      <c r="AU25" s="602">
        <f t="shared" si="1"/>
        <v>5.2354165715338095</v>
      </c>
      <c r="AV25" s="602">
        <f t="shared" si="2"/>
        <v>5.9599538032427901</v>
      </c>
      <c r="AW25" s="602">
        <f t="shared" si="3"/>
        <v>5.9476154248597686</v>
      </c>
      <c r="AX25" s="602">
        <f t="shared" si="4"/>
        <v>5.2354165715338095</v>
      </c>
      <c r="AY25" s="602">
        <f t="shared" si="5"/>
        <v>5.9599538032427901</v>
      </c>
      <c r="AZ25" s="602">
        <f t="shared" si="6"/>
        <v>5.9599538032427901</v>
      </c>
      <c r="BA25" s="602">
        <f t="shared" si="7"/>
        <v>5.6812523919952289</v>
      </c>
      <c r="BB25" s="7"/>
      <c r="BC25" s="7"/>
      <c r="BD25" s="7"/>
      <c r="BE25" s="7"/>
      <c r="BF25" s="7"/>
      <c r="BG25" s="7"/>
      <c r="BH25" s="7"/>
      <c r="BI25" s="7"/>
      <c r="BJ25" s="15"/>
    </row>
    <row r="26" spans="1:66">
      <c r="A26">
        <f t="shared" si="16"/>
        <v>2023</v>
      </c>
      <c r="B26" s="1460">
        <f t="shared" si="13"/>
        <v>1.5099999999999891E-2</v>
      </c>
      <c r="C26" s="98">
        <f t="shared" si="14"/>
        <v>0</v>
      </c>
      <c r="D26" s="98">
        <f t="shared" si="15"/>
        <v>30.868062327125141</v>
      </c>
      <c r="E26" s="297"/>
      <c r="F26">
        <v>2023</v>
      </c>
      <c r="G26" s="186">
        <f>Inflation!B30</f>
        <v>1.5099999999999891E-2</v>
      </c>
      <c r="H26" s="3431">
        <v>6.4565312063437963</v>
      </c>
      <c r="I26" s="3429">
        <v>7.3127113155035666</v>
      </c>
      <c r="J26" s="3429">
        <v>7.3066284270871042</v>
      </c>
      <c r="K26" s="3429">
        <v>6.4565312063437963</v>
      </c>
      <c r="L26" s="3429">
        <v>7.3127113155035666</v>
      </c>
      <c r="M26" s="874">
        <f t="shared" si="11"/>
        <v>7.3127113155035666</v>
      </c>
      <c r="N26" s="872">
        <f t="shared" si="8"/>
        <v>6.9838711233313333</v>
      </c>
      <c r="O26" s="3429">
        <v>6.9838711233313333</v>
      </c>
      <c r="P26" s="3429">
        <v>10.766256131528156</v>
      </c>
      <c r="Q26" s="3430">
        <v>3.6714856244132945</v>
      </c>
      <c r="R26" s="1300">
        <f t="shared" si="9"/>
        <v>1.048</v>
      </c>
      <c r="S26" s="872">
        <v>1.048</v>
      </c>
      <c r="T26" s="872">
        <v>1.1740000000000002</v>
      </c>
      <c r="U26" s="872">
        <v>0.91400000000000003</v>
      </c>
      <c r="V26" s="872">
        <f t="shared" si="10"/>
        <v>2.702</v>
      </c>
      <c r="W26" s="872">
        <v>2.702</v>
      </c>
      <c r="X26" s="872">
        <v>4.7014800000000001</v>
      </c>
      <c r="Y26" s="872">
        <v>1.9724599999999999</v>
      </c>
      <c r="Z26" s="1300"/>
      <c r="AA26" s="872"/>
      <c r="AB26" s="872"/>
      <c r="AC26" s="872"/>
      <c r="AD26" s="872"/>
      <c r="AE26" s="872"/>
      <c r="AF26" s="872"/>
      <c r="AG26" s="1775">
        <f t="shared" si="12"/>
        <v>2.6033904916511625</v>
      </c>
      <c r="AH26" s="1776">
        <v>2.6033904916511625</v>
      </c>
      <c r="AI26" s="1476">
        <v>3.254238114563953</v>
      </c>
      <c r="AJ26" s="1477">
        <v>1.9525428687383719</v>
      </c>
      <c r="AK26" s="1475">
        <v>0</v>
      </c>
      <c r="AL26" s="3314">
        <f t="shared" si="17"/>
        <v>30.868062327125141</v>
      </c>
      <c r="AM26" s="1476">
        <f t="shared" si="20"/>
        <v>61.736124654250268</v>
      </c>
      <c r="AN26" s="1476">
        <f t="shared" si="20"/>
        <v>20.578708218083428</v>
      </c>
      <c r="AO26" s="3319">
        <f t="shared" si="21"/>
        <v>96.072400644647132</v>
      </c>
      <c r="AP26" s="874"/>
      <c r="AQ26" s="872"/>
      <c r="AR26" s="7"/>
      <c r="AS26" s="11">
        <f t="shared" si="0"/>
        <v>2023</v>
      </c>
      <c r="AT26" s="605">
        <f>Inflation!E30</f>
        <v>1.179602401104533</v>
      </c>
      <c r="AU26" s="602">
        <f t="shared" si="1"/>
        <v>5.4734808951712512</v>
      </c>
      <c r="AV26" s="602">
        <f t="shared" si="2"/>
        <v>6.1993018229330774</v>
      </c>
      <c r="AW26" s="602">
        <f t="shared" si="3"/>
        <v>6.1941450951994224</v>
      </c>
      <c r="AX26" s="602">
        <f t="shared" si="4"/>
        <v>5.4734808951712512</v>
      </c>
      <c r="AY26" s="602">
        <f t="shared" si="5"/>
        <v>6.1993018229330774</v>
      </c>
      <c r="AZ26" s="602">
        <f t="shared" si="6"/>
        <v>6.1993018229330774</v>
      </c>
      <c r="BA26" s="602">
        <f t="shared" si="7"/>
        <v>5.9205297622248931</v>
      </c>
      <c r="BB26" s="7"/>
      <c r="BC26" s="7"/>
      <c r="BD26" s="7"/>
      <c r="BE26" s="7"/>
      <c r="BF26" s="7"/>
      <c r="BG26" s="7"/>
      <c r="BH26" s="7"/>
      <c r="BI26" s="7"/>
      <c r="BJ26" s="15"/>
    </row>
    <row r="27" spans="1:66">
      <c r="A27">
        <f t="shared" si="16"/>
        <v>2024</v>
      </c>
      <c r="B27" s="1460">
        <f t="shared" si="13"/>
        <v>1.5099999999999891E-2</v>
      </c>
      <c r="C27" s="98">
        <f t="shared" si="14"/>
        <v>0</v>
      </c>
      <c r="D27" s="98">
        <f t="shared" si="15"/>
        <v>32.900878571677964</v>
      </c>
      <c r="E27" s="297"/>
      <c r="F27">
        <v>2024</v>
      </c>
      <c r="G27" s="186">
        <f>Inflation!B31</f>
        <v>1.5099999999999891E-2</v>
      </c>
      <c r="H27" s="3431">
        <v>6.6568857894681743</v>
      </c>
      <c r="I27" s="3429">
        <v>7.5220324302879291</v>
      </c>
      <c r="J27" s="3429">
        <v>7.5188590333089458</v>
      </c>
      <c r="K27" s="3429">
        <v>6.6568857894681743</v>
      </c>
      <c r="L27" s="3429">
        <v>7.5220324302879291</v>
      </c>
      <c r="M27" s="874">
        <f t="shared" si="11"/>
        <v>7.5220324302879291</v>
      </c>
      <c r="N27" s="872">
        <f t="shared" si="8"/>
        <v>7.1899229380394152</v>
      </c>
      <c r="O27" s="3429">
        <v>7.1899229380394152</v>
      </c>
      <c r="P27" s="3429">
        <v>11.123343722396418</v>
      </c>
      <c r="Q27" s="3430">
        <v>3.746173747025658</v>
      </c>
      <c r="R27" s="1300">
        <f t="shared" si="9"/>
        <v>1.0740000000000001</v>
      </c>
      <c r="S27" s="872">
        <v>1.0740000000000001</v>
      </c>
      <c r="T27" s="872">
        <v>1.2120000000000002</v>
      </c>
      <c r="U27" s="872">
        <v>0.92700000000000005</v>
      </c>
      <c r="V27" s="872">
        <f t="shared" si="10"/>
        <v>2.746</v>
      </c>
      <c r="W27" s="872">
        <v>2.746</v>
      </c>
      <c r="X27" s="872">
        <v>4.7780399999999998</v>
      </c>
      <c r="Y27" s="872">
        <v>2.0045799999999998</v>
      </c>
      <c r="Z27" s="1300"/>
      <c r="AA27" s="872"/>
      <c r="AB27" s="872"/>
      <c r="AC27" s="872"/>
      <c r="AD27" s="872"/>
      <c r="AE27" s="872"/>
      <c r="AF27" s="872"/>
      <c r="AG27" s="1775">
        <f t="shared" si="12"/>
        <v>2.6528857772970604</v>
      </c>
      <c r="AH27" s="1776">
        <v>2.6528857772970604</v>
      </c>
      <c r="AI27" s="1476">
        <v>3.3161072216213254</v>
      </c>
      <c r="AJ27" s="1477">
        <v>1.9896643329727954</v>
      </c>
      <c r="AK27" s="1475">
        <v>0</v>
      </c>
      <c r="AL27" s="3314">
        <f t="shared" si="17"/>
        <v>32.900878571677964</v>
      </c>
      <c r="AM27" s="1476">
        <f t="shared" si="20"/>
        <v>65.801757143355914</v>
      </c>
      <c r="AN27" s="1476">
        <f t="shared" si="20"/>
        <v>21.933919047785309</v>
      </c>
      <c r="AO27" s="3319">
        <f t="shared" si="21"/>
        <v>102.39924858910037</v>
      </c>
      <c r="AP27" s="874"/>
      <c r="AQ27" s="872"/>
      <c r="AR27" s="7"/>
      <c r="AS27" s="11">
        <f t="shared" si="0"/>
        <v>2024</v>
      </c>
      <c r="AT27" s="605">
        <f>Inflation!E31</f>
        <v>1.1974143973612112</v>
      </c>
      <c r="AU27" s="602">
        <f t="shared" si="1"/>
        <v>5.5593834549995496</v>
      </c>
      <c r="AV27" s="602">
        <f t="shared" si="2"/>
        <v>6.2818957637928232</v>
      </c>
      <c r="AW27" s="602">
        <f t="shared" si="3"/>
        <v>6.279245555990097</v>
      </c>
      <c r="AX27" s="602">
        <f t="shared" si="4"/>
        <v>5.5593834549995496</v>
      </c>
      <c r="AY27" s="602">
        <f t="shared" si="5"/>
        <v>6.2818957637928232</v>
      </c>
      <c r="AZ27" s="602">
        <f t="shared" si="6"/>
        <v>6.2818957637928232</v>
      </c>
      <c r="BA27" s="602">
        <f t="shared" si="7"/>
        <v>6.0045402442831222</v>
      </c>
      <c r="BB27" s="7"/>
      <c r="BC27" s="7"/>
      <c r="BD27" s="7"/>
      <c r="BE27" s="7"/>
      <c r="BF27" s="7"/>
      <c r="BG27" s="7"/>
      <c r="BH27" s="7"/>
      <c r="BI27" s="7"/>
      <c r="BJ27" s="15"/>
    </row>
    <row r="28" spans="1:66">
      <c r="A28">
        <f t="shared" si="16"/>
        <v>2025</v>
      </c>
      <c r="B28" s="1460">
        <f t="shared" si="13"/>
        <v>1.5099999999999891E-2</v>
      </c>
      <c r="C28" s="98">
        <f t="shared" si="14"/>
        <v>0</v>
      </c>
      <c r="D28" s="98">
        <f t="shared" si="15"/>
        <v>35.06756593001581</v>
      </c>
      <c r="E28" s="297"/>
      <c r="F28">
        <v>2025</v>
      </c>
      <c r="G28" s="186">
        <f>Inflation!B32</f>
        <v>1.5099999999999891E-2</v>
      </c>
      <c r="H28" s="3431">
        <v>6.9034709787720816</v>
      </c>
      <c r="I28" s="3429">
        <v>7.7790882270071009</v>
      </c>
      <c r="J28" s="3429">
        <v>7.7801967923722648</v>
      </c>
      <c r="K28" s="3429">
        <v>6.9034709787720816</v>
      </c>
      <c r="L28" s="3429">
        <v>7.7790882270071009</v>
      </c>
      <c r="M28" s="874">
        <f t="shared" si="11"/>
        <v>7.7790882270071009</v>
      </c>
      <c r="N28" s="872">
        <f t="shared" si="8"/>
        <v>7.4432130187163263</v>
      </c>
      <c r="O28" s="3429">
        <v>7.4432130187163263</v>
      </c>
      <c r="P28" s="3429">
        <v>11.554092344467906</v>
      </c>
      <c r="Q28" s="3430">
        <v>3.8457743191491467</v>
      </c>
      <c r="R28" s="1300">
        <f t="shared" si="9"/>
        <v>1.1000000000000001</v>
      </c>
      <c r="S28" s="872">
        <v>1.1000000000000001</v>
      </c>
      <c r="T28" s="872">
        <v>1.25</v>
      </c>
      <c r="U28" s="872">
        <v>0.94</v>
      </c>
      <c r="V28" s="872">
        <f t="shared" si="10"/>
        <v>2.79</v>
      </c>
      <c r="W28" s="872">
        <v>2.79</v>
      </c>
      <c r="X28" s="872">
        <v>4.8546000000000005</v>
      </c>
      <c r="Y28" s="872">
        <v>2.0367000000000002</v>
      </c>
      <c r="Z28" s="1300"/>
      <c r="AA28" s="872"/>
      <c r="AB28" s="872"/>
      <c r="AC28" s="872"/>
      <c r="AD28" s="872"/>
      <c r="AE28" s="872"/>
      <c r="AF28" s="872"/>
      <c r="AG28" s="1775">
        <f t="shared" si="12"/>
        <v>2.7033220601959731</v>
      </c>
      <c r="AH28" s="1776">
        <v>2.7033220601959731</v>
      </c>
      <c r="AI28" s="1476">
        <v>3.3791525752449663</v>
      </c>
      <c r="AJ28" s="1477">
        <v>2.0274915451469799</v>
      </c>
      <c r="AK28" s="1475">
        <v>0</v>
      </c>
      <c r="AL28" s="3314">
        <f t="shared" si="17"/>
        <v>35.06756593001581</v>
      </c>
      <c r="AM28" s="1476">
        <f t="shared" si="20"/>
        <v>70.13513186003162</v>
      </c>
      <c r="AN28" s="1476">
        <f t="shared" si="20"/>
        <v>23.378377286677207</v>
      </c>
      <c r="AO28" s="3319">
        <f t="shared" si="21"/>
        <v>109.14275110493557</v>
      </c>
      <c r="AP28" s="874"/>
      <c r="AQ28" s="872"/>
      <c r="AR28" s="7"/>
      <c r="AS28" s="11">
        <f t="shared" si="0"/>
        <v>2025</v>
      </c>
      <c r="AT28" s="605">
        <f>Inflation!E32</f>
        <v>1.2154953547613654</v>
      </c>
      <c r="AU28" s="602">
        <f t="shared" si="1"/>
        <v>5.6795535677941107</v>
      </c>
      <c r="AV28" s="602">
        <f t="shared" si="2"/>
        <v>6.3999325020327591</v>
      </c>
      <c r="AW28" s="602">
        <f t="shared" si="3"/>
        <v>6.4008445296771441</v>
      </c>
      <c r="AX28" s="602">
        <f t="shared" si="4"/>
        <v>5.6795535677941107</v>
      </c>
      <c r="AY28" s="602">
        <f t="shared" si="5"/>
        <v>6.3999325020327591</v>
      </c>
      <c r="AZ28" s="602">
        <f t="shared" si="6"/>
        <v>6.3999325020327591</v>
      </c>
      <c r="BA28" s="602">
        <f t="shared" si="7"/>
        <v>6.1236046600750935</v>
      </c>
      <c r="BB28" s="7"/>
      <c r="BC28" s="7"/>
      <c r="BD28" s="7"/>
      <c r="BE28" s="7"/>
      <c r="BF28" s="7"/>
      <c r="BG28" s="7"/>
      <c r="BH28" s="7"/>
      <c r="BI28" s="7"/>
      <c r="BJ28" s="15"/>
    </row>
    <row r="29" spans="1:66">
      <c r="A29">
        <f t="shared" si="16"/>
        <v>2026</v>
      </c>
      <c r="B29" s="1460">
        <f t="shared" si="13"/>
        <v>1.5099999999999891E-2</v>
      </c>
      <c r="C29" s="98">
        <f t="shared" si="14"/>
        <v>0</v>
      </c>
      <c r="D29" s="98">
        <f t="shared" si="15"/>
        <v>37.376940484336998</v>
      </c>
      <c r="E29" s="297"/>
      <c r="F29">
        <v>2026</v>
      </c>
      <c r="G29" s="186">
        <f>Inflation!B33</f>
        <v>1.5099999999999891E-2</v>
      </c>
      <c r="H29" s="3431">
        <v>7.080384904359879</v>
      </c>
      <c r="I29" s="3429">
        <v>7.9711347130922068</v>
      </c>
      <c r="J29" s="3429">
        <v>7.9745521508771606</v>
      </c>
      <c r="K29" s="3429">
        <v>7.080384904359879</v>
      </c>
      <c r="L29" s="3429">
        <v>7.9711347130922068</v>
      </c>
      <c r="M29" s="874">
        <f t="shared" si="11"/>
        <v>7.9711347130922068</v>
      </c>
      <c r="N29" s="874">
        <f t="shared" si="8"/>
        <v>7.6295896446804594</v>
      </c>
      <c r="O29" s="3429">
        <v>7.6295896446804594</v>
      </c>
      <c r="P29" s="3429">
        <v>11.881472965986489</v>
      </c>
      <c r="Q29" s="3430">
        <v>3.9111001822606486</v>
      </c>
      <c r="R29" s="1300">
        <f t="shared" si="9"/>
        <v>1.1240000000000001</v>
      </c>
      <c r="S29" s="872">
        <v>1.1240000000000001</v>
      </c>
      <c r="T29" s="872">
        <v>1.288</v>
      </c>
      <c r="U29" s="872">
        <v>0.95199999999999996</v>
      </c>
      <c r="V29" s="872">
        <f t="shared" si="10"/>
        <v>2.8430430787831882</v>
      </c>
      <c r="W29" s="872">
        <v>2.8430430787831882</v>
      </c>
      <c r="X29" s="872">
        <v>4.9468949570827476</v>
      </c>
      <c r="Y29" s="872">
        <v>2.0754214475117272</v>
      </c>
      <c r="Z29" s="1300"/>
      <c r="AA29" s="872"/>
      <c r="AB29" s="872"/>
      <c r="AC29" s="872"/>
      <c r="AD29" s="872"/>
      <c r="AE29" s="872"/>
      <c r="AF29" s="872"/>
      <c r="AG29" s="1775">
        <f t="shared" si="12"/>
        <v>2.7547172304523548</v>
      </c>
      <c r="AH29" s="1776">
        <v>2.7547172304523548</v>
      </c>
      <c r="AI29" s="1476">
        <v>3.4433965380654437</v>
      </c>
      <c r="AJ29" s="1477">
        <v>2.066037922839266</v>
      </c>
      <c r="AK29" s="1475">
        <v>0</v>
      </c>
      <c r="AL29" s="3314">
        <f t="shared" si="17"/>
        <v>37.376940484336998</v>
      </c>
      <c r="AM29" s="1476">
        <f t="shared" si="20"/>
        <v>74.753880968673997</v>
      </c>
      <c r="AN29" s="1476">
        <f t="shared" si="20"/>
        <v>24.917960322891332</v>
      </c>
      <c r="AO29" s="3319">
        <f t="shared" si="21"/>
        <v>116.3303469789511</v>
      </c>
      <c r="AP29" s="874"/>
      <c r="AQ29" s="874"/>
      <c r="AR29" s="7"/>
      <c r="AS29" s="11">
        <f t="shared" si="0"/>
        <v>2026</v>
      </c>
      <c r="AT29" s="605">
        <f>Inflation!E33</f>
        <v>1.233849334618262</v>
      </c>
      <c r="AU29" s="602">
        <f t="shared" ref="AU29:BA29" si="22">IF(H29="","",H29/$AT29)</f>
        <v>5.7384517750301045</v>
      </c>
      <c r="AV29" s="602">
        <f t="shared" si="22"/>
        <v>6.4603793100543996</v>
      </c>
      <c r="AW29" s="602">
        <f t="shared" si="22"/>
        <v>6.4631490467548787</v>
      </c>
      <c r="AX29" s="602">
        <f t="shared" si="22"/>
        <v>5.7384517750301045</v>
      </c>
      <c r="AY29" s="602">
        <f t="shared" si="22"/>
        <v>6.4603793100543996</v>
      </c>
      <c r="AZ29" s="602">
        <f t="shared" si="22"/>
        <v>6.4603793100543996</v>
      </c>
      <c r="BA29" s="602">
        <f t="shared" si="22"/>
        <v>6.1835666889109779</v>
      </c>
      <c r="BB29" s="7"/>
      <c r="BC29" s="7"/>
      <c r="BD29" s="7"/>
      <c r="BE29" s="7"/>
      <c r="BF29" s="7"/>
      <c r="BG29" s="7"/>
      <c r="BH29" s="7"/>
      <c r="BI29" s="7"/>
      <c r="BJ29" s="15"/>
    </row>
    <row r="30" spans="1:66">
      <c r="A30">
        <f t="shared" si="16"/>
        <v>2027</v>
      </c>
      <c r="B30" s="1460">
        <f t="shared" si="13"/>
        <v>1.5099999999999891E-2</v>
      </c>
      <c r="C30" s="98">
        <f t="shared" si="14"/>
        <v>0</v>
      </c>
      <c r="D30" s="98">
        <f t="shared" si="15"/>
        <v>39.838398899933011</v>
      </c>
      <c r="E30" s="297"/>
      <c r="F30">
        <v>2027</v>
      </c>
      <c r="G30" s="186">
        <f>Inflation!B34</f>
        <v>1.5099999999999891E-2</v>
      </c>
      <c r="H30" s="3431">
        <v>7.3933847836327793</v>
      </c>
      <c r="I30" s="3429">
        <v>8.3006908518575884</v>
      </c>
      <c r="J30" s="3429">
        <v>8.3104621472416369</v>
      </c>
      <c r="K30" s="3429">
        <v>7.3933847836327793</v>
      </c>
      <c r="L30" s="3429">
        <v>8.3006908518575884</v>
      </c>
      <c r="M30" s="874">
        <f t="shared" si="11"/>
        <v>8.3006908518575884</v>
      </c>
      <c r="N30" s="874">
        <f t="shared" si="8"/>
        <v>7.9531673877287918</v>
      </c>
      <c r="O30" s="3429">
        <v>7.9531673877287918</v>
      </c>
      <c r="P30" s="3429">
        <v>12.423360699477938</v>
      </c>
      <c r="Q30" s="3430">
        <v>4.0467311388957796</v>
      </c>
      <c r="R30" s="1300">
        <f t="shared" si="9"/>
        <v>1.1480000000000001</v>
      </c>
      <c r="S30" s="872">
        <v>1.1480000000000001</v>
      </c>
      <c r="T30" s="872">
        <v>1.3260000000000001</v>
      </c>
      <c r="U30" s="872">
        <v>0.96399999999999997</v>
      </c>
      <c r="V30" s="872">
        <f t="shared" si="10"/>
        <v>2.8970946049523256</v>
      </c>
      <c r="W30" s="872">
        <v>2.8970946049523256</v>
      </c>
      <c r="X30" s="872">
        <v>5.0409446126170465</v>
      </c>
      <c r="Y30" s="872">
        <v>2.1148790616151976</v>
      </c>
      <c r="Z30" s="1300"/>
      <c r="AA30" s="872"/>
      <c r="AB30" s="872"/>
      <c r="AC30" s="872"/>
      <c r="AD30" s="872"/>
      <c r="AE30" s="872"/>
      <c r="AF30" s="872"/>
      <c r="AG30" s="1775">
        <f t="shared" si="12"/>
        <v>2.8070895182947524</v>
      </c>
      <c r="AH30" s="1776">
        <v>2.8070895182947524</v>
      </c>
      <c r="AI30" s="1476">
        <v>3.5088618978684405</v>
      </c>
      <c r="AJ30" s="1477">
        <v>2.1053171387210643</v>
      </c>
      <c r="AK30" s="1475">
        <v>0</v>
      </c>
      <c r="AL30" s="3314">
        <f t="shared" si="17"/>
        <v>39.838398899933011</v>
      </c>
      <c r="AM30" s="1476">
        <f t="shared" si="20"/>
        <v>79.676797799866023</v>
      </c>
      <c r="AN30" s="1476">
        <f t="shared" si="20"/>
        <v>26.558932599955341</v>
      </c>
      <c r="AO30" s="3319">
        <f t="shared" si="21"/>
        <v>123.99128197924991</v>
      </c>
      <c r="AP30" s="874"/>
      <c r="AQ30" s="874"/>
      <c r="AR30" s="7"/>
      <c r="AS30" s="11">
        <f t="shared" si="0"/>
        <v>2027</v>
      </c>
      <c r="AT30" s="605">
        <f>Inflation!E34</f>
        <v>1.2524804595709975</v>
      </c>
      <c r="AU30" s="602">
        <f t="shared" si="1"/>
        <v>5.902994116303562</v>
      </c>
      <c r="AV30" s="602">
        <f t="shared" si="2"/>
        <v>6.6274014803398691</v>
      </c>
      <c r="AW30" s="602">
        <f t="shared" si="3"/>
        <v>6.6352030354933884</v>
      </c>
      <c r="AX30" s="602">
        <f t="shared" si="4"/>
        <v>5.902994116303562</v>
      </c>
      <c r="AY30" s="602">
        <f t="shared" si="5"/>
        <v>6.6274014803398691</v>
      </c>
      <c r="AZ30" s="602">
        <f t="shared" si="6"/>
        <v>6.6274014803398691</v>
      </c>
      <c r="BA30" s="602">
        <f t="shared" si="7"/>
        <v>6.3499333079040046</v>
      </c>
      <c r="BB30" s="7"/>
      <c r="BC30" s="7"/>
      <c r="BD30" s="7"/>
      <c r="BE30" s="7"/>
      <c r="BF30" s="7"/>
      <c r="BG30" s="7"/>
      <c r="BH30" s="7"/>
      <c r="BI30" s="7"/>
      <c r="BJ30" s="15"/>
    </row>
    <row r="31" spans="1:66">
      <c r="A31">
        <f t="shared" si="16"/>
        <v>2028</v>
      </c>
      <c r="B31" s="1460">
        <f t="shared" si="13"/>
        <v>1.5099999999999891E-2</v>
      </c>
      <c r="C31" s="98">
        <f t="shared" si="14"/>
        <v>0</v>
      </c>
      <c r="D31" s="98">
        <f t="shared" si="15"/>
        <v>42.461956659488095</v>
      </c>
      <c r="E31" s="297"/>
      <c r="F31">
        <v>2028</v>
      </c>
      <c r="G31" s="186">
        <f>Inflation!B35</f>
        <v>1.5099999999999891E-2</v>
      </c>
      <c r="H31" s="3431">
        <v>7.6862758696404487</v>
      </c>
      <c r="I31" s="3429">
        <v>8.6122167324676031</v>
      </c>
      <c r="J31" s="3429">
        <v>8.6277472648685762</v>
      </c>
      <c r="K31" s="3429">
        <v>7.6862758696404487</v>
      </c>
      <c r="L31" s="3429">
        <v>8.6122167324676031</v>
      </c>
      <c r="M31" s="874">
        <f t="shared" si="11"/>
        <v>8.6122167324676031</v>
      </c>
      <c r="N31" s="874">
        <f t="shared" si="8"/>
        <v>8.2578824915831994</v>
      </c>
      <c r="O31" s="3429">
        <v>8.2578824915831994</v>
      </c>
      <c r="P31" s="3429">
        <v>12.937175348751921</v>
      </c>
      <c r="Q31" s="3430">
        <v>4.1722671420207353</v>
      </c>
      <c r="R31" s="1300">
        <f t="shared" si="9"/>
        <v>1.1720000000000002</v>
      </c>
      <c r="S31" s="872">
        <v>1.1720000000000002</v>
      </c>
      <c r="T31" s="872">
        <v>1.3640000000000001</v>
      </c>
      <c r="U31" s="872">
        <v>0.97599999999999998</v>
      </c>
      <c r="V31" s="872">
        <f t="shared" si="10"/>
        <v>2.9521737509640946</v>
      </c>
      <c r="W31" s="872">
        <v>2.9521737509640946</v>
      </c>
      <c r="X31" s="872">
        <v>5.1367823266775243</v>
      </c>
      <c r="Y31" s="872">
        <v>2.1550868382037889</v>
      </c>
      <c r="Z31" s="1300"/>
      <c r="AA31" s="872"/>
      <c r="AB31" s="872"/>
      <c r="AC31" s="872"/>
      <c r="AD31" s="872"/>
      <c r="AE31" s="872"/>
      <c r="AF31" s="872"/>
      <c r="AG31" s="1775">
        <f t="shared" si="12"/>
        <v>2.8604575005421968</v>
      </c>
      <c r="AH31" s="1776">
        <v>2.8604575005421968</v>
      </c>
      <c r="AI31" s="1476">
        <v>3.5755718756777459</v>
      </c>
      <c r="AJ31" s="1477">
        <v>2.1453431254066477</v>
      </c>
      <c r="AK31" s="1475">
        <v>0</v>
      </c>
      <c r="AL31" s="3314">
        <f t="shared" si="17"/>
        <v>42.461956659488095</v>
      </c>
      <c r="AM31" s="1476">
        <f t="shared" si="20"/>
        <v>84.92391331897619</v>
      </c>
      <c r="AN31" s="1476">
        <f t="shared" si="20"/>
        <v>28.307971106325397</v>
      </c>
      <c r="AO31" s="3319">
        <f t="shared" si="21"/>
        <v>132.1567278539934</v>
      </c>
      <c r="AP31" s="874"/>
      <c r="AQ31" s="874"/>
      <c r="AR31" s="7"/>
      <c r="AS31" s="11">
        <f t="shared" si="0"/>
        <v>2028</v>
      </c>
      <c r="AT31" s="605">
        <f>Inflation!E35</f>
        <v>1.2713929145105194</v>
      </c>
      <c r="AU31" s="602">
        <f t="shared" si="1"/>
        <v>6.0455550616306768</v>
      </c>
      <c r="AV31" s="602">
        <f t="shared" si="2"/>
        <v>6.7738435806709436</v>
      </c>
      <c r="AW31" s="602">
        <f t="shared" si="3"/>
        <v>6.7860589487320055</v>
      </c>
      <c r="AX31" s="602">
        <f t="shared" si="4"/>
        <v>6.0455550616306768</v>
      </c>
      <c r="AY31" s="602">
        <f t="shared" si="5"/>
        <v>6.7738435806709436</v>
      </c>
      <c r="AZ31" s="602">
        <f t="shared" si="6"/>
        <v>6.7738435806709436</v>
      </c>
      <c r="BA31" s="602">
        <f t="shared" si="7"/>
        <v>6.495145912278776</v>
      </c>
      <c r="BB31" s="7"/>
      <c r="BC31" s="7"/>
      <c r="BD31" s="7"/>
      <c r="BE31" s="7"/>
      <c r="BF31" s="7"/>
      <c r="BG31" s="7"/>
      <c r="BH31" s="7"/>
      <c r="BI31" s="7"/>
      <c r="BJ31" s="15"/>
    </row>
    <row r="32" spans="1:66">
      <c r="A32">
        <f t="shared" si="16"/>
        <v>2029</v>
      </c>
      <c r="B32" s="1460">
        <f t="shared" si="13"/>
        <v>1.5099999999999891E-2</v>
      </c>
      <c r="C32" s="98">
        <f t="shared" si="14"/>
        <v>0</v>
      </c>
      <c r="D32" s="98">
        <f t="shared" si="15"/>
        <v>45.258288815298684</v>
      </c>
      <c r="E32" s="297"/>
      <c r="F32">
        <v>2029</v>
      </c>
      <c r="G32" s="186">
        <f>Inflation!B36</f>
        <v>1.5099999999999891E-2</v>
      </c>
      <c r="H32" s="3431">
        <v>7.8741189525035074</v>
      </c>
      <c r="I32" s="3429">
        <v>8.8174583165446965</v>
      </c>
      <c r="J32" s="3429">
        <v>8.8355230074760751</v>
      </c>
      <c r="K32" s="3429">
        <v>7.8741189525035074</v>
      </c>
      <c r="L32" s="3429">
        <v>8.8174583165446965</v>
      </c>
      <c r="M32" s="874">
        <f t="shared" si="11"/>
        <v>8.8174583165446965</v>
      </c>
      <c r="N32" s="874">
        <f t="shared" si="8"/>
        <v>8.4565981280292881</v>
      </c>
      <c r="O32" s="3429">
        <v>8.4565981280292881</v>
      </c>
      <c r="P32" s="3429">
        <v>13.285723175683701</v>
      </c>
      <c r="Q32" s="3430">
        <v>4.2441857479105067</v>
      </c>
      <c r="R32" s="1300">
        <f t="shared" si="9"/>
        <v>1.1960000000000002</v>
      </c>
      <c r="S32" s="872">
        <v>1.1960000000000002</v>
      </c>
      <c r="T32" s="872">
        <v>1.4020000000000001</v>
      </c>
      <c r="U32" s="872">
        <v>0.98799999999999999</v>
      </c>
      <c r="V32" s="872">
        <f t="shared" si="10"/>
        <v>3.0083000537791658</v>
      </c>
      <c r="W32" s="872">
        <v>3.0083000537791658</v>
      </c>
      <c r="X32" s="872">
        <v>5.2344420935757485</v>
      </c>
      <c r="Y32" s="872">
        <v>2.1960590392587909</v>
      </c>
      <c r="Z32" s="1300"/>
      <c r="AA32" s="872"/>
      <c r="AB32" s="872"/>
      <c r="AC32" s="872"/>
      <c r="AD32" s="872"/>
      <c r="AE32" s="872"/>
      <c r="AF32" s="872"/>
      <c r="AG32" s="1775">
        <f t="shared" si="12"/>
        <v>2.9148401071935304</v>
      </c>
      <c r="AH32" s="1776">
        <v>2.9148401071935304</v>
      </c>
      <c r="AI32" s="1476">
        <v>3.643550133991913</v>
      </c>
      <c r="AJ32" s="1477">
        <v>2.1861300803951478</v>
      </c>
      <c r="AK32" s="1475">
        <v>0</v>
      </c>
      <c r="AL32" s="3314">
        <f t="shared" si="17"/>
        <v>45.258288815298684</v>
      </c>
      <c r="AM32" s="1476">
        <f t="shared" si="20"/>
        <v>90.516577630597368</v>
      </c>
      <c r="AN32" s="1476">
        <f t="shared" si="20"/>
        <v>30.172192543532454</v>
      </c>
      <c r="AO32" s="3319">
        <f t="shared" si="21"/>
        <v>140.85990916681814</v>
      </c>
      <c r="AP32" s="874"/>
      <c r="AQ32" s="874"/>
      <c r="AR32" s="7"/>
      <c r="AS32" s="11">
        <f t="shared" si="0"/>
        <v>2029</v>
      </c>
      <c r="AT32" s="605">
        <f>Inflation!E36</f>
        <v>1.290590947519628</v>
      </c>
      <c r="AU32" s="602">
        <f t="shared" si="1"/>
        <v>6.101173239775691</v>
      </c>
      <c r="AV32" s="602">
        <f t="shared" si="2"/>
        <v>6.8321092236784002</v>
      </c>
      <c r="AW32" s="602">
        <f t="shared" si="3"/>
        <v>6.8461064479469389</v>
      </c>
      <c r="AX32" s="602">
        <f t="shared" si="4"/>
        <v>6.101173239775691</v>
      </c>
      <c r="AY32" s="602">
        <f t="shared" si="5"/>
        <v>6.8321092236784002</v>
      </c>
      <c r="AZ32" s="602">
        <f t="shared" si="6"/>
        <v>6.8321092236784002</v>
      </c>
      <c r="BA32" s="602">
        <f t="shared" si="7"/>
        <v>6.552500731763172</v>
      </c>
      <c r="BB32" s="7"/>
      <c r="BC32" s="7"/>
      <c r="BD32" s="7"/>
      <c r="BE32" s="7"/>
      <c r="BF32" s="7"/>
      <c r="BG32" s="7"/>
      <c r="BH32" s="7"/>
      <c r="BI32" s="7"/>
      <c r="BJ32" s="15"/>
    </row>
    <row r="33" spans="1:62">
      <c r="A33">
        <f t="shared" si="16"/>
        <v>2030</v>
      </c>
      <c r="B33" s="1460">
        <f t="shared" si="13"/>
        <v>1.5099999999999891E-2</v>
      </c>
      <c r="C33" s="98">
        <f t="shared" si="14"/>
        <v>0</v>
      </c>
      <c r="D33" s="98">
        <f t="shared" si="15"/>
        <v>48.238773425230178</v>
      </c>
      <c r="E33" s="297"/>
      <c r="F33">
        <v>2030</v>
      </c>
      <c r="G33" s="186">
        <f>Inflation!B37</f>
        <v>1.5099999999999891E-2</v>
      </c>
      <c r="H33" s="3431">
        <v>8.1526336444504128</v>
      </c>
      <c r="I33" s="3429">
        <v>9.1144205466843147</v>
      </c>
      <c r="J33" s="3429">
        <v>9.1377136833928265</v>
      </c>
      <c r="K33" s="3429">
        <v>8.1526336444504128</v>
      </c>
      <c r="L33" s="3429">
        <v>9.1144205466843147</v>
      </c>
      <c r="M33" s="874">
        <f t="shared" si="11"/>
        <v>9.1144205466843147</v>
      </c>
      <c r="N33" s="874">
        <f t="shared" si="8"/>
        <v>8.7467902561554318</v>
      </c>
      <c r="O33" s="3429">
        <v>8.7467902561554318</v>
      </c>
      <c r="P33" s="3429">
        <v>13.778701628403663</v>
      </c>
      <c r="Q33" s="3430">
        <v>4.3619874741240414</v>
      </c>
      <c r="R33" s="1300">
        <f t="shared" si="9"/>
        <v>1.2249008872946952</v>
      </c>
      <c r="S33" s="872">
        <f t="shared" ref="S33:S51" si="23">AVERAGE(S23:S32)/AVERAGE(S22:S31)*S32</f>
        <v>1.2249008872946952</v>
      </c>
      <c r="T33" s="872">
        <f t="shared" ref="T33:T51" si="24">AVERAGE(T23:T32)/AVERAGE(T22:T31)*T32</f>
        <v>1.444961486939049</v>
      </c>
      <c r="U33" s="872">
        <f t="shared" ref="U33:U51" si="25">AVERAGE(U23:U32)/AVERAGE(U22:U31)*U32</f>
        <v>1.0041525885558582</v>
      </c>
      <c r="V33" s="872">
        <f t="shared" si="10"/>
        <v>3.0616742937864458</v>
      </c>
      <c r="W33" s="872">
        <f t="shared" ref="W33:W51" si="26">AVERAGE(W23:W32)/AVERAGE(W22:W31)*W32</f>
        <v>3.0616742937864458</v>
      </c>
      <c r="X33" s="872">
        <f t="shared" ref="X33:X51" si="27">AVERAGE(X23:X32)/AVERAGE(X22:X31)*X32</f>
        <v>5.3273132711884168</v>
      </c>
      <c r="Y33" s="872">
        <f t="shared" ref="Y33:Y51" si="28">AVERAGE(Y23:Y32)/AVERAGE(Y22:Y31)*Y32</f>
        <v>2.2350222344641053</v>
      </c>
      <c r="Z33" s="1300"/>
      <c r="AA33" s="872"/>
      <c r="AB33" s="872"/>
      <c r="AC33" s="872"/>
      <c r="AD33" s="872"/>
      <c r="AE33" s="872"/>
      <c r="AF33" s="872"/>
      <c r="AG33" s="1778">
        <f t="shared" si="12"/>
        <v>2.9702566281420117</v>
      </c>
      <c r="AH33" s="1779">
        <f t="shared" ref="AH33:AH78" si="29">AVERAGE(AH23:AH32)/AVERAGE(AH22:AH31)*AH32</f>
        <v>2.9702566281420117</v>
      </c>
      <c r="AI33" s="1779">
        <f t="shared" ref="AI33:AI78" si="30">AVERAGE(AI23:AI32)/AVERAGE(AI22:AI31)*AI32</f>
        <v>3.7128207851775152</v>
      </c>
      <c r="AJ33" s="1780">
        <f t="shared" ref="AJ33:AJ78" si="31">AVERAGE(AJ23:AJ32)/AVERAGE(AJ22:AJ31)*AJ32</f>
        <v>2.2276924711065087</v>
      </c>
      <c r="AK33" s="1475">
        <v>0</v>
      </c>
      <c r="AL33" s="3314">
        <f t="shared" si="17"/>
        <v>48.238773425230178</v>
      </c>
      <c r="AM33" s="1476">
        <f t="shared" si="20"/>
        <v>96.477546850460357</v>
      </c>
      <c r="AN33" s="1476">
        <f t="shared" si="20"/>
        <v>32.159182283486786</v>
      </c>
      <c r="AO33" s="3319">
        <f t="shared" si="21"/>
        <v>150.13623848499896</v>
      </c>
      <c r="AP33" s="874"/>
      <c r="AQ33" s="874"/>
      <c r="AR33" s="7"/>
      <c r="AS33" s="11">
        <f t="shared" si="0"/>
        <v>2030</v>
      </c>
      <c r="AT33" s="605">
        <f>Inflation!E37</f>
        <v>1.3100788708271742</v>
      </c>
      <c r="AU33" s="602">
        <f t="shared" si="1"/>
        <v>6.2230097942903999</v>
      </c>
      <c r="AV33" s="602">
        <f t="shared" si="2"/>
        <v>6.9571540688458979</v>
      </c>
      <c r="AW33" s="602">
        <f t="shared" si="3"/>
        <v>6.9749340187612834</v>
      </c>
      <c r="AX33" s="602">
        <f t="shared" si="4"/>
        <v>6.2230097942903999</v>
      </c>
      <c r="AY33" s="602">
        <f t="shared" si="5"/>
        <v>6.9571540688458979</v>
      </c>
      <c r="AZ33" s="602">
        <f t="shared" si="6"/>
        <v>6.9571540688458979</v>
      </c>
      <c r="BA33" s="602">
        <f t="shared" si="7"/>
        <v>6.676537154311001</v>
      </c>
      <c r="BB33" s="7"/>
      <c r="BC33" s="7"/>
      <c r="BD33" s="7"/>
      <c r="BE33" s="7"/>
      <c r="BF33" s="7"/>
      <c r="BG33" s="7"/>
      <c r="BH33" s="7"/>
      <c r="BI33" s="7"/>
      <c r="BJ33" s="15"/>
    </row>
    <row r="34" spans="1:62">
      <c r="A34">
        <f t="shared" si="16"/>
        <v>2031</v>
      </c>
      <c r="B34" s="1460">
        <f t="shared" si="13"/>
        <v>1.5099999999999891E-2</v>
      </c>
      <c r="C34" s="98">
        <f t="shared" si="14"/>
        <v>0</v>
      </c>
      <c r="D34" s="98">
        <f t="shared" si="15"/>
        <v>51.415537849148713</v>
      </c>
      <c r="E34" s="297"/>
      <c r="F34">
        <v>2031</v>
      </c>
      <c r="G34" s="186">
        <f>Inflation!B38</f>
        <v>1.5099999999999891E-2</v>
      </c>
      <c r="H34" s="3431">
        <v>8.3855791231262771</v>
      </c>
      <c r="I34" s="3429">
        <v>9.3681539829628608</v>
      </c>
      <c r="J34" s="3429">
        <v>9.3953270422248973</v>
      </c>
      <c r="K34" s="3429">
        <v>8.3855791231262771</v>
      </c>
      <c r="L34" s="3429">
        <v>9.3681539829628608</v>
      </c>
      <c r="M34" s="874">
        <f t="shared" si="11"/>
        <v>9.3681539829628608</v>
      </c>
      <c r="N34" s="874">
        <f t="shared" si="8"/>
        <v>8.9927761636510439</v>
      </c>
      <c r="O34" s="3429">
        <v>8.9927761636510439</v>
      </c>
      <c r="P34" s="3429">
        <v>14.212537596691062</v>
      </c>
      <c r="Q34" s="3430">
        <v>4.4482417886486489</v>
      </c>
      <c r="R34" s="3125">
        <f t="shared" si="9"/>
        <v>1.2536776912596239</v>
      </c>
      <c r="S34" s="1469">
        <f t="shared" si="23"/>
        <v>1.2536776912596239</v>
      </c>
      <c r="T34" s="1469">
        <f t="shared" si="24"/>
        <v>1.4901486942974336</v>
      </c>
      <c r="U34" s="1469">
        <f t="shared" si="25"/>
        <v>1.0180602460483039</v>
      </c>
      <c r="V34" s="1469">
        <f t="shared" si="10"/>
        <v>3.1158612416448781</v>
      </c>
      <c r="W34" s="1469">
        <f t="shared" si="26"/>
        <v>3.1158612416448781</v>
      </c>
      <c r="X34" s="1469">
        <f t="shared" si="27"/>
        <v>5.4215985604620878</v>
      </c>
      <c r="Y34" s="1469">
        <f t="shared" si="28"/>
        <v>2.274578706400761</v>
      </c>
      <c r="Z34" s="1300"/>
      <c r="AA34" s="872"/>
      <c r="AB34" s="872"/>
      <c r="AC34" s="872"/>
      <c r="AD34" s="872"/>
      <c r="AE34" s="872"/>
      <c r="AF34" s="872"/>
      <c r="AG34" s="1778">
        <f t="shared" si="12"/>
        <v>3.0267267200175763</v>
      </c>
      <c r="AH34" s="1779">
        <f t="shared" si="29"/>
        <v>3.0267267200175763</v>
      </c>
      <c r="AI34" s="1779">
        <f t="shared" si="30"/>
        <v>3.7834084000219699</v>
      </c>
      <c r="AJ34" s="1780">
        <f t="shared" si="31"/>
        <v>2.2700450400131822</v>
      </c>
      <c r="AK34" s="1475">
        <v>0</v>
      </c>
      <c r="AL34" s="3314">
        <f t="shared" si="17"/>
        <v>51.415537849148713</v>
      </c>
      <c r="AM34" s="1476">
        <f t="shared" si="20"/>
        <v>102.83107569829741</v>
      </c>
      <c r="AN34" s="1476">
        <f t="shared" si="20"/>
        <v>34.277025232765808</v>
      </c>
      <c r="AO34" s="3319">
        <f t="shared" si="21"/>
        <v>160.02346047042855</v>
      </c>
      <c r="AP34" s="874"/>
      <c r="AQ34" s="874"/>
      <c r="AR34" s="7"/>
      <c r="AS34" s="11">
        <f t="shared" si="0"/>
        <v>2031</v>
      </c>
      <c r="AT34" s="605">
        <f>Inflation!E38</f>
        <v>1.3298610617766644</v>
      </c>
      <c r="AU34" s="602">
        <f t="shared" si="1"/>
        <v>6.3056054231133984</v>
      </c>
      <c r="AV34" s="602">
        <f t="shared" si="2"/>
        <v>7.0444606976064241</v>
      </c>
      <c r="AW34" s="602">
        <f t="shared" si="3"/>
        <v>7.0648937037625208</v>
      </c>
      <c r="AX34" s="602">
        <f t="shared" si="4"/>
        <v>6.3056054231133984</v>
      </c>
      <c r="AY34" s="602">
        <f t="shared" si="5"/>
        <v>7.0444606976064241</v>
      </c>
      <c r="AZ34" s="602">
        <f t="shared" si="6"/>
        <v>7.0444606976064241</v>
      </c>
      <c r="BA34" s="602">
        <f t="shared" si="7"/>
        <v>6.7621922485924184</v>
      </c>
      <c r="BB34" s="7"/>
      <c r="BC34" s="7"/>
      <c r="BD34" s="7"/>
      <c r="BE34" s="7"/>
      <c r="BF34" s="7"/>
      <c r="BG34" s="7"/>
      <c r="BH34" s="7"/>
      <c r="BI34" s="7"/>
      <c r="BJ34" s="15"/>
    </row>
    <row r="35" spans="1:62">
      <c r="A35">
        <f t="shared" si="16"/>
        <v>2032</v>
      </c>
      <c r="B35" s="1460">
        <f t="shared" si="13"/>
        <v>1.5099999999999891E-2</v>
      </c>
      <c r="C35" s="98">
        <f t="shared" si="14"/>
        <v>0</v>
      </c>
      <c r="D35" s="98">
        <f t="shared" si="15"/>
        <v>54.801508094204394</v>
      </c>
      <c r="E35" s="297"/>
      <c r="F35">
        <v>2032</v>
      </c>
      <c r="G35" s="186">
        <f>Inflation!B39</f>
        <v>1.5099999999999891E-2</v>
      </c>
      <c r="H35" s="3431">
        <v>8.6388732228599103</v>
      </c>
      <c r="I35" s="3429">
        <v>9.641410934129695</v>
      </c>
      <c r="J35" s="3429">
        <v>9.6729849390646407</v>
      </c>
      <c r="K35" s="3429">
        <v>8.6388732228599103</v>
      </c>
      <c r="L35" s="3429">
        <v>9.641410934129695</v>
      </c>
      <c r="M35" s="874">
        <f t="shared" si="11"/>
        <v>9.641410934129695</v>
      </c>
      <c r="N35" s="874">
        <f t="shared" si="8"/>
        <v>9.2586327600257903</v>
      </c>
      <c r="O35" s="3429">
        <v>9.2586327600257903</v>
      </c>
      <c r="P35" s="3429">
        <v>14.679432677613544</v>
      </c>
      <c r="Q35" s="3430">
        <v>4.5437074018101811</v>
      </c>
      <c r="R35" s="3125">
        <f t="shared" si="9"/>
        <v>1.2827679799840443</v>
      </c>
      <c r="S35" s="1469">
        <f t="shared" si="23"/>
        <v>1.2827679799840443</v>
      </c>
      <c r="T35" s="1469">
        <f t="shared" si="24"/>
        <v>1.5361795440466799</v>
      </c>
      <c r="U35" s="1469">
        <f t="shared" si="25"/>
        <v>1.0320656436609168</v>
      </c>
      <c r="V35" s="1469">
        <f t="shared" si="10"/>
        <v>3.1711708831633558</v>
      </c>
      <c r="W35" s="1469">
        <f t="shared" si="26"/>
        <v>3.1711708831633558</v>
      </c>
      <c r="X35" s="1469">
        <f t="shared" si="27"/>
        <v>5.5178373367042406</v>
      </c>
      <c r="Y35" s="1469">
        <f t="shared" si="28"/>
        <v>2.31495474470925</v>
      </c>
      <c r="Z35" s="1300"/>
      <c r="AA35" s="872"/>
      <c r="AB35" s="872"/>
      <c r="AC35" s="872"/>
      <c r="AD35" s="872"/>
      <c r="AE35" s="872"/>
      <c r="AF35" s="872"/>
      <c r="AG35" s="1778">
        <f t="shared" si="12"/>
        <v>3.0842704131591794</v>
      </c>
      <c r="AH35" s="1779">
        <f t="shared" si="29"/>
        <v>3.0842704131591794</v>
      </c>
      <c r="AI35" s="1779">
        <f t="shared" si="30"/>
        <v>3.8553380164489734</v>
      </c>
      <c r="AJ35" s="1780">
        <f t="shared" si="31"/>
        <v>2.3132028098693844</v>
      </c>
      <c r="AK35" s="1475">
        <v>0</v>
      </c>
      <c r="AL35" s="3314">
        <f t="shared" si="17"/>
        <v>54.801508094204394</v>
      </c>
      <c r="AM35" s="1476">
        <f t="shared" si="20"/>
        <v>109.60301618840879</v>
      </c>
      <c r="AN35" s="1476">
        <f t="shared" si="20"/>
        <v>36.534338729469596</v>
      </c>
      <c r="AO35" s="3319">
        <f t="shared" si="21"/>
        <v>170.56180545970861</v>
      </c>
      <c r="AP35" s="874"/>
      <c r="AQ35" s="874"/>
      <c r="AR35" s="7"/>
      <c r="AS35" s="11">
        <f t="shared" si="0"/>
        <v>2032</v>
      </c>
      <c r="AT35" s="605">
        <f>Inflation!E39</f>
        <v>1.3499419638094918</v>
      </c>
      <c r="AU35" s="602">
        <f t="shared" si="1"/>
        <v>6.3994404607449153</v>
      </c>
      <c r="AV35" s="602">
        <f t="shared" si="2"/>
        <v>7.1420929140701359</v>
      </c>
      <c r="AW35" s="602">
        <f t="shared" si="3"/>
        <v>7.1654820713683094</v>
      </c>
      <c r="AX35" s="602">
        <f t="shared" si="4"/>
        <v>6.3994404607449153</v>
      </c>
      <c r="AY35" s="602">
        <f t="shared" si="5"/>
        <v>7.1420929140701359</v>
      </c>
      <c r="AZ35" s="602">
        <f t="shared" si="6"/>
        <v>7.1420929140701359</v>
      </c>
      <c r="BA35" s="602">
        <f t="shared" si="7"/>
        <v>6.8585413360276863</v>
      </c>
      <c r="BB35" s="7"/>
      <c r="BC35" s="7"/>
      <c r="BD35" s="7"/>
      <c r="BE35" s="7"/>
      <c r="BF35" s="7"/>
      <c r="BG35" s="7"/>
      <c r="BH35" s="7"/>
      <c r="BI35" s="7"/>
      <c r="BJ35" s="15"/>
    </row>
    <row r="36" spans="1:62">
      <c r="A36">
        <f t="shared" si="16"/>
        <v>2033</v>
      </c>
      <c r="B36" s="1460">
        <f t="shared" si="13"/>
        <v>1.5099999999999891E-2</v>
      </c>
      <c r="C36" s="98">
        <f t="shared" si="14"/>
        <v>0</v>
      </c>
      <c r="D36" s="98">
        <f t="shared" si="15"/>
        <v>58.410461409748223</v>
      </c>
      <c r="E36" s="297"/>
      <c r="F36">
        <v>2033</v>
      </c>
      <c r="G36" s="186">
        <f>Inflation!B40</f>
        <v>1.5099999999999891E-2</v>
      </c>
      <c r="H36" s="3431">
        <v>8.9286168973987614</v>
      </c>
      <c r="I36" s="3429">
        <v>9.9486700310379881</v>
      </c>
      <c r="J36" s="3429">
        <v>9.9855984688876873</v>
      </c>
      <c r="K36" s="3429">
        <v>8.9286168973987614</v>
      </c>
      <c r="L36" s="3429">
        <v>9.9486700310379881</v>
      </c>
      <c r="M36" s="874">
        <f t="shared" si="11"/>
        <v>9.9486700310379881</v>
      </c>
      <c r="N36" s="874">
        <f t="shared" si="8"/>
        <v>9.5594865066080388</v>
      </c>
      <c r="O36" s="3429">
        <v>9.5594865066080388</v>
      </c>
      <c r="P36" s="3429">
        <v>15.204803197544878</v>
      </c>
      <c r="Q36" s="3430">
        <v>4.6546540486568224</v>
      </c>
      <c r="R36" s="3125">
        <f t="shared" si="9"/>
        <v>1.3122071440449199</v>
      </c>
      <c r="S36" s="1469">
        <f t="shared" si="23"/>
        <v>1.3122071440449199</v>
      </c>
      <c r="T36" s="1469">
        <f t="shared" si="24"/>
        <v>1.583153063868636</v>
      </c>
      <c r="U36" s="1469">
        <f t="shared" si="25"/>
        <v>1.04617930643334</v>
      </c>
      <c r="V36" s="1469">
        <f t="shared" si="10"/>
        <v>3.2277269493231135</v>
      </c>
      <c r="W36" s="1469">
        <f t="shared" si="26"/>
        <v>3.2277269493231135</v>
      </c>
      <c r="X36" s="1469">
        <f t="shared" si="27"/>
        <v>5.6162448918222179</v>
      </c>
      <c r="Y36" s="1469">
        <f t="shared" si="28"/>
        <v>2.3562406730058734</v>
      </c>
      <c r="Z36" s="1300"/>
      <c r="AA36" s="872"/>
      <c r="AB36" s="872"/>
      <c r="AC36" s="872"/>
      <c r="AD36" s="872"/>
      <c r="AE36" s="872"/>
      <c r="AF36" s="872"/>
      <c r="AG36" s="1778">
        <f t="shared" si="12"/>
        <v>3.1429081187197019</v>
      </c>
      <c r="AH36" s="1779">
        <f t="shared" si="29"/>
        <v>3.1429081187197019</v>
      </c>
      <c r="AI36" s="1779">
        <f t="shared" si="30"/>
        <v>3.9286351483996276</v>
      </c>
      <c r="AJ36" s="1780">
        <f t="shared" si="31"/>
        <v>2.3571810890397762</v>
      </c>
      <c r="AK36" s="1475">
        <v>0</v>
      </c>
      <c r="AL36" s="3314">
        <f t="shared" si="17"/>
        <v>58.410461409748223</v>
      </c>
      <c r="AM36" s="1476">
        <f t="shared" si="20"/>
        <v>116.82092281949645</v>
      </c>
      <c r="AN36" s="1476">
        <f t="shared" si="20"/>
        <v>38.940307606498813</v>
      </c>
      <c r="AO36" s="3319">
        <f t="shared" si="21"/>
        <v>181.79415315825773</v>
      </c>
      <c r="AP36" s="874"/>
      <c r="AQ36" s="874"/>
      <c r="AR36" s="7"/>
      <c r="AS36" s="11">
        <f t="shared" si="0"/>
        <v>2033</v>
      </c>
      <c r="AT36" s="605">
        <f>Inflation!E40</f>
        <v>1.370326087463015</v>
      </c>
      <c r="AU36" s="602">
        <f t="shared" si="1"/>
        <v>6.5156877469427465</v>
      </c>
      <c r="AV36" s="602">
        <f t="shared" si="2"/>
        <v>7.260074899002098</v>
      </c>
      <c r="AW36" s="602">
        <f t="shared" si="3"/>
        <v>7.2870235488070998</v>
      </c>
      <c r="AX36" s="602">
        <f t="shared" si="4"/>
        <v>6.5156877469427465</v>
      </c>
      <c r="AY36" s="602">
        <f t="shared" si="5"/>
        <v>7.260074899002098</v>
      </c>
      <c r="AZ36" s="602">
        <f t="shared" si="6"/>
        <v>7.260074899002098</v>
      </c>
      <c r="BA36" s="602">
        <f t="shared" si="7"/>
        <v>6.9760669333138186</v>
      </c>
      <c r="BB36" s="7"/>
      <c r="BC36" s="7"/>
      <c r="BD36" s="7"/>
      <c r="BE36" s="7"/>
      <c r="BF36" s="7"/>
      <c r="BG36" s="7"/>
      <c r="BH36" s="7"/>
      <c r="BI36" s="7"/>
      <c r="BJ36" s="15"/>
    </row>
    <row r="37" spans="1:62">
      <c r="A37">
        <f t="shared" si="16"/>
        <v>2034</v>
      </c>
      <c r="B37" s="1460">
        <f t="shared" si="13"/>
        <v>1.5099999999999891E-2</v>
      </c>
      <c r="C37" s="98">
        <f t="shared" si="14"/>
        <v>0</v>
      </c>
      <c r="D37" s="98">
        <f t="shared" si="15"/>
        <v>62.257082345887184</v>
      </c>
      <c r="E37" s="297"/>
      <c r="F37">
        <v>2034</v>
      </c>
      <c r="G37" s="186">
        <f>Inflation!B41</f>
        <v>1.5099999999999891E-2</v>
      </c>
      <c r="H37" s="3431">
        <v>9.1796880098056661</v>
      </c>
      <c r="I37" s="3429">
        <v>10.217365581982586</v>
      </c>
      <c r="J37" s="3429">
        <v>10.258437896324061</v>
      </c>
      <c r="K37" s="3429">
        <v>9.1796880098056661</v>
      </c>
      <c r="L37" s="3429">
        <v>10.217365581982586</v>
      </c>
      <c r="M37" s="874">
        <f t="shared" si="11"/>
        <v>10.217365581982586</v>
      </c>
      <c r="N37" s="874">
        <f t="shared" si="8"/>
        <v>9.8216637529842021</v>
      </c>
      <c r="O37" s="3429">
        <v>9.8216637529842021</v>
      </c>
      <c r="P37" s="3429">
        <v>15.671050772398567</v>
      </c>
      <c r="Q37" s="3430">
        <v>4.7455271464306668</v>
      </c>
      <c r="R37" s="3125">
        <f t="shared" si="9"/>
        <v>1.3420345694062308</v>
      </c>
      <c r="S37" s="1469">
        <f t="shared" si="23"/>
        <v>1.3420345694062308</v>
      </c>
      <c r="T37" s="1469">
        <f t="shared" si="24"/>
        <v>1.6311799054245493</v>
      </c>
      <c r="U37" s="1469">
        <f t="shared" si="25"/>
        <v>1.0604128927827832</v>
      </c>
      <c r="V37" s="1469">
        <f t="shared" si="10"/>
        <v>3.2856668073770257</v>
      </c>
      <c r="W37" s="1469">
        <f t="shared" si="26"/>
        <v>3.2856668073770257</v>
      </c>
      <c r="X37" s="1469">
        <f t="shared" si="27"/>
        <v>5.7170602448360262</v>
      </c>
      <c r="Y37" s="1469">
        <f t="shared" si="28"/>
        <v>2.3985367693852302</v>
      </c>
      <c r="Z37" s="1300"/>
      <c r="AA37" s="872"/>
      <c r="AB37" s="872"/>
      <c r="AC37" s="872"/>
      <c r="AD37" s="872"/>
      <c r="AE37" s="872"/>
      <c r="AF37" s="872"/>
      <c r="AG37" s="1778">
        <f t="shared" si="12"/>
        <v>3.2026606359059273</v>
      </c>
      <c r="AH37" s="1779">
        <f t="shared" si="29"/>
        <v>3.2026606359059273</v>
      </c>
      <c r="AI37" s="1779">
        <f t="shared" si="30"/>
        <v>4.0033257948824099</v>
      </c>
      <c r="AJ37" s="1780">
        <f t="shared" si="31"/>
        <v>2.4019954769294456</v>
      </c>
      <c r="AK37" s="1475">
        <v>0</v>
      </c>
      <c r="AL37" s="3314">
        <f t="shared" si="17"/>
        <v>62.257082345887184</v>
      </c>
      <c r="AM37" s="1476">
        <f t="shared" si="20"/>
        <v>124.51416469177437</v>
      </c>
      <c r="AN37" s="1476">
        <f t="shared" si="20"/>
        <v>41.50472156392479</v>
      </c>
      <c r="AO37" s="3319">
        <f t="shared" si="21"/>
        <v>193.76620711449479</v>
      </c>
      <c r="AP37" s="874"/>
      <c r="AQ37" s="874"/>
      <c r="AR37" s="7"/>
      <c r="AS37" s="11">
        <f t="shared" si="0"/>
        <v>2034</v>
      </c>
      <c r="AT37" s="605">
        <f>Inflation!E41</f>
        <v>1.3910180113837063</v>
      </c>
      <c r="AU37" s="602">
        <f t="shared" si="1"/>
        <v>6.5992589130274668</v>
      </c>
      <c r="AV37" s="602">
        <f t="shared" si="2"/>
        <v>7.3452431948159509</v>
      </c>
      <c r="AW37" s="602">
        <f t="shared" si="3"/>
        <v>7.3747699974923728</v>
      </c>
      <c r="AX37" s="602">
        <f t="shared" si="4"/>
        <v>6.5992589130274668</v>
      </c>
      <c r="AY37" s="602">
        <f t="shared" si="5"/>
        <v>7.3452431948159509</v>
      </c>
      <c r="AZ37" s="602">
        <f t="shared" si="6"/>
        <v>7.3452431948159509</v>
      </c>
      <c r="BA37" s="602">
        <f t="shared" si="7"/>
        <v>7.0607739602265571</v>
      </c>
      <c r="BB37" s="7"/>
      <c r="BC37" s="7"/>
      <c r="BD37" s="7"/>
      <c r="BE37" s="7"/>
      <c r="BF37" s="7"/>
      <c r="BG37" s="7"/>
      <c r="BH37" s="7"/>
      <c r="BI37" s="7"/>
      <c r="BJ37" s="15"/>
    </row>
    <row r="38" spans="1:62">
      <c r="A38">
        <f t="shared" si="16"/>
        <v>2035</v>
      </c>
      <c r="B38" s="1460">
        <f t="shared" si="13"/>
        <v>1.5099999999999891E-2</v>
      </c>
      <c r="C38" s="98">
        <f t="shared" si="14"/>
        <v>0</v>
      </c>
      <c r="D38" s="98">
        <f t="shared" si="15"/>
        <v>66.357022503775582</v>
      </c>
      <c r="E38" s="297"/>
      <c r="F38">
        <v>2035</v>
      </c>
      <c r="G38" s="186">
        <f>Inflation!B42</f>
        <v>1.5099999999999891E-2</v>
      </c>
      <c r="H38" s="3431">
        <v>9.4294106564006839</v>
      </c>
      <c r="I38" s="3429">
        <v>10.480957661287841</v>
      </c>
      <c r="J38" s="3429">
        <v>10.525968365587051</v>
      </c>
      <c r="K38" s="3429">
        <v>9.4294106564006839</v>
      </c>
      <c r="L38" s="3429">
        <v>10.480957661287841</v>
      </c>
      <c r="M38" s="874">
        <f t="shared" si="11"/>
        <v>10.480957661287841</v>
      </c>
      <c r="N38" s="874">
        <f t="shared" si="8"/>
        <v>10.080166098513404</v>
      </c>
      <c r="O38" s="3429">
        <v>10.080166098513404</v>
      </c>
      <c r="P38" s="3429">
        <v>16.133935335450509</v>
      </c>
      <c r="Q38" s="3430">
        <v>4.8332802846085983</v>
      </c>
      <c r="R38" s="3125">
        <f t="shared" si="9"/>
        <v>1.3722940884745574</v>
      </c>
      <c r="S38" s="1469">
        <f t="shared" si="23"/>
        <v>1.3722940884745574</v>
      </c>
      <c r="T38" s="1469">
        <f t="shared" si="24"/>
        <v>1.680383708790693</v>
      </c>
      <c r="U38" s="1469">
        <f t="shared" si="25"/>
        <v>1.0747793165505641</v>
      </c>
      <c r="V38" s="1469">
        <f t="shared" si="10"/>
        <v>3.3451429636899017</v>
      </c>
      <c r="W38" s="1469">
        <f t="shared" si="26"/>
        <v>3.3451429636899017</v>
      </c>
      <c r="X38" s="1469">
        <f t="shared" si="27"/>
        <v>5.8205487568204299</v>
      </c>
      <c r="Y38" s="1469">
        <f t="shared" si="28"/>
        <v>2.4419543634936298</v>
      </c>
      <c r="Z38" s="1300"/>
      <c r="AA38" s="872"/>
      <c r="AB38" s="872"/>
      <c r="AC38" s="872"/>
      <c r="AD38" s="872"/>
      <c r="AE38" s="872"/>
      <c r="AF38" s="872"/>
      <c r="AG38" s="1778">
        <f t="shared" si="12"/>
        <v>3.2635491593561694</v>
      </c>
      <c r="AH38" s="1779">
        <f t="shared" si="29"/>
        <v>3.2635491593561694</v>
      </c>
      <c r="AI38" s="1779">
        <f t="shared" si="30"/>
        <v>4.0794364491952111</v>
      </c>
      <c r="AJ38" s="1780">
        <f t="shared" si="31"/>
        <v>2.4476618695171273</v>
      </c>
      <c r="AK38" s="1475">
        <v>0</v>
      </c>
      <c r="AL38" s="3314">
        <f t="shared" si="17"/>
        <v>66.357022503775582</v>
      </c>
      <c r="AM38" s="1476">
        <f t="shared" si="20"/>
        <v>132.71404500755116</v>
      </c>
      <c r="AN38" s="1476">
        <f t="shared" si="20"/>
        <v>44.238015002517052</v>
      </c>
      <c r="AO38" s="3319">
        <f t="shared" si="21"/>
        <v>206.52668068401982</v>
      </c>
      <c r="AP38" s="874"/>
      <c r="AQ38" s="874"/>
      <c r="AR38" s="7"/>
      <c r="AS38" s="11">
        <f t="shared" si="0"/>
        <v>2035</v>
      </c>
      <c r="AT38" s="605">
        <f>Inflation!E42</f>
        <v>1.4120223833556</v>
      </c>
      <c r="AU38" s="602">
        <f t="shared" si="1"/>
        <v>6.6779470124206988</v>
      </c>
      <c r="AV38" s="602">
        <f t="shared" si="2"/>
        <v>7.4226568819542171</v>
      </c>
      <c r="AW38" s="602">
        <f t="shared" si="3"/>
        <v>7.4545336459699865</v>
      </c>
      <c r="AX38" s="602">
        <f t="shared" si="4"/>
        <v>6.6779470124206988</v>
      </c>
      <c r="AY38" s="602">
        <f t="shared" si="5"/>
        <v>7.4226568819542171</v>
      </c>
      <c r="AZ38" s="602">
        <f t="shared" si="6"/>
        <v>7.4226568819542171</v>
      </c>
      <c r="BA38" s="602">
        <f t="shared" si="7"/>
        <v>7.1388146656417701</v>
      </c>
      <c r="BB38" s="7"/>
      <c r="BC38" s="7"/>
      <c r="BD38" s="7"/>
      <c r="BE38" s="7"/>
      <c r="BF38" s="7"/>
      <c r="BG38" s="7"/>
      <c r="BH38" s="7"/>
      <c r="BI38" s="7"/>
      <c r="BJ38" s="15"/>
    </row>
    <row r="39" spans="1:62">
      <c r="A39">
        <f t="shared" si="16"/>
        <v>2036</v>
      </c>
      <c r="B39" s="1460">
        <f t="shared" si="13"/>
        <v>1.5099999999999891E-2</v>
      </c>
      <c r="C39" s="98">
        <f t="shared" si="14"/>
        <v>0</v>
      </c>
      <c r="D39" s="98">
        <f t="shared" si="15"/>
        <v>70.726964220761715</v>
      </c>
      <c r="E39" s="297"/>
      <c r="F39">
        <v>2036</v>
      </c>
      <c r="G39" s="186">
        <f>Inflation!B43</f>
        <v>1.5099999999999891E-2</v>
      </c>
      <c r="H39" s="3431">
        <v>9.6647004873287159</v>
      </c>
      <c r="I39" s="3429">
        <v>10.734367909257122</v>
      </c>
      <c r="J39" s="3429">
        <v>10.782961895859609</v>
      </c>
      <c r="K39" s="3429">
        <v>9.6647004873287159</v>
      </c>
      <c r="L39" s="3429">
        <v>10.734367909257122</v>
      </c>
      <c r="M39" s="874">
        <f t="shared" si="11"/>
        <v>10.734367909257122</v>
      </c>
      <c r="N39" s="874">
        <f t="shared" si="8"/>
        <v>10.326834815873069</v>
      </c>
      <c r="O39" s="3429">
        <v>10.326834815873069</v>
      </c>
      <c r="P39" s="3429">
        <v>16.579409532376651</v>
      </c>
      <c r="Q39" s="3430">
        <v>4.9147141827906857</v>
      </c>
      <c r="R39" s="3125">
        <f t="shared" si="9"/>
        <v>1.403034482076178</v>
      </c>
      <c r="S39" s="1469">
        <f t="shared" si="23"/>
        <v>1.403034482076178</v>
      </c>
      <c r="T39" s="1469">
        <f t="shared" si="24"/>
        <v>1.7309026270529626</v>
      </c>
      <c r="U39" s="1469">
        <f t="shared" si="25"/>
        <v>1.0892928821911043</v>
      </c>
      <c r="V39" s="1470">
        <f t="shared" si="10"/>
        <v>3.4063247322053525</v>
      </c>
      <c r="W39" s="1470">
        <f t="shared" si="26"/>
        <v>3.4063247322053525</v>
      </c>
      <c r="X39" s="1470">
        <f t="shared" si="27"/>
        <v>5.9270050340373146</v>
      </c>
      <c r="Y39" s="1470">
        <f t="shared" si="28"/>
        <v>2.4866170545099089</v>
      </c>
      <c r="Z39" s="1300"/>
      <c r="AA39" s="872"/>
      <c r="AB39" s="872"/>
      <c r="AC39" s="872"/>
      <c r="AD39" s="872"/>
      <c r="AE39" s="872"/>
      <c r="AF39" s="872"/>
      <c r="AG39" s="1778">
        <f t="shared" si="12"/>
        <v>3.3255952866581535</v>
      </c>
      <c r="AH39" s="1779">
        <f t="shared" si="29"/>
        <v>3.3255952866581535</v>
      </c>
      <c r="AI39" s="1779">
        <f t="shared" si="30"/>
        <v>4.1569941083226913</v>
      </c>
      <c r="AJ39" s="1780">
        <f t="shared" si="31"/>
        <v>2.4941964649936148</v>
      </c>
      <c r="AK39" s="1475">
        <v>0</v>
      </c>
      <c r="AL39" s="3314">
        <f t="shared" si="17"/>
        <v>70.726964220761715</v>
      </c>
      <c r="AM39" s="1476">
        <f t="shared" si="20"/>
        <v>141.45392844152343</v>
      </c>
      <c r="AN39" s="1476">
        <f t="shared" si="20"/>
        <v>47.151309480507813</v>
      </c>
      <c r="AO39" s="3319">
        <f t="shared" si="21"/>
        <v>220.12749524046595</v>
      </c>
      <c r="AP39" s="874"/>
      <c r="AQ39" s="874"/>
      <c r="AR39" s="7"/>
      <c r="AS39" s="11">
        <f t="shared" si="0"/>
        <v>2036</v>
      </c>
      <c r="AT39" s="605">
        <f>Inflation!E43</f>
        <v>1.4333439213442694</v>
      </c>
      <c r="AU39" s="602">
        <f t="shared" si="1"/>
        <v>6.742764484789264</v>
      </c>
      <c r="AV39" s="602">
        <f t="shared" si="2"/>
        <v>7.4890385687685042</v>
      </c>
      <c r="AW39" s="602">
        <f t="shared" si="3"/>
        <v>7.52294109968161</v>
      </c>
      <c r="AX39" s="602">
        <f t="shared" si="4"/>
        <v>6.742764484789264</v>
      </c>
      <c r="AY39" s="602">
        <f t="shared" si="5"/>
        <v>7.4890385687685042</v>
      </c>
      <c r="AZ39" s="602">
        <f t="shared" si="6"/>
        <v>7.4890385687685042</v>
      </c>
      <c r="BA39" s="602">
        <f t="shared" si="7"/>
        <v>7.2047152550715046</v>
      </c>
      <c r="BB39" s="7"/>
      <c r="BC39" s="7"/>
      <c r="BD39" s="7"/>
      <c r="BE39" s="7"/>
      <c r="BF39" s="7"/>
      <c r="BG39" s="7"/>
      <c r="BH39" s="7"/>
      <c r="BI39" s="7"/>
      <c r="BJ39" s="15"/>
    </row>
    <row r="40" spans="1:62">
      <c r="A40">
        <f>A39+1</f>
        <v>2037</v>
      </c>
      <c r="B40" s="1460">
        <f t="shared" si="13"/>
        <v>1.5099999999999891E-2</v>
      </c>
      <c r="C40" s="98">
        <f t="shared" si="14"/>
        <v>0</v>
      </c>
      <c r="D40" s="98">
        <f t="shared" si="15"/>
        <v>75.38468844951997</v>
      </c>
      <c r="E40" s="297"/>
      <c r="F40">
        <v>2037</v>
      </c>
      <c r="G40" s="186">
        <f>Inflation!B44</f>
        <v>1.5099999999999891E-2</v>
      </c>
      <c r="H40" s="3431">
        <v>9.9380055129639757</v>
      </c>
      <c r="I40" s="3429">
        <v>11.028073272417073</v>
      </c>
      <c r="J40" s="3429">
        <v>11.081401028181144</v>
      </c>
      <c r="K40" s="3429">
        <v>9.9380055129639757</v>
      </c>
      <c r="L40" s="3429">
        <v>11.028073272417073</v>
      </c>
      <c r="M40" s="874">
        <f t="shared" si="11"/>
        <v>11.028073272417073</v>
      </c>
      <c r="N40" s="874">
        <f t="shared" si="8"/>
        <v>10.612991534267678</v>
      </c>
      <c r="O40" s="3429">
        <v>10.612991534267678</v>
      </c>
      <c r="P40" s="3429">
        <v>17.091040812448199</v>
      </c>
      <c r="Q40" s="3430">
        <v>5.0133629346438857</v>
      </c>
      <c r="R40" s="3125">
        <f t="shared" si="9"/>
        <v>1.4345358262864019</v>
      </c>
      <c r="S40" s="1469">
        <f t="shared" si="23"/>
        <v>1.4345358262864019</v>
      </c>
      <c r="T40" s="1469">
        <f t="shared" si="24"/>
        <v>1.7828910298600837</v>
      </c>
      <c r="U40" s="1469">
        <f t="shared" si="25"/>
        <v>1.1040771184423102</v>
      </c>
      <c r="V40" s="1470">
        <f t="shared" si="10"/>
        <v>3.4684034578359739</v>
      </c>
      <c r="W40" s="1470">
        <f t="shared" si="26"/>
        <v>3.4684034578359739</v>
      </c>
      <c r="X40" s="1470">
        <f t="shared" si="27"/>
        <v>6.0350220166345965</v>
      </c>
      <c r="Y40" s="1470">
        <f t="shared" si="28"/>
        <v>2.5319345242202629</v>
      </c>
      <c r="Z40" s="1300"/>
      <c r="AA40" s="872"/>
      <c r="AB40" s="872"/>
      <c r="AC40" s="872"/>
      <c r="AD40" s="872"/>
      <c r="AE40" s="872"/>
      <c r="AF40" s="872"/>
      <c r="AG40" s="1778">
        <f t="shared" si="12"/>
        <v>3.3888210260098415</v>
      </c>
      <c r="AH40" s="1779">
        <f t="shared" si="29"/>
        <v>3.3888210260098415</v>
      </c>
      <c r="AI40" s="1779">
        <f t="shared" si="30"/>
        <v>4.2360262825123005</v>
      </c>
      <c r="AJ40" s="1780">
        <f t="shared" si="31"/>
        <v>2.5416157695073802</v>
      </c>
      <c r="AK40" s="1475">
        <v>0</v>
      </c>
      <c r="AL40" s="3314">
        <f t="shared" si="17"/>
        <v>75.38468844951997</v>
      </c>
      <c r="AM40" s="1476">
        <f t="shared" si="20"/>
        <v>150.76937689903994</v>
      </c>
      <c r="AN40" s="1476">
        <f t="shared" si="20"/>
        <v>50.256458966346649</v>
      </c>
      <c r="AO40" s="3319">
        <f t="shared" si="21"/>
        <v>234.62399143952683</v>
      </c>
      <c r="AP40" s="874"/>
      <c r="AQ40" s="874"/>
      <c r="AR40" s="7"/>
      <c r="AS40" s="11">
        <f t="shared" si="0"/>
        <v>2037</v>
      </c>
      <c r="AT40" s="605">
        <f>Inflation!E44</f>
        <v>1.4549874145565678</v>
      </c>
      <c r="AU40" s="602">
        <f t="shared" si="1"/>
        <v>6.8303034194922931</v>
      </c>
      <c r="AV40" s="602">
        <f t="shared" si="2"/>
        <v>7.5794973634037008</v>
      </c>
      <c r="AW40" s="602">
        <f t="shared" si="3"/>
        <v>7.6161490589651528</v>
      </c>
      <c r="AX40" s="602">
        <f t="shared" si="4"/>
        <v>6.8303034194922931</v>
      </c>
      <c r="AY40" s="602">
        <f t="shared" si="5"/>
        <v>7.5794973634037008</v>
      </c>
      <c r="AZ40" s="602">
        <f t="shared" si="6"/>
        <v>7.5794973634037008</v>
      </c>
      <c r="BA40" s="602">
        <f t="shared" si="7"/>
        <v>7.2942153506545404</v>
      </c>
      <c r="BB40" s="7"/>
      <c r="BC40" s="7"/>
      <c r="BD40" s="7"/>
      <c r="BE40" s="7"/>
      <c r="BF40" s="7"/>
      <c r="BG40" s="7"/>
      <c r="BH40" s="7"/>
      <c r="BI40" s="7"/>
      <c r="BJ40" s="15"/>
    </row>
    <row r="41" spans="1:62">
      <c r="A41">
        <f>A40+1</f>
        <v>2038</v>
      </c>
      <c r="B41" s="1460">
        <f t="shared" si="13"/>
        <v>1.5099999999999891E-2</v>
      </c>
      <c r="C41" s="98">
        <f t="shared" si="14"/>
        <v>0</v>
      </c>
      <c r="D41" s="98">
        <f t="shared" si="15"/>
        <v>80.349147107363109</v>
      </c>
      <c r="E41" s="297"/>
      <c r="F41">
        <v>2038</v>
      </c>
      <c r="G41" s="186">
        <f>Inflation!B45</f>
        <v>1.5099999999999891E-2</v>
      </c>
      <c r="H41" s="3431">
        <v>10.227641730081677</v>
      </c>
      <c r="I41" s="3429">
        <v>11.34110034852775</v>
      </c>
      <c r="J41" s="3429">
        <v>11.399682201776915</v>
      </c>
      <c r="K41" s="3429">
        <v>10.227641730081677</v>
      </c>
      <c r="L41" s="3429">
        <v>11.34110034852775</v>
      </c>
      <c r="M41" s="874">
        <f t="shared" si="11"/>
        <v>11.34110034852775</v>
      </c>
      <c r="N41" s="874">
        <f t="shared" si="8"/>
        <v>10.917353195987152</v>
      </c>
      <c r="O41" s="3429">
        <v>10.917353195987152</v>
      </c>
      <c r="P41" s="3429">
        <v>17.634884131680288</v>
      </c>
      <c r="Q41" s="3430">
        <v>5.1189271558467935</v>
      </c>
      <c r="R41" s="3125">
        <f t="shared" ref="R41:R72" si="32">IF(CostScenario="Higher Cost",T41,IF(CostScenario="Lower Cost",U41,S41))</f>
        <v>1.4668840279324784</v>
      </c>
      <c r="S41" s="1469">
        <f t="shared" si="23"/>
        <v>1.4668840279324784</v>
      </c>
      <c r="T41" s="1469">
        <f t="shared" si="24"/>
        <v>1.8365214069417846</v>
      </c>
      <c r="U41" s="1469">
        <f t="shared" si="25"/>
        <v>1.1191611721775689</v>
      </c>
      <c r="V41" s="1470">
        <f t="shared" ref="V41:V72" si="33">IF(CostScenario="Higher Cost",X41,IF(CostScenario="Lower Cost",Y41,W41))</f>
        <v>3.531366853346972</v>
      </c>
      <c r="W41" s="1470">
        <f t="shared" si="26"/>
        <v>3.531366853346972</v>
      </c>
      <c r="X41" s="1470">
        <f t="shared" si="27"/>
        <v>6.1445783248237342</v>
      </c>
      <c r="Y41" s="1470">
        <f t="shared" si="28"/>
        <v>2.5778978029432915</v>
      </c>
      <c r="Z41" s="1300"/>
      <c r="AA41" s="872"/>
      <c r="AB41" s="872"/>
      <c r="AC41" s="872"/>
      <c r="AD41" s="872"/>
      <c r="AE41" s="872"/>
      <c r="AF41" s="872"/>
      <c r="AG41" s="1778">
        <f t="shared" si="12"/>
        <v>3.4532488040258866</v>
      </c>
      <c r="AH41" s="1779">
        <f t="shared" si="29"/>
        <v>3.4532488040258866</v>
      </c>
      <c r="AI41" s="1779">
        <f t="shared" si="30"/>
        <v>4.316561005032356</v>
      </c>
      <c r="AJ41" s="1780">
        <f t="shared" si="31"/>
        <v>2.5899366030194142</v>
      </c>
      <c r="AK41" s="1475">
        <v>0</v>
      </c>
      <c r="AL41" s="3314">
        <f t="shared" si="17"/>
        <v>80.349147107363109</v>
      </c>
      <c r="AM41" s="1476">
        <f t="shared" si="20"/>
        <v>160.69829421472622</v>
      </c>
      <c r="AN41" s="1476">
        <f t="shared" si="20"/>
        <v>53.566098071575404</v>
      </c>
      <c r="AO41" s="3319">
        <f t="shared" si="21"/>
        <v>250.07515439577688</v>
      </c>
      <c r="AP41" s="874"/>
      <c r="AQ41" s="874"/>
      <c r="AR41" s="7"/>
      <c r="AS41" s="11">
        <f t="shared" si="0"/>
        <v>2038</v>
      </c>
      <c r="AT41" s="605">
        <f>Inflation!E45</f>
        <v>1.4769577245163719</v>
      </c>
      <c r="AU41" s="602">
        <f t="shared" si="1"/>
        <v>6.9248033036495391</v>
      </c>
      <c r="AV41" s="602">
        <f t="shared" si="2"/>
        <v>7.6786898908981165</v>
      </c>
      <c r="AW41" s="602">
        <f t="shared" si="3"/>
        <v>7.7183537568820588</v>
      </c>
      <c r="AX41" s="602">
        <f t="shared" si="4"/>
        <v>6.9248033036495391</v>
      </c>
      <c r="AY41" s="602">
        <f t="shared" si="5"/>
        <v>7.6786898908981165</v>
      </c>
      <c r="AZ41" s="602">
        <f t="shared" si="6"/>
        <v>7.6786898908981165</v>
      </c>
      <c r="BA41" s="602">
        <f t="shared" si="7"/>
        <v>7.3917844869676461</v>
      </c>
      <c r="BB41" s="7"/>
      <c r="BC41" s="7"/>
      <c r="BD41" s="7"/>
      <c r="BE41" s="7"/>
      <c r="BF41" s="7"/>
      <c r="BG41" s="7"/>
      <c r="BH41" s="7"/>
      <c r="BI41" s="7"/>
      <c r="BJ41" s="15"/>
    </row>
    <row r="42" spans="1:62">
      <c r="A42">
        <f>A41+1</f>
        <v>2039</v>
      </c>
      <c r="B42" s="1460">
        <f t="shared" si="13"/>
        <v>1.5099999999999891E-2</v>
      </c>
      <c r="C42" s="98">
        <f t="shared" si="14"/>
        <v>0</v>
      </c>
      <c r="D42" s="98">
        <f t="shared" si="15"/>
        <v>85.640540190118486</v>
      </c>
      <c r="E42" s="297"/>
      <c r="F42">
        <v>2039</v>
      </c>
      <c r="G42" s="186">
        <f>Inflation!B46</f>
        <v>1.5099999999999891E-2</v>
      </c>
      <c r="H42" s="3431">
        <v>10.604034395010382</v>
      </c>
      <c r="I42" s="3429">
        <v>11.775224578394486</v>
      </c>
      <c r="J42" s="3429">
        <v>11.84261415049375</v>
      </c>
      <c r="K42" s="3429">
        <v>10.604034395010382</v>
      </c>
      <c r="L42" s="3429">
        <v>11.775224578394486</v>
      </c>
      <c r="M42" s="874">
        <f t="shared" si="11"/>
        <v>11.775224578394486</v>
      </c>
      <c r="N42" s="874">
        <f t="shared" si="8"/>
        <v>11.32984566586963</v>
      </c>
      <c r="O42" s="3429">
        <v>11.32984566586963</v>
      </c>
      <c r="P42" s="3429">
        <v>18.3570617825605</v>
      </c>
      <c r="Q42" s="3430">
        <v>5.2729484937135549</v>
      </c>
      <c r="R42" s="3125">
        <f t="shared" si="32"/>
        <v>1.5001746922148309</v>
      </c>
      <c r="S42" s="1469">
        <f t="shared" si="23"/>
        <v>1.5001746922148309</v>
      </c>
      <c r="T42" s="1469">
        <f t="shared" si="24"/>
        <v>1.8919864950640537</v>
      </c>
      <c r="U42" s="1469">
        <f t="shared" si="25"/>
        <v>1.1345773289199601</v>
      </c>
      <c r="V42" s="1470">
        <f t="shared" si="33"/>
        <v>3.5951991643614192</v>
      </c>
      <c r="W42" s="1470">
        <f t="shared" si="26"/>
        <v>3.5951991643614192</v>
      </c>
      <c r="X42" s="1470">
        <f t="shared" si="27"/>
        <v>6.2556465459888706</v>
      </c>
      <c r="Y42" s="1470">
        <f t="shared" si="28"/>
        <v>2.6244953899838372</v>
      </c>
      <c r="Z42" s="1300"/>
      <c r="AA42" s="872"/>
      <c r="AB42" s="872"/>
      <c r="AC42" s="872"/>
      <c r="AD42" s="872"/>
      <c r="AE42" s="872"/>
      <c r="AF42" s="872"/>
      <c r="AG42" s="1778">
        <f t="shared" si="12"/>
        <v>3.5189014736925155</v>
      </c>
      <c r="AH42" s="1779">
        <f t="shared" si="29"/>
        <v>3.5189014736925155</v>
      </c>
      <c r="AI42" s="1779">
        <f t="shared" si="30"/>
        <v>4.3986268421156423</v>
      </c>
      <c r="AJ42" s="1780">
        <f t="shared" si="31"/>
        <v>2.6391761052693861</v>
      </c>
      <c r="AK42" s="1475">
        <v>0</v>
      </c>
      <c r="AL42" s="3314">
        <f t="shared" si="17"/>
        <v>85.640540190118486</v>
      </c>
      <c r="AM42" s="1476">
        <f t="shared" si="20"/>
        <v>171.28108038023703</v>
      </c>
      <c r="AN42" s="1476">
        <f t="shared" si="20"/>
        <v>57.093693460078995</v>
      </c>
      <c r="AO42" s="3319">
        <f t="shared" si="21"/>
        <v>266.54385368851075</v>
      </c>
      <c r="AP42" s="874"/>
      <c r="AQ42" s="874"/>
      <c r="AR42" s="7"/>
      <c r="AS42" s="11">
        <f t="shared" si="0"/>
        <v>2039</v>
      </c>
      <c r="AT42" s="605">
        <f>Inflation!E46</f>
        <v>1.4992597861565689</v>
      </c>
      <c r="AU42" s="602">
        <f t="shared" si="1"/>
        <v>7.0728465426224636</v>
      </c>
      <c r="AV42" s="602">
        <f t="shared" si="2"/>
        <v>7.854025491193152</v>
      </c>
      <c r="AW42" s="602">
        <f t="shared" si="3"/>
        <v>7.8989740536247641</v>
      </c>
      <c r="AX42" s="602">
        <f t="shared" si="4"/>
        <v>7.0728465426224636</v>
      </c>
      <c r="AY42" s="602">
        <f t="shared" si="5"/>
        <v>7.854025491193152</v>
      </c>
      <c r="AZ42" s="602">
        <f t="shared" si="6"/>
        <v>7.854025491193152</v>
      </c>
      <c r="BA42" s="602">
        <f t="shared" si="7"/>
        <v>7.5569596213303925</v>
      </c>
      <c r="BB42" s="7"/>
      <c r="BC42" s="7"/>
      <c r="BD42" s="7"/>
      <c r="BE42" s="7"/>
      <c r="BF42" s="7"/>
      <c r="BG42" s="7"/>
      <c r="BH42" s="7"/>
      <c r="BI42" s="7"/>
      <c r="BJ42" s="15"/>
    </row>
    <row r="43" spans="1:62">
      <c r="A43">
        <f t="shared" si="16"/>
        <v>2040</v>
      </c>
      <c r="B43" s="1460">
        <f t="shared" si="13"/>
        <v>1.5099999999999891E-2</v>
      </c>
      <c r="C43" s="98">
        <f t="shared" si="14"/>
        <v>0</v>
      </c>
      <c r="D43" s="98">
        <f t="shared" si="15"/>
        <v>91.280397964338732</v>
      </c>
      <c r="E43" s="297"/>
      <c r="F43">
        <v>2040</v>
      </c>
      <c r="G43" s="186">
        <f>Inflation!B47</f>
        <v>1.5099999999999891E-2</v>
      </c>
      <c r="H43" s="3431">
        <v>10.760918649686925</v>
      </c>
      <c r="I43" s="3429">
        <v>12.007781785993773</v>
      </c>
      <c r="J43" s="3429">
        <v>12.077891485021473</v>
      </c>
      <c r="K43" s="3429">
        <v>10.760918649686925</v>
      </c>
      <c r="L43" s="3429">
        <v>12.007781785993773</v>
      </c>
      <c r="M43" s="874">
        <f t="shared" si="11"/>
        <v>12.007781785993773</v>
      </c>
      <c r="N43" s="874">
        <f t="shared" si="8"/>
        <v>11.53353003387701</v>
      </c>
      <c r="O43" s="3429">
        <v>11.53353003387701</v>
      </c>
      <c r="P43" s="3429">
        <v>18.744637938304788</v>
      </c>
      <c r="Q43" s="3430">
        <v>5.3275020147644607</v>
      </c>
      <c r="R43" s="3125">
        <f t="shared" si="32"/>
        <v>1.5345142175960784</v>
      </c>
      <c r="S43" s="1469">
        <f t="shared" si="23"/>
        <v>1.5345142175960784</v>
      </c>
      <c r="T43" s="1469">
        <f t="shared" si="24"/>
        <v>1.9495016546487658</v>
      </c>
      <c r="U43" s="1469">
        <f t="shared" si="25"/>
        <v>1.1503613508243657</v>
      </c>
      <c r="V43" s="1470">
        <f t="shared" si="33"/>
        <v>3.6598807470782364</v>
      </c>
      <c r="W43" s="1470">
        <f t="shared" si="26"/>
        <v>3.6598807470782364</v>
      </c>
      <c r="X43" s="1470">
        <f t="shared" si="27"/>
        <v>6.368192499916133</v>
      </c>
      <c r="Y43" s="1470">
        <f t="shared" si="28"/>
        <v>2.6717129453671151</v>
      </c>
      <c r="Z43" s="1300"/>
      <c r="AA43" s="872"/>
      <c r="AB43" s="872"/>
      <c r="AC43" s="872"/>
      <c r="AD43" s="872"/>
      <c r="AE43" s="872"/>
      <c r="AF43" s="872"/>
      <c r="AG43" s="1778">
        <f t="shared" si="12"/>
        <v>3.5858023224736431</v>
      </c>
      <c r="AH43" s="1779">
        <f t="shared" si="29"/>
        <v>3.5858023224736431</v>
      </c>
      <c r="AI43" s="1779">
        <f t="shared" si="30"/>
        <v>4.4822529030920517</v>
      </c>
      <c r="AJ43" s="1780">
        <f t="shared" si="31"/>
        <v>2.6893517418552322</v>
      </c>
      <c r="AK43" s="1475">
        <v>0</v>
      </c>
      <c r="AL43" s="3314">
        <f t="shared" si="17"/>
        <v>91.280397964338732</v>
      </c>
      <c r="AM43" s="1476">
        <f t="shared" si="20"/>
        <v>182.56079592867752</v>
      </c>
      <c r="AN43" s="1476">
        <f t="shared" si="20"/>
        <v>60.853598642892493</v>
      </c>
      <c r="AO43" s="3319">
        <f t="shared" si="21"/>
        <v>284.09709917316758</v>
      </c>
      <c r="AP43" s="874"/>
      <c r="AQ43" s="874"/>
      <c r="AR43" s="7"/>
      <c r="AS43" s="11">
        <f t="shared" si="0"/>
        <v>2040</v>
      </c>
      <c r="AT43" s="605">
        <f>Inflation!E47</f>
        <v>1.5218986089275328</v>
      </c>
      <c r="AU43" s="602">
        <f t="shared" si="1"/>
        <v>7.0707198144231436</v>
      </c>
      <c r="AV43" s="602">
        <f t="shared" si="2"/>
        <v>7.8900011574723363</v>
      </c>
      <c r="AW43" s="602">
        <f t="shared" si="3"/>
        <v>7.9360684175489498</v>
      </c>
      <c r="AX43" s="602">
        <f t="shared" si="4"/>
        <v>7.0707198144231436</v>
      </c>
      <c r="AY43" s="602">
        <f t="shared" si="5"/>
        <v>7.8900011574723363</v>
      </c>
      <c r="AZ43" s="602">
        <f t="shared" si="6"/>
        <v>7.8900011574723363</v>
      </c>
      <c r="BA43" s="602">
        <f t="shared" si="7"/>
        <v>7.5783826637469476</v>
      </c>
      <c r="BB43" s="7"/>
      <c r="BC43" s="7"/>
      <c r="BD43" s="7"/>
      <c r="BE43" s="7"/>
      <c r="BF43" s="7"/>
      <c r="BG43" s="7"/>
      <c r="BH43" s="7"/>
      <c r="BI43" s="7"/>
      <c r="BJ43" s="15"/>
    </row>
    <row r="44" spans="1:62">
      <c r="A44">
        <f t="shared" si="16"/>
        <v>2041</v>
      </c>
      <c r="B44" s="1460">
        <f t="shared" si="13"/>
        <v>1.5099999999999891E-2</v>
      </c>
      <c r="C44" s="98">
        <f t="shared" si="14"/>
        <v>0</v>
      </c>
      <c r="D44" s="98">
        <f t="shared" si="15"/>
        <v>97.291668572280258</v>
      </c>
      <c r="E44" s="297"/>
      <c r="F44">
        <v>2041</v>
      </c>
      <c r="G44" s="186">
        <f>Inflation!B48</f>
        <v>1.5099999999999891E-2</v>
      </c>
      <c r="H44" s="3125">
        <f t="shared" ref="H44:H78" si="34">AVERAGE(H34:H43)/AVERAGE(H33:H42)*H43</f>
        <v>11.062236832497232</v>
      </c>
      <c r="I44" s="3125">
        <f t="shared" ref="I44:I78" si="35">AVERAGE(I34:I43)/AVERAGE(I33:I42)*I43</f>
        <v>12.342976536748557</v>
      </c>
      <c r="J44" s="3125">
        <f t="shared" ref="J44:J78" si="36">AVERAGE(J34:J43)/AVERAGE(J33:J42)*J43</f>
        <v>12.419073563873569</v>
      </c>
      <c r="K44" s="3125">
        <f t="shared" ref="K44:K78" si="37">AVERAGE(K34:K43)/AVERAGE(K33:K42)*K43</f>
        <v>11.062236832497232</v>
      </c>
      <c r="L44" s="3125">
        <f t="shared" ref="L44:L78" si="38">AVERAGE(L34:L43)/AVERAGE(L33:L42)*L43</f>
        <v>12.342976536748557</v>
      </c>
      <c r="M44" s="3125">
        <f t="shared" si="11"/>
        <v>12.342976536748557</v>
      </c>
      <c r="N44" s="874">
        <f t="shared" ref="N44:N75" si="39">IF(CostScenario="Higher Cost",P44,IF(CostScenario="Lower Cost",Q44,O44))</f>
        <v>11.776576904240095</v>
      </c>
      <c r="O44" s="3429">
        <v>11.776576904240095</v>
      </c>
      <c r="P44" s="3429">
        <v>19.199335875360632</v>
      </c>
      <c r="Q44" s="3430">
        <v>5.3983426988066761</v>
      </c>
      <c r="R44" s="3125">
        <f t="shared" si="32"/>
        <v>1.5694677330803577</v>
      </c>
      <c r="S44" s="1469">
        <f t="shared" si="23"/>
        <v>1.5694677330803577</v>
      </c>
      <c r="T44" s="1469">
        <f t="shared" si="24"/>
        <v>2.0087251405102045</v>
      </c>
      <c r="U44" s="1469">
        <f t="shared" si="25"/>
        <v>1.1661056840255957</v>
      </c>
      <c r="V44" s="1470">
        <f t="shared" si="33"/>
        <v>3.7258085010868265</v>
      </c>
      <c r="W44" s="1470">
        <f t="shared" si="26"/>
        <v>3.7258085010868265</v>
      </c>
      <c r="X44" s="1470">
        <f t="shared" si="27"/>
        <v>6.4829067918910797</v>
      </c>
      <c r="Y44" s="1470">
        <f t="shared" si="28"/>
        <v>2.7198402057933859</v>
      </c>
      <c r="Z44" s="1300"/>
      <c r="AA44" s="872"/>
      <c r="AB44" s="872"/>
      <c r="AC44" s="872"/>
      <c r="AD44" s="872"/>
      <c r="AE44" s="872"/>
      <c r="AF44" s="872"/>
      <c r="AG44" s="1778">
        <f t="shared" si="12"/>
        <v>3.6539750805711018</v>
      </c>
      <c r="AH44" s="1779">
        <f t="shared" si="29"/>
        <v>3.6539750805711018</v>
      </c>
      <c r="AI44" s="1779">
        <f t="shared" si="30"/>
        <v>4.5674688507138752</v>
      </c>
      <c r="AJ44" s="1780">
        <f t="shared" si="31"/>
        <v>2.7404813104283257</v>
      </c>
      <c r="AK44" s="1475">
        <v>0</v>
      </c>
      <c r="AL44" s="3314">
        <f t="shared" si="17"/>
        <v>97.291668572280258</v>
      </c>
      <c r="AM44" s="1476">
        <f t="shared" si="20"/>
        <v>194.58333714456057</v>
      </c>
      <c r="AN44" s="1476">
        <f t="shared" si="20"/>
        <v>64.861112381520172</v>
      </c>
      <c r="AO44" s="3319">
        <f t="shared" si="21"/>
        <v>302.80631363921651</v>
      </c>
      <c r="AP44" s="874"/>
      <c r="AQ44" s="874"/>
      <c r="AR44" s="7"/>
      <c r="AS44" s="11">
        <f t="shared" si="0"/>
        <v>2041</v>
      </c>
      <c r="AT44" s="605">
        <f>Inflation!E48</f>
        <v>1.5448792779223384</v>
      </c>
      <c r="AU44" s="602">
        <f t="shared" si="1"/>
        <v>7.1605833482176688</v>
      </c>
      <c r="AV44" s="602">
        <f t="shared" si="2"/>
        <v>7.9896058631508442</v>
      </c>
      <c r="AW44" s="602">
        <f t="shared" si="3"/>
        <v>8.0388634512436514</v>
      </c>
      <c r="AX44" s="602">
        <f t="shared" si="4"/>
        <v>7.1605833482176688</v>
      </c>
      <c r="AY44" s="602">
        <f t="shared" si="5"/>
        <v>7.9896058631508442</v>
      </c>
      <c r="AZ44" s="602">
        <f t="shared" si="6"/>
        <v>7.9896058631508442</v>
      </c>
      <c r="BA44" s="602">
        <f t="shared" si="7"/>
        <v>7.622975511768181</v>
      </c>
      <c r="BB44" s="7"/>
      <c r="BC44" s="7"/>
      <c r="BD44" s="7"/>
      <c r="BE44" s="7"/>
      <c r="BF44" s="7"/>
      <c r="BG44" s="7"/>
      <c r="BH44" s="7"/>
      <c r="BI44" s="7"/>
      <c r="BJ44" s="15"/>
    </row>
    <row r="45" spans="1:62">
      <c r="A45">
        <f t="shared" si="16"/>
        <v>2042</v>
      </c>
      <c r="B45" s="1460">
        <f t="shared" si="13"/>
        <v>1.5099999999999891E-2</v>
      </c>
      <c r="C45" s="98">
        <f t="shared" si="14"/>
        <v>0</v>
      </c>
      <c r="D45" s="98">
        <f t="shared" si="15"/>
        <v>103.69881140610778</v>
      </c>
      <c r="E45" s="297"/>
      <c r="F45">
        <v>2042</v>
      </c>
      <c r="G45" s="186">
        <f>Inflation!B49</f>
        <v>1.5099999999999891E-2</v>
      </c>
      <c r="H45" s="3125">
        <f t="shared" si="34"/>
        <v>11.37145366860741</v>
      </c>
      <c r="I45" s="3125">
        <f t="shared" si="35"/>
        <v>12.687608548440915</v>
      </c>
      <c r="J45" s="3125">
        <f t="shared" si="36"/>
        <v>12.769953066333056</v>
      </c>
      <c r="K45" s="3125">
        <f t="shared" si="37"/>
        <v>11.37145366860741</v>
      </c>
      <c r="L45" s="3125">
        <f t="shared" si="38"/>
        <v>12.687608548440915</v>
      </c>
      <c r="M45" s="3125">
        <f t="shared" si="11"/>
        <v>12.687608548440915</v>
      </c>
      <c r="N45" s="874">
        <f t="shared" si="39"/>
        <v>12.019623774603179</v>
      </c>
      <c r="O45" s="3429">
        <v>12.019623774603179</v>
      </c>
      <c r="P45" s="3429">
        <v>19.656504388746356</v>
      </c>
      <c r="Q45" s="3430">
        <v>5.4679950040566219</v>
      </c>
      <c r="R45" s="3125">
        <f t="shared" si="32"/>
        <v>1.6051185627969518</v>
      </c>
      <c r="S45" s="1469">
        <f t="shared" si="23"/>
        <v>1.6051185627969518</v>
      </c>
      <c r="T45" s="1469">
        <f t="shared" si="24"/>
        <v>2.0695962203486422</v>
      </c>
      <c r="U45" s="1469">
        <f t="shared" si="25"/>
        <v>1.1820477976737227</v>
      </c>
      <c r="V45" s="1470">
        <f t="shared" si="33"/>
        <v>3.7930301979732821</v>
      </c>
      <c r="W45" s="1470">
        <f t="shared" si="26"/>
        <v>3.7930301979732821</v>
      </c>
      <c r="X45" s="1470">
        <f t="shared" si="27"/>
        <v>6.5998725444735138</v>
      </c>
      <c r="Y45" s="1470">
        <f t="shared" si="28"/>
        <v>2.7689120445204991</v>
      </c>
      <c r="Z45" s="1300"/>
      <c r="AA45" s="872"/>
      <c r="AB45" s="872"/>
      <c r="AC45" s="872"/>
      <c r="AD45" s="872"/>
      <c r="AE45" s="872"/>
      <c r="AF45" s="872"/>
      <c r="AG45" s="1778">
        <f t="shared" si="12"/>
        <v>3.7234439293419039</v>
      </c>
      <c r="AH45" s="1779">
        <f t="shared" si="29"/>
        <v>3.7234439293419039</v>
      </c>
      <c r="AI45" s="1779">
        <f t="shared" si="30"/>
        <v>4.6543049116773778</v>
      </c>
      <c r="AJ45" s="1780">
        <f t="shared" si="31"/>
        <v>2.7925829470064278</v>
      </c>
      <c r="AK45" s="1475">
        <v>0</v>
      </c>
      <c r="AL45" s="3314">
        <f t="shared" si="17"/>
        <v>103.69881140610778</v>
      </c>
      <c r="AM45" s="1476">
        <f t="shared" si="20"/>
        <v>207.39762281221562</v>
      </c>
      <c r="AN45" s="1476">
        <f t="shared" si="20"/>
        <v>69.132540937405182</v>
      </c>
      <c r="AO45" s="3319">
        <f t="shared" si="21"/>
        <v>322.74762342392711</v>
      </c>
      <c r="AP45" s="874"/>
      <c r="AQ45" s="874"/>
      <c r="AR45" s="7"/>
      <c r="AS45" s="11">
        <f t="shared" si="0"/>
        <v>2042</v>
      </c>
      <c r="AT45" s="605">
        <f>Inflation!E49</f>
        <v>1.5682069550189655</v>
      </c>
      <c r="AU45" s="602">
        <f t="shared" si="1"/>
        <v>7.2512455273927072</v>
      </c>
      <c r="AV45" s="602">
        <f t="shared" si="2"/>
        <v>8.090519244181948</v>
      </c>
      <c r="AW45" s="602">
        <f t="shared" si="3"/>
        <v>8.1430279501461715</v>
      </c>
      <c r="AX45" s="602">
        <f t="shared" si="4"/>
        <v>7.2512455273927072</v>
      </c>
      <c r="AY45" s="602">
        <f t="shared" si="5"/>
        <v>8.090519244181948</v>
      </c>
      <c r="AZ45" s="602">
        <f t="shared" si="6"/>
        <v>8.090519244181948</v>
      </c>
      <c r="BA45" s="602">
        <f t="shared" si="7"/>
        <v>7.6645647668727612</v>
      </c>
      <c r="BB45" s="7"/>
      <c r="BC45" s="7"/>
      <c r="BD45" s="7"/>
      <c r="BE45" s="7"/>
      <c r="BF45" s="7"/>
      <c r="BG45" s="7"/>
      <c r="BH45" s="7"/>
      <c r="BI45" s="7"/>
      <c r="BJ45" s="15"/>
    </row>
    <row r="46" spans="1:62">
      <c r="A46">
        <f t="shared" si="16"/>
        <v>2043</v>
      </c>
      <c r="B46" s="1460">
        <f t="shared" si="13"/>
        <v>1.5099999999999891E-2</v>
      </c>
      <c r="C46" s="98">
        <f t="shared" si="14"/>
        <v>0</v>
      </c>
      <c r="D46" s="98">
        <f t="shared" si="15"/>
        <v>110.52789663125699</v>
      </c>
      <c r="E46" s="297"/>
      <c r="F46">
        <v>2043</v>
      </c>
      <c r="G46" s="186">
        <f>Inflation!B50</f>
        <v>1.5099999999999891E-2</v>
      </c>
      <c r="H46" s="3125">
        <f t="shared" si="34"/>
        <v>11.687130894310343</v>
      </c>
      <c r="I46" s="3125">
        <f t="shared" si="35"/>
        <v>13.040509332555438</v>
      </c>
      <c r="J46" s="3125">
        <f t="shared" si="36"/>
        <v>13.129329299707386</v>
      </c>
      <c r="K46" s="3125">
        <f t="shared" si="37"/>
        <v>11.687130894310343</v>
      </c>
      <c r="L46" s="3125">
        <f t="shared" si="38"/>
        <v>13.040509332555438</v>
      </c>
      <c r="M46" s="3125">
        <f t="shared" si="11"/>
        <v>13.040509332555438</v>
      </c>
      <c r="N46" s="874">
        <f t="shared" si="39"/>
        <v>12.262670644966263</v>
      </c>
      <c r="O46" s="3429">
        <v>12.262670644966263</v>
      </c>
      <c r="P46" s="3429">
        <v>20.116260183872313</v>
      </c>
      <c r="Q46" s="3430">
        <v>5.5363756469596384</v>
      </c>
      <c r="R46" s="3125">
        <f t="shared" si="32"/>
        <v>1.6415100388252919</v>
      </c>
      <c r="S46" s="1469">
        <f t="shared" si="23"/>
        <v>1.6415100388252919</v>
      </c>
      <c r="T46" s="1469">
        <f t="shared" si="24"/>
        <v>2.132209262895139</v>
      </c>
      <c r="U46" s="1469">
        <f t="shared" si="25"/>
        <v>1.1981984645036574</v>
      </c>
      <c r="V46" s="1470">
        <f t="shared" si="33"/>
        <v>3.8615647109480884</v>
      </c>
      <c r="W46" s="1470">
        <f t="shared" si="26"/>
        <v>3.8615647109480884</v>
      </c>
      <c r="X46" s="1470">
        <f t="shared" si="27"/>
        <v>6.7191225970496751</v>
      </c>
      <c r="Y46" s="1470">
        <f t="shared" si="28"/>
        <v>2.8189422389921086</v>
      </c>
      <c r="Z46" s="1300"/>
      <c r="AA46" s="872"/>
      <c r="AB46" s="872"/>
      <c r="AC46" s="872"/>
      <c r="AD46" s="872"/>
      <c r="AE46" s="872"/>
      <c r="AF46" s="872"/>
      <c r="AG46" s="1778">
        <f t="shared" si="12"/>
        <v>3.7942335098755477</v>
      </c>
      <c r="AH46" s="1779">
        <f t="shared" si="29"/>
        <v>3.7942335098755477</v>
      </c>
      <c r="AI46" s="1779">
        <f t="shared" si="30"/>
        <v>4.7427918873444321</v>
      </c>
      <c r="AJ46" s="1780">
        <f t="shared" si="31"/>
        <v>2.8456751324066607</v>
      </c>
      <c r="AK46" s="1475">
        <v>0</v>
      </c>
      <c r="AL46" s="3314">
        <f t="shared" si="17"/>
        <v>110.52789663125699</v>
      </c>
      <c r="AM46" s="1476">
        <f t="shared" si="20"/>
        <v>221.05579326251407</v>
      </c>
      <c r="AN46" s="1476">
        <f t="shared" si="20"/>
        <v>73.685264420837996</v>
      </c>
      <c r="AO46" s="3319">
        <f t="shared" si="21"/>
        <v>344.00216816450978</v>
      </c>
      <c r="AP46" s="874"/>
      <c r="AQ46" s="874"/>
      <c r="AR46" s="7"/>
      <c r="AS46" s="11">
        <f t="shared" si="0"/>
        <v>2043</v>
      </c>
      <c r="AT46" s="605">
        <f>Inflation!E50</f>
        <v>1.5918868800397517</v>
      </c>
      <c r="AU46" s="602">
        <f t="shared" si="1"/>
        <v>7.3416842872770571</v>
      </c>
      <c r="AV46" s="602">
        <f t="shared" si="2"/>
        <v>8.191856780822139</v>
      </c>
      <c r="AW46" s="602">
        <f t="shared" si="3"/>
        <v>8.2476521820316329</v>
      </c>
      <c r="AX46" s="602">
        <f t="shared" si="4"/>
        <v>7.3416842872770571</v>
      </c>
      <c r="AY46" s="602">
        <f t="shared" si="5"/>
        <v>8.191856780822139</v>
      </c>
      <c r="AZ46" s="602">
        <f t="shared" si="6"/>
        <v>8.191856780822139</v>
      </c>
      <c r="BA46" s="602">
        <f t="shared" si="7"/>
        <v>7.703229920872297</v>
      </c>
      <c r="BB46" s="7"/>
      <c r="BC46" s="7"/>
      <c r="BD46" s="7"/>
      <c r="BE46" s="7"/>
      <c r="BF46" s="7"/>
      <c r="BG46" s="7"/>
      <c r="BH46" s="7"/>
      <c r="BI46" s="7"/>
      <c r="BJ46" s="15"/>
    </row>
    <row r="47" spans="1:62">
      <c r="A47">
        <f t="shared" si="16"/>
        <v>2044</v>
      </c>
      <c r="B47" s="1460">
        <f t="shared" si="13"/>
        <v>1.5099999999999891E-2</v>
      </c>
      <c r="C47" s="98">
        <f t="shared" si="14"/>
        <v>0</v>
      </c>
      <c r="D47" s="98">
        <f t="shared" si="15"/>
        <v>117.8067112639084</v>
      </c>
      <c r="E47" s="297"/>
      <c r="F47">
        <v>2044</v>
      </c>
      <c r="G47" s="186">
        <f>Inflation!B51</f>
        <v>1.5099999999999891E-2</v>
      </c>
      <c r="H47" s="3125">
        <f t="shared" si="34"/>
        <v>12.005804054312971</v>
      </c>
      <c r="I47" s="3125">
        <f t="shared" si="35"/>
        <v>13.398697688010607</v>
      </c>
      <c r="J47" s="3125">
        <f t="shared" si="36"/>
        <v>13.494131938383303</v>
      </c>
      <c r="K47" s="3125">
        <f t="shared" si="37"/>
        <v>12.005804054312971</v>
      </c>
      <c r="L47" s="3125">
        <f t="shared" si="38"/>
        <v>13.398697688010607</v>
      </c>
      <c r="M47" s="3125">
        <f t="shared" si="11"/>
        <v>13.398697688010607</v>
      </c>
      <c r="N47" s="874">
        <f t="shared" si="39"/>
        <v>12.505717515329348</v>
      </c>
      <c r="O47" s="3429">
        <v>12.505717515329348</v>
      </c>
      <c r="P47" s="3429">
        <v>20.578513490337027</v>
      </c>
      <c r="Q47" s="3430">
        <v>5.6035543217462935</v>
      </c>
      <c r="R47" s="3125">
        <f t="shared" si="32"/>
        <v>1.678686389793512</v>
      </c>
      <c r="S47" s="1469">
        <f t="shared" si="23"/>
        <v>1.678686389793512</v>
      </c>
      <c r="T47" s="1469">
        <f t="shared" si="24"/>
        <v>2.196658090007928</v>
      </c>
      <c r="U47" s="1469">
        <f t="shared" si="25"/>
        <v>1.2145684839231097</v>
      </c>
      <c r="V47" s="1470">
        <f t="shared" si="33"/>
        <v>3.9314193569483438</v>
      </c>
      <c r="W47" s="1470">
        <f t="shared" si="26"/>
        <v>3.9314193569483438</v>
      </c>
      <c r="X47" s="1470">
        <f t="shared" si="27"/>
        <v>6.8406696810901213</v>
      </c>
      <c r="Y47" s="1470">
        <f t="shared" si="28"/>
        <v>2.8699361305722952</v>
      </c>
      <c r="Z47" s="1300"/>
      <c r="AA47" s="872"/>
      <c r="AB47" s="872"/>
      <c r="AC47" s="872"/>
      <c r="AD47" s="872"/>
      <c r="AE47" s="872"/>
      <c r="AF47" s="872"/>
      <c r="AG47" s="1778">
        <f t="shared" si="12"/>
        <v>3.8663689317343795</v>
      </c>
      <c r="AH47" s="1779">
        <f t="shared" si="29"/>
        <v>3.8663689317343795</v>
      </c>
      <c r="AI47" s="1779">
        <f t="shared" si="30"/>
        <v>4.8329611646679709</v>
      </c>
      <c r="AJ47" s="1780">
        <f t="shared" si="31"/>
        <v>2.8997766988007849</v>
      </c>
      <c r="AK47" s="1475">
        <v>0</v>
      </c>
      <c r="AL47" s="3314">
        <f t="shared" si="17"/>
        <v>117.8067112639084</v>
      </c>
      <c r="AM47" s="1476">
        <f t="shared" si="20"/>
        <v>235.61342252781691</v>
      </c>
      <c r="AN47" s="1476">
        <f t="shared" si="20"/>
        <v>78.53780750927227</v>
      </c>
      <c r="AO47" s="3319">
        <f t="shared" si="21"/>
        <v>366.65643094898354</v>
      </c>
      <c r="AP47" s="874"/>
      <c r="AQ47" s="874"/>
      <c r="AR47" s="7"/>
      <c r="AS47" s="11">
        <f t="shared" si="0"/>
        <v>2044</v>
      </c>
      <c r="AT47" s="605">
        <f>Inflation!E51</f>
        <v>1.6159243719283518</v>
      </c>
      <c r="AU47" s="602">
        <f t="shared" si="1"/>
        <v>7.4296818977895178</v>
      </c>
      <c r="AV47" s="602">
        <f t="shared" si="2"/>
        <v>8.2916613678035969</v>
      </c>
      <c r="AW47" s="602">
        <f t="shared" si="3"/>
        <v>8.350719979722923</v>
      </c>
      <c r="AX47" s="602">
        <f t="shared" si="4"/>
        <v>7.4296818977895178</v>
      </c>
      <c r="AY47" s="602">
        <f t="shared" si="5"/>
        <v>8.2916613678035969</v>
      </c>
      <c r="AZ47" s="602">
        <f t="shared" si="6"/>
        <v>8.2916613678035969</v>
      </c>
      <c r="BA47" s="602">
        <f t="shared" si="7"/>
        <v>7.7390487652622868</v>
      </c>
      <c r="BB47" s="7"/>
      <c r="BC47" s="7"/>
      <c r="BD47" s="7"/>
      <c r="BE47" s="7"/>
      <c r="BF47" s="7"/>
      <c r="BG47" s="7"/>
      <c r="BH47" s="7"/>
      <c r="BI47" s="7"/>
      <c r="BJ47" s="15"/>
    </row>
    <row r="48" spans="1:62" ht="13.5" thickBot="1">
      <c r="A48">
        <f t="shared" si="16"/>
        <v>2045</v>
      </c>
      <c r="B48" s="1460">
        <f t="shared" si="13"/>
        <v>1.5099999999999891E-2</v>
      </c>
      <c r="C48" s="98">
        <f t="shared" ref="C48:C71" si="40">IF(FuelType="Natural Gas",INDEX($H:$Q,MATCH($A48,$F:$F,0),MATCH(UtilityArea,$H$4:$Q$4,0)),INDEX($R:$AJ,MATCH($A48,$F:$F,0),MATCH(FuelType,$R$4:$AJ$4,0)))*FuelPriceMultiplier</f>
        <v>0</v>
      </c>
      <c r="D48" s="98">
        <f t="shared" ref="D48:D71" si="41">INDEX($AK:$AN,MATCH($A48,$F:$F,0),MATCH(CarbonPrice,$AK$4:$AN$4,0))</f>
        <v>125.56487223419307</v>
      </c>
      <c r="E48" s="297"/>
      <c r="F48">
        <v>2045</v>
      </c>
      <c r="G48" s="186">
        <f>Inflation!B52</f>
        <v>1.5099999999999891E-2</v>
      </c>
      <c r="H48" s="3125">
        <f t="shared" si="34"/>
        <v>12.332286838683686</v>
      </c>
      <c r="I48" s="3125">
        <f t="shared" si="35"/>
        <v>13.767253749334893</v>
      </c>
      <c r="J48" s="3125">
        <f t="shared" si="36"/>
        <v>13.869606108410576</v>
      </c>
      <c r="K48" s="3125">
        <f t="shared" si="37"/>
        <v>12.332286838683686</v>
      </c>
      <c r="L48" s="3125">
        <f t="shared" si="38"/>
        <v>13.767253749334893</v>
      </c>
      <c r="M48" s="3125">
        <f t="shared" si="11"/>
        <v>13.767253749334893</v>
      </c>
      <c r="N48" s="874">
        <f t="shared" si="39"/>
        <v>12.748764385692429</v>
      </c>
      <c r="O48" s="3429">
        <v>12.748764385692429</v>
      </c>
      <c r="P48" s="3429">
        <v>21.043303202569899</v>
      </c>
      <c r="Q48" s="3430">
        <v>5.6695105003187649</v>
      </c>
      <c r="R48" s="3126">
        <f t="shared" si="32"/>
        <v>1.7166923910379133</v>
      </c>
      <c r="S48" s="1471">
        <f t="shared" si="23"/>
        <v>1.7166923910379133</v>
      </c>
      <c r="T48" s="1471">
        <f t="shared" si="24"/>
        <v>2.263034548044256</v>
      </c>
      <c r="U48" s="1471">
        <f t="shared" si="25"/>
        <v>1.2311685628382754</v>
      </c>
      <c r="V48" s="1472">
        <f t="shared" si="33"/>
        <v>4.0025871201917669</v>
      </c>
      <c r="W48" s="1472">
        <f t="shared" si="26"/>
        <v>4.0025871201917669</v>
      </c>
      <c r="X48" s="1472">
        <f t="shared" si="27"/>
        <v>6.9645015891336772</v>
      </c>
      <c r="Y48" s="1472">
        <f t="shared" si="28"/>
        <v>2.9218885977399944</v>
      </c>
      <c r="Z48" s="1301"/>
      <c r="AA48" s="874"/>
      <c r="AB48" s="874"/>
      <c r="AC48" s="874"/>
      <c r="AD48" s="874"/>
      <c r="AE48" s="874"/>
      <c r="AF48" s="874"/>
      <c r="AG48" s="1778">
        <f t="shared" si="12"/>
        <v>3.9398757818601347</v>
      </c>
      <c r="AH48" s="1779">
        <f t="shared" si="29"/>
        <v>3.9398757818601347</v>
      </c>
      <c r="AI48" s="1779">
        <f t="shared" si="30"/>
        <v>4.9248447273251656</v>
      </c>
      <c r="AJ48" s="1780">
        <f t="shared" si="31"/>
        <v>2.9549068363951014</v>
      </c>
      <c r="AK48" s="1475">
        <v>0</v>
      </c>
      <c r="AL48" s="3314">
        <f t="shared" si="17"/>
        <v>125.56487223419307</v>
      </c>
      <c r="AM48" s="1476">
        <f t="shared" si="20"/>
        <v>251.12974446838626</v>
      </c>
      <c r="AN48" s="1476">
        <f t="shared" si="20"/>
        <v>83.709914822795383</v>
      </c>
      <c r="AO48" s="3319">
        <f t="shared" ref="AO48:AO78" si="42">AO47*(1.05)*(1+$G48)</f>
        <v>390.80259020912882</v>
      </c>
      <c r="AP48" s="874"/>
      <c r="AQ48" s="874"/>
      <c r="AR48" s="7"/>
      <c r="AS48" s="477">
        <f t="shared" si="0"/>
        <v>2045</v>
      </c>
      <c r="AT48" s="1036">
        <f>Inflation!E52</f>
        <v>1.6403248299444697</v>
      </c>
      <c r="AU48" s="606">
        <f t="shared" si="1"/>
        <v>7.518197989541604</v>
      </c>
      <c r="AV48" s="606">
        <f t="shared" si="2"/>
        <v>8.3930045427654463</v>
      </c>
      <c r="AW48" s="606">
        <f t="shared" si="3"/>
        <v>8.4554021589005064</v>
      </c>
      <c r="AX48" s="606">
        <f t="shared" si="4"/>
        <v>7.518197989541604</v>
      </c>
      <c r="AY48" s="606">
        <f t="shared" si="5"/>
        <v>8.3930045427654463</v>
      </c>
      <c r="AZ48" s="606">
        <f t="shared" si="6"/>
        <v>8.3930045427654463</v>
      </c>
      <c r="BA48" s="606">
        <f t="shared" si="7"/>
        <v>7.7720974242181136</v>
      </c>
      <c r="BB48" s="485"/>
      <c r="BC48" s="485"/>
      <c r="BD48" s="485"/>
      <c r="BE48" s="485"/>
      <c r="BF48" s="485"/>
      <c r="BG48" s="485"/>
      <c r="BH48" s="485"/>
      <c r="BI48" s="485"/>
      <c r="BJ48" s="486"/>
    </row>
    <row r="49" spans="1:44" ht="13.5" thickBot="1">
      <c r="A49">
        <f t="shared" si="16"/>
        <v>2046</v>
      </c>
      <c r="B49" s="1460">
        <f t="shared" si="13"/>
        <v>1.5099999999999891E-2</v>
      </c>
      <c r="C49" s="98">
        <f t="shared" si="40"/>
        <v>0</v>
      </c>
      <c r="D49" s="98">
        <f t="shared" si="41"/>
        <v>133.83394689517584</v>
      </c>
      <c r="F49">
        <v>2046</v>
      </c>
      <c r="G49" s="186">
        <f>Inflation!B53</f>
        <v>1.5099999999999891E-2</v>
      </c>
      <c r="H49" s="3125">
        <f t="shared" si="34"/>
        <v>12.66763722194808</v>
      </c>
      <c r="I49" s="3125">
        <f t="shared" si="35"/>
        <v>14.147969846299771</v>
      </c>
      <c r="J49" s="3125">
        <f t="shared" si="36"/>
        <v>14.257606206701556</v>
      </c>
      <c r="K49" s="3125">
        <f t="shared" si="37"/>
        <v>12.66763722194808</v>
      </c>
      <c r="L49" s="3125">
        <f t="shared" si="38"/>
        <v>14.147969846299771</v>
      </c>
      <c r="M49" s="3125">
        <f t="shared" si="11"/>
        <v>14.147969846299771</v>
      </c>
      <c r="N49" s="874">
        <f t="shared" si="39"/>
        <v>13.015669107072139</v>
      </c>
      <c r="O49" s="3429">
        <v>13.015669107072139</v>
      </c>
      <c r="P49" s="3429">
        <v>21.550118898274199</v>
      </c>
      <c r="Q49" s="3430">
        <v>5.7447930459179704</v>
      </c>
      <c r="R49" s="3126">
        <f t="shared" si="32"/>
        <v>1.755572924345991</v>
      </c>
      <c r="S49" s="1471">
        <f t="shared" si="23"/>
        <v>1.755572924345991</v>
      </c>
      <c r="T49" s="1471">
        <f t="shared" si="24"/>
        <v>2.331426751379277</v>
      </c>
      <c r="U49" s="1471">
        <f t="shared" si="25"/>
        <v>1.2480091705039165</v>
      </c>
      <c r="V49" s="1472">
        <f t="shared" si="33"/>
        <v>4.075043404114699</v>
      </c>
      <c r="W49" s="1472">
        <f t="shared" si="26"/>
        <v>4.075043404114699</v>
      </c>
      <c r="X49" s="1472">
        <f t="shared" si="27"/>
        <v>7.0905755231595791</v>
      </c>
      <c r="Y49" s="1472">
        <f t="shared" si="28"/>
        <v>2.9747816850037343</v>
      </c>
      <c r="Z49" s="1302"/>
      <c r="AA49" s="891"/>
      <c r="AB49" s="891"/>
      <c r="AC49" s="891"/>
      <c r="AD49" s="891"/>
      <c r="AE49" s="891"/>
      <c r="AF49" s="891"/>
      <c r="AG49" s="1778">
        <f t="shared" ref="AG49:AG78" si="43">IF(CostScenario="Higher Cost",AI49,IF(CostScenario="Lower Cost",AJ49,AH49))</f>
        <v>4.014780133649805</v>
      </c>
      <c r="AH49" s="1779">
        <f t="shared" si="29"/>
        <v>4.014780133649805</v>
      </c>
      <c r="AI49" s="1779">
        <f t="shared" si="30"/>
        <v>5.0184751670622543</v>
      </c>
      <c r="AJ49" s="1780">
        <f t="shared" si="31"/>
        <v>3.0110851002373544</v>
      </c>
      <c r="AK49" s="1475">
        <v>0</v>
      </c>
      <c r="AL49" s="3314">
        <f t="shared" si="17"/>
        <v>133.83394689517584</v>
      </c>
      <c r="AM49" s="1476">
        <f t="shared" ref="AM49:AM78" si="44">AM48*(1.05)*(1+$G49)</f>
        <v>267.6678937903518</v>
      </c>
      <c r="AN49" s="1476">
        <f t="shared" ref="AN49:AN78" si="45">AN48*(1.05)*(1+$G49)</f>
        <v>89.222631263450566</v>
      </c>
      <c r="AO49" s="3319">
        <f t="shared" si="42"/>
        <v>416.53889478735096</v>
      </c>
      <c r="AP49" s="874"/>
      <c r="AQ49" s="874"/>
      <c r="AR49" s="89"/>
    </row>
    <row r="50" spans="1:44">
      <c r="A50">
        <f t="shared" si="16"/>
        <v>2047</v>
      </c>
      <c r="B50" s="1460">
        <f t="shared" si="13"/>
        <v>1.5099999999999891E-2</v>
      </c>
      <c r="C50" s="98">
        <f t="shared" si="40"/>
        <v>0</v>
      </c>
      <c r="D50" s="98">
        <f t="shared" si="41"/>
        <v>142.64758146795765</v>
      </c>
      <c r="F50">
        <v>2047</v>
      </c>
      <c r="G50" s="186">
        <f>G49</f>
        <v>1.5099999999999891E-2</v>
      </c>
      <c r="H50" s="3125">
        <f t="shared" si="34"/>
        <v>13.014546949279728</v>
      </c>
      <c r="I50" s="3125">
        <f t="shared" si="35"/>
        <v>14.543434275323554</v>
      </c>
      <c r="J50" s="3125">
        <f t="shared" si="36"/>
        <v>14.660808478546475</v>
      </c>
      <c r="K50" s="3125">
        <f t="shared" si="37"/>
        <v>13.014546949279728</v>
      </c>
      <c r="L50" s="3125">
        <f t="shared" si="38"/>
        <v>14.543434275323554</v>
      </c>
      <c r="M50" s="3125">
        <f t="shared" si="11"/>
        <v>14.543434275323554</v>
      </c>
      <c r="N50" s="874">
        <f t="shared" si="39"/>
        <v>13.282573828451849</v>
      </c>
      <c r="O50" s="3429">
        <v>13.282573828451849</v>
      </c>
      <c r="P50" s="3429">
        <v>22.0599026649015</v>
      </c>
      <c r="Q50" s="3430">
        <v>5.8185913432628755</v>
      </c>
      <c r="R50" s="3126">
        <f t="shared" si="32"/>
        <v>1.7953724313268009</v>
      </c>
      <c r="S50" s="1471">
        <f t="shared" si="23"/>
        <v>1.7953724313268009</v>
      </c>
      <c r="T50" s="1471">
        <f t="shared" si="24"/>
        <v>2.4019169407886443</v>
      </c>
      <c r="U50" s="1471">
        <f t="shared" si="25"/>
        <v>1.2651003631854487</v>
      </c>
      <c r="V50" s="1472">
        <f t="shared" si="33"/>
        <v>4.1487422414642277</v>
      </c>
      <c r="W50" s="1472">
        <f t="shared" si="26"/>
        <v>4.1487422414642277</v>
      </c>
      <c r="X50" s="1472">
        <f t="shared" si="27"/>
        <v>7.2188115001477593</v>
      </c>
      <c r="Y50" s="1472">
        <f t="shared" si="28"/>
        <v>3.028581836268891</v>
      </c>
      <c r="Z50" s="9"/>
      <c r="AA50" s="9"/>
      <c r="AB50" s="9"/>
      <c r="AC50" s="9"/>
      <c r="AD50" s="9"/>
      <c r="AE50" s="9"/>
      <c r="AF50" s="9"/>
      <c r="AG50" s="1778">
        <f t="shared" si="43"/>
        <v>4.0911085562040572</v>
      </c>
      <c r="AH50" s="1779">
        <f t="shared" si="29"/>
        <v>4.0911085562040572</v>
      </c>
      <c r="AI50" s="1779">
        <f t="shared" si="30"/>
        <v>5.1138856952550711</v>
      </c>
      <c r="AJ50" s="1780">
        <f t="shared" si="31"/>
        <v>3.0683314171530447</v>
      </c>
      <c r="AK50" s="1475">
        <v>0</v>
      </c>
      <c r="AL50" s="3314">
        <f t="shared" si="17"/>
        <v>142.64758146795765</v>
      </c>
      <c r="AM50" s="1476">
        <f t="shared" si="44"/>
        <v>285.29516293591541</v>
      </c>
      <c r="AN50" s="1476">
        <f t="shared" si="45"/>
        <v>95.098387645305095</v>
      </c>
      <c r="AO50" s="3319">
        <f t="shared" si="42"/>
        <v>443.9700637035719</v>
      </c>
      <c r="AP50" s="874"/>
      <c r="AQ50" s="874"/>
      <c r="AR50" s="89"/>
    </row>
    <row r="51" spans="1:44">
      <c r="A51">
        <f t="shared" si="16"/>
        <v>2048</v>
      </c>
      <c r="B51" s="1460">
        <f t="shared" si="13"/>
        <v>1.5099999999999891E-2</v>
      </c>
      <c r="C51" s="98">
        <f t="shared" si="40"/>
        <v>0</v>
      </c>
      <c r="D51" s="98">
        <f t="shared" si="41"/>
        <v>152.04163794552997</v>
      </c>
      <c r="F51">
        <v>2048</v>
      </c>
      <c r="G51" s="186">
        <f t="shared" ref="G51:G59" si="46">G50</f>
        <v>1.5099999999999891E-2</v>
      </c>
      <c r="H51" s="3125">
        <f t="shared" si="34"/>
        <v>13.369959748521435</v>
      </c>
      <c r="I51" s="3125">
        <f t="shared" si="35"/>
        <v>14.950687451723869</v>
      </c>
      <c r="J51" s="3125">
        <f t="shared" si="36"/>
        <v>15.076167602167452</v>
      </c>
      <c r="K51" s="3125">
        <f t="shared" si="37"/>
        <v>13.369959748521435</v>
      </c>
      <c r="L51" s="3125">
        <f t="shared" si="38"/>
        <v>14.950687451723869</v>
      </c>
      <c r="M51" s="3125">
        <f t="shared" si="11"/>
        <v>14.950687451723869</v>
      </c>
      <c r="N51" s="874">
        <f t="shared" si="39"/>
        <v>13.549478549831559</v>
      </c>
      <c r="O51" s="3429">
        <v>13.549478549831559</v>
      </c>
      <c r="P51" s="3429">
        <v>22.572654756664857</v>
      </c>
      <c r="Q51" s="3430">
        <v>5.890927821078729</v>
      </c>
      <c r="R51" s="3126">
        <f t="shared" si="32"/>
        <v>1.8361087518505232</v>
      </c>
      <c r="S51" s="1471">
        <f t="shared" si="23"/>
        <v>1.8361087518505232</v>
      </c>
      <c r="T51" s="1471">
        <f t="shared" si="24"/>
        <v>2.4745788904806942</v>
      </c>
      <c r="U51" s="1471">
        <f t="shared" si="25"/>
        <v>1.2824399779872167</v>
      </c>
      <c r="V51" s="1472">
        <f t="shared" si="33"/>
        <v>4.2237217200752157</v>
      </c>
      <c r="W51" s="1472">
        <f t="shared" si="26"/>
        <v>4.2237217200752157</v>
      </c>
      <c r="X51" s="1472">
        <f t="shared" si="27"/>
        <v>7.3492757929308787</v>
      </c>
      <c r="Y51" s="1472">
        <f t="shared" si="28"/>
        <v>3.0833168556549126</v>
      </c>
      <c r="Z51" s="9"/>
      <c r="AA51" s="9"/>
      <c r="AB51" s="9"/>
      <c r="AC51" s="9"/>
      <c r="AD51" s="9"/>
      <c r="AE51" s="9"/>
      <c r="AF51" s="9"/>
      <c r="AG51" s="1778">
        <f t="shared" si="43"/>
        <v>4.1688881237514792</v>
      </c>
      <c r="AH51" s="1779">
        <f t="shared" si="29"/>
        <v>4.1688881237514792</v>
      </c>
      <c r="AI51" s="1779">
        <f t="shared" si="30"/>
        <v>5.2111101546893472</v>
      </c>
      <c r="AJ51" s="1780">
        <f t="shared" si="31"/>
        <v>3.1266660928136107</v>
      </c>
      <c r="AK51" s="1475">
        <v>0</v>
      </c>
      <c r="AL51" s="3314">
        <f t="shared" si="17"/>
        <v>152.04163794552997</v>
      </c>
      <c r="AM51" s="1476">
        <f t="shared" si="44"/>
        <v>304.08327589106011</v>
      </c>
      <c r="AN51" s="1476">
        <f t="shared" si="45"/>
        <v>101.36109196368665</v>
      </c>
      <c r="AO51" s="3319">
        <f t="shared" si="42"/>
        <v>473.20771224877058</v>
      </c>
      <c r="AP51" s="874"/>
      <c r="AQ51" s="874"/>
      <c r="AR51" s="89"/>
    </row>
    <row r="52" spans="1:44">
      <c r="A52">
        <f t="shared" si="16"/>
        <v>2049</v>
      </c>
      <c r="B52" s="1460">
        <f t="shared" si="13"/>
        <v>1.5099999999999891E-2</v>
      </c>
      <c r="C52" s="98">
        <f t="shared" si="40"/>
        <v>0</v>
      </c>
      <c r="D52" s="98">
        <f t="shared" si="41"/>
        <v>162.05434001243282</v>
      </c>
      <c r="F52">
        <v>2049</v>
      </c>
      <c r="G52" s="186">
        <f t="shared" si="46"/>
        <v>1.5099999999999891E-2</v>
      </c>
      <c r="H52" s="3125">
        <f t="shared" si="34"/>
        <v>13.73297128799179</v>
      </c>
      <c r="I52" s="3125">
        <f t="shared" si="35"/>
        <v>15.368856684429936</v>
      </c>
      <c r="J52" s="3125">
        <f t="shared" si="36"/>
        <v>15.502791778120283</v>
      </c>
      <c r="K52" s="3125">
        <f t="shared" si="37"/>
        <v>13.73297128799179</v>
      </c>
      <c r="L52" s="3125">
        <f t="shared" si="38"/>
        <v>15.368856684429936</v>
      </c>
      <c r="M52" s="3125">
        <f t="shared" si="11"/>
        <v>15.368856684429936</v>
      </c>
      <c r="N52" s="874">
        <f t="shared" si="39"/>
        <v>13.816383271211269</v>
      </c>
      <c r="O52" s="3429">
        <v>13.816383271211269</v>
      </c>
      <c r="P52" s="3429">
        <v>23.088429248507026</v>
      </c>
      <c r="Q52" s="3430">
        <v>5.9617925921998403</v>
      </c>
      <c r="R52" s="3126">
        <f t="shared" si="32"/>
        <v>1.8777920414300948</v>
      </c>
      <c r="S52" s="1471">
        <f t="shared" ref="S52:S78" si="47">AVERAGE(S42:S51)/AVERAGE(S41:S50)*S51</f>
        <v>1.8777920414300948</v>
      </c>
      <c r="T52" s="1471">
        <f t="shared" ref="T52:Y52" si="48">AVERAGE(T42:T51)/AVERAGE(T41:T50)*T51</f>
        <v>2.5494747873261021</v>
      </c>
      <c r="U52" s="1471">
        <f t="shared" si="48"/>
        <v>1.3000224804547842</v>
      </c>
      <c r="V52" s="1472">
        <f t="shared" si="33"/>
        <v>4.3000254795701753</v>
      </c>
      <c r="W52" s="1472">
        <f t="shared" ref="W52:W78" si="49">AVERAGE(W42:W51)/AVERAGE(W41:W50)*W51</f>
        <v>4.3000254795701753</v>
      </c>
      <c r="X52" s="1472">
        <f t="shared" si="48"/>
        <v>7.4820443344521088</v>
      </c>
      <c r="Y52" s="1472">
        <f t="shared" si="48"/>
        <v>3.1390186000862337</v>
      </c>
      <c r="Z52" s="9"/>
      <c r="AA52" s="9"/>
      <c r="AB52" s="9"/>
      <c r="AC52" s="9"/>
      <c r="AD52" s="9"/>
      <c r="AE52" s="9"/>
      <c r="AF52" s="9"/>
      <c r="AG52" s="1778">
        <f t="shared" si="43"/>
        <v>4.2481464252519974</v>
      </c>
      <c r="AH52" s="1779">
        <f t="shared" si="29"/>
        <v>4.2481464252519974</v>
      </c>
      <c r="AI52" s="1779">
        <f t="shared" si="30"/>
        <v>5.3101830315649954</v>
      </c>
      <c r="AJ52" s="1780">
        <f t="shared" si="31"/>
        <v>3.1861098189389998</v>
      </c>
      <c r="AK52" s="1475">
        <v>0</v>
      </c>
      <c r="AL52" s="3314">
        <f t="shared" si="17"/>
        <v>162.05434001243282</v>
      </c>
      <c r="AM52" s="1476">
        <f t="shared" si="44"/>
        <v>324.10868002486586</v>
      </c>
      <c r="AN52" s="1476">
        <f t="shared" si="45"/>
        <v>108.03622667495522</v>
      </c>
      <c r="AO52" s="3319">
        <f t="shared" si="42"/>
        <v>504.37080613891334</v>
      </c>
      <c r="AP52" s="874"/>
      <c r="AQ52" s="874"/>
    </row>
    <row r="53" spans="1:44">
      <c r="A53">
        <f>A52+1</f>
        <v>2050</v>
      </c>
      <c r="B53" s="1460">
        <f t="shared" si="13"/>
        <v>1.5099999999999891E-2</v>
      </c>
      <c r="C53" s="98">
        <f t="shared" si="40"/>
        <v>0</v>
      </c>
      <c r="D53" s="98">
        <f t="shared" si="41"/>
        <v>172.72642857395155</v>
      </c>
      <c r="F53">
        <v>2050</v>
      </c>
      <c r="G53" s="186">
        <f t="shared" si="46"/>
        <v>1.5099999999999891E-2</v>
      </c>
      <c r="H53" s="3125">
        <f t="shared" si="34"/>
        <v>14.094436993169126</v>
      </c>
      <c r="I53" s="3125">
        <f t="shared" si="35"/>
        <v>15.785177537049925</v>
      </c>
      <c r="J53" s="3125">
        <f t="shared" si="36"/>
        <v>15.927523578785474</v>
      </c>
      <c r="K53" s="3125">
        <f t="shared" si="37"/>
        <v>14.094436993169126</v>
      </c>
      <c r="L53" s="3125">
        <f t="shared" si="38"/>
        <v>15.785177537049925</v>
      </c>
      <c r="M53" s="3125">
        <f t="shared" si="11"/>
        <v>15.785177537049925</v>
      </c>
      <c r="N53" s="874">
        <f t="shared" si="39"/>
        <v>14.083287992590979</v>
      </c>
      <c r="O53" s="3429">
        <v>14.083287992590979</v>
      </c>
      <c r="P53" s="3429">
        <v>23.60727546153613</v>
      </c>
      <c r="Q53" s="3430">
        <v>6.0311838550385799</v>
      </c>
      <c r="R53" s="3126">
        <f t="shared" si="32"/>
        <v>1.9204228088136568</v>
      </c>
      <c r="S53" s="1471">
        <f t="shared" si="47"/>
        <v>1.9204228088136568</v>
      </c>
      <c r="T53" s="1471">
        <f t="shared" ref="T53:Y53" si="50">AVERAGE(T43:T52)/AVERAGE(T42:T51)*T52</f>
        <v>2.62665149410368</v>
      </c>
      <c r="U53" s="1471">
        <f t="shared" si="50"/>
        <v>1.3178382635301418</v>
      </c>
      <c r="V53" s="1472">
        <f t="shared" si="33"/>
        <v>4.3777037053267893</v>
      </c>
      <c r="W53" s="1472">
        <f t="shared" si="49"/>
        <v>4.3777037053267893</v>
      </c>
      <c r="X53" s="1472">
        <f t="shared" si="50"/>
        <v>7.6172044472686213</v>
      </c>
      <c r="Y53" s="1472">
        <f t="shared" si="50"/>
        <v>3.1957237048885636</v>
      </c>
      <c r="Z53" s="9"/>
      <c r="AA53" s="9"/>
      <c r="AB53" s="9"/>
      <c r="AC53" s="9"/>
      <c r="AD53" s="9"/>
      <c r="AE53" s="9"/>
      <c r="AF53" s="9"/>
      <c r="AG53" s="1778">
        <f t="shared" si="43"/>
        <v>4.3289115741828788</v>
      </c>
      <c r="AH53" s="1779">
        <f t="shared" si="29"/>
        <v>4.3289115741828788</v>
      </c>
      <c r="AI53" s="1779">
        <f t="shared" si="30"/>
        <v>5.4111394677285976</v>
      </c>
      <c r="AJ53" s="1780">
        <f t="shared" si="31"/>
        <v>3.2466836806371613</v>
      </c>
      <c r="AK53" s="1475">
        <v>0</v>
      </c>
      <c r="AL53" s="3314">
        <f t="shared" si="17"/>
        <v>172.72642857395155</v>
      </c>
      <c r="AM53" s="1476">
        <f t="shared" si="44"/>
        <v>345.45285714790339</v>
      </c>
      <c r="AN53" s="1476">
        <f t="shared" si="45"/>
        <v>115.15095238263437</v>
      </c>
      <c r="AO53" s="3319">
        <f t="shared" si="42"/>
        <v>537.58614557719147</v>
      </c>
      <c r="AP53" s="874"/>
      <c r="AQ53" s="874"/>
    </row>
    <row r="54" spans="1:44">
      <c r="A54">
        <f t="shared" si="16"/>
        <v>2051</v>
      </c>
      <c r="B54" s="1460">
        <f t="shared" si="13"/>
        <v>1.5099999999999891E-2</v>
      </c>
      <c r="C54" s="98">
        <f t="shared" si="40"/>
        <v>0</v>
      </c>
      <c r="D54" s="98">
        <f t="shared" si="41"/>
        <v>184.10132752768914</v>
      </c>
      <c r="F54">
        <v>2051</v>
      </c>
      <c r="G54" s="186">
        <f t="shared" si="46"/>
        <v>1.5099999999999891E-2</v>
      </c>
      <c r="H54" s="3125">
        <f t="shared" si="34"/>
        <v>14.479536661190949</v>
      </c>
      <c r="I54" s="3125">
        <f t="shared" si="35"/>
        <v>16.222787334981561</v>
      </c>
      <c r="J54" s="3125">
        <f t="shared" si="36"/>
        <v>16.374239923572038</v>
      </c>
      <c r="K54" s="3125">
        <f t="shared" si="37"/>
        <v>14.479536661190949</v>
      </c>
      <c r="L54" s="3125">
        <f t="shared" si="38"/>
        <v>16.222787334981561</v>
      </c>
      <c r="M54" s="3125">
        <f t="shared" si="11"/>
        <v>16.222787334981561</v>
      </c>
      <c r="N54" s="874">
        <f t="shared" si="39"/>
        <v>14.57511502972871</v>
      </c>
      <c r="O54" s="3429">
        <v>14.57511502972871</v>
      </c>
      <c r="P54" s="3429">
        <v>24.507352321955405</v>
      </c>
      <c r="Q54" s="3430">
        <v>6.1947585808186032</v>
      </c>
      <c r="R54" s="3126">
        <f t="shared" si="32"/>
        <v>1.9639896084262887</v>
      </c>
      <c r="S54" s="1471">
        <f t="shared" si="47"/>
        <v>1.9639896084262887</v>
      </c>
      <c r="T54" s="1471">
        <f t="shared" ref="T54:Y54" si="51">AVERAGE(T44:T53)/AVERAGE(T43:T52)*T53</f>
        <v>2.7061360951515523</v>
      </c>
      <c r="U54" s="1471">
        <f t="shared" si="51"/>
        <v>1.3358728346204203</v>
      </c>
      <c r="V54" s="1472">
        <f t="shared" si="33"/>
        <v>4.4568142785289231</v>
      </c>
      <c r="W54" s="1472">
        <f t="shared" si="49"/>
        <v>4.4568142785289231</v>
      </c>
      <c r="X54" s="1472">
        <f t="shared" si="51"/>
        <v>7.7548568446403348</v>
      </c>
      <c r="Y54" s="1472">
        <f t="shared" si="51"/>
        <v>3.2534744233261224</v>
      </c>
      <c r="Z54" s="9"/>
      <c r="AA54" s="9"/>
      <c r="AB54" s="9"/>
      <c r="AC54" s="9"/>
      <c r="AD54" s="9"/>
      <c r="AE54" s="9"/>
      <c r="AF54" s="9"/>
      <c r="AG54" s="1778">
        <f t="shared" si="43"/>
        <v>4.4112122185107774</v>
      </c>
      <c r="AH54" s="1779">
        <f t="shared" si="29"/>
        <v>4.4112122185107774</v>
      </c>
      <c r="AI54" s="1779">
        <f t="shared" si="30"/>
        <v>5.5140152731384715</v>
      </c>
      <c r="AJ54" s="1780">
        <f t="shared" si="31"/>
        <v>3.308409163883085</v>
      </c>
      <c r="AK54" s="1475">
        <v>0</v>
      </c>
      <c r="AL54" s="3314">
        <f t="shared" si="17"/>
        <v>184.10132752768914</v>
      </c>
      <c r="AM54" s="1476">
        <f t="shared" si="44"/>
        <v>368.2026550553785</v>
      </c>
      <c r="AN54" s="1476">
        <f t="shared" si="45"/>
        <v>122.73421835179276</v>
      </c>
      <c r="AO54" s="3319">
        <f t="shared" si="42"/>
        <v>572.98888119417745</v>
      </c>
      <c r="AP54" s="874"/>
      <c r="AQ54" s="874"/>
    </row>
    <row r="55" spans="1:44">
      <c r="A55">
        <f t="shared" si="16"/>
        <v>2052</v>
      </c>
      <c r="B55" s="1460">
        <f t="shared" si="13"/>
        <v>1.5099999999999891E-2</v>
      </c>
      <c r="C55" s="98">
        <f t="shared" si="40"/>
        <v>0</v>
      </c>
      <c r="D55" s="98">
        <f t="shared" si="41"/>
        <v>196.2253204520251</v>
      </c>
      <c r="F55">
        <v>2052</v>
      </c>
      <c r="G55" s="186">
        <f t="shared" si="46"/>
        <v>1.5099999999999891E-2</v>
      </c>
      <c r="H55" s="3125">
        <f t="shared" si="34"/>
        <v>14.874315058656221</v>
      </c>
      <c r="I55" s="3125">
        <f t="shared" si="35"/>
        <v>16.672261875464383</v>
      </c>
      <c r="J55" s="3125">
        <f t="shared" si="36"/>
        <v>16.833202602652303</v>
      </c>
      <c r="K55" s="3125">
        <f t="shared" si="37"/>
        <v>14.874315058656221</v>
      </c>
      <c r="L55" s="3125">
        <f t="shared" si="38"/>
        <v>16.672261875464383</v>
      </c>
      <c r="M55" s="3125">
        <f t="shared" si="11"/>
        <v>16.672261875464383</v>
      </c>
      <c r="N55" s="874">
        <f t="shared" si="39"/>
        <v>15.066942066866442</v>
      </c>
      <c r="O55" s="3429">
        <v>15.066942066866442</v>
      </c>
      <c r="P55" s="3429">
        <v>25.412733553900882</v>
      </c>
      <c r="Q55" s="3430">
        <v>6.3555653937435395</v>
      </c>
      <c r="R55" s="3126">
        <f t="shared" si="32"/>
        <v>2.0085287969210719</v>
      </c>
      <c r="S55" s="1471">
        <f t="shared" si="47"/>
        <v>2.0085287969210719</v>
      </c>
      <c r="T55" s="1471">
        <f t="shared" ref="T55:Y55" si="52">AVERAGE(T45:T54)/AVERAGE(T44:T53)*T54</f>
        <v>2.7879989684274378</v>
      </c>
      <c r="U55" s="1471">
        <f t="shared" si="52"/>
        <v>1.3541540275128114</v>
      </c>
      <c r="V55" s="1472">
        <f t="shared" si="33"/>
        <v>4.5373777174702159</v>
      </c>
      <c r="W55" s="1472">
        <f t="shared" si="49"/>
        <v>4.5373777174702159</v>
      </c>
      <c r="X55" s="1472">
        <f t="shared" si="52"/>
        <v>7.8950372283981842</v>
      </c>
      <c r="Y55" s="1472">
        <f t="shared" si="52"/>
        <v>3.3122857337532672</v>
      </c>
      <c r="Z55" s="9"/>
      <c r="AA55" s="9"/>
      <c r="AB55" s="9"/>
      <c r="AC55" s="9"/>
      <c r="AD55" s="9"/>
      <c r="AE55" s="9"/>
      <c r="AF55" s="9"/>
      <c r="AG55" s="1778">
        <f t="shared" si="43"/>
        <v>4.4950775508533685</v>
      </c>
      <c r="AH55" s="1779">
        <f t="shared" si="29"/>
        <v>4.4950775508533685</v>
      </c>
      <c r="AI55" s="1779">
        <f t="shared" si="30"/>
        <v>5.6188469385667092</v>
      </c>
      <c r="AJ55" s="1780">
        <f t="shared" si="31"/>
        <v>3.3713081631400281</v>
      </c>
      <c r="AK55" s="1475">
        <v>0</v>
      </c>
      <c r="AL55" s="3314">
        <f t="shared" si="17"/>
        <v>196.2253204520251</v>
      </c>
      <c r="AM55" s="1476">
        <f t="shared" si="44"/>
        <v>392.45064090405043</v>
      </c>
      <c r="AN55" s="1476">
        <f t="shared" si="45"/>
        <v>130.81688030135007</v>
      </c>
      <c r="AO55" s="3319">
        <f t="shared" si="42"/>
        <v>610.72306396522004</v>
      </c>
      <c r="AP55" s="874"/>
      <c r="AQ55" s="874"/>
    </row>
    <row r="56" spans="1:44">
      <c r="A56" s="89">
        <f t="shared" si="16"/>
        <v>2053</v>
      </c>
      <c r="B56" s="1460">
        <f t="shared" si="13"/>
        <v>1.5099999999999891E-2</v>
      </c>
      <c r="C56" s="98">
        <f t="shared" si="40"/>
        <v>0</v>
      </c>
      <c r="D56" s="98">
        <f t="shared" si="41"/>
        <v>209.14773893039322</v>
      </c>
      <c r="F56" s="3095">
        <v>2053</v>
      </c>
      <c r="G56" s="186">
        <f t="shared" si="46"/>
        <v>1.5099999999999891E-2</v>
      </c>
      <c r="H56" s="3125">
        <f t="shared" si="34"/>
        <v>15.278977826170841</v>
      </c>
      <c r="I56" s="3125">
        <f t="shared" si="35"/>
        <v>17.133882381279495</v>
      </c>
      <c r="J56" s="3125">
        <f t="shared" si="36"/>
        <v>17.304707394957138</v>
      </c>
      <c r="K56" s="3125">
        <f t="shared" si="37"/>
        <v>15.278977826170841</v>
      </c>
      <c r="L56" s="3125">
        <f t="shared" si="38"/>
        <v>17.133882381279495</v>
      </c>
      <c r="M56" s="3125">
        <f t="shared" si="11"/>
        <v>17.133882381279495</v>
      </c>
      <c r="N56" s="3278">
        <f t="shared" si="39"/>
        <v>15.558769104004174</v>
      </c>
      <c r="O56" s="3429">
        <v>15.558769104004174</v>
      </c>
      <c r="P56" s="3429">
        <v>26.323449110488255</v>
      </c>
      <c r="Q56" s="3430">
        <v>6.5136272995907039</v>
      </c>
      <c r="R56" s="3126">
        <f t="shared" si="32"/>
        <v>2.0540714286005555</v>
      </c>
      <c r="S56" s="1471">
        <f t="shared" si="47"/>
        <v>2.0540714286005555</v>
      </c>
      <c r="T56" s="1471">
        <f t="shared" ref="T56:Y56" si="53">AVERAGE(T46:T55)/AVERAGE(T45:T54)*T55</f>
        <v>2.8723258817568476</v>
      </c>
      <c r="U56" s="1471">
        <f t="shared" si="53"/>
        <v>1.3726871016360833</v>
      </c>
      <c r="V56" s="1472">
        <f t="shared" si="33"/>
        <v>4.6194115368853348</v>
      </c>
      <c r="W56" s="1472">
        <f t="shared" si="49"/>
        <v>4.6194115368853348</v>
      </c>
      <c r="X56" s="1472">
        <f t="shared" si="53"/>
        <v>8.0377760741804938</v>
      </c>
      <c r="Y56" s="1472">
        <f t="shared" si="53"/>
        <v>3.3721704219263042</v>
      </c>
      <c r="Z56" s="9"/>
      <c r="AA56" s="9"/>
      <c r="AB56" s="9"/>
      <c r="AC56" s="9"/>
      <c r="AD56" s="9"/>
      <c r="AE56" s="9"/>
      <c r="AF56" s="9"/>
      <c r="AG56" s="1778">
        <f t="shared" si="43"/>
        <v>4.5805373188341756</v>
      </c>
      <c r="AH56" s="1779">
        <f t="shared" si="29"/>
        <v>4.5805373188341756</v>
      </c>
      <c r="AI56" s="1779">
        <f t="shared" si="30"/>
        <v>5.725671648542721</v>
      </c>
      <c r="AJ56" s="1780">
        <f t="shared" si="31"/>
        <v>3.4354029891256341</v>
      </c>
      <c r="AK56" s="1475">
        <v>0</v>
      </c>
      <c r="AL56" s="3314">
        <f t="shared" si="17"/>
        <v>209.14773893039322</v>
      </c>
      <c r="AM56" s="1476">
        <f t="shared" si="44"/>
        <v>418.29547786078666</v>
      </c>
      <c r="AN56" s="1476">
        <f t="shared" si="45"/>
        <v>139.43182595359548</v>
      </c>
      <c r="AO56" s="3319">
        <f t="shared" si="42"/>
        <v>650.94223134264951</v>
      </c>
      <c r="AP56" s="874"/>
      <c r="AQ56" s="874"/>
    </row>
    <row r="57" spans="1:44">
      <c r="A57" s="89">
        <f t="shared" si="16"/>
        <v>2054</v>
      </c>
      <c r="B57" s="1460">
        <f t="shared" si="13"/>
        <v>1.5099999999999891E-2</v>
      </c>
      <c r="C57" s="98">
        <f t="shared" si="40"/>
        <v>0</v>
      </c>
      <c r="D57" s="98">
        <f t="shared" si="41"/>
        <v>222.92116327765427</v>
      </c>
      <c r="F57" s="3095">
        <v>2054</v>
      </c>
      <c r="G57" s="186">
        <f t="shared" si="46"/>
        <v>1.5099999999999891E-2</v>
      </c>
      <c r="H57" s="3125">
        <f t="shared" si="34"/>
        <v>15.69392051390172</v>
      </c>
      <c r="I57" s="3125">
        <f t="shared" si="35"/>
        <v>17.608098023686065</v>
      </c>
      <c r="J57" s="3125">
        <f t="shared" si="36"/>
        <v>17.789223731942513</v>
      </c>
      <c r="K57" s="3125">
        <f t="shared" si="37"/>
        <v>15.69392051390172</v>
      </c>
      <c r="L57" s="3125">
        <f t="shared" si="38"/>
        <v>17.608098023686065</v>
      </c>
      <c r="M57" s="3125">
        <f t="shared" si="11"/>
        <v>17.608098023686065</v>
      </c>
      <c r="N57" s="3278">
        <f t="shared" si="39"/>
        <v>16.050596141141906</v>
      </c>
      <c r="O57" s="3429">
        <v>16.050596141141906</v>
      </c>
      <c r="P57" s="3429">
        <v>27.239517059367337</v>
      </c>
      <c r="Q57" s="3430">
        <v>6.6689764550524346</v>
      </c>
      <c r="R57" s="3126">
        <f t="shared" si="32"/>
        <v>2.1006471716788275</v>
      </c>
      <c r="S57" s="1471">
        <f t="shared" si="47"/>
        <v>2.1006471716788275</v>
      </c>
      <c r="T57" s="1471">
        <f t="shared" ref="T57:Y57" si="54">AVERAGE(T47:T56)/AVERAGE(T46:T55)*T56</f>
        <v>2.9592015933814384</v>
      </c>
      <c r="U57" s="1471">
        <f t="shared" si="54"/>
        <v>1.391476722724567</v>
      </c>
      <c r="V57" s="1472">
        <f t="shared" si="33"/>
        <v>4.7029331017926443</v>
      </c>
      <c r="W57" s="1472">
        <f t="shared" si="49"/>
        <v>4.7029331017926443</v>
      </c>
      <c r="X57" s="1472">
        <f t="shared" si="54"/>
        <v>8.1831035971192154</v>
      </c>
      <c r="Y57" s="1472">
        <f t="shared" si="54"/>
        <v>3.4331411643086409</v>
      </c>
      <c r="Z57" s="9"/>
      <c r="AA57" s="9"/>
      <c r="AB57" s="9"/>
      <c r="AC57" s="9"/>
      <c r="AD57" s="9"/>
      <c r="AE57" s="9"/>
      <c r="AF57" s="9"/>
      <c r="AG57" s="1778">
        <f t="shared" si="43"/>
        <v>4.6676218356342662</v>
      </c>
      <c r="AH57" s="1779">
        <f t="shared" si="29"/>
        <v>4.6676218356342662</v>
      </c>
      <c r="AI57" s="1779">
        <f t="shared" si="30"/>
        <v>5.8345272945428359</v>
      </c>
      <c r="AJ57" s="1780">
        <f t="shared" si="31"/>
        <v>3.5007163767257024</v>
      </c>
      <c r="AK57" s="1475">
        <v>0</v>
      </c>
      <c r="AL57" s="3314">
        <f t="shared" si="17"/>
        <v>222.92116327765427</v>
      </c>
      <c r="AM57" s="1476">
        <f t="shared" si="44"/>
        <v>445.84232655530872</v>
      </c>
      <c r="AN57" s="1476">
        <f t="shared" si="45"/>
        <v>148.61410885176952</v>
      </c>
      <c r="AO57" s="3319">
        <f t="shared" si="42"/>
        <v>693.81003198771975</v>
      </c>
      <c r="AP57" s="874"/>
      <c r="AQ57" s="874"/>
    </row>
    <row r="58" spans="1:44">
      <c r="A58" s="89">
        <f t="shared" ref="A58:A68" si="55">A57+1</f>
        <v>2055</v>
      </c>
      <c r="B58" s="1460">
        <f t="shared" si="13"/>
        <v>1.5099999999999891E-2</v>
      </c>
      <c r="C58" s="98">
        <f t="shared" si="40"/>
        <v>0</v>
      </c>
      <c r="D58" s="98">
        <f t="shared" si="41"/>
        <v>237.6016364853042</v>
      </c>
      <c r="F58" s="3095">
        <v>2055</v>
      </c>
      <c r="G58" s="186">
        <f t="shared" si="46"/>
        <v>1.5099999999999891E-2</v>
      </c>
      <c r="H58" s="3125">
        <f t="shared" si="34"/>
        <v>16.119984593312129</v>
      </c>
      <c r="I58" s="3125">
        <f t="shared" si="35"/>
        <v>18.095755381216915</v>
      </c>
      <c r="J58" s="3125">
        <f t="shared" si="36"/>
        <v>18.287631803105885</v>
      </c>
      <c r="K58" s="3125">
        <f t="shared" si="37"/>
        <v>16.119984593312129</v>
      </c>
      <c r="L58" s="3125">
        <f t="shared" si="38"/>
        <v>18.095755381216915</v>
      </c>
      <c r="M58" s="3125">
        <f t="shared" si="11"/>
        <v>18.095755381216915</v>
      </c>
      <c r="N58" s="3278">
        <f t="shared" si="39"/>
        <v>16.542423178279634</v>
      </c>
      <c r="O58" s="3429">
        <v>16.542423178279634</v>
      </c>
      <c r="P58" s="3429">
        <v>28.160975657752889</v>
      </c>
      <c r="Q58" s="3430">
        <v>6.821632895424333</v>
      </c>
      <c r="R58" s="3126">
        <f t="shared" si="32"/>
        <v>2.1482840505852683</v>
      </c>
      <c r="S58" s="1471">
        <f t="shared" si="47"/>
        <v>2.1482840505852683</v>
      </c>
      <c r="T58" s="1471">
        <f t="shared" ref="T58:Y58" si="56">AVERAGE(T48:T57)/AVERAGE(T47:T56)*T57</f>
        <v>3.0487097976454751</v>
      </c>
      <c r="U58" s="1471">
        <f t="shared" si="56"/>
        <v>1.4105268960145769</v>
      </c>
      <c r="V58" s="1472">
        <f t="shared" si="33"/>
        <v>4.7879608845998129</v>
      </c>
      <c r="W58" s="1472">
        <f t="shared" si="49"/>
        <v>4.7879608845998129</v>
      </c>
      <c r="X58" s="1472">
        <f t="shared" si="56"/>
        <v>8.3310519392036895</v>
      </c>
      <c r="Y58" s="1472">
        <f t="shared" si="56"/>
        <v>3.495211445757874</v>
      </c>
      <c r="Z58" s="9"/>
      <c r="AA58" s="9"/>
      <c r="AB58" s="9"/>
      <c r="AC58" s="9"/>
      <c r="AD58" s="9"/>
      <c r="AE58" s="9"/>
      <c r="AF58" s="9"/>
      <c r="AG58" s="1778">
        <f t="shared" si="43"/>
        <v>4.7563619907445451</v>
      </c>
      <c r="AH58" s="1779">
        <f t="shared" si="29"/>
        <v>4.7563619907445451</v>
      </c>
      <c r="AI58" s="1779">
        <f t="shared" si="30"/>
        <v>5.9454524884306839</v>
      </c>
      <c r="AJ58" s="1780">
        <f t="shared" si="31"/>
        <v>3.5672714930584122</v>
      </c>
      <c r="AK58" s="1475">
        <v>0</v>
      </c>
      <c r="AL58" s="3314">
        <f t="shared" si="17"/>
        <v>237.6016364853042</v>
      </c>
      <c r="AM58" s="1476">
        <f t="shared" si="44"/>
        <v>475.20327297060851</v>
      </c>
      <c r="AN58" s="1476">
        <f t="shared" si="45"/>
        <v>158.40109099020279</v>
      </c>
      <c r="AO58" s="3319">
        <f t="shared" si="42"/>
        <v>739.50089164427106</v>
      </c>
      <c r="AP58" s="874"/>
      <c r="AQ58" s="874"/>
    </row>
    <row r="59" spans="1:44">
      <c r="A59" s="89">
        <f t="shared" si="55"/>
        <v>2056</v>
      </c>
      <c r="B59" s="1460">
        <f t="shared" si="13"/>
        <v>1.5099999999999891E-2</v>
      </c>
      <c r="C59" s="98">
        <f t="shared" si="40"/>
        <v>0</v>
      </c>
      <c r="D59" s="98">
        <f t="shared" si="41"/>
        <v>253.24889225604389</v>
      </c>
      <c r="F59" s="3095">
        <v>2056</v>
      </c>
      <c r="G59" s="186">
        <f t="shared" si="46"/>
        <v>1.5099999999999891E-2</v>
      </c>
      <c r="H59" s="3125">
        <f t="shared" si="34"/>
        <v>16.557552651314985</v>
      </c>
      <c r="I59" s="3125">
        <f t="shared" si="35"/>
        <v>18.597210576623709</v>
      </c>
      <c r="J59" s="3125">
        <f t="shared" si="36"/>
        <v>18.800305284996387</v>
      </c>
      <c r="K59" s="3125">
        <f t="shared" si="37"/>
        <v>16.557552651314985</v>
      </c>
      <c r="L59" s="3125">
        <f t="shared" si="38"/>
        <v>18.597210576623709</v>
      </c>
      <c r="M59" s="3125">
        <f t="shared" si="11"/>
        <v>18.597210576623709</v>
      </c>
      <c r="N59" s="3278">
        <f t="shared" si="39"/>
        <v>17.092236408206144</v>
      </c>
      <c r="O59" s="3429">
        <v>17.092236408206144</v>
      </c>
      <c r="P59" s="3429">
        <v>29.186882436654816</v>
      </c>
      <c r="Q59" s="3430">
        <v>6.995349158733962</v>
      </c>
      <c r="R59" s="3126">
        <f t="shared" si="32"/>
        <v>2.1970081986708485</v>
      </c>
      <c r="S59" s="1471">
        <f t="shared" si="47"/>
        <v>2.1970081986708485</v>
      </c>
      <c r="T59" s="1471">
        <f t="shared" ref="T59:Y59" si="57">AVERAGE(T49:T58)/AVERAGE(T48:T57)*T58</f>
        <v>3.1409332320008772</v>
      </c>
      <c r="U59" s="1471">
        <f t="shared" si="57"/>
        <v>1.4298409050803191</v>
      </c>
      <c r="V59" s="1472">
        <f t="shared" si="33"/>
        <v>4.8745161667432466</v>
      </c>
      <c r="W59" s="1472">
        <f t="shared" si="49"/>
        <v>4.8745161667432466</v>
      </c>
      <c r="X59" s="1472">
        <f t="shared" si="57"/>
        <v>8.4816581301332654</v>
      </c>
      <c r="Y59" s="1472">
        <f t="shared" si="57"/>
        <v>3.5583968017225809</v>
      </c>
      <c r="Z59" s="9"/>
      <c r="AA59" s="9"/>
      <c r="AB59" s="9"/>
      <c r="AC59" s="9"/>
      <c r="AD59" s="9"/>
      <c r="AE59" s="9"/>
      <c r="AF59" s="9"/>
      <c r="AG59" s="1778">
        <f t="shared" si="43"/>
        <v>4.8467892609224741</v>
      </c>
      <c r="AH59" s="1779">
        <f t="shared" si="29"/>
        <v>4.8467892609224741</v>
      </c>
      <c r="AI59" s="1779">
        <f t="shared" si="30"/>
        <v>6.0584865761530962</v>
      </c>
      <c r="AJ59" s="1780">
        <f t="shared" si="31"/>
        <v>3.6350919456918596</v>
      </c>
      <c r="AK59" s="1475">
        <v>0</v>
      </c>
      <c r="AL59" s="3314">
        <f t="shared" si="17"/>
        <v>253.24889225604389</v>
      </c>
      <c r="AM59" s="1476">
        <f t="shared" si="44"/>
        <v>506.49778451208795</v>
      </c>
      <c r="AN59" s="1476">
        <f t="shared" si="45"/>
        <v>168.83259483736259</v>
      </c>
      <c r="AO59" s="3319">
        <f t="shared" si="42"/>
        <v>788.20072286350455</v>
      </c>
      <c r="AP59" s="874"/>
      <c r="AQ59" s="874"/>
    </row>
    <row r="60" spans="1:44">
      <c r="A60" s="89">
        <f t="shared" si="55"/>
        <v>2057</v>
      </c>
      <c r="B60" s="1460">
        <f t="shared" si="13"/>
        <v>1.5099999999999891E-2</v>
      </c>
      <c r="C60" s="98">
        <f t="shared" si="40"/>
        <v>0</v>
      </c>
      <c r="D60" s="98">
        <f t="shared" si="41"/>
        <v>269.92659805556559</v>
      </c>
      <c r="F60" s="3095">
        <v>2057</v>
      </c>
      <c r="G60" s="186">
        <f>G59</f>
        <v>1.5099999999999891E-2</v>
      </c>
      <c r="H60" s="3125">
        <f t="shared" si="34"/>
        <v>17.006929251690117</v>
      </c>
      <c r="I60" s="3125">
        <f t="shared" si="35"/>
        <v>19.112653348645122</v>
      </c>
      <c r="J60" s="3125">
        <f t="shared" si="36"/>
        <v>19.32744602943491</v>
      </c>
      <c r="K60" s="3125">
        <f t="shared" si="37"/>
        <v>17.006929251690117</v>
      </c>
      <c r="L60" s="3125">
        <f t="shared" si="38"/>
        <v>19.112653348645122</v>
      </c>
      <c r="M60" s="3125">
        <f t="shared" si="11"/>
        <v>19.112653348645122</v>
      </c>
      <c r="N60" s="3278">
        <f t="shared" si="39"/>
        <v>17.642049638132654</v>
      </c>
      <c r="O60" s="3429">
        <v>17.642049638132654</v>
      </c>
      <c r="P60" s="3429">
        <v>30.218881157002425</v>
      </c>
      <c r="Q60" s="3430">
        <v>7.1660517472670735</v>
      </c>
      <c r="R60" s="3126">
        <f t="shared" si="32"/>
        <v>2.2468436326988392</v>
      </c>
      <c r="S60" s="1471">
        <f t="shared" si="47"/>
        <v>2.2468436326988392</v>
      </c>
      <c r="T60" s="1471">
        <f t="shared" ref="T60:Y60" si="58">AVERAGE(T50:T59)/AVERAGE(T49:T58)*T59</f>
        <v>3.2359540027503306</v>
      </c>
      <c r="U60" s="1471">
        <f t="shared" si="58"/>
        <v>1.4494212597137237</v>
      </c>
      <c r="V60" s="1472">
        <f t="shared" si="33"/>
        <v>4.9626252858293167</v>
      </c>
      <c r="W60" s="1472">
        <f t="shared" si="49"/>
        <v>4.9626252858293167</v>
      </c>
      <c r="X60" s="1472">
        <f t="shared" si="58"/>
        <v>8.6349679973430309</v>
      </c>
      <c r="Y60" s="1472">
        <f t="shared" si="58"/>
        <v>3.622716458655415</v>
      </c>
      <c r="Z60" s="9"/>
      <c r="AA60" s="9"/>
      <c r="AB60" s="9"/>
      <c r="AC60" s="9"/>
      <c r="AD60" s="9"/>
      <c r="AE60" s="9"/>
      <c r="AF60" s="9"/>
      <c r="AG60" s="1778">
        <f t="shared" si="43"/>
        <v>4.9389357213571037</v>
      </c>
      <c r="AH60" s="1779">
        <f t="shared" si="29"/>
        <v>4.9389357213571037</v>
      </c>
      <c r="AI60" s="1779">
        <f t="shared" si="30"/>
        <v>6.173669651696386</v>
      </c>
      <c r="AJ60" s="1780">
        <f t="shared" si="31"/>
        <v>3.7042017910178329</v>
      </c>
      <c r="AK60" s="1475">
        <v>0</v>
      </c>
      <c r="AL60" s="3314">
        <f t="shared" si="17"/>
        <v>269.92659805556559</v>
      </c>
      <c r="AM60" s="1476">
        <f t="shared" si="44"/>
        <v>539.85319611113152</v>
      </c>
      <c r="AN60" s="1476">
        <f t="shared" si="45"/>
        <v>179.95106537037708</v>
      </c>
      <c r="AO60" s="3319">
        <f t="shared" si="42"/>
        <v>840.10768146768055</v>
      </c>
      <c r="AP60" s="874"/>
      <c r="AQ60" s="874"/>
    </row>
    <row r="61" spans="1:44">
      <c r="A61" s="89">
        <f t="shared" si="55"/>
        <v>2058</v>
      </c>
      <c r="B61" s="1460">
        <f t="shared" si="13"/>
        <v>1.5099999999999891E-2</v>
      </c>
      <c r="C61" s="98">
        <f t="shared" si="40"/>
        <v>0</v>
      </c>
      <c r="D61" s="98">
        <f t="shared" si="41"/>
        <v>287.70261417051483</v>
      </c>
      <c r="F61" s="3095">
        <v>2058</v>
      </c>
      <c r="G61" s="186">
        <f>G60</f>
        <v>1.5099999999999891E-2</v>
      </c>
      <c r="H61" s="3125">
        <f t="shared" si="34"/>
        <v>17.468143182695041</v>
      </c>
      <c r="I61" s="3125">
        <f t="shared" si="35"/>
        <v>19.641995564064988</v>
      </c>
      <c r="J61" s="3125">
        <f t="shared" si="36"/>
        <v>19.868968756386806</v>
      </c>
      <c r="K61" s="3125">
        <f t="shared" si="37"/>
        <v>17.468143182695041</v>
      </c>
      <c r="L61" s="3125">
        <f t="shared" si="38"/>
        <v>19.641995564064988</v>
      </c>
      <c r="M61" s="3125">
        <f t="shared" si="11"/>
        <v>19.641995564064988</v>
      </c>
      <c r="N61" s="3278">
        <f t="shared" si="39"/>
        <v>18.191862868059165</v>
      </c>
      <c r="O61" s="3429">
        <v>18.191862868059165</v>
      </c>
      <c r="P61" s="3429">
        <v>31.256997555258444</v>
      </c>
      <c r="Q61" s="3430">
        <v>7.3337779790536821</v>
      </c>
      <c r="R61" s="3126">
        <f t="shared" si="32"/>
        <v>2.2978120635881125</v>
      </c>
      <c r="S61" s="1471">
        <f t="shared" si="47"/>
        <v>2.2978120635881125</v>
      </c>
      <c r="T61" s="1471">
        <f t="shared" ref="T61:Y61" si="59">AVERAGE(T51:T60)/AVERAGE(T50:T59)*T60</f>
        <v>3.3338542004119418</v>
      </c>
      <c r="U61" s="1471">
        <f t="shared" si="59"/>
        <v>1.4692696570728447</v>
      </c>
      <c r="V61" s="1472">
        <f t="shared" si="33"/>
        <v>5.0523225481129321</v>
      </c>
      <c r="W61" s="1472">
        <f t="shared" si="49"/>
        <v>5.0523225481129321</v>
      </c>
      <c r="X61" s="1472">
        <f t="shared" si="59"/>
        <v>8.7910412337165198</v>
      </c>
      <c r="Y61" s="1472">
        <f t="shared" si="59"/>
        <v>3.6881954601224538</v>
      </c>
      <c r="Z61" s="9"/>
      <c r="AA61" s="9"/>
      <c r="AB61" s="9"/>
      <c r="AC61" s="9"/>
      <c r="AD61" s="9"/>
      <c r="AE61" s="9"/>
      <c r="AF61" s="9"/>
      <c r="AG61" s="1778">
        <f t="shared" si="43"/>
        <v>5.0328340570463688</v>
      </c>
      <c r="AH61" s="1779">
        <f t="shared" si="29"/>
        <v>5.0328340570463688</v>
      </c>
      <c r="AI61" s="1779">
        <f t="shared" si="30"/>
        <v>6.2910425713079663</v>
      </c>
      <c r="AJ61" s="1780">
        <f t="shared" si="31"/>
        <v>3.774625542784781</v>
      </c>
      <c r="AK61" s="1475">
        <v>0</v>
      </c>
      <c r="AL61" s="3314">
        <f t="shared" si="17"/>
        <v>287.70261417051483</v>
      </c>
      <c r="AM61" s="1476">
        <f t="shared" si="44"/>
        <v>575.40522834103012</v>
      </c>
      <c r="AN61" s="1476">
        <f t="shared" si="45"/>
        <v>191.80174278034323</v>
      </c>
      <c r="AO61" s="3319">
        <f t="shared" si="42"/>
        <v>895.43297283073468</v>
      </c>
      <c r="AP61" s="874"/>
      <c r="AQ61" s="874"/>
    </row>
    <row r="62" spans="1:44">
      <c r="A62" s="1035">
        <f t="shared" si="55"/>
        <v>2059</v>
      </c>
      <c r="B62" s="1035"/>
      <c r="C62" s="98">
        <f t="shared" si="40"/>
        <v>0</v>
      </c>
      <c r="D62" s="98">
        <f t="shared" si="41"/>
        <v>306.64926982671409</v>
      </c>
      <c r="F62" s="3095">
        <v>2059</v>
      </c>
      <c r="G62" s="186">
        <f>G61</f>
        <v>1.5099999999999891E-2</v>
      </c>
      <c r="H62" s="3125">
        <f t="shared" si="34"/>
        <v>17.941579629528626</v>
      </c>
      <c r="I62" s="3125">
        <f t="shared" si="35"/>
        <v>20.185481746179381</v>
      </c>
      <c r="J62" s="3125">
        <f t="shared" si="36"/>
        <v>20.425131672934061</v>
      </c>
      <c r="K62" s="3125">
        <f t="shared" si="37"/>
        <v>17.941579629528626</v>
      </c>
      <c r="L62" s="3125">
        <f t="shared" si="38"/>
        <v>20.185481746179381</v>
      </c>
      <c r="M62" s="3125">
        <f t="shared" si="11"/>
        <v>20.185481746179381</v>
      </c>
      <c r="N62" s="3278">
        <f t="shared" si="39"/>
        <v>18.741676097985675</v>
      </c>
      <c r="O62" s="3429">
        <v>18.741676097985675</v>
      </c>
      <c r="P62" s="3429">
        <v>32.301260915077698</v>
      </c>
      <c r="Q62" s="3430">
        <v>7.4985632938659723</v>
      </c>
      <c r="R62" s="3126">
        <f t="shared" si="32"/>
        <v>2.3499356392760635</v>
      </c>
      <c r="S62" s="1471">
        <f t="shared" si="47"/>
        <v>2.3499356392760635</v>
      </c>
      <c r="T62" s="1471">
        <f t="shared" ref="T62:Y62" si="60">AVERAGE(T52:T61)/AVERAGE(T51:T60)*T61</f>
        <v>3.4347168916815005</v>
      </c>
      <c r="U62" s="1471">
        <f t="shared" si="60"/>
        <v>1.4893882099814661</v>
      </c>
      <c r="V62" s="1472">
        <f t="shared" si="33"/>
        <v>5.143641843084727</v>
      </c>
      <c r="W62" s="1472">
        <f t="shared" si="49"/>
        <v>5.143641843084727</v>
      </c>
      <c r="X62" s="1472">
        <f t="shared" si="60"/>
        <v>8.9499368069674468</v>
      </c>
      <c r="Y62" s="1472">
        <f t="shared" si="60"/>
        <v>3.754858545451865</v>
      </c>
      <c r="Z62" s="9"/>
      <c r="AA62" s="9"/>
      <c r="AB62" s="9"/>
      <c r="AC62" s="9"/>
      <c r="AD62" s="9"/>
      <c r="AE62" s="9"/>
      <c r="AF62" s="9"/>
      <c r="AG62" s="1778">
        <f t="shared" si="43"/>
        <v>5.1285175743906768</v>
      </c>
      <c r="AH62" s="1779">
        <f t="shared" si="29"/>
        <v>5.1285175743906768</v>
      </c>
      <c r="AI62" s="1779">
        <f t="shared" si="30"/>
        <v>6.4106469679883542</v>
      </c>
      <c r="AJ62" s="1780">
        <f t="shared" si="31"/>
        <v>3.8463881807930136</v>
      </c>
      <c r="AK62" s="1475">
        <v>0</v>
      </c>
      <c r="AL62" s="3314">
        <f t="shared" si="17"/>
        <v>306.64926982671409</v>
      </c>
      <c r="AM62" s="1476">
        <f t="shared" si="44"/>
        <v>613.29853965342863</v>
      </c>
      <c r="AN62" s="1476">
        <f t="shared" si="45"/>
        <v>204.43284655114272</v>
      </c>
      <c r="AO62" s="3319">
        <f t="shared" si="42"/>
        <v>954.40171125650272</v>
      </c>
      <c r="AP62" s="874"/>
      <c r="AQ62" s="874"/>
    </row>
    <row r="63" spans="1:44">
      <c r="A63" s="1035">
        <f t="shared" si="55"/>
        <v>2060</v>
      </c>
      <c r="B63" s="1035"/>
      <c r="C63" s="98">
        <f t="shared" si="40"/>
        <v>0</v>
      </c>
      <c r="D63" s="98">
        <f t="shared" si="41"/>
        <v>326.84365749115227</v>
      </c>
      <c r="F63" s="3095">
        <v>2060</v>
      </c>
      <c r="G63" s="186">
        <f>G62</f>
        <v>1.5099999999999891E-2</v>
      </c>
      <c r="H63" s="3125">
        <f t="shared" si="34"/>
        <v>18.427772746878233</v>
      </c>
      <c r="I63" s="3125">
        <f t="shared" si="35"/>
        <v>20.743485847125196</v>
      </c>
      <c r="J63" s="3125">
        <f t="shared" si="36"/>
        <v>20.996326434420556</v>
      </c>
      <c r="K63" s="3125">
        <f t="shared" si="37"/>
        <v>18.427772746878233</v>
      </c>
      <c r="L63" s="3125">
        <f t="shared" si="38"/>
        <v>20.743485847125196</v>
      </c>
      <c r="M63" s="3125">
        <f t="shared" si="11"/>
        <v>20.743485847125196</v>
      </c>
      <c r="N63" s="3278">
        <f t="shared" si="39"/>
        <v>19.291489327912185</v>
      </c>
      <c r="O63" s="3429">
        <v>19.291489327912185</v>
      </c>
      <c r="P63" s="3429">
        <v>33.351694008251791</v>
      </c>
      <c r="Q63" s="3430">
        <v>7.6604471057008539</v>
      </c>
      <c r="R63" s="3126">
        <f t="shared" si="32"/>
        <v>2.4032378615739471</v>
      </c>
      <c r="S63" s="1471">
        <f t="shared" si="47"/>
        <v>2.4032378615739471</v>
      </c>
      <c r="T63" s="1471">
        <f t="shared" ref="T63:Y63" si="61">AVERAGE(T53:T62)/AVERAGE(T52:T61)*T62</f>
        <v>3.538627594151885</v>
      </c>
      <c r="U63" s="1471">
        <f t="shared" si="61"/>
        <v>1.5097798547522958</v>
      </c>
      <c r="V63" s="1472">
        <f t="shared" si="33"/>
        <v>5.2366159856827501</v>
      </c>
      <c r="W63" s="1472">
        <f t="shared" si="49"/>
        <v>5.2366159856827501</v>
      </c>
      <c r="X63" s="1472">
        <f t="shared" si="61"/>
        <v>9.1117118150880092</v>
      </c>
      <c r="Y63" s="1472">
        <f t="shared" si="61"/>
        <v>3.8227296695484227</v>
      </c>
      <c r="Z63" s="9"/>
      <c r="AA63" s="9"/>
      <c r="AB63" s="9"/>
      <c r="AC63" s="9"/>
      <c r="AD63" s="9"/>
      <c r="AE63" s="9"/>
      <c r="AF63" s="9"/>
      <c r="AG63" s="1778">
        <f t="shared" si="43"/>
        <v>5.2260202130069393</v>
      </c>
      <c r="AH63" s="1779">
        <f t="shared" si="29"/>
        <v>5.2260202130069393</v>
      </c>
      <c r="AI63" s="1779">
        <f t="shared" si="30"/>
        <v>6.5325252662586806</v>
      </c>
      <c r="AJ63" s="1780">
        <f t="shared" si="31"/>
        <v>3.9195151597552096</v>
      </c>
      <c r="AK63" s="1475">
        <v>0</v>
      </c>
      <c r="AL63" s="3314">
        <f t="shared" si="17"/>
        <v>326.84365749115227</v>
      </c>
      <c r="AM63" s="1476">
        <f t="shared" si="44"/>
        <v>653.68731498230511</v>
      </c>
      <c r="AN63" s="1476">
        <f t="shared" si="45"/>
        <v>217.89577166076819</v>
      </c>
      <c r="AO63" s="3319">
        <f t="shared" si="42"/>
        <v>1017.2538359512996</v>
      </c>
      <c r="AP63" s="874"/>
      <c r="AQ63" s="874"/>
    </row>
    <row r="64" spans="1:44">
      <c r="A64" s="1035">
        <f t="shared" si="55"/>
        <v>2061</v>
      </c>
      <c r="B64" s="1035"/>
      <c r="C64" s="98">
        <f t="shared" si="40"/>
        <v>0</v>
      </c>
      <c r="D64" s="98">
        <f t="shared" si="41"/>
        <v>348.36794655523209</v>
      </c>
      <c r="F64" s="3095">
        <v>2061</v>
      </c>
      <c r="G64" s="186">
        <f t="shared" ref="G64:G78" si="62">G63</f>
        <v>1.5099999999999891E-2</v>
      </c>
      <c r="H64" s="3125">
        <f t="shared" si="34"/>
        <v>18.928374809993713</v>
      </c>
      <c r="I64" s="3125">
        <f t="shared" si="35"/>
        <v>21.317903896133735</v>
      </c>
      <c r="J64" s="3125">
        <f t="shared" si="36"/>
        <v>21.584516949504049</v>
      </c>
      <c r="K64" s="3125">
        <f t="shared" si="37"/>
        <v>18.928374809993713</v>
      </c>
      <c r="L64" s="3125">
        <f t="shared" si="38"/>
        <v>21.317903896133735</v>
      </c>
      <c r="M64" s="3125">
        <f t="shared" si="11"/>
        <v>21.317903896133735</v>
      </c>
      <c r="N64" s="3278">
        <f t="shared" si="39"/>
        <v>19.866882384507523</v>
      </c>
      <c r="O64" s="3429">
        <v>19.866882384507523</v>
      </c>
      <c r="P64" s="3429">
        <v>34.452671667940479</v>
      </c>
      <c r="Q64" s="3430">
        <v>7.8295539928010074</v>
      </c>
      <c r="R64" s="3126">
        <f t="shared" si="32"/>
        <v>2.4577448280739764</v>
      </c>
      <c r="S64" s="1471">
        <f t="shared" si="47"/>
        <v>2.4577448280739764</v>
      </c>
      <c r="T64" s="1471">
        <f t="shared" ref="T64:Y64" si="63">AVERAGE(T54:T63)/AVERAGE(T53:T62)*T63</f>
        <v>3.645676362761026</v>
      </c>
      <c r="U64" s="1471">
        <f t="shared" si="63"/>
        <v>1.5304488784174173</v>
      </c>
      <c r="V64" s="1472">
        <f t="shared" si="33"/>
        <v>5.3312758764657131</v>
      </c>
      <c r="W64" s="1472">
        <f t="shared" si="49"/>
        <v>5.3312758764657131</v>
      </c>
      <c r="X64" s="1472">
        <f t="shared" si="63"/>
        <v>9.276420025050367</v>
      </c>
      <c r="Y64" s="1472">
        <f t="shared" si="63"/>
        <v>3.8918313898199872</v>
      </c>
      <c r="Z64" s="9"/>
      <c r="AA64" s="9"/>
      <c r="AB64" s="9"/>
      <c r="AC64" s="9"/>
      <c r="AD64" s="9"/>
      <c r="AE64" s="9"/>
      <c r="AF64" s="9"/>
      <c r="AG64" s="1778">
        <f t="shared" si="43"/>
        <v>5.3253765577671759</v>
      </c>
      <c r="AH64" s="1779">
        <f t="shared" si="29"/>
        <v>5.3253765577671759</v>
      </c>
      <c r="AI64" s="1779">
        <f t="shared" si="30"/>
        <v>6.6567206972089776</v>
      </c>
      <c r="AJ64" s="1780">
        <f t="shared" si="31"/>
        <v>3.994032418325387</v>
      </c>
      <c r="AK64" s="1475">
        <v>0</v>
      </c>
      <c r="AL64" s="3314">
        <f t="shared" si="17"/>
        <v>348.36794655523209</v>
      </c>
      <c r="AM64" s="1476">
        <f t="shared" si="44"/>
        <v>696.73589311046476</v>
      </c>
      <c r="AN64" s="1476">
        <f t="shared" si="45"/>
        <v>232.24529770348806</v>
      </c>
      <c r="AO64" s="3319">
        <f t="shared" si="42"/>
        <v>1084.2450873178725</v>
      </c>
      <c r="AP64" s="874"/>
      <c r="AQ64" s="874"/>
    </row>
    <row r="65" spans="1:43">
      <c r="A65" s="1035">
        <f t="shared" si="55"/>
        <v>2062</v>
      </c>
      <c r="B65" s="1035"/>
      <c r="C65" s="98">
        <f t="shared" si="40"/>
        <v>0</v>
      </c>
      <c r="D65" s="98">
        <f t="shared" si="41"/>
        <v>371.30971767562693</v>
      </c>
      <c r="F65" s="3095">
        <v>2062</v>
      </c>
      <c r="G65" s="186">
        <f t="shared" si="62"/>
        <v>1.5099999999999891E-2</v>
      </c>
      <c r="H65" s="3125">
        <f t="shared" si="34"/>
        <v>19.442320112720662</v>
      </c>
      <c r="I65" s="3125">
        <f t="shared" si="35"/>
        <v>21.908171126709334</v>
      </c>
      <c r="J65" s="3125">
        <f t="shared" si="36"/>
        <v>22.189124312405067</v>
      </c>
      <c r="K65" s="3125">
        <f t="shared" si="37"/>
        <v>19.442320112720662</v>
      </c>
      <c r="L65" s="3125">
        <f t="shared" si="38"/>
        <v>21.908171126709334</v>
      </c>
      <c r="M65" s="3125">
        <f t="shared" si="11"/>
        <v>21.908171126709334</v>
      </c>
      <c r="N65" s="3278">
        <f t="shared" si="39"/>
        <v>20.442275441102861</v>
      </c>
      <c r="O65" s="3429">
        <v>20.442275441102861</v>
      </c>
      <c r="P65" s="3429">
        <v>35.56012852420379</v>
      </c>
      <c r="Q65" s="3430">
        <v>7.9956901892155869</v>
      </c>
      <c r="R65" s="3126">
        <f t="shared" si="32"/>
        <v>2.5134868747700909</v>
      </c>
      <c r="S65" s="1471">
        <f t="shared" si="47"/>
        <v>2.5134868747700909</v>
      </c>
      <c r="T65" s="1471">
        <f t="shared" ref="T65:Y65" si="64">AVERAGE(T55:T64)/AVERAGE(T54:T63)*T64</f>
        <v>3.7559606440058761</v>
      </c>
      <c r="U65" s="1471">
        <f t="shared" si="64"/>
        <v>1.5514015902726142</v>
      </c>
      <c r="V65" s="1472">
        <f t="shared" si="33"/>
        <v>5.4276494424837551</v>
      </c>
      <c r="W65" s="1472">
        <f t="shared" si="49"/>
        <v>5.4276494424837551</v>
      </c>
      <c r="X65" s="1472">
        <f t="shared" si="64"/>
        <v>9.4441100299217648</v>
      </c>
      <c r="Y65" s="1472">
        <f t="shared" si="64"/>
        <v>3.9621840930131591</v>
      </c>
      <c r="Z65" s="9"/>
      <c r="AA65" s="9"/>
      <c r="AB65" s="9"/>
      <c r="AC65" s="9"/>
      <c r="AD65" s="9"/>
      <c r="AE65" s="9"/>
      <c r="AF65" s="9"/>
      <c r="AG65" s="1778">
        <f t="shared" si="43"/>
        <v>5.4266218510660256</v>
      </c>
      <c r="AH65" s="1779">
        <f t="shared" si="29"/>
        <v>5.4266218510660256</v>
      </c>
      <c r="AI65" s="1779">
        <f t="shared" si="30"/>
        <v>6.7832773138325377</v>
      </c>
      <c r="AJ65" s="1780">
        <f t="shared" si="31"/>
        <v>4.0699663882995241</v>
      </c>
      <c r="AK65" s="1475">
        <v>0</v>
      </c>
      <c r="AL65" s="3314">
        <f t="shared" si="17"/>
        <v>371.30971767562693</v>
      </c>
      <c r="AM65" s="1476">
        <f t="shared" si="44"/>
        <v>742.61943535125431</v>
      </c>
      <c r="AN65" s="1476">
        <f t="shared" si="45"/>
        <v>247.53981178375128</v>
      </c>
      <c r="AO65" s="3319">
        <f t="shared" si="42"/>
        <v>1155.6480475431908</v>
      </c>
      <c r="AP65" s="874"/>
      <c r="AQ65" s="874"/>
    </row>
    <row r="66" spans="1:43">
      <c r="A66" s="1035">
        <f t="shared" si="55"/>
        <v>2063</v>
      </c>
      <c r="B66" s="1035"/>
      <c r="C66" s="98">
        <f t="shared" si="40"/>
        <v>0</v>
      </c>
      <c r="D66" s="98">
        <f t="shared" si="41"/>
        <v>395.7623191331553</v>
      </c>
      <c r="F66" s="3095">
        <v>2063</v>
      </c>
      <c r="G66" s="186">
        <f t="shared" si="62"/>
        <v>1.5099999999999891E-2</v>
      </c>
      <c r="H66" s="3125">
        <f t="shared" si="34"/>
        <v>19.970031992057322</v>
      </c>
      <c r="I66" s="3125">
        <f t="shared" si="35"/>
        <v>22.51474913452995</v>
      </c>
      <c r="J66" s="3125">
        <f t="shared" si="36"/>
        <v>22.810632474969353</v>
      </c>
      <c r="K66" s="3125">
        <f t="shared" si="37"/>
        <v>19.970031992057322</v>
      </c>
      <c r="L66" s="3125">
        <f t="shared" si="38"/>
        <v>22.51474913452995</v>
      </c>
      <c r="M66" s="3125">
        <f t="shared" si="11"/>
        <v>22.51474913452995</v>
      </c>
      <c r="N66" s="3278">
        <f t="shared" si="39"/>
        <v>21.0176684976982</v>
      </c>
      <c r="O66" s="3429">
        <v>21.0176684976982</v>
      </c>
      <c r="P66" s="3429">
        <v>36.674096651028691</v>
      </c>
      <c r="Q66" s="3430">
        <v>8.1588880302567421</v>
      </c>
      <c r="R66" s="3126">
        <f t="shared" si="32"/>
        <v>2.5704936579593887</v>
      </c>
      <c r="S66" s="1471">
        <f t="shared" si="47"/>
        <v>2.5704936579593887</v>
      </c>
      <c r="T66" s="1471">
        <f t="shared" ref="T66:Y66" si="65">AVERAGE(T56:T65)/AVERAGE(T55:T64)*T65</f>
        <v>3.8695810617186166</v>
      </c>
      <c r="U66" s="1471">
        <f t="shared" si="65"/>
        <v>1.5726419817719801</v>
      </c>
      <c r="V66" s="1472">
        <f t="shared" si="33"/>
        <v>5.5257654272988939</v>
      </c>
      <c r="W66" s="1472">
        <f t="shared" si="49"/>
        <v>5.5257654272988939</v>
      </c>
      <c r="X66" s="1472">
        <f t="shared" si="65"/>
        <v>9.6148318435001094</v>
      </c>
      <c r="Y66" s="1472">
        <f t="shared" si="65"/>
        <v>4.0338087619282108</v>
      </c>
      <c r="Z66" s="9"/>
      <c r="AA66" s="9"/>
      <c r="AB66" s="9"/>
      <c r="AC66" s="9"/>
      <c r="AD66" s="9"/>
      <c r="AE66" s="9"/>
      <c r="AF66" s="9"/>
      <c r="AG66" s="1778">
        <f t="shared" si="43"/>
        <v>5.5297920053214593</v>
      </c>
      <c r="AH66" s="1779">
        <f t="shared" si="29"/>
        <v>5.5297920053214593</v>
      </c>
      <c r="AI66" s="1779">
        <f t="shared" si="30"/>
        <v>6.9122400066518317</v>
      </c>
      <c r="AJ66" s="1780">
        <f t="shared" si="31"/>
        <v>4.1473440039911003</v>
      </c>
      <c r="AK66" s="1475">
        <v>0</v>
      </c>
      <c r="AL66" s="3314">
        <f t="shared" si="17"/>
        <v>395.7623191331553</v>
      </c>
      <c r="AM66" s="1476">
        <f t="shared" si="44"/>
        <v>791.52463826631117</v>
      </c>
      <c r="AN66" s="1476">
        <f t="shared" si="45"/>
        <v>263.8415460887702</v>
      </c>
      <c r="AO66" s="3319">
        <f t="shared" si="42"/>
        <v>1231.7532497141476</v>
      </c>
      <c r="AP66" s="874"/>
      <c r="AQ66" s="874"/>
    </row>
    <row r="67" spans="1:43">
      <c r="A67" s="1035">
        <f t="shared" si="55"/>
        <v>2064</v>
      </c>
      <c r="B67" s="1035"/>
      <c r="C67" s="98">
        <f t="shared" si="40"/>
        <v>0</v>
      </c>
      <c r="D67" s="98">
        <f t="shared" si="41"/>
        <v>421.82524665966923</v>
      </c>
      <c r="F67" s="3095">
        <v>2064</v>
      </c>
      <c r="G67" s="186">
        <f t="shared" si="62"/>
        <v>1.5099999999999891E-2</v>
      </c>
      <c r="H67" s="3125">
        <f t="shared" si="34"/>
        <v>20.511958934048643</v>
      </c>
      <c r="I67" s="3125">
        <f t="shared" si="35"/>
        <v>23.138120411402024</v>
      </c>
      <c r="J67" s="3125">
        <f t="shared" si="36"/>
        <v>23.449547224873896</v>
      </c>
      <c r="K67" s="3125">
        <f t="shared" si="37"/>
        <v>20.511958934048643</v>
      </c>
      <c r="L67" s="3125">
        <f t="shared" si="38"/>
        <v>23.138120411402024</v>
      </c>
      <c r="M67" s="3125">
        <f t="shared" si="11"/>
        <v>23.138120411402024</v>
      </c>
      <c r="N67" s="3278">
        <f t="shared" si="39"/>
        <v>21.593061554293538</v>
      </c>
      <c r="O67" s="3429">
        <v>21.593061554293538</v>
      </c>
      <c r="P67" s="3429">
        <v>37.794608485878783</v>
      </c>
      <c r="Q67" s="3430">
        <v>8.3191799516010292</v>
      </c>
      <c r="R67" s="3126">
        <f t="shared" si="32"/>
        <v>2.628794676112415</v>
      </c>
      <c r="S67" s="1471">
        <f t="shared" si="47"/>
        <v>2.628794676112415</v>
      </c>
      <c r="T67" s="1471">
        <f t="shared" ref="T67:T78" si="66">AVERAGE(T57:T66)/AVERAGE(T56:T65)*T66</f>
        <v>3.9866399835460116</v>
      </c>
      <c r="U67" s="1471">
        <f t="shared" ref="U67:U78" si="67">AVERAGE(U57:U66)/AVERAGE(U56:U65)*U66</f>
        <v>1.5941739078291213</v>
      </c>
      <c r="V67" s="1472">
        <f t="shared" si="33"/>
        <v>5.6256538119913397</v>
      </c>
      <c r="W67" s="1472">
        <f t="shared" si="49"/>
        <v>5.6256538119913397</v>
      </c>
      <c r="X67" s="1472">
        <f t="shared" ref="X67:X78" si="68">AVERAGE(X57:X66)/AVERAGE(X56:X65)*X66</f>
        <v>9.7886376328649654</v>
      </c>
      <c r="Y67" s="1472">
        <f t="shared" ref="Y67:Y78" si="69">AVERAGE(Y57:Y66)/AVERAGE(Y56:Y65)*Y66</f>
        <v>4.106727282753698</v>
      </c>
      <c r="AG67" s="1778">
        <f t="shared" si="43"/>
        <v>5.6349236157131832</v>
      </c>
      <c r="AH67" s="1779">
        <f t="shared" si="29"/>
        <v>5.6349236157131832</v>
      </c>
      <c r="AI67" s="1779">
        <f t="shared" si="30"/>
        <v>7.0436545196414881</v>
      </c>
      <c r="AJ67" s="1780">
        <f t="shared" si="31"/>
        <v>4.2261927117848943</v>
      </c>
      <c r="AK67" s="1475">
        <v>0</v>
      </c>
      <c r="AL67" s="3314">
        <f t="shared" si="17"/>
        <v>421.82524665966923</v>
      </c>
      <c r="AM67" s="1476">
        <f t="shared" si="44"/>
        <v>843.65049331933903</v>
      </c>
      <c r="AN67" s="1476">
        <f t="shared" si="45"/>
        <v>281.21683110644614</v>
      </c>
      <c r="AO67" s="3319">
        <f t="shared" si="42"/>
        <v>1312.8703599740727</v>
      </c>
      <c r="AP67" s="874"/>
      <c r="AQ67" s="874"/>
    </row>
    <row r="68" spans="1:43">
      <c r="A68" s="1035">
        <f t="shared" si="55"/>
        <v>2065</v>
      </c>
      <c r="B68" s="1035"/>
      <c r="C68" s="98">
        <f t="shared" si="40"/>
        <v>0</v>
      </c>
      <c r="D68" s="98">
        <f t="shared" si="41"/>
        <v>449.60454827844171</v>
      </c>
      <c r="F68" s="3095">
        <v>2065</v>
      </c>
      <c r="G68" s="186">
        <f t="shared" si="62"/>
        <v>1.5099999999999891E-2</v>
      </c>
      <c r="H68" s="3125">
        <f t="shared" si="34"/>
        <v>21.068555540076854</v>
      </c>
      <c r="I68" s="3125">
        <f t="shared" si="35"/>
        <v>23.778771309304155</v>
      </c>
      <c r="J68" s="3125">
        <f t="shared" si="36"/>
        <v>24.106378568619142</v>
      </c>
      <c r="K68" s="3125">
        <f t="shared" si="37"/>
        <v>21.068555540076854</v>
      </c>
      <c r="L68" s="3125">
        <f t="shared" si="38"/>
        <v>23.778771309304155</v>
      </c>
      <c r="M68" s="3125">
        <f t="shared" si="11"/>
        <v>23.778771309304155</v>
      </c>
      <c r="N68" s="3278">
        <f t="shared" si="39"/>
        <v>22.168454610888872</v>
      </c>
      <c r="O68" s="3429">
        <v>22.168454610888872</v>
      </c>
      <c r="P68" s="3429">
        <v>38.921698554740949</v>
      </c>
      <c r="Q68" s="3430">
        <v>8.4765973360173348</v>
      </c>
      <c r="R68" s="3126">
        <f t="shared" si="32"/>
        <v>2.6884194085366708</v>
      </c>
      <c r="S68" s="1471">
        <f t="shared" si="47"/>
        <v>2.6884194085366708</v>
      </c>
      <c r="T68" s="1471">
        <f t="shared" si="66"/>
        <v>4.1072418441463734</v>
      </c>
      <c r="U68" s="1471">
        <f t="shared" si="67"/>
        <v>1.6160011360452844</v>
      </c>
      <c r="V68" s="1472">
        <f t="shared" si="33"/>
        <v>5.7273459680452614</v>
      </c>
      <c r="W68" s="1472">
        <f t="shared" si="49"/>
        <v>5.7273459680452614</v>
      </c>
      <c r="X68" s="1472">
        <f t="shared" si="68"/>
        <v>9.9655819843987903</v>
      </c>
      <c r="Y68" s="1472">
        <f t="shared" si="69"/>
        <v>4.1809625566730606</v>
      </c>
      <c r="AG68" s="1778">
        <f t="shared" si="43"/>
        <v>5.7420539731631903</v>
      </c>
      <c r="AH68" s="1779">
        <f t="shared" si="29"/>
        <v>5.7420539731631903</v>
      </c>
      <c r="AI68" s="1779">
        <f t="shared" si="30"/>
        <v>7.1775674664539997</v>
      </c>
      <c r="AJ68" s="1780">
        <f t="shared" si="31"/>
        <v>4.3065404798723996</v>
      </c>
      <c r="AK68" s="1475">
        <v>0</v>
      </c>
      <c r="AL68" s="3314">
        <f t="shared" si="17"/>
        <v>449.60454827844171</v>
      </c>
      <c r="AM68" s="1476">
        <f t="shared" si="44"/>
        <v>899.20909655688399</v>
      </c>
      <c r="AN68" s="1476">
        <f t="shared" si="45"/>
        <v>299.73636551896112</v>
      </c>
      <c r="AO68" s="3319">
        <f t="shared" si="42"/>
        <v>1399.329437530165</v>
      </c>
      <c r="AP68" s="874"/>
      <c r="AQ68" s="874"/>
    </row>
    <row r="69" spans="1:43">
      <c r="A69" s="1035">
        <f>A68+1</f>
        <v>2066</v>
      </c>
      <c r="B69" s="1035"/>
      <c r="C69" s="98">
        <f t="shared" si="40"/>
        <v>0</v>
      </c>
      <c r="D69" s="98">
        <f t="shared" si="41"/>
        <v>479.2132558053184</v>
      </c>
      <c r="F69" s="3095">
        <v>2066</v>
      </c>
      <c r="G69" s="186">
        <f t="shared" si="62"/>
        <v>1.5099999999999891E-2</v>
      </c>
      <c r="H69" s="3125">
        <f t="shared" si="34"/>
        <v>21.640231718942829</v>
      </c>
      <c r="I69" s="3125">
        <f t="shared" si="35"/>
        <v>24.437146448111676</v>
      </c>
      <c r="J69" s="3125">
        <f t="shared" si="36"/>
        <v>24.78159355618623</v>
      </c>
      <c r="K69" s="3125">
        <f t="shared" si="37"/>
        <v>21.640231718942829</v>
      </c>
      <c r="L69" s="3125">
        <f t="shared" si="38"/>
        <v>24.437146448111676</v>
      </c>
      <c r="M69" s="3125">
        <f t="shared" si="11"/>
        <v>24.437146448111676</v>
      </c>
      <c r="N69" s="3278">
        <f t="shared" si="39"/>
        <v>22.961075126893508</v>
      </c>
      <c r="O69" s="3429">
        <v>22.961075126893508</v>
      </c>
      <c r="P69" s="3429">
        <v>40.437971201109264</v>
      </c>
      <c r="Q69" s="3430">
        <v>8.713608985624564</v>
      </c>
      <c r="R69" s="3126">
        <f t="shared" si="32"/>
        <v>2.7493974987868008</v>
      </c>
      <c r="S69" s="1471">
        <f t="shared" si="47"/>
        <v>2.7493974987868008</v>
      </c>
      <c r="T69" s="1471">
        <f t="shared" si="66"/>
        <v>4.2314935126991422</v>
      </c>
      <c r="U69" s="1471">
        <f t="shared" si="67"/>
        <v>1.6381274084322424</v>
      </c>
      <c r="V69" s="1472">
        <f t="shared" si="33"/>
        <v>5.8308746885395584</v>
      </c>
      <c r="W69" s="1472">
        <f t="shared" si="49"/>
        <v>5.8308746885395584</v>
      </c>
      <c r="X69" s="1472">
        <f t="shared" si="68"/>
        <v>10.14572195805887</v>
      </c>
      <c r="Y69" s="1472">
        <f t="shared" si="69"/>
        <v>4.2565385226338988</v>
      </c>
      <c r="AG69" s="1778">
        <f t="shared" si="43"/>
        <v>5.8512210775631228</v>
      </c>
      <c r="AH69" s="1779">
        <f t="shared" si="29"/>
        <v>5.8512210775631228</v>
      </c>
      <c r="AI69" s="1779">
        <f t="shared" si="30"/>
        <v>7.3140263469539164</v>
      </c>
      <c r="AJ69" s="1780">
        <f t="shared" si="31"/>
        <v>4.3884158081723506</v>
      </c>
      <c r="AK69" s="1475">
        <v>0</v>
      </c>
      <c r="AL69" s="3314">
        <f t="shared" si="17"/>
        <v>479.2132558053184</v>
      </c>
      <c r="AM69" s="1476">
        <f t="shared" si="44"/>
        <v>958.42651161063759</v>
      </c>
      <c r="AN69" s="1476">
        <f t="shared" si="45"/>
        <v>319.47550387021226</v>
      </c>
      <c r="AO69" s="3319">
        <f t="shared" si="42"/>
        <v>1491.4822776387141</v>
      </c>
      <c r="AP69" s="874"/>
      <c r="AQ69" s="874"/>
    </row>
    <row r="70" spans="1:43">
      <c r="A70" s="1035">
        <f>A69+1</f>
        <v>2067</v>
      </c>
      <c r="B70" s="1035"/>
      <c r="C70" s="98">
        <f t="shared" si="40"/>
        <v>0</v>
      </c>
      <c r="D70" s="98">
        <f t="shared" si="41"/>
        <v>510.77184476637757</v>
      </c>
      <c r="F70" s="3095">
        <v>2067</v>
      </c>
      <c r="G70" s="186">
        <f t="shared" si="62"/>
        <v>1.5099999999999891E-2</v>
      </c>
      <c r="H70" s="3125">
        <f t="shared" si="34"/>
        <v>22.227400535767249</v>
      </c>
      <c r="I70" s="3125">
        <f t="shared" si="35"/>
        <v>25.113700700056562</v>
      </c>
      <c r="J70" s="3125">
        <f t="shared" si="36"/>
        <v>25.475670072731532</v>
      </c>
      <c r="K70" s="3125">
        <f t="shared" si="37"/>
        <v>22.227400535767249</v>
      </c>
      <c r="L70" s="3125">
        <f t="shared" si="38"/>
        <v>25.113700700056562</v>
      </c>
      <c r="M70" s="3125">
        <f t="shared" si="11"/>
        <v>25.113700700056562</v>
      </c>
      <c r="N70" s="3278">
        <f t="shared" si="39"/>
        <v>23.753695642898144</v>
      </c>
      <c r="O70" s="3429">
        <v>23.753695642898144</v>
      </c>
      <c r="P70" s="3429">
        <v>41.963253480516997</v>
      </c>
      <c r="Q70" s="3430">
        <v>8.9465705025555451</v>
      </c>
      <c r="R70" s="3126">
        <f t="shared" si="32"/>
        <v>2.8117589866987025</v>
      </c>
      <c r="S70" s="1471">
        <f t="shared" si="47"/>
        <v>2.8117589866987025</v>
      </c>
      <c r="T70" s="1471">
        <f t="shared" si="66"/>
        <v>4.3595046909927584</v>
      </c>
      <c r="U70" s="1471">
        <f t="shared" si="67"/>
        <v>1.6605565163681224</v>
      </c>
      <c r="V70" s="1472">
        <f t="shared" si="33"/>
        <v>5.936274035240106</v>
      </c>
      <c r="W70" s="1472">
        <f t="shared" si="49"/>
        <v>5.936274035240106</v>
      </c>
      <c r="X70" s="1472">
        <f t="shared" si="68"/>
        <v>10.329116821317825</v>
      </c>
      <c r="Y70" s="1472">
        <f t="shared" si="69"/>
        <v>4.3334800457252989</v>
      </c>
      <c r="AG70" s="1778">
        <f t="shared" si="43"/>
        <v>5.9624636512530982</v>
      </c>
      <c r="AH70" s="1779">
        <f t="shared" si="29"/>
        <v>5.9624636512530982</v>
      </c>
      <c r="AI70" s="1779">
        <f t="shared" si="30"/>
        <v>7.4530795640663854</v>
      </c>
      <c r="AJ70" s="1780">
        <f t="shared" si="31"/>
        <v>4.4718477384398314</v>
      </c>
      <c r="AK70" s="1475">
        <v>0</v>
      </c>
      <c r="AL70" s="3314">
        <f t="shared" si="17"/>
        <v>510.77184476637757</v>
      </c>
      <c r="AM70" s="1476">
        <f t="shared" si="44"/>
        <v>1021.5436895327562</v>
      </c>
      <c r="AN70" s="1476">
        <f t="shared" si="45"/>
        <v>340.51456317758505</v>
      </c>
      <c r="AO70" s="3319">
        <f t="shared" si="42"/>
        <v>1589.7038430326115</v>
      </c>
      <c r="AP70" s="874"/>
      <c r="AQ70" s="874"/>
    </row>
    <row r="71" spans="1:43">
      <c r="A71" s="1035">
        <f>A70+1</f>
        <v>2068</v>
      </c>
      <c r="B71" s="1035"/>
      <c r="C71" s="98">
        <f t="shared" si="40"/>
        <v>0</v>
      </c>
      <c r="D71" s="98">
        <f t="shared" si="41"/>
        <v>544.40872460346736</v>
      </c>
      <c r="F71" s="3095">
        <v>2068</v>
      </c>
      <c r="G71" s="186">
        <f t="shared" si="62"/>
        <v>1.5099999999999891E-2</v>
      </c>
      <c r="H71" s="3125">
        <f t="shared" si="34"/>
        <v>22.830487590124207</v>
      </c>
      <c r="I71" s="3125">
        <f t="shared" si="35"/>
        <v>25.808919652980698</v>
      </c>
      <c r="J71" s="3125">
        <f t="shared" si="36"/>
        <v>26.189118034680778</v>
      </c>
      <c r="K71" s="3125">
        <f t="shared" si="37"/>
        <v>22.830487590124207</v>
      </c>
      <c r="L71" s="3125">
        <f t="shared" si="38"/>
        <v>25.808919652980698</v>
      </c>
      <c r="M71" s="3125">
        <f t="shared" si="11"/>
        <v>25.808919652980698</v>
      </c>
      <c r="N71" s="3278">
        <f t="shared" si="39"/>
        <v>24.54631615890278</v>
      </c>
      <c r="O71" s="3429">
        <v>24.54631615890278</v>
      </c>
      <c r="P71" s="3429">
        <v>43.49758505402513</v>
      </c>
      <c r="Q71" s="3430">
        <v>9.1755305915440797</v>
      </c>
      <c r="R71" s="3126">
        <f t="shared" si="32"/>
        <v>2.8755345920775803</v>
      </c>
      <c r="S71" s="1471">
        <f t="shared" si="47"/>
        <v>2.8755345920775803</v>
      </c>
      <c r="T71" s="1471">
        <f t="shared" si="66"/>
        <v>4.4913883200044689</v>
      </c>
      <c r="U71" s="1471">
        <f t="shared" si="67"/>
        <v>1.6832923892372829</v>
      </c>
      <c r="V71" s="1472">
        <f t="shared" si="33"/>
        <v>6.0435789211849169</v>
      </c>
      <c r="W71" s="1472">
        <f t="shared" si="49"/>
        <v>6.0435789211849169</v>
      </c>
      <c r="X71" s="1472">
        <f t="shared" si="68"/>
        <v>10.515827322861799</v>
      </c>
      <c r="Y71" s="1472">
        <f t="shared" si="69"/>
        <v>4.4118126124650132</v>
      </c>
      <c r="AG71" s="1778">
        <f t="shared" si="43"/>
        <v>6.0758211527567942</v>
      </c>
      <c r="AH71" s="1779">
        <f t="shared" si="29"/>
        <v>6.0758211527567942</v>
      </c>
      <c r="AI71" s="1779">
        <f t="shared" si="30"/>
        <v>7.594776440946009</v>
      </c>
      <c r="AJ71" s="1780">
        <f t="shared" si="31"/>
        <v>4.5568658645676061</v>
      </c>
      <c r="AK71" s="1475">
        <v>0</v>
      </c>
      <c r="AL71" s="3314">
        <f t="shared" si="17"/>
        <v>544.40872460346736</v>
      </c>
      <c r="AM71" s="1476">
        <f t="shared" si="44"/>
        <v>1088.8174492069356</v>
      </c>
      <c r="AN71" s="1476">
        <f t="shared" si="45"/>
        <v>362.93914973564489</v>
      </c>
      <c r="AO71" s="3319">
        <f t="shared" si="42"/>
        <v>1694.3937896155239</v>
      </c>
      <c r="AP71" s="874"/>
      <c r="AQ71" s="874"/>
    </row>
    <row r="72" spans="1:43">
      <c r="C72" s="98"/>
      <c r="F72" s="3095">
        <v>2069</v>
      </c>
      <c r="G72" s="186">
        <f t="shared" si="62"/>
        <v>1.5099999999999891E-2</v>
      </c>
      <c r="H72" s="3125">
        <f t="shared" si="34"/>
        <v>23.449964322615354</v>
      </c>
      <c r="I72" s="3125">
        <f t="shared" si="35"/>
        <v>26.523355360082768</v>
      </c>
      <c r="J72" s="3125">
        <f t="shared" si="36"/>
        <v>26.922516425835713</v>
      </c>
      <c r="K72" s="3125">
        <f t="shared" si="37"/>
        <v>23.449964322615354</v>
      </c>
      <c r="L72" s="3125">
        <f t="shared" si="38"/>
        <v>26.523355360082768</v>
      </c>
      <c r="M72" s="3125">
        <f t="shared" si="11"/>
        <v>26.523355360082768</v>
      </c>
      <c r="N72" s="3278">
        <f t="shared" si="39"/>
        <v>25.338936674907416</v>
      </c>
      <c r="O72" s="3429">
        <v>25.338936674907416</v>
      </c>
      <c r="P72" s="3429">
        <v>45.041005821423397</v>
      </c>
      <c r="Q72" s="3430">
        <v>9.4005373805560435</v>
      </c>
      <c r="R72" s="3126">
        <f t="shared" si="32"/>
        <v>2.9407560517786755</v>
      </c>
      <c r="S72" s="1471">
        <f t="shared" si="47"/>
        <v>2.9407560517786755</v>
      </c>
      <c r="T72" s="1471">
        <f t="shared" si="66"/>
        <v>4.6272609619727154</v>
      </c>
      <c r="U72" s="1471">
        <f t="shared" si="67"/>
        <v>1.7063391967989683</v>
      </c>
      <c r="V72" s="1472">
        <f t="shared" si="33"/>
        <v>6.1528243262849847</v>
      </c>
      <c r="W72" s="1472">
        <f t="shared" si="49"/>
        <v>6.1528243262849847</v>
      </c>
      <c r="X72" s="1472">
        <f t="shared" si="68"/>
        <v>10.705914327735922</v>
      </c>
      <c r="Y72" s="1472">
        <f t="shared" si="69"/>
        <v>4.4915617581880642</v>
      </c>
      <c r="AG72" s="1778">
        <f t="shared" si="43"/>
        <v>6.1913337907776684</v>
      </c>
      <c r="AH72" s="1779">
        <f t="shared" si="29"/>
        <v>6.1913337907776684</v>
      </c>
      <c r="AI72" s="1779">
        <f t="shared" si="30"/>
        <v>7.7391672384721018</v>
      </c>
      <c r="AJ72" s="1780">
        <f t="shared" si="31"/>
        <v>4.6435003430832618</v>
      </c>
      <c r="AK72" s="1475">
        <v>0</v>
      </c>
      <c r="AL72" s="3314">
        <f t="shared" si="17"/>
        <v>580.26076116222862</v>
      </c>
      <c r="AM72" s="1476">
        <f t="shared" si="44"/>
        <v>1160.5215223244581</v>
      </c>
      <c r="AN72" s="1476">
        <f t="shared" si="45"/>
        <v>386.84050744148573</v>
      </c>
      <c r="AO72" s="3319">
        <f t="shared" si="42"/>
        <v>1805.9780926306541</v>
      </c>
      <c r="AP72" s="874"/>
      <c r="AQ72" s="874"/>
    </row>
    <row r="73" spans="1:43">
      <c r="C73" s="98"/>
      <c r="F73" s="3095">
        <v>2070</v>
      </c>
      <c r="G73" s="186">
        <f t="shared" si="62"/>
        <v>1.5099999999999891E-2</v>
      </c>
      <c r="H73" s="3125">
        <f t="shared" si="34"/>
        <v>24.086312138367379</v>
      </c>
      <c r="I73" s="3125">
        <f t="shared" si="35"/>
        <v>27.25759550177856</v>
      </c>
      <c r="J73" s="3125">
        <f t="shared" si="36"/>
        <v>27.67648145334832</v>
      </c>
      <c r="K73" s="3125">
        <f t="shared" si="37"/>
        <v>24.086312138367379</v>
      </c>
      <c r="L73" s="3125">
        <f t="shared" si="38"/>
        <v>27.25759550177856</v>
      </c>
      <c r="M73" s="3125">
        <f t="shared" si="11"/>
        <v>27.25759550177856</v>
      </c>
      <c r="N73" s="3278">
        <f t="shared" si="39"/>
        <v>26.131557190912055</v>
      </c>
      <c r="O73" s="3429">
        <v>26.131557190912055</v>
      </c>
      <c r="P73" s="3429">
        <v>46.593555261651225</v>
      </c>
      <c r="Q73" s="3430">
        <v>9.6216387188962322</v>
      </c>
      <c r="R73" s="3126">
        <f t="shared" ref="R73:R78" si="70">IF(CostScenario="Higher Cost",T73,IF(CostScenario="Lower Cost",U73,S73))</f>
        <v>3.0074561851893913</v>
      </c>
      <c r="S73" s="1471">
        <f t="shared" si="47"/>
        <v>3.0074561851893913</v>
      </c>
      <c r="T73" s="1471">
        <f t="shared" si="66"/>
        <v>4.7672431108799724</v>
      </c>
      <c r="U73" s="1471">
        <f t="shared" si="67"/>
        <v>1.7297013303113054</v>
      </c>
      <c r="V73" s="1472">
        <f t="shared" ref="V73:V78" si="71">IF(CostScenario="Higher Cost",X73,IF(CostScenario="Lower Cost",Y73,W73))</f>
        <v>6.2640453506254747</v>
      </c>
      <c r="W73" s="1472">
        <f t="shared" si="49"/>
        <v>6.2640453506254747</v>
      </c>
      <c r="X73" s="1472">
        <f t="shared" si="68"/>
        <v>10.899438910088378</v>
      </c>
      <c r="Y73" s="1472">
        <f t="shared" si="69"/>
        <v>4.5727531059566235</v>
      </c>
      <c r="AG73" s="1778">
        <f t="shared" si="43"/>
        <v>6.3090425384612647</v>
      </c>
      <c r="AH73" s="1779">
        <f t="shared" si="29"/>
        <v>6.3090425384612647</v>
      </c>
      <c r="AI73" s="1779">
        <f t="shared" si="30"/>
        <v>7.8863031730765973</v>
      </c>
      <c r="AJ73" s="1780">
        <f t="shared" si="31"/>
        <v>4.7317819038459596</v>
      </c>
      <c r="AK73" s="1475">
        <v>0</v>
      </c>
      <c r="AL73" s="3314">
        <f t="shared" si="17"/>
        <v>618.47383358856712</v>
      </c>
      <c r="AM73" s="1476">
        <f t="shared" si="44"/>
        <v>1236.9476671771354</v>
      </c>
      <c r="AN73" s="1476">
        <f t="shared" si="45"/>
        <v>412.31588905904476</v>
      </c>
      <c r="AO73" s="3319">
        <f t="shared" si="42"/>
        <v>1924.9107799208459</v>
      </c>
      <c r="AP73" s="874"/>
      <c r="AQ73" s="874"/>
    </row>
    <row r="74" spans="1:43">
      <c r="C74" s="98"/>
      <c r="F74" s="3095">
        <v>2071</v>
      </c>
      <c r="G74" s="186">
        <f t="shared" si="62"/>
        <v>1.5099999999999891E-2</v>
      </c>
      <c r="H74" s="3125">
        <f t="shared" si="34"/>
        <v>24.740006348693697</v>
      </c>
      <c r="I74" s="3125">
        <f t="shared" si="35"/>
        <v>28.012252518820087</v>
      </c>
      <c r="J74" s="3125">
        <f t="shared" si="36"/>
        <v>28.451655381656174</v>
      </c>
      <c r="K74" s="3125">
        <f t="shared" si="37"/>
        <v>24.740006348693697</v>
      </c>
      <c r="L74" s="3125">
        <f t="shared" si="38"/>
        <v>28.012252518820087</v>
      </c>
      <c r="M74" s="3125">
        <f>L74</f>
        <v>28.012252518820087</v>
      </c>
      <c r="N74" s="3278">
        <f t="shared" si="39"/>
        <v>26.940416551472207</v>
      </c>
      <c r="O74" s="3278">
        <f t="shared" ref="O74:Q78" si="72">AVERAGE(O64:O73)/AVERAGE(O63:O72)*O73</f>
        <v>26.940416551472207</v>
      </c>
      <c r="P74" s="3278">
        <f t="shared" si="72"/>
        <v>48.184975966329873</v>
      </c>
      <c r="Q74" s="3279">
        <f t="shared" si="72"/>
        <v>9.8444851281123569</v>
      </c>
      <c r="R74" s="3126">
        <f t="shared" si="70"/>
        <v>3.0756688635964209</v>
      </c>
      <c r="S74" s="1471">
        <f t="shared" si="47"/>
        <v>3.0756688635964209</v>
      </c>
      <c r="T74" s="1471">
        <f t="shared" si="66"/>
        <v>4.9114593662762207</v>
      </c>
      <c r="U74" s="1471">
        <f t="shared" si="67"/>
        <v>1.7533833377066512</v>
      </c>
      <c r="V74" s="1472">
        <f t="shared" si="71"/>
        <v>6.3772773461354015</v>
      </c>
      <c r="W74" s="1472">
        <f t="shared" si="49"/>
        <v>6.3772773461354015</v>
      </c>
      <c r="X74" s="1472">
        <f t="shared" si="68"/>
        <v>11.096462582275656</v>
      </c>
      <c r="Y74" s="1472">
        <f t="shared" si="69"/>
        <v>4.6554124626788722</v>
      </c>
      <c r="AG74" s="1778">
        <f t="shared" si="43"/>
        <v>6.4289891479286769</v>
      </c>
      <c r="AH74" s="1779">
        <f t="shared" si="29"/>
        <v>6.4289891479286769</v>
      </c>
      <c r="AI74" s="1779">
        <f t="shared" si="30"/>
        <v>8.0362364349108653</v>
      </c>
      <c r="AJ74" s="1780">
        <f t="shared" si="31"/>
        <v>4.8217418609465206</v>
      </c>
      <c r="AK74" s="1475">
        <v>0</v>
      </c>
      <c r="AL74" s="3314">
        <f t="shared" si="17"/>
        <v>659.20342789954213</v>
      </c>
      <c r="AM74" s="1476">
        <f t="shared" si="44"/>
        <v>1318.4068557990856</v>
      </c>
      <c r="AN74" s="1476">
        <f t="shared" si="45"/>
        <v>439.46895193302811</v>
      </c>
      <c r="AO74" s="3319">
        <f t="shared" si="42"/>
        <v>2051.6757793325332</v>
      </c>
      <c r="AP74" s="874"/>
      <c r="AQ74" s="874"/>
    </row>
    <row r="75" spans="1:43">
      <c r="C75" s="98"/>
      <c r="F75" s="3095">
        <v>2072</v>
      </c>
      <c r="G75" s="186">
        <f t="shared" si="62"/>
        <v>1.5099999999999891E-2</v>
      </c>
      <c r="H75" s="3125">
        <f t="shared" si="34"/>
        <v>25.411386297927947</v>
      </c>
      <c r="I75" s="3125">
        <f t="shared" si="35"/>
        <v>28.787790148743728</v>
      </c>
      <c r="J75" s="3125">
        <f t="shared" si="36"/>
        <v>29.248527109872391</v>
      </c>
      <c r="K75" s="3125">
        <f t="shared" si="37"/>
        <v>25.411386297927947</v>
      </c>
      <c r="L75" s="3125">
        <f t="shared" si="38"/>
        <v>28.787790148743728</v>
      </c>
      <c r="M75" s="3125">
        <f>L75</f>
        <v>28.787790148743728</v>
      </c>
      <c r="N75" s="3125">
        <f t="shared" si="39"/>
        <v>27.77688403071183</v>
      </c>
      <c r="O75" s="3125">
        <f t="shared" si="72"/>
        <v>27.77688403071183</v>
      </c>
      <c r="P75" s="3125">
        <f t="shared" si="72"/>
        <v>49.835338627983205</v>
      </c>
      <c r="Q75" s="3125">
        <f t="shared" si="72"/>
        <v>10.073437855271081</v>
      </c>
      <c r="R75" s="3126">
        <f t="shared" si="70"/>
        <v>3.1454288358906286</v>
      </c>
      <c r="S75" s="1471">
        <f t="shared" si="47"/>
        <v>3.1454288358906286</v>
      </c>
      <c r="T75" s="1471">
        <f t="shared" si="66"/>
        <v>5.0600383825964066</v>
      </c>
      <c r="U75" s="1471">
        <f t="shared" si="67"/>
        <v>1.7773897950121296</v>
      </c>
      <c r="V75" s="1472">
        <f t="shared" si="71"/>
        <v>6.4925561553249933</v>
      </c>
      <c r="W75" s="1472">
        <f t="shared" si="49"/>
        <v>6.4925561553249933</v>
      </c>
      <c r="X75" s="1472">
        <f t="shared" si="68"/>
        <v>11.297047710265549</v>
      </c>
      <c r="Y75" s="1472">
        <f t="shared" si="69"/>
        <v>4.7395659933872771</v>
      </c>
      <c r="AG75" s="1778">
        <f t="shared" si="43"/>
        <v>6.5512161650863261</v>
      </c>
      <c r="AH75" s="1779">
        <f t="shared" si="29"/>
        <v>6.5512161650863261</v>
      </c>
      <c r="AI75" s="1779">
        <f t="shared" si="30"/>
        <v>8.1890202063579274</v>
      </c>
      <c r="AJ75" s="1780">
        <f t="shared" si="31"/>
        <v>4.9134121238147586</v>
      </c>
      <c r="AK75" s="1475">
        <v>0</v>
      </c>
      <c r="AL75" s="3314">
        <f t="shared" si="17"/>
        <v>702.61526964386644</v>
      </c>
      <c r="AM75" s="1476">
        <f t="shared" si="44"/>
        <v>1405.2305392877342</v>
      </c>
      <c r="AN75" s="1476">
        <f t="shared" si="45"/>
        <v>468.41017976257763</v>
      </c>
      <c r="AO75" s="3319">
        <f t="shared" si="42"/>
        <v>2186.7888877804771</v>
      </c>
      <c r="AP75" s="874"/>
      <c r="AQ75" s="874"/>
    </row>
    <row r="76" spans="1:43">
      <c r="F76" s="3095">
        <v>2073</v>
      </c>
      <c r="G76" s="186">
        <f t="shared" si="62"/>
        <v>1.5099999999999891E-2</v>
      </c>
      <c r="H76" s="3125">
        <f t="shared" si="34"/>
        <v>26.100953646737679</v>
      </c>
      <c r="I76" s="3125">
        <f t="shared" si="35"/>
        <v>29.584791280869581</v>
      </c>
      <c r="J76" s="3125">
        <f t="shared" si="36"/>
        <v>30.067709446586871</v>
      </c>
      <c r="K76" s="3125">
        <f t="shared" si="37"/>
        <v>26.100953646737679</v>
      </c>
      <c r="L76" s="3125">
        <f t="shared" si="38"/>
        <v>29.584791280869581</v>
      </c>
      <c r="M76" s="3125">
        <f>L76</f>
        <v>29.584791280869581</v>
      </c>
      <c r="N76" s="3125">
        <f>IF(CostScenario="Higher Cost",P76,IF(CostScenario="Lower Cost",Q76,O76))</f>
        <v>28.644224374780912</v>
      </c>
      <c r="O76" s="3125">
        <f t="shared" si="72"/>
        <v>28.644224374780912</v>
      </c>
      <c r="P76" s="3125">
        <f t="shared" si="72"/>
        <v>51.550948275906407</v>
      </c>
      <c r="Q76" s="3125">
        <f t="shared" si="72"/>
        <v>10.309528303303972</v>
      </c>
      <c r="R76" s="3126">
        <f t="shared" si="70"/>
        <v>3.2167713491528676</v>
      </c>
      <c r="S76" s="1471">
        <f t="shared" si="47"/>
        <v>3.2167713491528676</v>
      </c>
      <c r="T76" s="1471">
        <f t="shared" si="66"/>
        <v>5.2131124774979396</v>
      </c>
      <c r="U76" s="1471">
        <f t="shared" si="67"/>
        <v>1.8017250916096927</v>
      </c>
      <c r="V76" s="1472">
        <f t="shared" si="71"/>
        <v>6.6099184930596682</v>
      </c>
      <c r="W76" s="1472">
        <f t="shared" si="49"/>
        <v>6.6099184930596682</v>
      </c>
      <c r="X76" s="1472">
        <f t="shared" si="68"/>
        <v>11.501258177923889</v>
      </c>
      <c r="Y76" s="1472">
        <f t="shared" si="69"/>
        <v>4.8252404999335914</v>
      </c>
      <c r="AG76" s="1778">
        <f t="shared" si="43"/>
        <v>6.6757669447172825</v>
      </c>
      <c r="AH76" s="1779">
        <f t="shared" si="29"/>
        <v>6.6757669447172825</v>
      </c>
      <c r="AI76" s="1779">
        <f t="shared" si="30"/>
        <v>8.3447086808966251</v>
      </c>
      <c r="AJ76" s="1780">
        <f t="shared" si="31"/>
        <v>5.0068252085379754</v>
      </c>
      <c r="AK76" s="1475">
        <v>0</v>
      </c>
      <c r="AL76" s="3314">
        <f t="shared" si="17"/>
        <v>748.88599822626327</v>
      </c>
      <c r="AM76" s="1476">
        <f t="shared" si="44"/>
        <v>1497.7719964525279</v>
      </c>
      <c r="AN76" s="1476">
        <f t="shared" si="45"/>
        <v>499.25733215084216</v>
      </c>
      <c r="AO76" s="3319">
        <f t="shared" si="42"/>
        <v>2330.7998699852601</v>
      </c>
      <c r="AP76" s="874"/>
      <c r="AQ76" s="874"/>
    </row>
    <row r="77" spans="1:43">
      <c r="F77" s="3095">
        <v>2074</v>
      </c>
      <c r="G77" s="186">
        <f t="shared" si="62"/>
        <v>1.5099999999999891E-2</v>
      </c>
      <c r="H77" s="3125">
        <f t="shared" si="34"/>
        <v>26.809219104013941</v>
      </c>
      <c r="I77" s="3125">
        <f t="shared" si="35"/>
        <v>30.403852856338027</v>
      </c>
      <c r="J77" s="3125">
        <f t="shared" si="36"/>
        <v>30.909830153094692</v>
      </c>
      <c r="K77" s="3125">
        <f t="shared" si="37"/>
        <v>26.809219104013941</v>
      </c>
      <c r="L77" s="3125">
        <f t="shared" si="38"/>
        <v>30.403852856338027</v>
      </c>
      <c r="M77" s="3125">
        <f>L77</f>
        <v>30.403852856338027</v>
      </c>
      <c r="N77" s="3125">
        <f>IF(CostScenario="Higher Cost",P77,IF(CostScenario="Lower Cost",Q77,O77))</f>
        <v>29.546088396245153</v>
      </c>
      <c r="O77" s="3125">
        <f t="shared" si="72"/>
        <v>29.546088396245153</v>
      </c>
      <c r="P77" s="3125">
        <f t="shared" si="72"/>
        <v>53.338863829710043</v>
      </c>
      <c r="Q77" s="3125">
        <f t="shared" si="72"/>
        <v>10.553901397263566</v>
      </c>
      <c r="R77" s="3126">
        <f t="shared" si="70"/>
        <v>3.2897322816304397</v>
      </c>
      <c r="S77" s="1471">
        <f t="shared" si="47"/>
        <v>3.2897322816304397</v>
      </c>
      <c r="T77" s="1471">
        <f t="shared" si="66"/>
        <v>5.3708176888946744</v>
      </c>
      <c r="U77" s="1471">
        <f t="shared" si="67"/>
        <v>1.8263936597317265</v>
      </c>
      <c r="V77" s="1472">
        <f t="shared" si="71"/>
        <v>6.7294019527144746</v>
      </c>
      <c r="W77" s="1472">
        <f t="shared" si="49"/>
        <v>6.7294019527144746</v>
      </c>
      <c r="X77" s="1472">
        <f t="shared" si="68"/>
        <v>11.709159397723253</v>
      </c>
      <c r="Y77" s="1472">
        <f t="shared" si="69"/>
        <v>4.9124634254816018</v>
      </c>
      <c r="AG77" s="1778">
        <f t="shared" si="43"/>
        <v>6.8026856658595181</v>
      </c>
      <c r="AH77" s="1779">
        <f t="shared" si="29"/>
        <v>6.8026856658595181</v>
      </c>
      <c r="AI77" s="1779">
        <f t="shared" si="30"/>
        <v>8.503357082324424</v>
      </c>
      <c r="AJ77" s="1780">
        <f t="shared" si="31"/>
        <v>5.1020142493946548</v>
      </c>
      <c r="AK77" s="1475">
        <v>0</v>
      </c>
      <c r="AL77" s="3314">
        <f t="shared" si="17"/>
        <v>798.2038856394538</v>
      </c>
      <c r="AM77" s="1476">
        <f t="shared" si="44"/>
        <v>1596.407771278909</v>
      </c>
      <c r="AN77" s="1476">
        <f t="shared" si="45"/>
        <v>532.13592375963583</v>
      </c>
      <c r="AO77" s="3319">
        <f t="shared" si="42"/>
        <v>2484.2946954231388</v>
      </c>
      <c r="AP77" s="874"/>
      <c r="AQ77" s="874"/>
    </row>
    <row r="78" spans="1:43">
      <c r="F78" s="3095">
        <v>2075</v>
      </c>
      <c r="G78" s="186">
        <f t="shared" si="62"/>
        <v>1.5099999999999891E-2</v>
      </c>
      <c r="H78" s="3125">
        <f t="shared" si="34"/>
        <v>27.536700566848026</v>
      </c>
      <c r="I78" s="3125">
        <f t="shared" si="35"/>
        <v>31.24558507519934</v>
      </c>
      <c r="J78" s="3125">
        <f t="shared" si="36"/>
        <v>31.775531144669166</v>
      </c>
      <c r="K78" s="3125">
        <f t="shared" si="37"/>
        <v>27.536700566848026</v>
      </c>
      <c r="L78" s="3125">
        <f t="shared" si="38"/>
        <v>31.24558507519934</v>
      </c>
      <c r="M78" s="3125">
        <f>L78</f>
        <v>31.24558507519934</v>
      </c>
      <c r="N78" s="3125">
        <f>IF(CostScenario="Higher Cost",P78,IF(CostScenario="Lower Cost",Q78,O78))</f>
        <v>30.48655862764392</v>
      </c>
      <c r="O78" s="3125">
        <f t="shared" si="72"/>
        <v>30.48655862764392</v>
      </c>
      <c r="P78" s="3125">
        <f t="shared" si="72"/>
        <v>55.206988658961983</v>
      </c>
      <c r="Q78" s="3125">
        <f t="shared" si="72"/>
        <v>10.80782847221815</v>
      </c>
      <c r="R78" s="3126">
        <f t="shared" si="70"/>
        <v>3.3643482318097453</v>
      </c>
      <c r="S78" s="1471">
        <f t="shared" si="47"/>
        <v>3.3643482318097453</v>
      </c>
      <c r="T78" s="1471">
        <f t="shared" si="66"/>
        <v>5.5332940069538523</v>
      </c>
      <c r="U78" s="1471">
        <f t="shared" si="67"/>
        <v>1.8513999937785688</v>
      </c>
      <c r="V78" s="1472">
        <f t="shared" si="71"/>
        <v>6.8510449666081064</v>
      </c>
      <c r="W78" s="1472">
        <f t="shared" si="49"/>
        <v>6.8510449666081064</v>
      </c>
      <c r="X78" s="1472">
        <f t="shared" si="68"/>
        <v>11.920818241898177</v>
      </c>
      <c r="Y78" s="1472">
        <f t="shared" si="69"/>
        <v>5.0012628256239546</v>
      </c>
      <c r="AG78" s="1778">
        <f t="shared" si="43"/>
        <v>6.932017347476525</v>
      </c>
      <c r="AH78" s="1779">
        <f t="shared" si="29"/>
        <v>6.932017347476525</v>
      </c>
      <c r="AI78" s="1779">
        <f t="shared" si="30"/>
        <v>8.6650216843456853</v>
      </c>
      <c r="AJ78" s="1780">
        <f t="shared" si="31"/>
        <v>5.1990130106074108</v>
      </c>
      <c r="AK78" s="1475">
        <v>0</v>
      </c>
      <c r="AL78" s="3314">
        <f t="shared" si="17"/>
        <v>850.76960252823983</v>
      </c>
      <c r="AM78" s="1476">
        <f t="shared" si="44"/>
        <v>1701.5392050564813</v>
      </c>
      <c r="AN78" s="1476">
        <f t="shared" si="45"/>
        <v>567.17973501882659</v>
      </c>
      <c r="AO78" s="3319">
        <f t="shared" si="42"/>
        <v>2647.8979225902294</v>
      </c>
      <c r="AP78" s="874"/>
      <c r="AQ78" s="874"/>
    </row>
    <row r="79" spans="1:43">
      <c r="A79" s="545" t="s">
        <v>494</v>
      </c>
      <c r="B79" s="545"/>
      <c r="C79" s="545">
        <v>1</v>
      </c>
      <c r="F79" s="2330" t="s">
        <v>1904</v>
      </c>
    </row>
    <row r="80" spans="1:43" s="2329" customFormat="1">
      <c r="AJ80" s="3"/>
      <c r="AK80" s="1362"/>
    </row>
    <row r="81" spans="1:75" s="2329" customFormat="1">
      <c r="AJ81" s="3"/>
      <c r="AK81" s="1362"/>
    </row>
    <row r="83" spans="1:75" s="2329" customFormat="1" ht="26.25">
      <c r="A83" s="3089" t="s">
        <v>1808</v>
      </c>
      <c r="AJ83" s="3"/>
      <c r="AK83" s="3090"/>
    </row>
    <row r="84" spans="1:75" s="2329" customFormat="1">
      <c r="AJ84" s="3"/>
      <c r="AK84" s="3090"/>
    </row>
    <row r="85" spans="1:75" s="2329" customFormat="1" ht="16.5" thickBot="1">
      <c r="B85" s="3091"/>
      <c r="C85" s="3269" t="s">
        <v>1955</v>
      </c>
      <c r="D85" s="1"/>
      <c r="E85" s="1"/>
      <c r="F85" s="1"/>
      <c r="G85" s="1" t="s">
        <v>1809</v>
      </c>
      <c r="H85" s="1"/>
      <c r="I85" s="1"/>
      <c r="J85" s="1"/>
      <c r="K85" s="1"/>
      <c r="L85" s="1"/>
      <c r="M85" s="1"/>
      <c r="N85" s="1"/>
      <c r="AK85" s="3"/>
      <c r="AL85" s="3090"/>
    </row>
    <row r="86" spans="1:75" s="3095" customFormat="1">
      <c r="B86" s="3092"/>
      <c r="C86" s="4626"/>
      <c r="D86" s="4627"/>
      <c r="E86" s="4628"/>
      <c r="F86" s="3107">
        <v>2006</v>
      </c>
      <c r="G86" s="3093">
        <v>2007</v>
      </c>
      <c r="H86" s="3093">
        <v>2008</v>
      </c>
      <c r="I86" s="3093">
        <v>2009</v>
      </c>
      <c r="J86" s="3093">
        <v>2010</v>
      </c>
      <c r="K86" s="3093">
        <v>2011</v>
      </c>
      <c r="L86" s="3093">
        <v>2012</v>
      </c>
      <c r="M86" s="3093">
        <v>2013</v>
      </c>
      <c r="N86" s="3093">
        <v>2014</v>
      </c>
      <c r="O86" s="3093">
        <v>2015</v>
      </c>
      <c r="P86" s="3093">
        <v>2016</v>
      </c>
      <c r="Q86" s="3093">
        <v>2017</v>
      </c>
      <c r="R86" s="3093">
        <v>2018</v>
      </c>
      <c r="S86" s="3093">
        <v>2019</v>
      </c>
      <c r="T86" s="3093">
        <v>2020</v>
      </c>
      <c r="U86" s="3093">
        <v>2021</v>
      </c>
      <c r="V86" s="3093">
        <v>2022</v>
      </c>
      <c r="W86" s="3093">
        <v>2023</v>
      </c>
      <c r="X86" s="3093">
        <v>2024</v>
      </c>
      <c r="Y86" s="3093">
        <v>2025</v>
      </c>
      <c r="Z86" s="3093">
        <v>2026</v>
      </c>
      <c r="AA86" s="3093">
        <v>2027</v>
      </c>
      <c r="AB86" s="3093">
        <v>2028</v>
      </c>
      <c r="AC86" s="3093">
        <v>2029</v>
      </c>
      <c r="AD86" s="3093">
        <v>2030</v>
      </c>
      <c r="AE86" s="3093">
        <v>2031</v>
      </c>
      <c r="AF86" s="3093">
        <v>2032</v>
      </c>
      <c r="AG86" s="3093">
        <v>2033</v>
      </c>
      <c r="AH86" s="3093">
        <v>2034</v>
      </c>
      <c r="AI86" s="3093">
        <v>2035</v>
      </c>
      <c r="AJ86" s="3093">
        <v>2036</v>
      </c>
      <c r="AK86" s="3093">
        <v>2037</v>
      </c>
      <c r="AL86" s="3093">
        <v>2038</v>
      </c>
      <c r="AM86" s="3093">
        <v>2039</v>
      </c>
      <c r="AN86" s="3093">
        <v>2040</v>
      </c>
      <c r="AO86" s="3093">
        <v>2041</v>
      </c>
      <c r="AP86" s="3093">
        <v>2042</v>
      </c>
      <c r="AQ86" s="3093">
        <v>2043</v>
      </c>
      <c r="AR86" s="3093">
        <v>2044</v>
      </c>
      <c r="AS86" s="3093">
        <v>2045</v>
      </c>
      <c r="AT86" s="3093">
        <v>2046</v>
      </c>
      <c r="AU86" s="3093">
        <v>2047</v>
      </c>
      <c r="AV86" s="3093">
        <v>2048</v>
      </c>
      <c r="AW86" s="3093">
        <v>2049</v>
      </c>
      <c r="AX86" s="3093">
        <v>2050</v>
      </c>
      <c r="AY86" s="3093">
        <v>2051</v>
      </c>
      <c r="AZ86" s="3093">
        <v>2052</v>
      </c>
      <c r="BA86" s="3093">
        <v>2053</v>
      </c>
      <c r="BB86" s="3093">
        <v>2054</v>
      </c>
      <c r="BC86" s="3093">
        <v>2055</v>
      </c>
      <c r="BD86" s="3093">
        <v>2056</v>
      </c>
      <c r="BE86" s="3093">
        <v>2057</v>
      </c>
      <c r="BF86" s="3093">
        <v>2058</v>
      </c>
      <c r="BG86" s="3093">
        <v>2059</v>
      </c>
      <c r="BH86" s="3093">
        <v>2060</v>
      </c>
      <c r="BI86" s="3093">
        <v>2061</v>
      </c>
      <c r="BJ86" s="3093">
        <v>2062</v>
      </c>
      <c r="BK86" s="3093">
        <v>2063</v>
      </c>
      <c r="BL86" s="3093">
        <v>2064</v>
      </c>
      <c r="BM86" s="3093">
        <v>2065</v>
      </c>
      <c r="BN86" s="3093">
        <v>2066</v>
      </c>
      <c r="BO86" s="3093">
        <v>2067</v>
      </c>
      <c r="BP86" s="3093">
        <v>2068</v>
      </c>
      <c r="BQ86" s="3093">
        <v>2069</v>
      </c>
      <c r="BR86" s="3094">
        <v>2070</v>
      </c>
      <c r="BS86" s="3107"/>
      <c r="BT86" s="3093"/>
      <c r="BU86" s="3093"/>
      <c r="BV86" s="3093"/>
      <c r="BW86" s="3094"/>
    </row>
    <row r="87" spans="1:75" s="3095" customFormat="1" ht="14.25">
      <c r="B87" s="3092"/>
      <c r="C87" s="4617" t="s">
        <v>1900</v>
      </c>
      <c r="D87" s="4618"/>
      <c r="E87" s="4619"/>
      <c r="F87" s="3118">
        <v>4.899505871665788</v>
      </c>
      <c r="G87" s="3096">
        <v>5.2332073206922969</v>
      </c>
      <c r="H87" s="3096">
        <v>6.8896443359756132</v>
      </c>
      <c r="I87" s="3096">
        <v>3.8008165346172214</v>
      </c>
      <c r="J87" s="3096">
        <v>4.2089239785629875</v>
      </c>
      <c r="K87" s="3096">
        <v>4.2825572654968278</v>
      </c>
      <c r="L87" s="3096">
        <v>6.2617587868916109</v>
      </c>
      <c r="M87" s="3096">
        <v>7.1401832866543238</v>
      </c>
      <c r="N87" s="3096">
        <v>6.1406711182074929</v>
      </c>
      <c r="O87" s="3096">
        <v>6.255837722812057</v>
      </c>
      <c r="P87" s="3096">
        <v>6.7584084445526083</v>
      </c>
      <c r="Q87" s="3096">
        <v>6.8502034687556739</v>
      </c>
      <c r="R87" s="3096">
        <v>7.2954558325530776</v>
      </c>
      <c r="S87" s="3096">
        <v>7.0418660189099835</v>
      </c>
      <c r="T87" s="3096">
        <v>7.5159450194093065</v>
      </c>
      <c r="U87" s="3096">
        <v>7.613430021835919</v>
      </c>
      <c r="V87" s="3096">
        <v>7.9444834121398076</v>
      </c>
      <c r="W87" s="3096">
        <v>8.3938828340992551</v>
      </c>
      <c r="X87" s="3096">
        <v>8.154760051804919</v>
      </c>
      <c r="Y87" s="3096">
        <v>8.5662239963783051</v>
      </c>
      <c r="Z87" s="3096">
        <v>8.6326341268525297</v>
      </c>
      <c r="AA87" s="3096">
        <v>8.8532032504351399</v>
      </c>
      <c r="AB87" s="3096">
        <v>8.9891335459638704</v>
      </c>
      <c r="AC87" s="3096">
        <v>9.2321420193272292</v>
      </c>
      <c r="AD87" s="3096">
        <v>9.4867888743994726</v>
      </c>
      <c r="AE87" s="3097">
        <v>9.6496117626866269</v>
      </c>
      <c r="AF87" s="3098">
        <v>9.9594593691572229</v>
      </c>
      <c r="AG87" s="3098">
        <v>10.214935168876549</v>
      </c>
      <c r="AH87" s="3098">
        <v>10.117754811957733</v>
      </c>
      <c r="AI87" s="3098">
        <v>10.275187150719207</v>
      </c>
      <c r="AJ87" s="3098">
        <v>10.910798887745212</v>
      </c>
      <c r="AK87" s="3098">
        <v>11.279327854119577</v>
      </c>
      <c r="AL87" s="3098">
        <v>11.436859965600995</v>
      </c>
      <c r="AM87" s="3098">
        <v>12.020077441564753</v>
      </c>
      <c r="AN87" s="3098">
        <v>10.933098395179371</v>
      </c>
      <c r="AO87" s="3098">
        <v>11.426355547047633</v>
      </c>
      <c r="AP87" s="3098">
        <v>11.932016209137233</v>
      </c>
      <c r="AQ87" s="3098">
        <v>12.450342499893654</v>
      </c>
      <c r="AR87" s="3098">
        <v>12.98160162561507</v>
      </c>
      <c r="AS87" s="3098">
        <v>13.526065974339879</v>
      </c>
      <c r="AT87" s="3098">
        <v>13.914752690070802</v>
      </c>
      <c r="AU87" s="3098">
        <v>14.312093666313983</v>
      </c>
      <c r="AV87" s="3098">
        <v>14.718261637278848</v>
      </c>
      <c r="AW87" s="3098">
        <v>15.133432580489998</v>
      </c>
      <c r="AX87" s="3098">
        <v>15.557785775350203</v>
      </c>
      <c r="AY87" s="3098">
        <v>16.176803333877153</v>
      </c>
      <c r="AZ87" s="3098">
        <v>16.810967891936976</v>
      </c>
      <c r="BA87" s="3098">
        <v>17.460595746722049</v>
      </c>
      <c r="BB87" s="3098">
        <v>18.126009293932594</v>
      </c>
      <c r="BC87" s="3098">
        <v>18.807537139832686</v>
      </c>
      <c r="BD87" s="3098">
        <v>19.335189808621347</v>
      </c>
      <c r="BE87" s="3098">
        <v>19.874489281464182</v>
      </c>
      <c r="BF87" s="3098">
        <v>20.425666981758603</v>
      </c>
      <c r="BG87" s="3098">
        <v>20.988958666300849</v>
      </c>
      <c r="BH87" s="3098">
        <v>21.564604503387766</v>
      </c>
      <c r="BI87" s="3098">
        <v>22.115224847476444</v>
      </c>
      <c r="BJ87" s="3098">
        <v>22.677556980483786</v>
      </c>
      <c r="BK87" s="3098">
        <v>23.251829051490475</v>
      </c>
      <c r="BL87" s="3098">
        <v>23.838273429274444</v>
      </c>
      <c r="BM87" s="3098">
        <v>24.437126777725464</v>
      </c>
      <c r="BN87" s="3098">
        <v>25.023970058123549</v>
      </c>
      <c r="BO87" s="3098">
        <v>25.622964096313076</v>
      </c>
      <c r="BP87" s="3098">
        <v>26.234342039042975</v>
      </c>
      <c r="BQ87" s="3098">
        <v>26.858341303599712</v>
      </c>
      <c r="BR87" s="3110">
        <v>27.495203653617754</v>
      </c>
      <c r="BS87" s="3108"/>
      <c r="BT87" s="3099"/>
      <c r="BU87" s="3099"/>
      <c r="BV87" s="3099"/>
      <c r="BW87" s="3100"/>
    </row>
    <row r="88" spans="1:75" s="3095" customFormat="1" ht="14.25">
      <c r="B88" s="3092"/>
      <c r="C88" s="4617" t="s">
        <v>1901</v>
      </c>
      <c r="D88" s="4618"/>
      <c r="E88" s="4619"/>
      <c r="F88" s="3118">
        <v>6.6689376511407188</v>
      </c>
      <c r="G88" s="3096">
        <v>7.0748370537672551</v>
      </c>
      <c r="H88" s="3096">
        <v>9.253855043988084</v>
      </c>
      <c r="I88" s="3096">
        <v>5.2900662411467305</v>
      </c>
      <c r="J88" s="3096">
        <v>5.9540120847799125</v>
      </c>
      <c r="K88" s="3096">
        <v>6.1361174757013837</v>
      </c>
      <c r="L88" s="3096">
        <v>9.0672648362172197</v>
      </c>
      <c r="M88" s="3096">
        <v>10.432968063953517</v>
      </c>
      <c r="N88" s="3096">
        <v>9.0435214864643658</v>
      </c>
      <c r="O88" s="3096">
        <v>9.2778909817512805</v>
      </c>
      <c r="P88" s="3096">
        <v>10.086665285740265</v>
      </c>
      <c r="Q88" s="3096">
        <v>10.282523109339586</v>
      </c>
      <c r="R88" s="3096">
        <v>11.00872934222426</v>
      </c>
      <c r="S88" s="3096">
        <v>10.677964540789709</v>
      </c>
      <c r="T88" s="3096">
        <v>11.44860608989439</v>
      </c>
      <c r="U88" s="3096">
        <v>11.646351062890158</v>
      </c>
      <c r="V88" s="3096">
        <v>12.201239168041871</v>
      </c>
      <c r="W88" s="3096">
        <v>12.939914115546117</v>
      </c>
      <c r="X88" s="3096">
        <v>12.616018253824027</v>
      </c>
      <c r="Y88" s="3096">
        <v>13.297341195082616</v>
      </c>
      <c r="Z88" s="3096">
        <v>13.443502702004945</v>
      </c>
      <c r="AA88" s="3096">
        <v>13.829274798823944</v>
      </c>
      <c r="AB88" s="3096">
        <v>14.082786602499459</v>
      </c>
      <c r="AC88" s="3096">
        <v>14.504140001738806</v>
      </c>
      <c r="AD88" s="3096">
        <v>14.944411547998474</v>
      </c>
      <c r="AE88" s="3097">
        <v>15.250626444478886</v>
      </c>
      <c r="AF88" s="3098">
        <v>15.790583459167644</v>
      </c>
      <c r="AG88" s="3098">
        <v>16.247324457342437</v>
      </c>
      <c r="AH88" s="3098">
        <v>16.143481730648144</v>
      </c>
      <c r="AI88" s="3098">
        <v>16.446078708346313</v>
      </c>
      <c r="AJ88" s="3098">
        <v>17.516945541462505</v>
      </c>
      <c r="AK88" s="3098">
        <v>18.164101240380706</v>
      </c>
      <c r="AL88" s="3098">
        <v>18.474047390695404</v>
      </c>
      <c r="AM88" s="3098">
        <v>19.475402466484482</v>
      </c>
      <c r="AN88" s="3098">
        <v>17.768798482298536</v>
      </c>
      <c r="AO88" s="3098">
        <v>18.628370515720192</v>
      </c>
      <c r="AP88" s="3098">
        <v>19.513233806624861</v>
      </c>
      <c r="AQ88" s="3098">
        <v>20.424125898626631</v>
      </c>
      <c r="AR88" s="3098">
        <v>21.361594314875695</v>
      </c>
      <c r="AS88" s="3098">
        <v>22.32632895431291</v>
      </c>
      <c r="AT88" s="3098">
        <v>23.038736805945184</v>
      </c>
      <c r="AU88" s="3098">
        <v>23.769745027394201</v>
      </c>
      <c r="AV88" s="3098">
        <v>24.519780398537215</v>
      </c>
      <c r="AW88" s="3098">
        <v>25.289338067925662</v>
      </c>
      <c r="AX88" s="3098">
        <v>26.078919536650812</v>
      </c>
      <c r="AY88" s="3098">
        <v>27.200513885322618</v>
      </c>
      <c r="AZ88" s="3098">
        <v>28.354303476115177</v>
      </c>
      <c r="BA88" s="3098">
        <v>29.54109676062728</v>
      </c>
      <c r="BB88" s="3098">
        <v>30.761707231218196</v>
      </c>
      <c r="BC88" s="3098">
        <v>32.016989885286719</v>
      </c>
      <c r="BD88" s="3098">
        <v>33.016973224387158</v>
      </c>
      <c r="BE88" s="3098">
        <v>34.042803527462148</v>
      </c>
      <c r="BF88" s="3098">
        <v>35.095087707280278</v>
      </c>
      <c r="BG88" s="3098">
        <v>36.174450282428694</v>
      </c>
      <c r="BH88" s="3098">
        <v>37.281522363612879</v>
      </c>
      <c r="BI88" s="3098">
        <v>38.35169332491482</v>
      </c>
      <c r="BJ88" s="3098">
        <v>39.448487188442463</v>
      </c>
      <c r="BK88" s="3098">
        <v>40.572522401376176</v>
      </c>
      <c r="BL88" s="3098">
        <v>41.724431200892369</v>
      </c>
      <c r="BM88" s="3098">
        <v>42.904861826472697</v>
      </c>
      <c r="BN88" s="3098">
        <v>44.071045234401744</v>
      </c>
      <c r="BO88" s="3098">
        <v>45.265501143913191</v>
      </c>
      <c r="BP88" s="3098">
        <v>46.488870948799324</v>
      </c>
      <c r="BQ88" s="3098">
        <v>47.741810263379222</v>
      </c>
      <c r="BR88" s="3110">
        <v>49.024988503583316</v>
      </c>
      <c r="BS88" s="3108"/>
      <c r="BT88" s="3099"/>
      <c r="BU88" s="3099"/>
      <c r="BV88" s="3099"/>
      <c r="BW88" s="3100"/>
    </row>
    <row r="89" spans="1:75" s="3095" customFormat="1" ht="15" thickBot="1">
      <c r="B89" s="3092"/>
      <c r="C89" s="4620" t="s">
        <v>1902</v>
      </c>
      <c r="D89" s="4621"/>
      <c r="E89" s="4622"/>
      <c r="F89" s="3119">
        <v>4.0237415760909281</v>
      </c>
      <c r="G89" s="3101">
        <v>4.2464537316142392</v>
      </c>
      <c r="H89" s="3101">
        <v>5.5264420337967497</v>
      </c>
      <c r="I89" s="3101">
        <v>2.7464663584987865</v>
      </c>
      <c r="J89" s="3101">
        <v>2.8635004179511343</v>
      </c>
      <c r="K89" s="3101">
        <v>2.787165044214658</v>
      </c>
      <c r="L89" s="3101">
        <v>3.9357235936743091</v>
      </c>
      <c r="M89" s="3101">
        <v>4.3615733841302111</v>
      </c>
      <c r="N89" s="3101">
        <v>3.6617762639401907</v>
      </c>
      <c r="O89" s="3101">
        <v>3.6537721119331064</v>
      </c>
      <c r="P89" s="3101">
        <v>3.8760333521767487</v>
      </c>
      <c r="Q89" s="3101">
        <v>3.8655434839098115</v>
      </c>
      <c r="R89" s="3101">
        <v>4.0572728812017589</v>
      </c>
      <c r="S89" s="3101">
        <v>3.8648360371955519</v>
      </c>
      <c r="T89" s="3101">
        <v>4.0754979585116518</v>
      </c>
      <c r="U89" s="3101">
        <v>4.0827203815024049</v>
      </c>
      <c r="V89" s="3101">
        <v>4.2166436195474555</v>
      </c>
      <c r="W89" s="3101">
        <v>4.4127418181371914</v>
      </c>
      <c r="X89" s="3101">
        <v>4.2488839286079303</v>
      </c>
      <c r="Y89" s="3101">
        <v>4.4260138967556264</v>
      </c>
      <c r="Z89" s="3101">
        <v>4.4252834659938625</v>
      </c>
      <c r="AA89" s="3101">
        <v>4.5046874441228502</v>
      </c>
      <c r="AB89" s="3101">
        <v>4.54172925895812</v>
      </c>
      <c r="AC89" s="3101">
        <v>4.6334146411951442</v>
      </c>
      <c r="AD89" s="3101">
        <v>4.7310216694253455</v>
      </c>
      <c r="AE89" s="3102">
        <v>4.7731429656302318</v>
      </c>
      <c r="AF89" s="3103">
        <v>4.8876405865288231</v>
      </c>
      <c r="AG89" s="3103">
        <v>4.9738016061543808</v>
      </c>
      <c r="AH89" s="3103">
        <v>4.8885892786226153</v>
      </c>
      <c r="AI89" s="3103">
        <v>4.9267897960093023</v>
      </c>
      <c r="AJ89" s="3103">
        <v>5.1926324953658805</v>
      </c>
      <c r="AK89" s="3103">
        <v>5.3281267594492006</v>
      </c>
      <c r="AL89" s="3103">
        <v>5.3625134228551756</v>
      </c>
      <c r="AM89" s="3103">
        <v>5.5941846966857405</v>
      </c>
      <c r="AN89" s="3103">
        <v>5.050154077446547</v>
      </c>
      <c r="AO89" s="3103">
        <v>5.2378024228046245</v>
      </c>
      <c r="AP89" s="3103">
        <v>5.4281403680656402</v>
      </c>
      <c r="AQ89" s="3103">
        <v>5.6211061202245522</v>
      </c>
      <c r="AR89" s="3103">
        <v>5.8167881853429417</v>
      </c>
      <c r="AS89" s="3103">
        <v>6.0151847464988055</v>
      </c>
      <c r="AT89" s="3103">
        <v>6.1416262069963565</v>
      </c>
      <c r="AU89" s="3103">
        <v>6.2695849002096784</v>
      </c>
      <c r="AV89" s="3103">
        <v>6.3990814582336535</v>
      </c>
      <c r="AW89" s="3103">
        <v>6.530101581715261</v>
      </c>
      <c r="AX89" s="3103">
        <v>6.6626391818305963</v>
      </c>
      <c r="AY89" s="3103">
        <v>6.8755128901796212</v>
      </c>
      <c r="AZ89" s="3103">
        <v>7.0912335957198795</v>
      </c>
      <c r="BA89" s="3103">
        <v>7.3098207424195456</v>
      </c>
      <c r="BB89" s="3103">
        <v>7.5313046407943594</v>
      </c>
      <c r="BC89" s="3103">
        <v>7.7557025746659782</v>
      </c>
      <c r="BD89" s="3103">
        <v>7.9133239519647027</v>
      </c>
      <c r="BE89" s="3103">
        <v>8.0728498991204471</v>
      </c>
      <c r="BF89" s="3103">
        <v>8.2343027651838572</v>
      </c>
      <c r="BG89" s="3103">
        <v>8.3977032901827471</v>
      </c>
      <c r="BH89" s="3103">
        <v>8.5630771862982193</v>
      </c>
      <c r="BI89" s="3103">
        <v>8.7156275280150606</v>
      </c>
      <c r="BJ89" s="3103">
        <v>8.8699871199098421</v>
      </c>
      <c r="BK89" s="3103">
        <v>9.0261709927796243</v>
      </c>
      <c r="BL89" s="3103">
        <v>9.1841949273826238</v>
      </c>
      <c r="BM89" s="3103">
        <v>9.3440741531093963</v>
      </c>
      <c r="BN89" s="3103">
        <v>9.496466918444602</v>
      </c>
      <c r="BO89" s="3103">
        <v>9.6506100868835372</v>
      </c>
      <c r="BP89" s="3103">
        <v>9.8065227535564183</v>
      </c>
      <c r="BQ89" s="3103">
        <v>9.9642240179024384</v>
      </c>
      <c r="BR89" s="3111">
        <v>10.123733313129524</v>
      </c>
      <c r="BS89" s="3109"/>
      <c r="BT89" s="3104"/>
      <c r="BU89" s="3104"/>
      <c r="BV89" s="3104"/>
      <c r="BW89" s="3105"/>
    </row>
    <row r="90" spans="1:75" s="2329" customFormat="1">
      <c r="AJ90" s="3"/>
      <c r="AK90" s="1362"/>
    </row>
    <row r="91" spans="1:75" s="2329" customFormat="1" ht="16.5" thickBot="1">
      <c r="B91" s="3091"/>
      <c r="C91" s="3269" t="s">
        <v>1956</v>
      </c>
      <c r="D91" s="1"/>
      <c r="E91" s="1"/>
      <c r="F91" s="1"/>
      <c r="G91" s="1" t="s">
        <v>1809</v>
      </c>
      <c r="H91" s="1"/>
      <c r="I91" s="1"/>
      <c r="J91" s="1"/>
      <c r="K91" s="1"/>
      <c r="L91" s="1"/>
      <c r="M91" s="1"/>
      <c r="N91" s="1"/>
      <c r="AK91" s="3"/>
      <c r="AL91" s="3090"/>
    </row>
    <row r="92" spans="1:75" s="3095" customFormat="1">
      <c r="B92" s="3092"/>
      <c r="C92" s="4626"/>
      <c r="D92" s="4627"/>
      <c r="E92" s="4628"/>
      <c r="F92" s="3107">
        <v>2006</v>
      </c>
      <c r="G92" s="3093">
        <v>2007</v>
      </c>
      <c r="H92" s="3093">
        <v>2008</v>
      </c>
      <c r="I92" s="3093">
        <v>2009</v>
      </c>
      <c r="J92" s="3093">
        <v>2010</v>
      </c>
      <c r="K92" s="3093">
        <v>2011</v>
      </c>
      <c r="L92" s="3093">
        <v>2012</v>
      </c>
      <c r="M92" s="3093">
        <v>2013</v>
      </c>
      <c r="N92" s="3093">
        <v>2014</v>
      </c>
      <c r="O92" s="3093">
        <v>2015</v>
      </c>
      <c r="P92" s="3093">
        <v>2016</v>
      </c>
      <c r="Q92" s="3093">
        <v>2017</v>
      </c>
      <c r="R92" s="3093">
        <v>2018</v>
      </c>
      <c r="S92" s="3093">
        <v>2019</v>
      </c>
      <c r="T92" s="3093">
        <v>2020</v>
      </c>
      <c r="U92" s="3093">
        <v>2021</v>
      </c>
      <c r="V92" s="3093">
        <v>2022</v>
      </c>
      <c r="W92" s="3093">
        <v>2023</v>
      </c>
      <c r="X92" s="3093">
        <v>2024</v>
      </c>
      <c r="Y92" s="3093">
        <v>2025</v>
      </c>
      <c r="Z92" s="3093">
        <v>2026</v>
      </c>
      <c r="AA92" s="3093">
        <v>2027</v>
      </c>
      <c r="AB92" s="3093">
        <v>2028</v>
      </c>
      <c r="AC92" s="3093">
        <v>2029</v>
      </c>
      <c r="AD92" s="3093">
        <v>2030</v>
      </c>
      <c r="AE92" s="3093">
        <v>2031</v>
      </c>
      <c r="AF92" s="3093">
        <v>2032</v>
      </c>
      <c r="AG92" s="3093">
        <v>2033</v>
      </c>
      <c r="AH92" s="3093">
        <v>2034</v>
      </c>
      <c r="AI92" s="3093">
        <v>2035</v>
      </c>
      <c r="AJ92" s="3093">
        <v>2036</v>
      </c>
      <c r="AK92" s="3093">
        <v>2037</v>
      </c>
      <c r="AL92" s="3093">
        <v>2038</v>
      </c>
      <c r="AM92" s="3093">
        <v>2039</v>
      </c>
      <c r="AN92" s="3093">
        <v>2040</v>
      </c>
      <c r="AO92" s="3093">
        <v>2041</v>
      </c>
      <c r="AP92" s="3093">
        <v>2042</v>
      </c>
      <c r="AQ92" s="3093">
        <v>2043</v>
      </c>
      <c r="AR92" s="3093">
        <v>2044</v>
      </c>
      <c r="AS92" s="3093">
        <v>2045</v>
      </c>
      <c r="AT92" s="3093">
        <v>2046</v>
      </c>
      <c r="AU92" s="3093">
        <v>2047</v>
      </c>
      <c r="AV92" s="3093">
        <v>2048</v>
      </c>
      <c r="AW92" s="3093">
        <v>2049</v>
      </c>
      <c r="AX92" s="3093">
        <v>2050</v>
      </c>
      <c r="AY92" s="3093">
        <v>2051</v>
      </c>
      <c r="AZ92" s="3093">
        <v>2052</v>
      </c>
      <c r="BA92" s="3093">
        <v>2053</v>
      </c>
      <c r="BB92" s="3093">
        <v>2054</v>
      </c>
      <c r="BC92" s="3093">
        <v>2055</v>
      </c>
      <c r="BD92" s="3093">
        <v>2056</v>
      </c>
      <c r="BE92" s="3093">
        <v>2057</v>
      </c>
      <c r="BF92" s="3093">
        <v>2058</v>
      </c>
      <c r="BG92" s="3093">
        <v>2059</v>
      </c>
      <c r="BH92" s="3093">
        <v>2060</v>
      </c>
      <c r="BI92" s="3093">
        <v>2061</v>
      </c>
      <c r="BJ92" s="3093">
        <v>2062</v>
      </c>
      <c r="BK92" s="3093">
        <v>2063</v>
      </c>
      <c r="BL92" s="3093">
        <v>2064</v>
      </c>
      <c r="BM92" s="3093">
        <v>2065</v>
      </c>
      <c r="BN92" s="3093">
        <v>2066</v>
      </c>
      <c r="BO92" s="3093">
        <v>2067</v>
      </c>
      <c r="BP92" s="3093">
        <v>2068</v>
      </c>
      <c r="BQ92" s="3093">
        <v>2069</v>
      </c>
      <c r="BR92" s="3094">
        <v>2070</v>
      </c>
      <c r="BS92" s="3107"/>
      <c r="BT92" s="3093"/>
      <c r="BU92" s="3093"/>
      <c r="BV92" s="3093"/>
      <c r="BW92" s="3094"/>
    </row>
    <row r="93" spans="1:75" s="3095" customFormat="1" ht="14.25">
      <c r="B93" s="3092"/>
      <c r="C93" s="4617" t="s">
        <v>1900</v>
      </c>
      <c r="D93" s="4618"/>
      <c r="E93" s="4619"/>
      <c r="F93" s="3118">
        <v>4.899505871665788</v>
      </c>
      <c r="G93" s="3096">
        <v>5.2332073206922969</v>
      </c>
      <c r="H93" s="3096">
        <v>6.8896443359756132</v>
      </c>
      <c r="I93" s="3096">
        <v>3.8008165346172214</v>
      </c>
      <c r="J93" s="3096">
        <v>4.2089239785629875</v>
      </c>
      <c r="K93" s="3096">
        <v>3.9074010034175779</v>
      </c>
      <c r="L93" s="3096">
        <v>3.1394173015604059</v>
      </c>
      <c r="M93" s="3096">
        <v>4.3095676365525213</v>
      </c>
      <c r="N93" s="3096">
        <v>4.4961315288967434</v>
      </c>
      <c r="O93" s="3096">
        <v>4.6446945519603284</v>
      </c>
      <c r="P93" s="3096">
        <v>5.1381160615646051</v>
      </c>
      <c r="Q93" s="3096">
        <v>5.2799341983163188</v>
      </c>
      <c r="R93" s="3096">
        <v>5.5467869882706751</v>
      </c>
      <c r="S93" s="3096">
        <v>5.6808549660337855</v>
      </c>
      <c r="T93" s="3096">
        <v>5.9236243888928612</v>
      </c>
      <c r="U93" s="3096">
        <v>6.0171018455255396</v>
      </c>
      <c r="V93" s="3096">
        <v>6.2293962561112792</v>
      </c>
      <c r="W93" s="3096">
        <v>6.5145607494887194</v>
      </c>
      <c r="X93" s="3096">
        <v>6.7867587766066393</v>
      </c>
      <c r="Y93" s="3096">
        <v>7.0509955386182179</v>
      </c>
      <c r="Z93" s="3096">
        <v>7.255289386581266</v>
      </c>
      <c r="AA93" s="3096">
        <v>7.531417950492564</v>
      </c>
      <c r="AB93" s="3096">
        <v>7.7841701172995208</v>
      </c>
      <c r="AC93" s="3096">
        <v>7.9553923566312585</v>
      </c>
      <c r="AD93" s="3096">
        <v>8.2099153290031488</v>
      </c>
      <c r="AE93" s="3097">
        <v>8.4548225049639374</v>
      </c>
      <c r="AF93" s="3098">
        <v>8.6825083948961268</v>
      </c>
      <c r="AG93" s="3098">
        <v>8.9549509493805495</v>
      </c>
      <c r="AH93" s="3098">
        <v>9.2168408402759052</v>
      </c>
      <c r="AI93" s="3098">
        <v>9.4562583891279033</v>
      </c>
      <c r="AJ93" s="3098">
        <v>9.6909178586648146</v>
      </c>
      <c r="AK93" s="3098">
        <v>9.9064291265899449</v>
      </c>
      <c r="AL93" s="3098">
        <v>10.156069679181767</v>
      </c>
      <c r="AM93" s="3098">
        <v>10.441987191771076</v>
      </c>
      <c r="AN93" s="3098">
        <v>10.680028080352109</v>
      </c>
      <c r="AO93" s="3098">
        <v>10.880922682607761</v>
      </c>
      <c r="AP93" s="3098">
        <v>11.081817284863412</v>
      </c>
      <c r="AQ93" s="3098">
        <v>11.282711887119063</v>
      </c>
      <c r="AR93" s="3098">
        <v>11.483606489374715</v>
      </c>
      <c r="AS93" s="3098">
        <v>11.68450109163037</v>
      </c>
      <c r="AT93" s="3098">
        <v>11.903727020134431</v>
      </c>
      <c r="AU93" s="3098">
        <v>12.122952948638492</v>
      </c>
      <c r="AV93" s="3098">
        <v>12.342178877142553</v>
      </c>
      <c r="AW93" s="3098">
        <v>12.561404805646614</v>
      </c>
      <c r="AX93" s="3098">
        <v>12.780630734150673</v>
      </c>
      <c r="AY93" s="3098">
        <v>13.168964787036453</v>
      </c>
      <c r="AZ93" s="3098">
        <v>13.557298839922233</v>
      </c>
      <c r="BA93" s="3098">
        <v>13.945632892808012</v>
      </c>
      <c r="BB93" s="3098">
        <v>14.333966945693792</v>
      </c>
      <c r="BC93" s="3098">
        <v>14.72230099857957</v>
      </c>
      <c r="BD93" s="3098">
        <v>15.165179567871578</v>
      </c>
      <c r="BE93" s="3098">
        <v>15.608058137163585</v>
      </c>
      <c r="BF93" s="3098">
        <v>16.050936706455595</v>
      </c>
      <c r="BG93" s="3098">
        <v>16.493815275747604</v>
      </c>
      <c r="BH93" s="3098">
        <v>16.93669384503961</v>
      </c>
      <c r="BI93" s="3098">
        <v>17.40367786016288</v>
      </c>
      <c r="BJ93" s="3098">
        <v>17.870661875286149</v>
      </c>
      <c r="BK93" s="3098">
        <v>18.337645890409419</v>
      </c>
      <c r="BL93" s="3098">
        <v>18.804629905532689</v>
      </c>
      <c r="BM93" s="3098">
        <v>19.271613920655959</v>
      </c>
      <c r="BN93" s="3098">
        <v>19.884251176838578</v>
      </c>
      <c r="BO93" s="3098">
        <v>20.496888433021198</v>
      </c>
      <c r="BP93" s="3098">
        <v>21.109525689203817</v>
      </c>
      <c r="BQ93" s="3098">
        <v>21.722162945386437</v>
      </c>
      <c r="BR93" s="3110">
        <v>22.334800201569063</v>
      </c>
      <c r="BS93" s="3108">
        <v>28.170065729082221</v>
      </c>
      <c r="BT93" s="3099">
        <v>28.859065673347391</v>
      </c>
      <c r="BU93" s="3099">
        <v>29.562479557896602</v>
      </c>
      <c r="BV93" s="3099">
        <v>30.280588907458515</v>
      </c>
      <c r="BW93" s="3100">
        <v>31.013680840376541</v>
      </c>
    </row>
    <row r="94" spans="1:75" s="3095" customFormat="1" ht="14.25">
      <c r="B94" s="3092"/>
      <c r="C94" s="4617" t="s">
        <v>1901</v>
      </c>
      <c r="D94" s="4618"/>
      <c r="E94" s="4619"/>
      <c r="F94" s="3118">
        <v>6.6689376511407179</v>
      </c>
      <c r="G94" s="3096">
        <v>7.074837053767256</v>
      </c>
      <c r="H94" s="3096">
        <v>9.253855043988084</v>
      </c>
      <c r="I94" s="3096">
        <v>5.2900662411467305</v>
      </c>
      <c r="J94" s="3096">
        <v>5.9540120847799125</v>
      </c>
      <c r="K94" s="3096">
        <v>5.5985875016343041</v>
      </c>
      <c r="L94" s="3096">
        <v>4.5459956337253518</v>
      </c>
      <c r="M94" s="3096">
        <v>6.2969786231730955</v>
      </c>
      <c r="N94" s="3096">
        <v>6.621566487575838</v>
      </c>
      <c r="O94" s="3096">
        <v>6.8884411018979161</v>
      </c>
      <c r="P94" s="3096">
        <v>7.6684410741794089</v>
      </c>
      <c r="Q94" s="3096">
        <v>7.9254646460657314</v>
      </c>
      <c r="R94" s="3096">
        <v>8.3700152635251879</v>
      </c>
      <c r="S94" s="3096">
        <v>8.6141894386777178</v>
      </c>
      <c r="T94" s="3096">
        <v>9.0231157995160061</v>
      </c>
      <c r="U94" s="3096">
        <v>9.2044295768356079</v>
      </c>
      <c r="V94" s="3096">
        <v>9.5671863921541487</v>
      </c>
      <c r="W94" s="3096">
        <v>10.042772607742474</v>
      </c>
      <c r="X94" s="3096">
        <v>10.499618881001755</v>
      </c>
      <c r="Y94" s="3096">
        <v>10.945253530803321</v>
      </c>
      <c r="Z94" s="3096">
        <v>11.298579441579438</v>
      </c>
      <c r="AA94" s="3096">
        <v>11.764560861859561</v>
      </c>
      <c r="AB94" s="3096">
        <v>12.195035937440611</v>
      </c>
      <c r="AC94" s="3096">
        <v>12.498304756121058</v>
      </c>
      <c r="AD94" s="3096">
        <v>12.932969740892538</v>
      </c>
      <c r="AE94" s="3097">
        <v>13.362334449161159</v>
      </c>
      <c r="AF94" s="3098">
        <v>13.765995558866633</v>
      </c>
      <c r="AG94" s="3098">
        <v>14.243261574236115</v>
      </c>
      <c r="AH94" s="3098">
        <v>14.706019713329592</v>
      </c>
      <c r="AI94" s="3098">
        <v>15.135332084260108</v>
      </c>
      <c r="AJ94" s="3098">
        <v>15.558464794698368</v>
      </c>
      <c r="AK94" s="3098">
        <v>15.95320075037233</v>
      </c>
      <c r="AL94" s="3098">
        <v>16.405177043413172</v>
      </c>
      <c r="AM94" s="3098">
        <v>16.918518545180394</v>
      </c>
      <c r="AN94" s="3098">
        <v>17.357501038199782</v>
      </c>
      <c r="AO94" s="3098">
        <v>17.739152125096783</v>
      </c>
      <c r="AP94" s="3098">
        <v>18.122845954252373</v>
      </c>
      <c r="AQ94" s="3098">
        <v>18.508689866356637</v>
      </c>
      <c r="AR94" s="3098">
        <v>18.896600756385777</v>
      </c>
      <c r="AS94" s="3098">
        <v>19.286614122218893</v>
      </c>
      <c r="AT94" s="3098">
        <v>19.709069929959345</v>
      </c>
      <c r="AU94" s="3098">
        <v>20.133986493287665</v>
      </c>
      <c r="AV94" s="3098">
        <v>20.561362691127606</v>
      </c>
      <c r="AW94" s="3098">
        <v>20.991246437216269</v>
      </c>
      <c r="AX94" s="3098">
        <v>21.423681065955488</v>
      </c>
      <c r="AY94" s="3098">
        <v>22.142978569503196</v>
      </c>
      <c r="AZ94" s="3098">
        <v>22.866486218673476</v>
      </c>
      <c r="BA94" s="3098">
        <v>23.594228779505919</v>
      </c>
      <c r="BB94" s="3098">
        <v>24.3262202669723</v>
      </c>
      <c r="BC94" s="3098">
        <v>25.06249269402543</v>
      </c>
      <c r="BD94" s="3098">
        <v>25.89621993326276</v>
      </c>
      <c r="BE94" s="3098">
        <v>26.734878521090835</v>
      </c>
      <c r="BF94" s="3098">
        <v>27.578488966853996</v>
      </c>
      <c r="BG94" s="3098">
        <v>28.427074927641019</v>
      </c>
      <c r="BH94" s="3098">
        <v>29.280654335687576</v>
      </c>
      <c r="BI94" s="3098">
        <v>30.181041369549543</v>
      </c>
      <c r="BJ94" s="3098">
        <v>31.086707295803848</v>
      </c>
      <c r="BK94" s="3098">
        <v>31.997678420461639</v>
      </c>
      <c r="BL94" s="3098">
        <v>32.913981336756684</v>
      </c>
      <c r="BM94" s="3098">
        <v>33.835644425781879</v>
      </c>
      <c r="BN94" s="3098">
        <v>35.019212819996916</v>
      </c>
      <c r="BO94" s="3098">
        <v>36.209781324444222</v>
      </c>
      <c r="BP94" s="3098">
        <v>37.407380527983705</v>
      </c>
      <c r="BQ94" s="3098">
        <v>38.612041232414221</v>
      </c>
      <c r="BR94" s="3110">
        <v>39.823793884417405</v>
      </c>
      <c r="BS94" s="3108">
        <v>50.383608002389103</v>
      </c>
      <c r="BT94" s="3099">
        <v>51.775523054984156</v>
      </c>
      <c r="BU94" s="3099">
        <v>53.201503009240923</v>
      </c>
      <c r="BV94" s="3099">
        <v>54.662334700449087</v>
      </c>
      <c r="BW94" s="3100">
        <v>56.158822809626237</v>
      </c>
    </row>
    <row r="95" spans="1:75" s="3095" customFormat="1" ht="15" thickBot="1">
      <c r="B95" s="3092"/>
      <c r="C95" s="4620" t="s">
        <v>1902</v>
      </c>
      <c r="D95" s="4621"/>
      <c r="E95" s="4622"/>
      <c r="F95" s="3119">
        <v>4.0237415760909281</v>
      </c>
      <c r="G95" s="3101">
        <v>4.2464537316142392</v>
      </c>
      <c r="H95" s="3101">
        <v>5.5264420337967497</v>
      </c>
      <c r="I95" s="3101">
        <v>2.7464663584987865</v>
      </c>
      <c r="J95" s="3101">
        <v>2.8635004179511343</v>
      </c>
      <c r="K95" s="3101">
        <v>2.5430066232147199</v>
      </c>
      <c r="L95" s="3101">
        <v>1.9732281559625813</v>
      </c>
      <c r="M95" s="3101">
        <v>2.6324948178611667</v>
      </c>
      <c r="N95" s="3101">
        <v>2.6811121122007147</v>
      </c>
      <c r="O95" s="3101">
        <v>2.7127710427200493</v>
      </c>
      <c r="P95" s="3101">
        <v>2.9467750263054442</v>
      </c>
      <c r="Q95" s="3101">
        <v>2.9794465710201194</v>
      </c>
      <c r="R95" s="3101">
        <v>3.0847734455322895</v>
      </c>
      <c r="S95" s="3101">
        <v>3.1178629266518207</v>
      </c>
      <c r="T95" s="3101">
        <v>3.2120670177307971</v>
      </c>
      <c r="U95" s="3101">
        <v>3.2266855112406905</v>
      </c>
      <c r="V95" s="3101">
        <v>3.3063375696431221</v>
      </c>
      <c r="W95" s="3101">
        <v>3.4247648215057405</v>
      </c>
      <c r="X95" s="3101">
        <v>3.5361126642690568</v>
      </c>
      <c r="Y95" s="3101">
        <v>3.6431226002355808</v>
      </c>
      <c r="Z95" s="3101">
        <v>3.7192254057852656</v>
      </c>
      <c r="AA95" s="3101">
        <v>3.832136563266836</v>
      </c>
      <c r="AB95" s="3101">
        <v>3.9329255703760779</v>
      </c>
      <c r="AC95" s="3101">
        <v>3.9926412900170436</v>
      </c>
      <c r="AD95" s="3101">
        <v>4.0942502083582966</v>
      </c>
      <c r="AE95" s="3102">
        <v>4.1821451015543163</v>
      </c>
      <c r="AF95" s="3103">
        <v>4.2609722928527383</v>
      </c>
      <c r="AG95" s="3103">
        <v>4.3602968279984928</v>
      </c>
      <c r="AH95" s="3103">
        <v>4.4532952371303303</v>
      </c>
      <c r="AI95" s="3103">
        <v>4.5341264014565166</v>
      </c>
      <c r="AJ95" s="3103">
        <v>4.6120706192600069</v>
      </c>
      <c r="AK95" s="3103">
        <v>4.6795971180758693</v>
      </c>
      <c r="AL95" s="3103">
        <v>4.7619766388564644</v>
      </c>
      <c r="AM95" s="3103">
        <v>4.8597361568737103</v>
      </c>
      <c r="AN95" s="3103">
        <v>4.9332572897190081</v>
      </c>
      <c r="AO95" s="3103">
        <v>4.9877778574847937</v>
      </c>
      <c r="AP95" s="3103">
        <v>5.0413659100991266</v>
      </c>
      <c r="AQ95" s="3103">
        <v>5.0939418607927438</v>
      </c>
      <c r="AR95" s="3103">
        <v>5.1455674329674626</v>
      </c>
      <c r="AS95" s="3103">
        <v>5.1962213455234743</v>
      </c>
      <c r="AT95" s="3103">
        <v>5.2540094284217043</v>
      </c>
      <c r="AU95" s="3103">
        <v>5.3106054589084639</v>
      </c>
      <c r="AV95" s="3103">
        <v>5.3660282683714913</v>
      </c>
      <c r="AW95" s="3103">
        <v>5.4202672760222335</v>
      </c>
      <c r="AX95" s="3103">
        <v>5.4733194252344584</v>
      </c>
      <c r="AY95" s="3103">
        <v>5.5971124377815995</v>
      </c>
      <c r="AZ95" s="3103">
        <v>5.7187648931850754</v>
      </c>
      <c r="BA95" s="3103">
        <v>5.8382931524632502</v>
      </c>
      <c r="BB95" s="3103">
        <v>5.9557219699336903</v>
      </c>
      <c r="BC95" s="3103">
        <v>6.0710653878154117</v>
      </c>
      <c r="BD95" s="3103">
        <v>6.2066615274070944</v>
      </c>
      <c r="BE95" s="3103">
        <v>6.3398615568744017</v>
      </c>
      <c r="BF95" s="3103">
        <v>6.4706955529918764</v>
      </c>
      <c r="BG95" s="3103">
        <v>6.5991919375780785</v>
      </c>
      <c r="BH95" s="3103">
        <v>6.7253826358369864</v>
      </c>
      <c r="BI95" s="3103">
        <v>6.8588031499960262</v>
      </c>
      <c r="BJ95" s="3103">
        <v>6.9898420184531904</v>
      </c>
      <c r="BK95" s="3103">
        <v>7.1185250435714877</v>
      </c>
      <c r="BL95" s="3103">
        <v>7.2448781620908465</v>
      </c>
      <c r="BM95" s="3103">
        <v>7.3689264356906303</v>
      </c>
      <c r="BN95" s="3103">
        <v>7.5459702461396869</v>
      </c>
      <c r="BO95" s="3103">
        <v>7.7199295724690842</v>
      </c>
      <c r="BP95" s="3103">
        <v>7.8908418469149728</v>
      </c>
      <c r="BQ95" s="3103">
        <v>8.0587440339139906</v>
      </c>
      <c r="BR95" s="3111">
        <v>8.2236728882335619</v>
      </c>
      <c r="BS95" s="3109">
        <v>10.294165515348306</v>
      </c>
      <c r="BT95" s="3104">
        <v>10.466588363201486</v>
      </c>
      <c r="BU95" s="3104">
        <v>10.641022176575458</v>
      </c>
      <c r="BV95" s="3104">
        <v>10.817487803253476</v>
      </c>
      <c r="BW95" s="3105">
        <v>10.996006632073355</v>
      </c>
    </row>
    <row r="96" spans="1:75" s="2329" customFormat="1">
      <c r="AJ96" s="3"/>
      <c r="AK96" s="1362"/>
    </row>
    <row r="98" spans="3:91" ht="16.5" thickBot="1">
      <c r="C98" s="2183" t="s">
        <v>1898</v>
      </c>
      <c r="D98" s="1"/>
      <c r="E98" s="1"/>
      <c r="F98" s="1"/>
      <c r="G98" s="1" t="s">
        <v>1899</v>
      </c>
      <c r="H98" s="1"/>
      <c r="I98" s="1"/>
      <c r="J98" s="1"/>
      <c r="K98" s="1"/>
      <c r="L98" s="1"/>
      <c r="M98" s="1"/>
      <c r="N98" s="1"/>
    </row>
    <row r="99" spans="3:91" ht="15">
      <c r="C99" s="4623" t="s">
        <v>1815</v>
      </c>
      <c r="D99" s="4624"/>
      <c r="E99" s="4625"/>
      <c r="F99" s="3115">
        <v>2006</v>
      </c>
      <c r="G99" s="2188">
        <v>2007</v>
      </c>
      <c r="H99" s="2188">
        <v>2008</v>
      </c>
      <c r="I99" s="2188">
        <v>2009</v>
      </c>
      <c r="J99" s="2188">
        <v>2010</v>
      </c>
      <c r="K99" s="2188">
        <v>2011</v>
      </c>
      <c r="L99" s="2188">
        <v>2012</v>
      </c>
      <c r="M99" s="2188">
        <v>2013</v>
      </c>
      <c r="N99" s="2188">
        <v>2014</v>
      </c>
      <c r="O99" s="2188">
        <v>2015</v>
      </c>
      <c r="P99" s="2188">
        <v>2016</v>
      </c>
      <c r="Q99" s="2188">
        <v>2017</v>
      </c>
      <c r="R99" s="2188">
        <v>2018</v>
      </c>
      <c r="S99" s="2188">
        <v>2019</v>
      </c>
      <c r="T99" s="2188">
        <v>2020</v>
      </c>
      <c r="U99" s="2188">
        <v>2021</v>
      </c>
      <c r="V99" s="2188">
        <v>2022</v>
      </c>
      <c r="W99" s="2188">
        <v>2023</v>
      </c>
      <c r="X99" s="2188">
        <v>2024</v>
      </c>
      <c r="Y99" s="2188">
        <v>2025</v>
      </c>
      <c r="Z99" s="2188">
        <v>2026</v>
      </c>
      <c r="AA99" s="2188">
        <v>2027</v>
      </c>
      <c r="AB99" s="2188">
        <v>2028</v>
      </c>
      <c r="AC99" s="2188">
        <v>2029</v>
      </c>
      <c r="AD99" s="2188">
        <v>2030</v>
      </c>
      <c r="AE99" s="2188">
        <v>2031</v>
      </c>
      <c r="AF99" s="2188">
        <v>2032</v>
      </c>
      <c r="AG99" s="2188">
        <v>2033</v>
      </c>
      <c r="AH99" s="2188">
        <v>2034</v>
      </c>
      <c r="AI99" s="2188">
        <v>2035</v>
      </c>
      <c r="AJ99" s="2188">
        <v>2036</v>
      </c>
      <c r="AK99" s="2188">
        <v>2037</v>
      </c>
      <c r="AL99" s="2188">
        <v>2038</v>
      </c>
      <c r="AM99" s="2188">
        <v>2039</v>
      </c>
      <c r="AN99" s="2188">
        <v>2040</v>
      </c>
      <c r="AO99" s="2188">
        <v>2041</v>
      </c>
      <c r="AP99" s="2188">
        <v>2042</v>
      </c>
      <c r="AQ99" s="2188">
        <v>2043</v>
      </c>
      <c r="AR99" s="2188">
        <v>2044</v>
      </c>
      <c r="AS99" s="2188">
        <v>2045</v>
      </c>
      <c r="AT99" s="2188">
        <v>2046</v>
      </c>
      <c r="AU99" s="2188">
        <v>2047</v>
      </c>
      <c r="AV99" s="2188">
        <v>2048</v>
      </c>
      <c r="AW99" s="2188">
        <v>2049</v>
      </c>
      <c r="AX99" s="2188">
        <v>2050</v>
      </c>
      <c r="AY99" s="2188">
        <v>2051</v>
      </c>
      <c r="AZ99" s="2188">
        <v>2052</v>
      </c>
      <c r="BA99" s="2188">
        <v>2053</v>
      </c>
      <c r="BB99" s="2188">
        <v>2054</v>
      </c>
      <c r="BC99" s="2188">
        <v>2055</v>
      </c>
      <c r="BD99" s="2188">
        <v>2056</v>
      </c>
      <c r="BE99" s="2188">
        <v>2057</v>
      </c>
      <c r="BF99" s="2188">
        <v>2058</v>
      </c>
      <c r="BG99" s="2188">
        <v>2059</v>
      </c>
      <c r="BH99" s="2188">
        <v>2060</v>
      </c>
      <c r="BI99" s="2188">
        <v>2061</v>
      </c>
      <c r="BJ99" s="2188">
        <v>2062</v>
      </c>
      <c r="BK99" s="2188">
        <v>2063</v>
      </c>
      <c r="BL99" s="2188">
        <v>2064</v>
      </c>
      <c r="BM99" s="2188">
        <v>2065</v>
      </c>
      <c r="BN99" s="2188">
        <v>2066</v>
      </c>
      <c r="BO99" s="2188">
        <v>2067</v>
      </c>
      <c r="BP99" s="2188">
        <v>2068</v>
      </c>
      <c r="BQ99" s="2188">
        <v>2069</v>
      </c>
      <c r="BR99" s="2188">
        <v>2070</v>
      </c>
      <c r="BS99" s="2188">
        <v>2071</v>
      </c>
      <c r="BT99" s="2188">
        <v>2072</v>
      </c>
      <c r="BU99" s="2188">
        <v>2073</v>
      </c>
      <c r="BV99" s="2188">
        <v>2074</v>
      </c>
      <c r="BW99" s="2188">
        <v>2075</v>
      </c>
      <c r="BX99" s="2195"/>
      <c r="BY99" s="2195"/>
      <c r="BZ99" s="2195"/>
      <c r="CA99" s="2195"/>
      <c r="CB99" s="2195"/>
      <c r="CC99" s="2195"/>
      <c r="CD99" s="2195"/>
      <c r="CE99" s="2195"/>
      <c r="CF99" s="2195"/>
      <c r="CG99" s="2195"/>
      <c r="CH99" s="2195"/>
      <c r="CI99" s="2195"/>
      <c r="CJ99" s="2195"/>
      <c r="CK99" s="2195"/>
      <c r="CL99" s="2195"/>
      <c r="CM99" s="7"/>
    </row>
    <row r="100" spans="3:91" ht="14.25">
      <c r="C100" s="4638" t="s">
        <v>1918</v>
      </c>
      <c r="D100" s="4639"/>
      <c r="E100" s="4640"/>
      <c r="F100" s="3116">
        <f t="array" ref="F100:BW102">TRANSPOSE(O9:Q78)</f>
        <v>4.899505871665788</v>
      </c>
      <c r="G100" s="2191">
        <v>5.2332073206922969</v>
      </c>
      <c r="H100" s="2191">
        <v>6.8896443359756132</v>
      </c>
      <c r="I100" s="2191">
        <v>3.8008165346172214</v>
      </c>
      <c r="J100" s="2191">
        <v>4.2089239785629875</v>
      </c>
      <c r="K100" s="2191">
        <v>4.1462161746245494</v>
      </c>
      <c r="L100" s="2191">
        <v>3.3197655776194255</v>
      </c>
      <c r="M100" s="2191">
        <v>4.5630380383354501</v>
      </c>
      <c r="N100" s="2191">
        <v>4.812236822972574</v>
      </c>
      <c r="O100" s="2191">
        <v>4.99931710024656</v>
      </c>
      <c r="P100" s="2191">
        <v>5.4514266162406706</v>
      </c>
      <c r="Q100" s="2191">
        <v>5.873842290087893</v>
      </c>
      <c r="R100" s="2191">
        <v>5.7938511165555289</v>
      </c>
      <c r="S100" s="2191">
        <v>6.0214554203769772</v>
      </c>
      <c r="T100" s="2191">
        <v>6.2364795922505163</v>
      </c>
      <c r="U100" s="2191">
        <v>6.382580680788597</v>
      </c>
      <c r="V100" s="2191">
        <v>6.6019298225578211</v>
      </c>
      <c r="W100" s="2191">
        <v>6.9838711233313333</v>
      </c>
      <c r="X100" s="2191">
        <v>7.1899229380394152</v>
      </c>
      <c r="Y100" s="2191">
        <v>7.4432130187163263</v>
      </c>
      <c r="Z100" s="2191">
        <v>7.6295896446804594</v>
      </c>
      <c r="AA100" s="2191">
        <v>7.9531673877287918</v>
      </c>
      <c r="AB100" s="2191">
        <v>8.2578824915831994</v>
      </c>
      <c r="AC100" s="2191">
        <v>8.4565981280292881</v>
      </c>
      <c r="AD100" s="2191">
        <v>8.7467902561554318</v>
      </c>
      <c r="AE100" s="2192">
        <v>8.9927761636510439</v>
      </c>
      <c r="AF100" s="2191">
        <v>9.2586327600257903</v>
      </c>
      <c r="AG100" s="2191">
        <v>9.5594865066080388</v>
      </c>
      <c r="AH100" s="2191">
        <v>9.8216637529842021</v>
      </c>
      <c r="AI100" s="2191">
        <v>10.080166098513404</v>
      </c>
      <c r="AJ100" s="2191">
        <v>10.326834815873069</v>
      </c>
      <c r="AK100" s="2191">
        <v>10.612991534267678</v>
      </c>
      <c r="AL100" s="2191">
        <v>10.917353195987152</v>
      </c>
      <c r="AM100" s="2191">
        <v>11.32984566586963</v>
      </c>
      <c r="AN100" s="2191">
        <v>11.53353003387701</v>
      </c>
      <c r="AO100" s="2191">
        <v>11.776576904240095</v>
      </c>
      <c r="AP100" s="2191">
        <v>12.019623774603179</v>
      </c>
      <c r="AQ100" s="2191">
        <v>12.262670644966263</v>
      </c>
      <c r="AR100" s="2191">
        <v>12.505717515329348</v>
      </c>
      <c r="AS100" s="2191">
        <v>12.748764385692429</v>
      </c>
      <c r="AT100" s="2191">
        <v>13.015669107072139</v>
      </c>
      <c r="AU100" s="2191">
        <v>13.282573828451849</v>
      </c>
      <c r="AV100" s="2191">
        <v>13.549478549831559</v>
      </c>
      <c r="AW100" s="2191">
        <v>13.816383271211269</v>
      </c>
      <c r="AX100" s="2191">
        <v>14.083287992590979</v>
      </c>
      <c r="AY100" s="2191">
        <v>14.57511502972871</v>
      </c>
      <c r="AZ100" s="2191">
        <v>15.066942066866442</v>
      </c>
      <c r="BA100" s="2191">
        <v>15.558769104004174</v>
      </c>
      <c r="BB100" s="2191">
        <v>16.050596141141906</v>
      </c>
      <c r="BC100" s="2191">
        <v>16.542423178279634</v>
      </c>
      <c r="BD100" s="2191">
        <v>17.092236408206144</v>
      </c>
      <c r="BE100" s="2191">
        <v>17.642049638132654</v>
      </c>
      <c r="BF100" s="2191">
        <v>18.191862868059165</v>
      </c>
      <c r="BG100" s="2191">
        <v>18.741676097985675</v>
      </c>
      <c r="BH100" s="2191">
        <v>19.291489327912185</v>
      </c>
      <c r="BI100" s="2191">
        <v>19.866882384507523</v>
      </c>
      <c r="BJ100" s="2191">
        <v>20.442275441102861</v>
      </c>
      <c r="BK100" s="2191">
        <v>21.0176684976982</v>
      </c>
      <c r="BL100" s="2191">
        <v>21.593061554293538</v>
      </c>
      <c r="BM100" s="2191">
        <v>22.168454610888872</v>
      </c>
      <c r="BN100" s="2191">
        <v>22.961075126893508</v>
      </c>
      <c r="BO100" s="2191">
        <v>23.753695642898144</v>
      </c>
      <c r="BP100" s="2191">
        <v>24.54631615890278</v>
      </c>
      <c r="BQ100" s="2191">
        <v>25.338936674907416</v>
      </c>
      <c r="BR100" s="2191">
        <v>26.131557190912055</v>
      </c>
      <c r="BS100" s="2196">
        <v>26.940416551472207</v>
      </c>
      <c r="BT100" s="2196">
        <v>27.77688403071183</v>
      </c>
      <c r="BU100" s="2196">
        <v>28.644224374780912</v>
      </c>
      <c r="BV100" s="2196">
        <v>29.546088396245153</v>
      </c>
      <c r="BW100" s="2196">
        <v>30.48655862764392</v>
      </c>
      <c r="BX100" s="7"/>
      <c r="BY100" s="7"/>
      <c r="BZ100" s="7"/>
      <c r="CA100" s="7"/>
      <c r="CB100" s="7"/>
      <c r="CC100" s="7"/>
      <c r="CD100" s="7"/>
      <c r="CE100" s="7"/>
      <c r="CF100" s="7"/>
      <c r="CG100" s="7"/>
      <c r="CH100" s="7"/>
      <c r="CI100" s="7"/>
      <c r="CJ100" s="7"/>
      <c r="CK100" s="7"/>
      <c r="CL100" s="7"/>
      <c r="CM100" s="7"/>
    </row>
    <row r="101" spans="3:91" ht="14.25">
      <c r="C101" s="4638" t="s">
        <v>1919</v>
      </c>
      <c r="D101" s="4639"/>
      <c r="E101" s="4640"/>
      <c r="F101" s="3116">
        <v>6.6689376511407188</v>
      </c>
      <c r="G101" s="2191">
        <v>7.0748370537672551</v>
      </c>
      <c r="H101" s="2191">
        <v>9.253855043988084</v>
      </c>
      <c r="I101" s="2191">
        <v>5.2900662411467305</v>
      </c>
      <c r="J101" s="2191">
        <v>5.9540120847799125</v>
      </c>
      <c r="K101" s="2191">
        <v>5.9407657504371745</v>
      </c>
      <c r="L101" s="2191">
        <v>4.8071467954733285</v>
      </c>
      <c r="M101" s="2191">
        <v>6.6673400692022877</v>
      </c>
      <c r="N101" s="2191">
        <v>7.0871027398730275</v>
      </c>
      <c r="O101" s="2191">
        <v>7.4143737568759827</v>
      </c>
      <c r="P101" s="2191">
        <v>8.1360450554176715</v>
      </c>
      <c r="Q101" s="2191">
        <v>8.8169525713980121</v>
      </c>
      <c r="R101" s="2191">
        <v>8.7428311890667025</v>
      </c>
      <c r="S101" s="2191">
        <v>9.1306604371725779</v>
      </c>
      <c r="T101" s="2191">
        <v>9.4996701086768649</v>
      </c>
      <c r="U101" s="2191">
        <v>9.7635067351363727</v>
      </c>
      <c r="V101" s="2191">
        <v>10.139328205099744</v>
      </c>
      <c r="W101" s="2191">
        <v>10.766256131528156</v>
      </c>
      <c r="X101" s="2191">
        <v>11.123343722396418</v>
      </c>
      <c r="Y101" s="2191">
        <v>11.554092344467906</v>
      </c>
      <c r="Z101" s="2191">
        <v>11.881472965986489</v>
      </c>
      <c r="AA101" s="2191">
        <v>12.423360699477938</v>
      </c>
      <c r="AB101" s="2191">
        <v>12.937175348751921</v>
      </c>
      <c r="AC101" s="2191">
        <v>13.285723175683701</v>
      </c>
      <c r="AD101" s="2191">
        <v>13.778701628403663</v>
      </c>
      <c r="AE101" s="2192">
        <v>14.212537596691062</v>
      </c>
      <c r="AF101" s="2191">
        <v>14.679432677613544</v>
      </c>
      <c r="AG101" s="2191">
        <v>15.204803197544878</v>
      </c>
      <c r="AH101" s="2191">
        <v>15.671050772398567</v>
      </c>
      <c r="AI101" s="2191">
        <v>16.133935335450509</v>
      </c>
      <c r="AJ101" s="2191">
        <v>16.579409532376651</v>
      </c>
      <c r="AK101" s="2191">
        <v>17.091040812448199</v>
      </c>
      <c r="AL101" s="2191">
        <v>17.634884131680288</v>
      </c>
      <c r="AM101" s="2191">
        <v>18.3570617825605</v>
      </c>
      <c r="AN101" s="2191">
        <v>18.744637938304788</v>
      </c>
      <c r="AO101" s="2191">
        <v>19.199335875360632</v>
      </c>
      <c r="AP101" s="2191">
        <v>19.656504388746356</v>
      </c>
      <c r="AQ101" s="2191">
        <v>20.116260183872313</v>
      </c>
      <c r="AR101" s="2191">
        <v>20.578513490337027</v>
      </c>
      <c r="AS101" s="2191">
        <v>21.043303202569899</v>
      </c>
      <c r="AT101" s="2191">
        <v>21.550118898274199</v>
      </c>
      <c r="AU101" s="2191">
        <v>22.0599026649015</v>
      </c>
      <c r="AV101" s="2191">
        <v>22.572654756664857</v>
      </c>
      <c r="AW101" s="2191">
        <v>23.088429248507026</v>
      </c>
      <c r="AX101" s="2191">
        <v>23.60727546153613</v>
      </c>
      <c r="AY101" s="2191">
        <v>24.507352321955405</v>
      </c>
      <c r="AZ101" s="2191">
        <v>25.412733553900882</v>
      </c>
      <c r="BA101" s="2191">
        <v>26.323449110488255</v>
      </c>
      <c r="BB101" s="2191">
        <v>27.239517059367337</v>
      </c>
      <c r="BC101" s="2191">
        <v>28.160975657752889</v>
      </c>
      <c r="BD101" s="2191">
        <v>29.186882436654816</v>
      </c>
      <c r="BE101" s="2191">
        <v>30.218881157002425</v>
      </c>
      <c r="BF101" s="2191">
        <v>31.256997555258444</v>
      </c>
      <c r="BG101" s="2191">
        <v>32.301260915077698</v>
      </c>
      <c r="BH101" s="2191">
        <v>33.351694008251791</v>
      </c>
      <c r="BI101" s="2191">
        <v>34.452671667940479</v>
      </c>
      <c r="BJ101" s="2191">
        <v>35.56012852420379</v>
      </c>
      <c r="BK101" s="2191">
        <v>36.674096651028691</v>
      </c>
      <c r="BL101" s="2191">
        <v>37.794608485878783</v>
      </c>
      <c r="BM101" s="2191">
        <v>38.921698554740949</v>
      </c>
      <c r="BN101" s="2191">
        <v>40.437971201109264</v>
      </c>
      <c r="BO101" s="2191">
        <v>41.963253480516997</v>
      </c>
      <c r="BP101" s="2191">
        <v>43.49758505402513</v>
      </c>
      <c r="BQ101" s="2191">
        <v>45.041005821423397</v>
      </c>
      <c r="BR101" s="2191">
        <v>46.593555261651225</v>
      </c>
      <c r="BS101" s="2196">
        <v>48.184975966329873</v>
      </c>
      <c r="BT101" s="2196">
        <v>49.835338627983205</v>
      </c>
      <c r="BU101" s="2196">
        <v>51.550948275906407</v>
      </c>
      <c r="BV101" s="2196">
        <v>53.338863829710043</v>
      </c>
      <c r="BW101" s="2196">
        <v>55.206988658961983</v>
      </c>
    </row>
    <row r="102" spans="3:91" ht="15" thickBot="1">
      <c r="C102" s="4641" t="s">
        <v>1920</v>
      </c>
      <c r="D102" s="4642"/>
      <c r="E102" s="4643"/>
      <c r="F102" s="3117">
        <v>4.0237415760909281</v>
      </c>
      <c r="G102" s="2193">
        <v>4.2464537316142392</v>
      </c>
      <c r="H102" s="2193">
        <v>5.5264420337967497</v>
      </c>
      <c r="I102" s="2193">
        <v>2.7464663584987865</v>
      </c>
      <c r="J102" s="2193">
        <v>2.8635004179511343</v>
      </c>
      <c r="K102" s="2193">
        <v>2.6984318180110329</v>
      </c>
      <c r="L102" s="2193">
        <v>2.0865830438336808</v>
      </c>
      <c r="M102" s="2193">
        <v>2.7873269438301946</v>
      </c>
      <c r="N102" s="2193">
        <v>2.8696105418463973</v>
      </c>
      <c r="O102" s="2193">
        <v>2.9198911814771735</v>
      </c>
      <c r="P102" s="2193">
        <v>3.1264626213178848</v>
      </c>
      <c r="Q102" s="2193">
        <v>3.3145866241090745</v>
      </c>
      <c r="R102" s="2193">
        <v>3.2221749473185168</v>
      </c>
      <c r="S102" s="2193">
        <v>3.3047970300124674</v>
      </c>
      <c r="T102" s="2193">
        <v>3.381711784862699</v>
      </c>
      <c r="U102" s="2193">
        <v>3.4226744262837978</v>
      </c>
      <c r="V102" s="2193">
        <v>3.5040648735511017</v>
      </c>
      <c r="W102" s="2193">
        <v>3.6714856244132945</v>
      </c>
      <c r="X102" s="2193">
        <v>3.746173747025658</v>
      </c>
      <c r="Y102" s="2193">
        <v>3.8457743191491467</v>
      </c>
      <c r="Z102" s="2193">
        <v>3.9111001822606486</v>
      </c>
      <c r="AA102" s="2193">
        <v>4.0467311388957796</v>
      </c>
      <c r="AB102" s="2193">
        <v>4.1722671420207353</v>
      </c>
      <c r="AC102" s="2193">
        <v>4.2441857479105067</v>
      </c>
      <c r="AD102" s="2193">
        <v>4.3619874741240414</v>
      </c>
      <c r="AE102" s="2194">
        <v>4.4482417886486489</v>
      </c>
      <c r="AF102" s="2193">
        <v>4.5437074018101811</v>
      </c>
      <c r="AG102" s="2193">
        <v>4.6546540486568224</v>
      </c>
      <c r="AH102" s="2193">
        <v>4.7455271464306668</v>
      </c>
      <c r="AI102" s="2193">
        <v>4.8332802846085983</v>
      </c>
      <c r="AJ102" s="2193">
        <v>4.9147141827906857</v>
      </c>
      <c r="AK102" s="2193">
        <v>5.0133629346438857</v>
      </c>
      <c r="AL102" s="2193">
        <v>5.1189271558467935</v>
      </c>
      <c r="AM102" s="2193">
        <v>5.2729484937135549</v>
      </c>
      <c r="AN102" s="2193">
        <v>5.3275020147644607</v>
      </c>
      <c r="AO102" s="2193">
        <v>5.3983426988066761</v>
      </c>
      <c r="AP102" s="2193">
        <v>5.4679950040566219</v>
      </c>
      <c r="AQ102" s="2193">
        <v>5.5363756469596384</v>
      </c>
      <c r="AR102" s="2193">
        <v>5.6035543217462935</v>
      </c>
      <c r="AS102" s="2193">
        <v>5.6695105003187649</v>
      </c>
      <c r="AT102" s="2193">
        <v>5.7447930459179704</v>
      </c>
      <c r="AU102" s="2193">
        <v>5.8185913432628755</v>
      </c>
      <c r="AV102" s="2193">
        <v>5.890927821078729</v>
      </c>
      <c r="AW102" s="2193">
        <v>5.9617925921998403</v>
      </c>
      <c r="AX102" s="2193">
        <v>6.0311838550385799</v>
      </c>
      <c r="AY102" s="2193">
        <v>6.1947585808186032</v>
      </c>
      <c r="AZ102" s="2193">
        <v>6.3555653937435395</v>
      </c>
      <c r="BA102" s="2193">
        <v>6.5136272995907039</v>
      </c>
      <c r="BB102" s="2193">
        <v>6.6689764550524346</v>
      </c>
      <c r="BC102" s="2193">
        <v>6.821632895424333</v>
      </c>
      <c r="BD102" s="2193">
        <v>6.995349158733962</v>
      </c>
      <c r="BE102" s="2193">
        <v>7.1660517472670735</v>
      </c>
      <c r="BF102" s="2193">
        <v>7.3337779790536821</v>
      </c>
      <c r="BG102" s="2193">
        <v>7.4985632938659723</v>
      </c>
      <c r="BH102" s="2193">
        <v>7.6604471057008539</v>
      </c>
      <c r="BI102" s="2193">
        <v>7.8295539928010074</v>
      </c>
      <c r="BJ102" s="2193">
        <v>7.9956901892155869</v>
      </c>
      <c r="BK102" s="2193">
        <v>8.1588880302567421</v>
      </c>
      <c r="BL102" s="2193">
        <v>8.3191799516010292</v>
      </c>
      <c r="BM102" s="2193">
        <v>8.4765973360173348</v>
      </c>
      <c r="BN102" s="2193">
        <v>8.713608985624564</v>
      </c>
      <c r="BO102" s="2193">
        <v>8.9465705025555451</v>
      </c>
      <c r="BP102" s="2193">
        <v>9.1755305915440797</v>
      </c>
      <c r="BQ102" s="2193">
        <v>9.4005373805560435</v>
      </c>
      <c r="BR102" s="2193">
        <v>9.6216387188962322</v>
      </c>
      <c r="BS102" s="2197">
        <v>9.8444851281123569</v>
      </c>
      <c r="BT102" s="2197">
        <v>10.073437855271081</v>
      </c>
      <c r="BU102" s="2197">
        <v>10.309528303303972</v>
      </c>
      <c r="BV102" s="2197">
        <v>10.553901397263566</v>
      </c>
      <c r="BW102" s="2197">
        <v>10.80782847221815</v>
      </c>
    </row>
    <row r="104" spans="3:91">
      <c r="F104" s="3425">
        <v>4.899505871665788</v>
      </c>
      <c r="G104" s="3425">
        <v>5.2332073206922969</v>
      </c>
      <c r="H104" s="3425">
        <v>6.8896443359756132</v>
      </c>
      <c r="I104" s="3425">
        <v>3.8008165346172214</v>
      </c>
      <c r="J104" s="3425">
        <v>4.2089239785629875</v>
      </c>
      <c r="K104" s="3425">
        <v>4.1462161746245494</v>
      </c>
      <c r="L104" s="3425">
        <v>3.3197655776194255</v>
      </c>
      <c r="M104" s="3425">
        <v>4.5630380383354501</v>
      </c>
      <c r="N104" s="3425">
        <v>4.812236822972574</v>
      </c>
      <c r="O104" s="3425">
        <v>4.99931710024656</v>
      </c>
      <c r="P104" s="3425">
        <v>5.4514266162406706</v>
      </c>
      <c r="Q104" s="3425">
        <v>5.873842290087893</v>
      </c>
      <c r="R104" s="3425">
        <v>5.7938511165555289</v>
      </c>
      <c r="S104" s="3425">
        <v>6.0214554203769772</v>
      </c>
      <c r="T104" s="3425">
        <v>6.2364795922505163</v>
      </c>
      <c r="U104" s="3425">
        <v>6.382580680788597</v>
      </c>
      <c r="V104" s="3425">
        <v>6.6019298225578211</v>
      </c>
      <c r="W104" s="3425">
        <v>6.9838711233313333</v>
      </c>
      <c r="X104" s="3425">
        <v>7.1899229380394152</v>
      </c>
      <c r="Y104" s="3425">
        <v>7.4432130187163263</v>
      </c>
      <c r="Z104" s="3425">
        <v>7.6295896446804594</v>
      </c>
      <c r="AA104" s="3425">
        <v>7.9531673877287918</v>
      </c>
      <c r="AB104" s="3425">
        <v>8.2578824915831994</v>
      </c>
      <c r="AC104" s="3425">
        <v>8.4565981280292881</v>
      </c>
      <c r="AD104" s="3425">
        <v>8.7467902561554318</v>
      </c>
      <c r="AE104" s="3425">
        <v>8.9927761636510439</v>
      </c>
      <c r="AF104" s="3425">
        <v>9.2586327600257903</v>
      </c>
      <c r="AG104" s="3425">
        <v>9.5594865066080388</v>
      </c>
      <c r="AH104" s="3425">
        <v>9.8216637529842021</v>
      </c>
      <c r="AI104" s="3425">
        <v>10.080166098513404</v>
      </c>
      <c r="AJ104" s="3426">
        <v>10.326834815873069</v>
      </c>
      <c r="AK104" s="3427">
        <v>10.612991534267678</v>
      </c>
      <c r="AL104" s="3425">
        <v>10.917353195987152</v>
      </c>
      <c r="AM104" s="3425">
        <v>11.32984566586963</v>
      </c>
      <c r="AN104" s="3425">
        <v>11.53353003387701</v>
      </c>
      <c r="AO104" s="3425">
        <v>11.776576904240095</v>
      </c>
      <c r="AP104" s="3425">
        <v>12.019623774603179</v>
      </c>
      <c r="AQ104" s="3425">
        <v>12.262670644966263</v>
      </c>
      <c r="AR104" s="3425">
        <v>12.505717515329348</v>
      </c>
      <c r="AS104" s="3425">
        <v>12.748764385692429</v>
      </c>
      <c r="AT104" s="3425">
        <v>13.015669107072139</v>
      </c>
      <c r="AU104" s="3425">
        <v>13.282573828451849</v>
      </c>
      <c r="AV104" s="3425">
        <v>13.549478549831559</v>
      </c>
      <c r="AW104" s="3425">
        <v>13.816383271211269</v>
      </c>
      <c r="AX104" s="3425">
        <v>14.083287992590979</v>
      </c>
      <c r="AY104" s="3425">
        <v>14.57511502972871</v>
      </c>
      <c r="AZ104" s="3425">
        <v>15.066942066866442</v>
      </c>
      <c r="BA104" s="3425">
        <v>15.558769104004174</v>
      </c>
      <c r="BB104" s="3425">
        <v>16.050596141141906</v>
      </c>
      <c r="BC104" s="3425">
        <v>16.542423178279634</v>
      </c>
      <c r="BD104" s="3425">
        <v>17.092236408206144</v>
      </c>
      <c r="BE104" s="3425">
        <v>17.642049638132654</v>
      </c>
      <c r="BF104" s="3425">
        <v>18.191862868059165</v>
      </c>
      <c r="BG104" s="3425">
        <v>18.741676097985675</v>
      </c>
      <c r="BH104" s="3425">
        <v>19.291489327912185</v>
      </c>
      <c r="BI104" s="3425">
        <v>19.866882384507523</v>
      </c>
      <c r="BJ104" s="3425">
        <v>20.442275441102861</v>
      </c>
      <c r="BK104" s="3425">
        <v>21.0176684976982</v>
      </c>
      <c r="BL104" s="3425">
        <v>21.593061554293538</v>
      </c>
      <c r="BM104" s="3425">
        <v>22.168454610888872</v>
      </c>
      <c r="BN104" s="3425">
        <v>22.961075126893508</v>
      </c>
      <c r="BO104" s="3425">
        <v>23.753695642898144</v>
      </c>
      <c r="BP104" s="3425">
        <v>24.54631615890278</v>
      </c>
      <c r="BQ104" s="3425">
        <v>25.338936674907416</v>
      </c>
      <c r="BR104" s="3425">
        <v>26.131557190912055</v>
      </c>
    </row>
    <row r="105" spans="3:91">
      <c r="F105" s="3425">
        <v>6.6689376511407188</v>
      </c>
      <c r="G105" s="3428">
        <v>7.0748370537672551</v>
      </c>
      <c r="H105" s="3425">
        <v>9.253855043988084</v>
      </c>
      <c r="I105" s="3425">
        <v>5.2900662411467305</v>
      </c>
      <c r="J105" s="3425">
        <v>5.9540120847799125</v>
      </c>
      <c r="K105" s="3425">
        <v>5.9407657504371745</v>
      </c>
      <c r="L105" s="3425">
        <v>4.8071467954733285</v>
      </c>
      <c r="M105" s="3425">
        <v>6.6673400692022877</v>
      </c>
      <c r="N105" s="3425">
        <v>7.0871027398730275</v>
      </c>
      <c r="O105" s="3425">
        <v>7.4143737568759827</v>
      </c>
      <c r="P105" s="3425">
        <v>8.1360450554176715</v>
      </c>
      <c r="Q105" s="3425">
        <v>8.8169525713980121</v>
      </c>
      <c r="R105" s="3425">
        <v>8.7428311890667025</v>
      </c>
      <c r="S105" s="3425">
        <v>9.1306604371725779</v>
      </c>
      <c r="T105" s="3425">
        <v>9.4996701086768649</v>
      </c>
      <c r="U105" s="3425">
        <v>9.7635067351363727</v>
      </c>
      <c r="V105" s="3425">
        <v>10.139328205099744</v>
      </c>
      <c r="W105" s="3425">
        <v>10.766256131528156</v>
      </c>
      <c r="X105" s="3425">
        <v>11.123343722396418</v>
      </c>
      <c r="Y105" s="3425">
        <v>11.554092344467906</v>
      </c>
      <c r="Z105" s="3425">
        <v>11.881472965986489</v>
      </c>
      <c r="AA105" s="3425">
        <v>12.423360699477938</v>
      </c>
      <c r="AB105" s="3425">
        <v>12.937175348751921</v>
      </c>
      <c r="AC105" s="3425">
        <v>13.285723175683701</v>
      </c>
      <c r="AD105" s="3425">
        <v>13.778701628403663</v>
      </c>
      <c r="AE105" s="3425">
        <v>14.212537596691062</v>
      </c>
      <c r="AF105" s="3425">
        <v>14.679432677613544</v>
      </c>
      <c r="AG105" s="3425">
        <v>15.204803197544878</v>
      </c>
      <c r="AH105" s="3425">
        <v>15.671050772398567</v>
      </c>
      <c r="AI105" s="3425">
        <v>16.133935335450509</v>
      </c>
      <c r="AJ105" s="3426">
        <v>16.579409532376651</v>
      </c>
      <c r="AK105" s="3427">
        <v>17.091040812448199</v>
      </c>
      <c r="AL105" s="3425">
        <v>17.634884131680288</v>
      </c>
      <c r="AM105" s="3425">
        <v>18.3570617825605</v>
      </c>
      <c r="AN105" s="3425">
        <v>18.744637938304788</v>
      </c>
      <c r="AO105" s="3425">
        <v>19.199335875360632</v>
      </c>
      <c r="AP105" s="3425">
        <v>19.656504388746356</v>
      </c>
      <c r="AQ105" s="3425">
        <v>20.116260183872313</v>
      </c>
      <c r="AR105" s="3425">
        <v>20.578513490337027</v>
      </c>
      <c r="AS105" s="3425">
        <v>21.043303202569899</v>
      </c>
      <c r="AT105" s="3425">
        <v>21.550118898274199</v>
      </c>
      <c r="AU105" s="3425">
        <v>22.0599026649015</v>
      </c>
      <c r="AV105" s="3425">
        <v>22.572654756664857</v>
      </c>
      <c r="AW105" s="3425">
        <v>23.088429248507026</v>
      </c>
      <c r="AX105" s="3425">
        <v>23.60727546153613</v>
      </c>
      <c r="AY105" s="3425">
        <v>24.507352321955405</v>
      </c>
      <c r="AZ105" s="3425">
        <v>25.412733553900882</v>
      </c>
      <c r="BA105" s="3425">
        <v>26.323449110488255</v>
      </c>
      <c r="BB105" s="3425">
        <v>27.239517059367337</v>
      </c>
      <c r="BC105" s="3425">
        <v>28.160975657752889</v>
      </c>
      <c r="BD105" s="3425">
        <v>29.186882436654816</v>
      </c>
      <c r="BE105" s="3425">
        <v>30.218881157002425</v>
      </c>
      <c r="BF105" s="3425">
        <v>31.256997555258444</v>
      </c>
      <c r="BG105" s="3425">
        <v>32.301260915077698</v>
      </c>
      <c r="BH105" s="3425">
        <v>33.351694008251791</v>
      </c>
      <c r="BI105" s="3425">
        <v>34.452671667940479</v>
      </c>
      <c r="BJ105" s="3425">
        <v>35.56012852420379</v>
      </c>
      <c r="BK105" s="3425">
        <v>36.674096651028691</v>
      </c>
      <c r="BL105" s="3425">
        <v>37.794608485878783</v>
      </c>
      <c r="BM105" s="3425">
        <v>38.921698554740949</v>
      </c>
      <c r="BN105" s="3425">
        <v>40.437971201109264</v>
      </c>
      <c r="BO105" s="3425">
        <v>41.963253480516997</v>
      </c>
      <c r="BP105" s="3425">
        <v>43.49758505402513</v>
      </c>
      <c r="BQ105" s="3425">
        <v>45.041005821423397</v>
      </c>
      <c r="BR105" s="3425">
        <v>46.593555261651225</v>
      </c>
    </row>
    <row r="106" spans="3:91">
      <c r="F106" s="3425">
        <v>4.0237415760909281</v>
      </c>
      <c r="G106" s="3425">
        <v>4.2464537316142392</v>
      </c>
      <c r="H106" s="3425">
        <v>5.5264420337967497</v>
      </c>
      <c r="I106" s="3425">
        <v>2.7464663584987865</v>
      </c>
      <c r="J106" s="3425">
        <v>2.8635004179511343</v>
      </c>
      <c r="K106" s="3425">
        <v>2.6984318180110329</v>
      </c>
      <c r="L106" s="3425">
        <v>2.0865830438336808</v>
      </c>
      <c r="M106" s="3425">
        <v>2.7873269438301946</v>
      </c>
      <c r="N106" s="3425">
        <v>2.8696105418463973</v>
      </c>
      <c r="O106" s="3425">
        <v>2.9198911814771735</v>
      </c>
      <c r="P106" s="3425">
        <v>3.1264626213178848</v>
      </c>
      <c r="Q106" s="3425">
        <v>3.3145866241090745</v>
      </c>
      <c r="R106" s="3425">
        <v>3.2221749473185168</v>
      </c>
      <c r="S106" s="3425">
        <v>3.3047970300124674</v>
      </c>
      <c r="T106" s="3425">
        <v>3.381711784862699</v>
      </c>
      <c r="U106" s="3425">
        <v>3.4226744262837978</v>
      </c>
      <c r="V106" s="3425">
        <v>3.5040648735511017</v>
      </c>
      <c r="W106" s="3425">
        <v>3.6714856244132945</v>
      </c>
      <c r="X106" s="3425">
        <v>3.746173747025658</v>
      </c>
      <c r="Y106" s="3425">
        <v>3.8457743191491467</v>
      </c>
      <c r="Z106" s="3425">
        <v>3.9111001822606486</v>
      </c>
      <c r="AA106" s="3425">
        <v>4.0467311388957796</v>
      </c>
      <c r="AB106" s="3425">
        <v>4.1722671420207353</v>
      </c>
      <c r="AC106" s="3425">
        <v>4.2441857479105067</v>
      </c>
      <c r="AD106" s="3425">
        <v>4.3619874741240414</v>
      </c>
      <c r="AE106" s="3425">
        <v>4.4482417886486489</v>
      </c>
      <c r="AF106" s="3425">
        <v>4.5437074018101811</v>
      </c>
      <c r="AG106" s="3425">
        <v>4.6546540486568224</v>
      </c>
      <c r="AH106" s="3425">
        <v>4.7455271464306668</v>
      </c>
      <c r="AI106" s="3425">
        <v>4.8332802846085983</v>
      </c>
      <c r="AJ106" s="3426">
        <v>4.9147141827906857</v>
      </c>
      <c r="AK106" s="3427">
        <v>5.0133629346438857</v>
      </c>
      <c r="AL106" s="3425">
        <v>5.1189271558467935</v>
      </c>
      <c r="AM106" s="3425">
        <v>5.2729484937135549</v>
      </c>
      <c r="AN106" s="3425">
        <v>5.3275020147644607</v>
      </c>
      <c r="AO106" s="3425">
        <v>5.3983426988066761</v>
      </c>
      <c r="AP106" s="3425">
        <v>5.4679950040566219</v>
      </c>
      <c r="AQ106" s="3425">
        <v>5.5363756469596384</v>
      </c>
      <c r="AR106" s="3425">
        <v>5.6035543217462935</v>
      </c>
      <c r="AS106" s="3425">
        <v>5.6695105003187649</v>
      </c>
      <c r="AT106" s="3425">
        <v>5.7447930459179704</v>
      </c>
      <c r="AU106" s="3425">
        <v>5.8185913432628755</v>
      </c>
      <c r="AV106" s="3425">
        <v>5.890927821078729</v>
      </c>
      <c r="AW106" s="3425">
        <v>5.9617925921998403</v>
      </c>
      <c r="AX106" s="3425">
        <v>6.0311838550385799</v>
      </c>
      <c r="AY106" s="3425">
        <v>6.1947585808186032</v>
      </c>
      <c r="AZ106" s="3425">
        <v>6.3555653937435395</v>
      </c>
      <c r="BA106" s="3425">
        <v>6.5136272995907039</v>
      </c>
      <c r="BB106" s="3425">
        <v>6.6689764550524346</v>
      </c>
      <c r="BC106" s="3425">
        <v>6.821632895424333</v>
      </c>
      <c r="BD106" s="3425">
        <v>6.995349158733962</v>
      </c>
      <c r="BE106" s="3425">
        <v>7.1660517472670735</v>
      </c>
      <c r="BF106" s="3425">
        <v>7.3337779790536821</v>
      </c>
      <c r="BG106" s="3425">
        <v>7.4985632938659723</v>
      </c>
      <c r="BH106" s="3425">
        <v>7.6604471057008539</v>
      </c>
      <c r="BI106" s="3425">
        <v>7.8295539928010074</v>
      </c>
      <c r="BJ106" s="3425">
        <v>7.9956901892155869</v>
      </c>
      <c r="BK106" s="3425">
        <v>8.1588880302567421</v>
      </c>
      <c r="BL106" s="3425">
        <v>8.3191799516010292</v>
      </c>
      <c r="BM106" s="3425">
        <v>8.4765973360173348</v>
      </c>
      <c r="BN106" s="3425">
        <v>8.713608985624564</v>
      </c>
      <c r="BO106" s="3425">
        <v>8.9465705025555451</v>
      </c>
      <c r="BP106" s="3425">
        <v>9.1755305915440797</v>
      </c>
      <c r="BQ106" s="3425">
        <v>9.4005373805560435</v>
      </c>
      <c r="BR106" s="3425">
        <v>9.6216387188962322</v>
      </c>
    </row>
    <row r="145" spans="1:71">
      <c r="G145" s="2330" t="s">
        <v>1903</v>
      </c>
    </row>
    <row r="155" spans="1:71" ht="26.25">
      <c r="A155" s="3089" t="s">
        <v>1818</v>
      </c>
    </row>
    <row r="156" spans="1:71" s="2329" customFormat="1">
      <c r="AJ156" s="3"/>
      <c r="AK156" s="1362"/>
    </row>
    <row r="157" spans="1:71" s="2329" customFormat="1">
      <c r="AJ157" s="3"/>
      <c r="AK157" s="1362"/>
    </row>
    <row r="158" spans="1:71" s="2329" customFormat="1" ht="13.5" thickBot="1">
      <c r="D158" s="3120" t="str">
        <f>C85</f>
        <v>Earlier Forecast entered 1-12-13</v>
      </c>
      <c r="AJ158" s="3"/>
      <c r="AK158" s="1362"/>
    </row>
    <row r="159" spans="1:71" s="2329" customFormat="1">
      <c r="D159" s="4626"/>
      <c r="E159" s="4627"/>
      <c r="F159" s="4647"/>
      <c r="G159" s="3093">
        <f t="shared" ref="E159:BP162" si="73">F86</f>
        <v>2006</v>
      </c>
      <c r="H159" s="3093">
        <f t="shared" si="73"/>
        <v>2007</v>
      </c>
      <c r="I159" s="3093">
        <f t="shared" si="73"/>
        <v>2008</v>
      </c>
      <c r="J159" s="3093">
        <f t="shared" si="73"/>
        <v>2009</v>
      </c>
      <c r="K159" s="3093">
        <f t="shared" si="73"/>
        <v>2010</v>
      </c>
      <c r="L159" s="3093">
        <f t="shared" si="73"/>
        <v>2011</v>
      </c>
      <c r="M159" s="3093">
        <f t="shared" si="73"/>
        <v>2012</v>
      </c>
      <c r="N159" s="3093">
        <f t="shared" si="73"/>
        <v>2013</v>
      </c>
      <c r="O159" s="3093">
        <f t="shared" si="73"/>
        <v>2014</v>
      </c>
      <c r="P159" s="3093">
        <f t="shared" si="73"/>
        <v>2015</v>
      </c>
      <c r="Q159" s="3093">
        <f t="shared" si="73"/>
        <v>2016</v>
      </c>
      <c r="R159" s="3093">
        <f t="shared" si="73"/>
        <v>2017</v>
      </c>
      <c r="S159" s="3093">
        <f t="shared" si="73"/>
        <v>2018</v>
      </c>
      <c r="T159" s="3093">
        <f t="shared" si="73"/>
        <v>2019</v>
      </c>
      <c r="U159" s="3093">
        <f t="shared" si="73"/>
        <v>2020</v>
      </c>
      <c r="V159" s="3093">
        <f t="shared" si="73"/>
        <v>2021</v>
      </c>
      <c r="W159" s="3093">
        <f t="shared" si="73"/>
        <v>2022</v>
      </c>
      <c r="X159" s="3093">
        <f t="shared" si="73"/>
        <v>2023</v>
      </c>
      <c r="Y159" s="3093">
        <f t="shared" si="73"/>
        <v>2024</v>
      </c>
      <c r="Z159" s="3093">
        <f t="shared" si="73"/>
        <v>2025</v>
      </c>
      <c r="AA159" s="3093">
        <f t="shared" si="73"/>
        <v>2026</v>
      </c>
      <c r="AB159" s="3093">
        <f t="shared" si="73"/>
        <v>2027</v>
      </c>
      <c r="AC159" s="3093">
        <f t="shared" si="73"/>
        <v>2028</v>
      </c>
      <c r="AD159" s="3093">
        <f t="shared" si="73"/>
        <v>2029</v>
      </c>
      <c r="AE159" s="3093">
        <f t="shared" si="73"/>
        <v>2030</v>
      </c>
      <c r="AF159" s="3093">
        <f t="shared" si="73"/>
        <v>2031</v>
      </c>
      <c r="AG159" s="3093">
        <f t="shared" si="73"/>
        <v>2032</v>
      </c>
      <c r="AH159" s="3093">
        <f t="shared" si="73"/>
        <v>2033</v>
      </c>
      <c r="AI159" s="3093">
        <f t="shared" si="73"/>
        <v>2034</v>
      </c>
      <c r="AJ159" s="3093">
        <f t="shared" si="73"/>
        <v>2035</v>
      </c>
      <c r="AK159" s="3093">
        <f t="shared" si="73"/>
        <v>2036</v>
      </c>
      <c r="AL159" s="3093">
        <f t="shared" si="73"/>
        <v>2037</v>
      </c>
      <c r="AM159" s="3093">
        <f t="shared" si="73"/>
        <v>2038</v>
      </c>
      <c r="AN159" s="3093">
        <f t="shared" si="73"/>
        <v>2039</v>
      </c>
      <c r="AO159" s="3093">
        <f t="shared" si="73"/>
        <v>2040</v>
      </c>
      <c r="AP159" s="3093">
        <f t="shared" si="73"/>
        <v>2041</v>
      </c>
      <c r="AQ159" s="3093">
        <f t="shared" si="73"/>
        <v>2042</v>
      </c>
      <c r="AR159" s="3093">
        <f t="shared" si="73"/>
        <v>2043</v>
      </c>
      <c r="AS159" s="3093">
        <f t="shared" si="73"/>
        <v>2044</v>
      </c>
      <c r="AT159" s="3093">
        <f t="shared" si="73"/>
        <v>2045</v>
      </c>
      <c r="AU159" s="3093">
        <f t="shared" si="73"/>
        <v>2046</v>
      </c>
      <c r="AV159" s="3093">
        <f t="shared" si="73"/>
        <v>2047</v>
      </c>
      <c r="AW159" s="3093">
        <f t="shared" si="73"/>
        <v>2048</v>
      </c>
      <c r="AX159" s="3093">
        <f t="shared" si="73"/>
        <v>2049</v>
      </c>
      <c r="AY159" s="3093">
        <f t="shared" si="73"/>
        <v>2050</v>
      </c>
      <c r="AZ159" s="3093">
        <f t="shared" si="73"/>
        <v>2051</v>
      </c>
      <c r="BA159" s="3093">
        <f t="shared" si="73"/>
        <v>2052</v>
      </c>
      <c r="BB159" s="3093">
        <f t="shared" si="73"/>
        <v>2053</v>
      </c>
      <c r="BC159" s="3093">
        <f t="shared" si="73"/>
        <v>2054</v>
      </c>
      <c r="BD159" s="3093">
        <f t="shared" si="73"/>
        <v>2055</v>
      </c>
      <c r="BE159" s="3093">
        <f t="shared" si="73"/>
        <v>2056</v>
      </c>
      <c r="BF159" s="3093">
        <f t="shared" si="73"/>
        <v>2057</v>
      </c>
      <c r="BG159" s="3093">
        <f t="shared" si="73"/>
        <v>2058</v>
      </c>
      <c r="BH159" s="3093">
        <f t="shared" si="73"/>
        <v>2059</v>
      </c>
      <c r="BI159" s="3093">
        <f t="shared" si="73"/>
        <v>2060</v>
      </c>
      <c r="BJ159" s="3093">
        <f t="shared" si="73"/>
        <v>2061</v>
      </c>
      <c r="BK159" s="3093">
        <f t="shared" si="73"/>
        <v>2062</v>
      </c>
      <c r="BL159" s="3093">
        <f t="shared" si="73"/>
        <v>2063</v>
      </c>
      <c r="BM159" s="3093">
        <f t="shared" si="73"/>
        <v>2064</v>
      </c>
      <c r="BN159" s="3093">
        <f t="shared" si="73"/>
        <v>2065</v>
      </c>
      <c r="BO159" s="3093">
        <f t="shared" si="73"/>
        <v>2066</v>
      </c>
      <c r="BP159" s="3093">
        <f t="shared" si="73"/>
        <v>2067</v>
      </c>
      <c r="BQ159" s="3093">
        <f t="shared" ref="BQ159:BS162" si="74">BP86</f>
        <v>2068</v>
      </c>
      <c r="BR159" s="3093">
        <f t="shared" si="74"/>
        <v>2069</v>
      </c>
      <c r="BS159" s="3094">
        <f t="shared" si="74"/>
        <v>2070</v>
      </c>
    </row>
    <row r="160" spans="1:71" s="2329" customFormat="1" ht="14.25">
      <c r="D160" s="4617" t="str">
        <f>C87</f>
        <v>Old Reference Case</v>
      </c>
      <c r="E160" s="4618">
        <f>D87</f>
        <v>0</v>
      </c>
      <c r="F160" s="4645">
        <f>E87</f>
        <v>0</v>
      </c>
      <c r="G160" s="3096">
        <f>F87</f>
        <v>4.899505871665788</v>
      </c>
      <c r="H160" s="3096">
        <f t="shared" si="73"/>
        <v>5.2332073206922969</v>
      </c>
      <c r="I160" s="3096">
        <f t="shared" si="73"/>
        <v>6.8896443359756132</v>
      </c>
      <c r="J160" s="3096">
        <f t="shared" si="73"/>
        <v>3.8008165346172214</v>
      </c>
      <c r="K160" s="3096">
        <f t="shared" si="73"/>
        <v>4.2089239785629875</v>
      </c>
      <c r="L160" s="3096">
        <f t="shared" si="73"/>
        <v>4.2825572654968278</v>
      </c>
      <c r="M160" s="3096">
        <f t="shared" si="73"/>
        <v>6.2617587868916109</v>
      </c>
      <c r="N160" s="3096">
        <f t="shared" si="73"/>
        <v>7.1401832866543238</v>
      </c>
      <c r="O160" s="3096">
        <f t="shared" si="73"/>
        <v>6.1406711182074929</v>
      </c>
      <c r="P160" s="3096">
        <f t="shared" si="73"/>
        <v>6.255837722812057</v>
      </c>
      <c r="Q160" s="3096">
        <f t="shared" si="73"/>
        <v>6.7584084445526083</v>
      </c>
      <c r="R160" s="3096">
        <f t="shared" ref="R160:Z160" si="75">Q87</f>
        <v>6.8502034687556739</v>
      </c>
      <c r="S160" s="3096">
        <f t="shared" si="75"/>
        <v>7.2954558325530776</v>
      </c>
      <c r="T160" s="3096">
        <f t="shared" si="75"/>
        <v>7.0418660189099835</v>
      </c>
      <c r="U160" s="3096">
        <f t="shared" si="75"/>
        <v>7.5159450194093065</v>
      </c>
      <c r="V160" s="3096">
        <f t="shared" si="75"/>
        <v>7.613430021835919</v>
      </c>
      <c r="W160" s="3096">
        <f t="shared" si="75"/>
        <v>7.9444834121398076</v>
      </c>
      <c r="X160" s="3096">
        <f t="shared" si="75"/>
        <v>8.3938828340992551</v>
      </c>
      <c r="Y160" s="3096">
        <f t="shared" si="75"/>
        <v>8.154760051804919</v>
      </c>
      <c r="Z160" s="3096">
        <f t="shared" si="75"/>
        <v>8.5662239963783051</v>
      </c>
      <c r="AA160" s="3096">
        <f t="shared" si="73"/>
        <v>8.6326341268525297</v>
      </c>
      <c r="AB160" s="3096">
        <f t="shared" ref="AB160:AJ160" si="76">AA87</f>
        <v>8.8532032504351399</v>
      </c>
      <c r="AC160" s="3096">
        <f t="shared" si="76"/>
        <v>8.9891335459638704</v>
      </c>
      <c r="AD160" s="3096">
        <f t="shared" si="76"/>
        <v>9.2321420193272292</v>
      </c>
      <c r="AE160" s="3096">
        <f t="shared" si="76"/>
        <v>9.4867888743994726</v>
      </c>
      <c r="AF160" s="3096">
        <f t="shared" si="76"/>
        <v>9.6496117626866269</v>
      </c>
      <c r="AG160" s="3096">
        <f t="shared" si="76"/>
        <v>9.9594593691572229</v>
      </c>
      <c r="AH160" s="3096">
        <f t="shared" si="76"/>
        <v>10.214935168876549</v>
      </c>
      <c r="AI160" s="3096">
        <f t="shared" si="76"/>
        <v>10.117754811957733</v>
      </c>
      <c r="AJ160" s="3096">
        <f t="shared" si="76"/>
        <v>10.275187150719207</v>
      </c>
      <c r="AK160" s="3096">
        <f t="shared" si="73"/>
        <v>10.910798887745212</v>
      </c>
      <c r="AL160" s="3096">
        <f t="shared" ref="AL160:AT160" si="77">AK87</f>
        <v>11.279327854119577</v>
      </c>
      <c r="AM160" s="3096">
        <f t="shared" si="77"/>
        <v>11.436859965600995</v>
      </c>
      <c r="AN160" s="3096">
        <f t="shared" si="77"/>
        <v>12.020077441564753</v>
      </c>
      <c r="AO160" s="3096">
        <f t="shared" si="77"/>
        <v>10.933098395179371</v>
      </c>
      <c r="AP160" s="3096">
        <f t="shared" si="77"/>
        <v>11.426355547047633</v>
      </c>
      <c r="AQ160" s="3096">
        <f t="shared" si="77"/>
        <v>11.932016209137233</v>
      </c>
      <c r="AR160" s="3096">
        <f t="shared" si="77"/>
        <v>12.450342499893654</v>
      </c>
      <c r="AS160" s="3096">
        <f t="shared" si="77"/>
        <v>12.98160162561507</v>
      </c>
      <c r="AT160" s="3096">
        <f t="shared" si="77"/>
        <v>13.526065974339879</v>
      </c>
      <c r="AU160" s="3096">
        <f t="shared" si="73"/>
        <v>13.914752690070802</v>
      </c>
      <c r="AV160" s="3096">
        <f t="shared" ref="AV160:BD160" si="78">AU87</f>
        <v>14.312093666313983</v>
      </c>
      <c r="AW160" s="3096">
        <f t="shared" si="78"/>
        <v>14.718261637278848</v>
      </c>
      <c r="AX160" s="3096">
        <f t="shared" si="78"/>
        <v>15.133432580489998</v>
      </c>
      <c r="AY160" s="3096">
        <f t="shared" si="78"/>
        <v>15.557785775350203</v>
      </c>
      <c r="AZ160" s="3096">
        <f t="shared" si="78"/>
        <v>16.176803333877153</v>
      </c>
      <c r="BA160" s="3096">
        <f t="shared" si="78"/>
        <v>16.810967891936976</v>
      </c>
      <c r="BB160" s="3096">
        <f t="shared" si="78"/>
        <v>17.460595746722049</v>
      </c>
      <c r="BC160" s="3096">
        <f t="shared" si="78"/>
        <v>18.126009293932594</v>
      </c>
      <c r="BD160" s="3096">
        <f t="shared" si="78"/>
        <v>18.807537139832686</v>
      </c>
      <c r="BE160" s="3096">
        <f t="shared" si="73"/>
        <v>19.335189808621347</v>
      </c>
      <c r="BF160" s="3096">
        <f t="shared" ref="BF160:BN160" si="79">BE87</f>
        <v>19.874489281464182</v>
      </c>
      <c r="BG160" s="3096">
        <f t="shared" si="79"/>
        <v>20.425666981758603</v>
      </c>
      <c r="BH160" s="3096">
        <f t="shared" si="79"/>
        <v>20.988958666300849</v>
      </c>
      <c r="BI160" s="3096">
        <f t="shared" si="79"/>
        <v>21.564604503387766</v>
      </c>
      <c r="BJ160" s="3096">
        <f t="shared" si="79"/>
        <v>22.115224847476444</v>
      </c>
      <c r="BK160" s="3096">
        <f t="shared" si="79"/>
        <v>22.677556980483786</v>
      </c>
      <c r="BL160" s="3096">
        <f t="shared" si="79"/>
        <v>23.251829051490475</v>
      </c>
      <c r="BM160" s="3096">
        <f t="shared" si="79"/>
        <v>23.838273429274444</v>
      </c>
      <c r="BN160" s="3096">
        <f t="shared" si="79"/>
        <v>24.437126777725464</v>
      </c>
      <c r="BO160" s="3096">
        <f t="shared" si="73"/>
        <v>25.023970058123549</v>
      </c>
      <c r="BP160" s="3096">
        <f>BO87</f>
        <v>25.622964096313076</v>
      </c>
      <c r="BQ160" s="3096">
        <f t="shared" si="74"/>
        <v>26.234342039042975</v>
      </c>
      <c r="BR160" s="3096">
        <f t="shared" si="74"/>
        <v>26.858341303599712</v>
      </c>
      <c r="BS160" s="3096">
        <f t="shared" si="74"/>
        <v>27.495203653617754</v>
      </c>
    </row>
    <row r="161" spans="4:71" s="2329" customFormat="1" ht="14.25">
      <c r="D161" s="4617" t="str">
        <f>C88</f>
        <v>Old High Gas Price Case</v>
      </c>
      <c r="E161" s="4618">
        <f t="shared" si="73"/>
        <v>0</v>
      </c>
      <c r="F161" s="4645">
        <f t="shared" si="73"/>
        <v>0</v>
      </c>
      <c r="G161" s="3096">
        <f t="shared" si="73"/>
        <v>6.6689376511407188</v>
      </c>
      <c r="H161" s="3096">
        <f t="shared" ref="H161:M162" si="80">G88</f>
        <v>7.0748370537672551</v>
      </c>
      <c r="I161" s="3096">
        <f t="shared" si="80"/>
        <v>9.253855043988084</v>
      </c>
      <c r="J161" s="3096">
        <f t="shared" si="80"/>
        <v>5.2900662411467305</v>
      </c>
      <c r="K161" s="3096">
        <f t="shared" si="80"/>
        <v>5.9540120847799125</v>
      </c>
      <c r="L161" s="3096">
        <f t="shared" si="80"/>
        <v>6.1361174757013837</v>
      </c>
      <c r="M161" s="3096">
        <f t="shared" si="80"/>
        <v>9.0672648362172197</v>
      </c>
      <c r="N161" s="3096">
        <f t="shared" si="73"/>
        <v>10.432968063953517</v>
      </c>
      <c r="O161" s="3096">
        <f t="shared" si="73"/>
        <v>9.0435214864643658</v>
      </c>
      <c r="P161" s="3096">
        <f t="shared" si="73"/>
        <v>9.2778909817512805</v>
      </c>
      <c r="Q161" s="3096">
        <f t="shared" si="73"/>
        <v>10.086665285740265</v>
      </c>
      <c r="R161" s="3096">
        <f t="shared" si="73"/>
        <v>10.282523109339586</v>
      </c>
      <c r="S161" s="3096">
        <f t="shared" si="73"/>
        <v>11.00872934222426</v>
      </c>
      <c r="T161" s="3096">
        <f t="shared" si="73"/>
        <v>10.677964540789709</v>
      </c>
      <c r="U161" s="3096">
        <f t="shared" si="73"/>
        <v>11.44860608989439</v>
      </c>
      <c r="V161" s="3096">
        <f t="shared" si="73"/>
        <v>11.646351062890158</v>
      </c>
      <c r="W161" s="3096">
        <f t="shared" si="73"/>
        <v>12.201239168041871</v>
      </c>
      <c r="X161" s="3096">
        <f t="shared" si="73"/>
        <v>12.939914115546117</v>
      </c>
      <c r="Y161" s="3096">
        <f t="shared" si="73"/>
        <v>12.616018253824027</v>
      </c>
      <c r="Z161" s="3096">
        <f t="shared" si="73"/>
        <v>13.297341195082616</v>
      </c>
      <c r="AA161" s="3096">
        <f t="shared" si="73"/>
        <v>13.443502702004945</v>
      </c>
      <c r="AB161" s="3096">
        <f t="shared" si="73"/>
        <v>13.829274798823944</v>
      </c>
      <c r="AC161" s="3096">
        <f t="shared" si="73"/>
        <v>14.082786602499459</v>
      </c>
      <c r="AD161" s="3096">
        <f t="shared" si="73"/>
        <v>14.504140001738806</v>
      </c>
      <c r="AE161" s="3096">
        <f t="shared" si="73"/>
        <v>14.944411547998474</v>
      </c>
      <c r="AF161" s="3097">
        <f t="shared" si="73"/>
        <v>15.250626444478886</v>
      </c>
      <c r="AG161" s="3098">
        <f t="shared" si="73"/>
        <v>15.790583459167644</v>
      </c>
      <c r="AH161" s="3098">
        <f t="shared" si="73"/>
        <v>16.247324457342437</v>
      </c>
      <c r="AI161" s="3098">
        <f t="shared" si="73"/>
        <v>16.143481730648144</v>
      </c>
      <c r="AJ161" s="3098">
        <f t="shared" si="73"/>
        <v>16.446078708346313</v>
      </c>
      <c r="AK161" s="3098">
        <f t="shared" si="73"/>
        <v>17.516945541462505</v>
      </c>
      <c r="AL161" s="3098">
        <f t="shared" si="73"/>
        <v>18.164101240380706</v>
      </c>
      <c r="AM161" s="3098">
        <f t="shared" si="73"/>
        <v>18.474047390695404</v>
      </c>
      <c r="AN161" s="3098">
        <f t="shared" si="73"/>
        <v>19.475402466484482</v>
      </c>
      <c r="AO161" s="3098">
        <f t="shared" si="73"/>
        <v>17.768798482298536</v>
      </c>
      <c r="AP161" s="3098">
        <f t="shared" si="73"/>
        <v>18.628370515720192</v>
      </c>
      <c r="AQ161" s="3098">
        <f t="shared" si="73"/>
        <v>19.513233806624861</v>
      </c>
      <c r="AR161" s="3098">
        <f t="shared" si="73"/>
        <v>20.424125898626631</v>
      </c>
      <c r="AS161" s="3098">
        <f t="shared" si="73"/>
        <v>21.361594314875695</v>
      </c>
      <c r="AT161" s="3098">
        <f t="shared" si="73"/>
        <v>22.32632895431291</v>
      </c>
      <c r="AU161" s="3098">
        <f t="shared" si="73"/>
        <v>23.038736805945184</v>
      </c>
      <c r="AV161" s="3098">
        <f t="shared" si="73"/>
        <v>23.769745027394201</v>
      </c>
      <c r="AW161" s="3098">
        <f t="shared" si="73"/>
        <v>24.519780398537215</v>
      </c>
      <c r="AX161" s="3098">
        <f t="shared" si="73"/>
        <v>25.289338067925662</v>
      </c>
      <c r="AY161" s="3098">
        <f t="shared" si="73"/>
        <v>26.078919536650812</v>
      </c>
      <c r="AZ161" s="3098">
        <f t="shared" si="73"/>
        <v>27.200513885322618</v>
      </c>
      <c r="BA161" s="3098">
        <f t="shared" si="73"/>
        <v>28.354303476115177</v>
      </c>
      <c r="BB161" s="3098">
        <f t="shared" si="73"/>
        <v>29.54109676062728</v>
      </c>
      <c r="BC161" s="3098">
        <f t="shared" si="73"/>
        <v>30.761707231218196</v>
      </c>
      <c r="BD161" s="3098">
        <f t="shared" si="73"/>
        <v>32.016989885286719</v>
      </c>
      <c r="BE161" s="3098">
        <f t="shared" si="73"/>
        <v>33.016973224387158</v>
      </c>
      <c r="BF161" s="3098">
        <f t="shared" si="73"/>
        <v>34.042803527462148</v>
      </c>
      <c r="BG161" s="3098">
        <f t="shared" si="73"/>
        <v>35.095087707280278</v>
      </c>
      <c r="BH161" s="3098">
        <f t="shared" si="73"/>
        <v>36.174450282428694</v>
      </c>
      <c r="BI161" s="3098">
        <f t="shared" si="73"/>
        <v>37.281522363612879</v>
      </c>
      <c r="BJ161" s="3098">
        <f t="shared" si="73"/>
        <v>38.35169332491482</v>
      </c>
      <c r="BK161" s="3098">
        <f t="shared" si="73"/>
        <v>39.448487188442463</v>
      </c>
      <c r="BL161" s="3098">
        <f t="shared" si="73"/>
        <v>40.572522401376176</v>
      </c>
      <c r="BM161" s="3098">
        <f t="shared" si="73"/>
        <v>41.724431200892369</v>
      </c>
      <c r="BN161" s="3098">
        <f t="shared" si="73"/>
        <v>42.904861826472697</v>
      </c>
      <c r="BO161" s="3098">
        <f t="shared" si="73"/>
        <v>44.071045234401744</v>
      </c>
      <c r="BP161" s="3098">
        <f t="shared" si="73"/>
        <v>45.265501143913191</v>
      </c>
      <c r="BQ161" s="3098">
        <f t="shared" si="74"/>
        <v>46.488870948799324</v>
      </c>
      <c r="BR161" s="3098">
        <f t="shared" si="74"/>
        <v>47.741810263379222</v>
      </c>
      <c r="BS161" s="3110">
        <f t="shared" si="74"/>
        <v>49.024988503583316</v>
      </c>
    </row>
    <row r="162" spans="4:71" s="2329" customFormat="1" ht="15" thickBot="1">
      <c r="D162" s="4620" t="str">
        <f>C89</f>
        <v>Old Low Gas Price Case</v>
      </c>
      <c r="E162" s="4621">
        <f t="shared" si="73"/>
        <v>0</v>
      </c>
      <c r="F162" s="4646">
        <f t="shared" si="73"/>
        <v>0</v>
      </c>
      <c r="G162" s="3101">
        <f t="shared" si="73"/>
        <v>4.0237415760909281</v>
      </c>
      <c r="H162" s="3101">
        <f t="shared" si="80"/>
        <v>4.2464537316142392</v>
      </c>
      <c r="I162" s="3101">
        <f t="shared" si="80"/>
        <v>5.5264420337967497</v>
      </c>
      <c r="J162" s="3101">
        <f t="shared" si="80"/>
        <v>2.7464663584987865</v>
      </c>
      <c r="K162" s="3101">
        <f t="shared" si="80"/>
        <v>2.8635004179511343</v>
      </c>
      <c r="L162" s="3101">
        <f t="shared" si="80"/>
        <v>2.787165044214658</v>
      </c>
      <c r="M162" s="3101">
        <f t="shared" si="80"/>
        <v>3.9357235936743091</v>
      </c>
      <c r="N162" s="3101">
        <f t="shared" si="73"/>
        <v>4.3615733841302111</v>
      </c>
      <c r="O162" s="3101">
        <f t="shared" si="73"/>
        <v>3.6617762639401907</v>
      </c>
      <c r="P162" s="3101">
        <f t="shared" si="73"/>
        <v>3.6537721119331064</v>
      </c>
      <c r="Q162" s="3101">
        <f t="shared" si="73"/>
        <v>3.8760333521767487</v>
      </c>
      <c r="R162" s="3101">
        <f t="shared" si="73"/>
        <v>3.8655434839098115</v>
      </c>
      <c r="S162" s="3101">
        <f t="shared" si="73"/>
        <v>4.0572728812017589</v>
      </c>
      <c r="T162" s="3101">
        <f t="shared" si="73"/>
        <v>3.8648360371955519</v>
      </c>
      <c r="U162" s="3101">
        <f t="shared" si="73"/>
        <v>4.0754979585116518</v>
      </c>
      <c r="V162" s="3101">
        <f t="shared" si="73"/>
        <v>4.0827203815024049</v>
      </c>
      <c r="W162" s="3101">
        <f t="shared" si="73"/>
        <v>4.2166436195474555</v>
      </c>
      <c r="X162" s="3101">
        <f t="shared" si="73"/>
        <v>4.4127418181371914</v>
      </c>
      <c r="Y162" s="3101">
        <f t="shared" si="73"/>
        <v>4.2488839286079303</v>
      </c>
      <c r="Z162" s="3101">
        <f t="shared" si="73"/>
        <v>4.4260138967556264</v>
      </c>
      <c r="AA162" s="3101">
        <f t="shared" si="73"/>
        <v>4.4252834659938625</v>
      </c>
      <c r="AB162" s="3101">
        <f t="shared" si="73"/>
        <v>4.5046874441228502</v>
      </c>
      <c r="AC162" s="3101">
        <f t="shared" si="73"/>
        <v>4.54172925895812</v>
      </c>
      <c r="AD162" s="3101">
        <f t="shared" si="73"/>
        <v>4.6334146411951442</v>
      </c>
      <c r="AE162" s="3101">
        <f t="shared" si="73"/>
        <v>4.7310216694253455</v>
      </c>
      <c r="AF162" s="3102">
        <f t="shared" si="73"/>
        <v>4.7731429656302318</v>
      </c>
      <c r="AG162" s="3103">
        <f t="shared" si="73"/>
        <v>4.8876405865288231</v>
      </c>
      <c r="AH162" s="3103">
        <f t="shared" si="73"/>
        <v>4.9738016061543808</v>
      </c>
      <c r="AI162" s="3103">
        <f t="shared" si="73"/>
        <v>4.8885892786226153</v>
      </c>
      <c r="AJ162" s="3103">
        <f t="shared" si="73"/>
        <v>4.9267897960093023</v>
      </c>
      <c r="AK162" s="3103">
        <f t="shared" si="73"/>
        <v>5.1926324953658805</v>
      </c>
      <c r="AL162" s="3103">
        <f t="shared" si="73"/>
        <v>5.3281267594492006</v>
      </c>
      <c r="AM162" s="3103">
        <f t="shared" si="73"/>
        <v>5.3625134228551756</v>
      </c>
      <c r="AN162" s="3103">
        <f t="shared" si="73"/>
        <v>5.5941846966857405</v>
      </c>
      <c r="AO162" s="3103">
        <f t="shared" si="73"/>
        <v>5.050154077446547</v>
      </c>
      <c r="AP162" s="3103">
        <f t="shared" si="73"/>
        <v>5.2378024228046245</v>
      </c>
      <c r="AQ162" s="3103">
        <f t="shared" si="73"/>
        <v>5.4281403680656402</v>
      </c>
      <c r="AR162" s="3103">
        <f t="shared" si="73"/>
        <v>5.6211061202245522</v>
      </c>
      <c r="AS162" s="3103">
        <f t="shared" si="73"/>
        <v>5.8167881853429417</v>
      </c>
      <c r="AT162" s="3103">
        <f t="shared" si="73"/>
        <v>6.0151847464988055</v>
      </c>
      <c r="AU162" s="3103">
        <f t="shared" si="73"/>
        <v>6.1416262069963565</v>
      </c>
      <c r="AV162" s="3103">
        <f t="shared" si="73"/>
        <v>6.2695849002096784</v>
      </c>
      <c r="AW162" s="3103">
        <f t="shared" si="73"/>
        <v>6.3990814582336535</v>
      </c>
      <c r="AX162" s="3103">
        <f t="shared" si="73"/>
        <v>6.530101581715261</v>
      </c>
      <c r="AY162" s="3103">
        <f t="shared" si="73"/>
        <v>6.6626391818305963</v>
      </c>
      <c r="AZ162" s="3103">
        <f t="shared" si="73"/>
        <v>6.8755128901796212</v>
      </c>
      <c r="BA162" s="3103">
        <f t="shared" si="73"/>
        <v>7.0912335957198795</v>
      </c>
      <c r="BB162" s="3103">
        <f t="shared" si="73"/>
        <v>7.3098207424195456</v>
      </c>
      <c r="BC162" s="3103">
        <f t="shared" si="73"/>
        <v>7.5313046407943594</v>
      </c>
      <c r="BD162" s="3103">
        <f t="shared" si="73"/>
        <v>7.7557025746659782</v>
      </c>
      <c r="BE162" s="3103">
        <f t="shared" si="73"/>
        <v>7.9133239519647027</v>
      </c>
      <c r="BF162" s="3103">
        <f t="shared" si="73"/>
        <v>8.0728498991204471</v>
      </c>
      <c r="BG162" s="3103">
        <f t="shared" si="73"/>
        <v>8.2343027651838572</v>
      </c>
      <c r="BH162" s="3103">
        <f t="shared" si="73"/>
        <v>8.3977032901827471</v>
      </c>
      <c r="BI162" s="3103">
        <f t="shared" si="73"/>
        <v>8.5630771862982193</v>
      </c>
      <c r="BJ162" s="3103">
        <f t="shared" si="73"/>
        <v>8.7156275280150606</v>
      </c>
      <c r="BK162" s="3103">
        <f t="shared" si="73"/>
        <v>8.8699871199098421</v>
      </c>
      <c r="BL162" s="3103">
        <f t="shared" si="73"/>
        <v>9.0261709927796243</v>
      </c>
      <c r="BM162" s="3103">
        <f t="shared" si="73"/>
        <v>9.1841949273826238</v>
      </c>
      <c r="BN162" s="3103">
        <f t="shared" si="73"/>
        <v>9.3440741531093963</v>
      </c>
      <c r="BO162" s="3103">
        <f t="shared" si="73"/>
        <v>9.496466918444602</v>
      </c>
      <c r="BP162" s="3103">
        <f t="shared" si="73"/>
        <v>9.6506100868835372</v>
      </c>
      <c r="BQ162" s="3103">
        <f t="shared" si="74"/>
        <v>9.8065227535564183</v>
      </c>
      <c r="BR162" s="3103">
        <f t="shared" si="74"/>
        <v>9.9642240179024384</v>
      </c>
      <c r="BS162" s="3111">
        <f t="shared" si="74"/>
        <v>10.123733313129524</v>
      </c>
    </row>
    <row r="163" spans="4:71" s="2329" customFormat="1">
      <c r="D163" s="4637" t="s">
        <v>1817</v>
      </c>
      <c r="E163" s="4637"/>
      <c r="F163" s="4637"/>
      <c r="G163" s="3270">
        <v>0.90372199465899061</v>
      </c>
      <c r="H163" s="3122">
        <v>0.93315890394268119</v>
      </c>
      <c r="I163" s="3122">
        <v>0.96062453988788099</v>
      </c>
      <c r="J163" s="3122">
        <v>0.98161587140262663</v>
      </c>
      <c r="K163" s="3122">
        <v>0.99061348296585727</v>
      </c>
      <c r="L163" s="3122">
        <v>1</v>
      </c>
      <c r="M163" s="3122">
        <v>1.0190846557987372</v>
      </c>
      <c r="N163" s="3122">
        <v>1.0467750651860983</v>
      </c>
      <c r="O163" s="3122">
        <v>1.0701736676000402</v>
      </c>
      <c r="P163" s="3122">
        <v>1.091085037120435</v>
      </c>
      <c r="Q163" s="3122">
        <v>1.1118413497313508</v>
      </c>
      <c r="R163" s="3122">
        <v>1.1306872508520636</v>
      </c>
      <c r="S163" s="3122">
        <v>1.148001319646478</v>
      </c>
      <c r="T163" s="3122">
        <v>1.164879030083865</v>
      </c>
      <c r="U163" s="3122">
        <v>1.1816485233702192</v>
      </c>
      <c r="V163" s="3122">
        <v>1.1988259636745122</v>
      </c>
      <c r="W163" s="3122">
        <v>1.2164105805436665</v>
      </c>
      <c r="X163" s="3122">
        <v>1.2347783803098757</v>
      </c>
      <c r="Y163" s="3122">
        <v>1.2534235338525548</v>
      </c>
      <c r="Z163" s="3122">
        <v>1.2723502292137283</v>
      </c>
      <c r="AA163" s="3122">
        <v>1.2915627176748554</v>
      </c>
      <c r="AB163" s="3122">
        <v>1.3110653147117457</v>
      </c>
      <c r="AC163" s="3122">
        <v>1.330862400963893</v>
      </c>
      <c r="AD163" s="3122">
        <v>1.3509584232184475</v>
      </c>
      <c r="AE163" s="3122">
        <v>1.371357895409046</v>
      </c>
      <c r="AF163" s="3122">
        <v>1.3920653996297223</v>
      </c>
      <c r="AG163" s="3122">
        <v>1.413085587164131</v>
      </c>
      <c r="AH163" s="3122">
        <v>1.4344231795303093</v>
      </c>
      <c r="AI163" s="3122">
        <v>1.4560829695412167</v>
      </c>
      <c r="AJ163" s="3123">
        <v>1.4780698223812889</v>
      </c>
      <c r="AK163" s="3124">
        <v>1.5003886766992462</v>
      </c>
      <c r="AL163" s="3122">
        <v>1.5230445457174047</v>
      </c>
      <c r="AM163" s="3122">
        <v>1.5460425183577373</v>
      </c>
      <c r="AN163" s="3122">
        <v>1.5693877603849389</v>
      </c>
      <c r="AO163" s="3122">
        <v>1.5930855155667514</v>
      </c>
      <c r="AP163" s="3122">
        <v>1.6171411068518091</v>
      </c>
      <c r="AQ163" s="3122">
        <v>1.6415599375652712</v>
      </c>
      <c r="AR163" s="3122">
        <v>1.6663474926225066</v>
      </c>
      <c r="AS163" s="3122">
        <v>1.6915093397611063</v>
      </c>
      <c r="AT163" s="3122">
        <v>1.7170511307914988</v>
      </c>
      <c r="AU163" s="3122">
        <v>1.7429786028664502</v>
      </c>
      <c r="AV163" s="3114">
        <f t="shared" ref="AV163:BS163" si="81">AU163*(1+1.51%)</f>
        <v>1.7692975797697335</v>
      </c>
      <c r="AW163" s="3114">
        <f t="shared" si="81"/>
        <v>1.7960139732242562</v>
      </c>
      <c r="AX163" s="3114">
        <f t="shared" si="81"/>
        <v>1.8231337842199422</v>
      </c>
      <c r="AY163" s="3114">
        <f t="shared" si="81"/>
        <v>1.850663104361663</v>
      </c>
      <c r="AZ163" s="3114">
        <f t="shared" si="81"/>
        <v>1.878608117237524</v>
      </c>
      <c r="BA163" s="3114">
        <f t="shared" si="81"/>
        <v>1.9069750998078103</v>
      </c>
      <c r="BB163" s="3114">
        <f t="shared" si="81"/>
        <v>1.935770423814908</v>
      </c>
      <c r="BC163" s="3114">
        <f t="shared" si="81"/>
        <v>1.9650005572145131</v>
      </c>
      <c r="BD163" s="3114">
        <f t="shared" si="81"/>
        <v>1.994672065628452</v>
      </c>
      <c r="BE163" s="3114">
        <f t="shared" si="81"/>
        <v>2.0247916138194415</v>
      </c>
      <c r="BF163" s="3114">
        <f t="shared" si="81"/>
        <v>2.055365967188115</v>
      </c>
      <c r="BG163" s="3114">
        <f t="shared" si="81"/>
        <v>2.0864019932926552</v>
      </c>
      <c r="BH163" s="3114">
        <f t="shared" si="81"/>
        <v>2.1179066633913739</v>
      </c>
      <c r="BI163" s="3114">
        <f t="shared" si="81"/>
        <v>2.1498870540085835</v>
      </c>
      <c r="BJ163" s="3114">
        <f t="shared" si="81"/>
        <v>2.1823503485241127</v>
      </c>
      <c r="BK163" s="3114">
        <f t="shared" si="81"/>
        <v>2.2153038387868267</v>
      </c>
      <c r="BL163" s="3114">
        <f t="shared" si="81"/>
        <v>2.2487549267525075</v>
      </c>
      <c r="BM163" s="3114">
        <f t="shared" si="81"/>
        <v>2.2827111261464701</v>
      </c>
      <c r="BN163" s="3114">
        <f t="shared" si="81"/>
        <v>2.3171800641512816</v>
      </c>
      <c r="BO163" s="3114">
        <f t="shared" si="81"/>
        <v>2.3521694831199658</v>
      </c>
      <c r="BP163" s="3114">
        <f t="shared" si="81"/>
        <v>2.387687242315077</v>
      </c>
      <c r="BQ163" s="3114">
        <f t="shared" si="81"/>
        <v>2.4237413196740345</v>
      </c>
      <c r="BR163" s="3114">
        <f t="shared" si="81"/>
        <v>2.4603398136011121</v>
      </c>
      <c r="BS163" s="3114">
        <f t="shared" si="81"/>
        <v>2.4974909447864886</v>
      </c>
    </row>
    <row r="164" spans="4:71" s="1" customFormat="1">
      <c r="D164" s="4634" t="s">
        <v>1816</v>
      </c>
      <c r="E164" s="4635"/>
      <c r="F164" s="4635"/>
      <c r="G164" s="3121">
        <v>2006</v>
      </c>
      <c r="H164" s="3121">
        <v>2007</v>
      </c>
      <c r="I164" s="3121">
        <v>2008</v>
      </c>
      <c r="J164" s="3121">
        <v>2009</v>
      </c>
      <c r="K164" s="3121">
        <v>2010</v>
      </c>
      <c r="L164" s="3121">
        <v>2011</v>
      </c>
      <c r="M164" s="3121">
        <v>2012</v>
      </c>
      <c r="N164" s="3121">
        <v>2013</v>
      </c>
      <c r="O164" s="3121">
        <v>2014</v>
      </c>
      <c r="P164" s="3121">
        <v>2015</v>
      </c>
      <c r="Q164" s="3121">
        <v>2016</v>
      </c>
      <c r="R164" s="3121">
        <v>2017</v>
      </c>
      <c r="S164" s="3121">
        <v>2018</v>
      </c>
      <c r="T164" s="3121">
        <v>2019</v>
      </c>
      <c r="U164" s="3121">
        <v>2020</v>
      </c>
      <c r="V164" s="3121">
        <v>2021</v>
      </c>
      <c r="W164" s="3121">
        <v>2022</v>
      </c>
      <c r="X164" s="3121">
        <v>2023</v>
      </c>
      <c r="Y164" s="3121">
        <v>2024</v>
      </c>
      <c r="Z164" s="3121">
        <v>2025</v>
      </c>
      <c r="AA164" s="3121">
        <v>2026</v>
      </c>
      <c r="AB164" s="3121">
        <v>2027</v>
      </c>
      <c r="AC164" s="3121">
        <v>2028</v>
      </c>
      <c r="AD164" s="3121">
        <v>2029</v>
      </c>
      <c r="AE164" s="3121">
        <v>2030</v>
      </c>
      <c r="AF164" s="3121">
        <v>2031</v>
      </c>
      <c r="AG164" s="3121">
        <v>2032</v>
      </c>
      <c r="AH164" s="3121">
        <v>2033</v>
      </c>
      <c r="AI164" s="3121">
        <v>2034</v>
      </c>
      <c r="AJ164" s="3121">
        <v>2035</v>
      </c>
      <c r="AK164" s="3121">
        <v>2036</v>
      </c>
      <c r="AL164" s="3121">
        <v>2037</v>
      </c>
      <c r="AM164" s="3121">
        <v>2038</v>
      </c>
      <c r="AN164" s="3121">
        <v>2039</v>
      </c>
      <c r="AO164" s="3121">
        <v>2040</v>
      </c>
      <c r="AP164" s="3121">
        <v>2041</v>
      </c>
      <c r="AQ164" s="3121">
        <v>2042</v>
      </c>
      <c r="AR164" s="3121">
        <v>2043</v>
      </c>
      <c r="AS164" s="3121">
        <v>2044</v>
      </c>
      <c r="AT164" s="3121">
        <v>2045</v>
      </c>
      <c r="AU164" s="3121">
        <v>2046</v>
      </c>
      <c r="AV164" s="3121">
        <v>2047</v>
      </c>
      <c r="AW164" s="3121">
        <v>2048</v>
      </c>
      <c r="AX164" s="3121">
        <v>2049</v>
      </c>
      <c r="AY164" s="3121">
        <v>2050</v>
      </c>
      <c r="AZ164" s="3121">
        <v>2051</v>
      </c>
      <c r="BA164" s="3121">
        <v>2052</v>
      </c>
      <c r="BB164" s="3121">
        <v>2053</v>
      </c>
      <c r="BC164" s="3121">
        <v>2054</v>
      </c>
      <c r="BD164" s="3121">
        <v>2055</v>
      </c>
      <c r="BE164" s="3121">
        <v>2056</v>
      </c>
      <c r="BF164" s="3121">
        <v>2057</v>
      </c>
      <c r="BG164" s="3121">
        <v>2058</v>
      </c>
      <c r="BH164" s="3121">
        <v>2059</v>
      </c>
      <c r="BI164" s="3121">
        <v>2060</v>
      </c>
      <c r="BJ164" s="3121">
        <v>2061</v>
      </c>
      <c r="BK164" s="3121">
        <v>2062</v>
      </c>
      <c r="BL164" s="3121">
        <v>2063</v>
      </c>
      <c r="BM164" s="3121">
        <v>2064</v>
      </c>
      <c r="BN164" s="3121">
        <v>2065</v>
      </c>
      <c r="BO164" s="3121">
        <v>2066</v>
      </c>
      <c r="BP164" s="3121">
        <v>2067</v>
      </c>
      <c r="BQ164" s="3121">
        <v>2068</v>
      </c>
      <c r="BR164" s="3121">
        <v>2069</v>
      </c>
      <c r="BS164" s="3121">
        <v>2070</v>
      </c>
    </row>
    <row r="165" spans="4:71" s="2329" customFormat="1">
      <c r="D165" s="4644" t="str">
        <f>D160</f>
        <v>Old Reference Case</v>
      </c>
      <c r="E165" s="4632"/>
      <c r="F165" s="4632"/>
      <c r="G165" s="873">
        <f>G160/G$163</f>
        <v>5.4214746355869776</v>
      </c>
      <c r="H165" s="873">
        <f t="shared" ref="H165:BS167" si="82">H160/H$163</f>
        <v>5.6080559255037059</v>
      </c>
      <c r="I165" s="873">
        <f t="shared" si="82"/>
        <v>7.172046985994899</v>
      </c>
      <c r="J165" s="873">
        <f t="shared" si="82"/>
        <v>3.8719998783090692</v>
      </c>
      <c r="K165" s="873">
        <f t="shared" si="82"/>
        <v>4.2488054634201395</v>
      </c>
      <c r="L165" s="873">
        <f t="shared" si="82"/>
        <v>4.2825572654968278</v>
      </c>
      <c r="M165" s="873">
        <f t="shared" si="82"/>
        <v>6.1444932481921981</v>
      </c>
      <c r="N165" s="873">
        <f t="shared" si="82"/>
        <v>6.8211247326424651</v>
      </c>
      <c r="O165" s="873">
        <f t="shared" si="82"/>
        <v>5.7380136552775545</v>
      </c>
      <c r="P165" s="873">
        <f t="shared" si="82"/>
        <v>5.7335931755808058</v>
      </c>
      <c r="Q165" s="873">
        <f t="shared" si="82"/>
        <v>6.078572672428141</v>
      </c>
      <c r="R165" s="873">
        <f t="shared" si="82"/>
        <v>6.0584423001086254</v>
      </c>
      <c r="S165" s="873">
        <f t="shared" si="82"/>
        <v>6.3549193783154196</v>
      </c>
      <c r="T165" s="873">
        <f t="shared" si="82"/>
        <v>6.0451478969477268</v>
      </c>
      <c r="U165" s="873">
        <f t="shared" si="82"/>
        <v>6.3605588893496252</v>
      </c>
      <c r="V165" s="873">
        <f t="shared" si="82"/>
        <v>6.3507383494598777</v>
      </c>
      <c r="W165" s="873">
        <f t="shared" si="82"/>
        <v>6.5310870681419715</v>
      </c>
      <c r="X165" s="873">
        <f t="shared" si="82"/>
        <v>6.7978861372619397</v>
      </c>
      <c r="Y165" s="873">
        <f t="shared" si="82"/>
        <v>6.5059892618580717</v>
      </c>
      <c r="Z165" s="873">
        <f t="shared" si="82"/>
        <v>6.7325990907959019</v>
      </c>
      <c r="AA165" s="873">
        <f t="shared" si="82"/>
        <v>6.6838675417895992</v>
      </c>
      <c r="AB165" s="873">
        <f t="shared" si="82"/>
        <v>6.7526790245241353</v>
      </c>
      <c r="AC165" s="873">
        <f t="shared" si="82"/>
        <v>6.7543673481596471</v>
      </c>
      <c r="AD165" s="873">
        <f t="shared" si="82"/>
        <v>6.8337721284812689</v>
      </c>
      <c r="AE165" s="873">
        <f t="shared" si="82"/>
        <v>6.9178067273020449</v>
      </c>
      <c r="AF165" s="873">
        <f t="shared" si="82"/>
        <v>6.931866681876687</v>
      </c>
      <c r="AG165" s="873">
        <f t="shared" si="82"/>
        <v>7.0480227522131136</v>
      </c>
      <c r="AH165" s="873">
        <f t="shared" si="82"/>
        <v>7.1212842309347995</v>
      </c>
      <c r="AI165" s="873">
        <f t="shared" si="82"/>
        <v>6.9486114621240569</v>
      </c>
      <c r="AJ165" s="873">
        <f t="shared" si="82"/>
        <v>6.9517603262916614</v>
      </c>
      <c r="AK165" s="873">
        <f t="shared" si="82"/>
        <v>7.2719816252867444</v>
      </c>
      <c r="AL165" s="873">
        <f t="shared" si="82"/>
        <v>7.4057767291413255</v>
      </c>
      <c r="AM165" s="873">
        <f t="shared" si="82"/>
        <v>7.3975067501698755</v>
      </c>
      <c r="AN165" s="873">
        <f t="shared" si="82"/>
        <v>7.6590870306115253</v>
      </c>
      <c r="AO165" s="873">
        <f t="shared" si="82"/>
        <v>6.8628446422663281</v>
      </c>
      <c r="AP165" s="873">
        <f t="shared" si="82"/>
        <v>7.0657752119677681</v>
      </c>
      <c r="AQ165" s="873">
        <f t="shared" si="82"/>
        <v>7.2687057816692091</v>
      </c>
      <c r="AR165" s="873">
        <f t="shared" si="82"/>
        <v>7.4716363513706492</v>
      </c>
      <c r="AS165" s="873">
        <f t="shared" si="82"/>
        <v>7.6745669210720857</v>
      </c>
      <c r="AT165" s="873">
        <f t="shared" si="82"/>
        <v>7.8774974907735267</v>
      </c>
      <c r="AU165" s="873">
        <f t="shared" si="82"/>
        <v>7.9833181355106815</v>
      </c>
      <c r="AV165" s="873">
        <f t="shared" si="82"/>
        <v>8.089138780247831</v>
      </c>
      <c r="AW165" s="873">
        <f t="shared" si="82"/>
        <v>8.1949594249849849</v>
      </c>
      <c r="AX165" s="873">
        <f t="shared" si="82"/>
        <v>8.3007800697221388</v>
      </c>
      <c r="AY165" s="873">
        <f t="shared" si="82"/>
        <v>8.4066007144592891</v>
      </c>
      <c r="AZ165" s="873">
        <f t="shared" si="82"/>
        <v>8.6110579345654035</v>
      </c>
      <c r="BA165" s="873">
        <f t="shared" si="82"/>
        <v>8.8155151546715143</v>
      </c>
      <c r="BB165" s="873">
        <f t="shared" si="82"/>
        <v>9.0199723747776268</v>
      </c>
      <c r="BC165" s="873">
        <f t="shared" si="82"/>
        <v>9.2244295948837394</v>
      </c>
      <c r="BD165" s="873">
        <f t="shared" si="82"/>
        <v>9.4288868149898537</v>
      </c>
      <c r="BE165" s="873">
        <f t="shared" si="82"/>
        <v>9.5492245605208943</v>
      </c>
      <c r="BF165" s="873">
        <f t="shared" si="82"/>
        <v>9.6695623060519384</v>
      </c>
      <c r="BG165" s="873">
        <f t="shared" si="82"/>
        <v>9.7899000515829826</v>
      </c>
      <c r="BH165" s="873">
        <f t="shared" si="82"/>
        <v>9.9102377971140267</v>
      </c>
      <c r="BI165" s="873">
        <f t="shared" si="82"/>
        <v>10.030575542645074</v>
      </c>
      <c r="BJ165" s="873">
        <f t="shared" si="82"/>
        <v>10.133673020206221</v>
      </c>
      <c r="BK165" s="873">
        <f t="shared" si="82"/>
        <v>10.236770497767369</v>
      </c>
      <c r="BL165" s="873">
        <f t="shared" si="82"/>
        <v>10.339867975328517</v>
      </c>
      <c r="BM165" s="873">
        <f t="shared" si="82"/>
        <v>10.442965452889663</v>
      </c>
      <c r="BN165" s="873">
        <f t="shared" si="82"/>
        <v>10.546062930450811</v>
      </c>
      <c r="BO165" s="873">
        <f t="shared" si="82"/>
        <v>10.638676437945808</v>
      </c>
      <c r="BP165" s="873">
        <f t="shared" si="82"/>
        <v>10.731289945440809</v>
      </c>
      <c r="BQ165" s="873">
        <f t="shared" si="82"/>
        <v>10.823903452935808</v>
      </c>
      <c r="BR165" s="873">
        <f t="shared" si="82"/>
        <v>10.916516960430808</v>
      </c>
      <c r="BS165" s="873">
        <f t="shared" si="82"/>
        <v>11.009130467925813</v>
      </c>
    </row>
    <row r="166" spans="4:71" s="2329" customFormat="1">
      <c r="D166" s="4617" t="str">
        <f>D161</f>
        <v>Old High Gas Price Case</v>
      </c>
      <c r="E166" s="4618">
        <f>D99</f>
        <v>0</v>
      </c>
      <c r="F166" s="4645">
        <f>E99</f>
        <v>0</v>
      </c>
      <c r="G166" s="873">
        <f t="shared" ref="G166:V167" si="83">G161/G$163</f>
        <v>7.3794127956984914</v>
      </c>
      <c r="H166" s="873">
        <f t="shared" si="83"/>
        <v>7.581599472367917</v>
      </c>
      <c r="I166" s="873">
        <f t="shared" si="83"/>
        <v>9.6331653624715283</v>
      </c>
      <c r="J166" s="873">
        <f t="shared" si="83"/>
        <v>5.389140900490716</v>
      </c>
      <c r="K166" s="873">
        <f t="shared" si="83"/>
        <v>6.0104290797192039</v>
      </c>
      <c r="L166" s="873">
        <f t="shared" si="83"/>
        <v>6.1361174757013837</v>
      </c>
      <c r="M166" s="873">
        <f t="shared" si="83"/>
        <v>8.8974598769819444</v>
      </c>
      <c r="N166" s="873">
        <f t="shared" si="83"/>
        <v>9.9667716694213748</v>
      </c>
      <c r="O166" s="873">
        <f t="shared" si="83"/>
        <v>8.4505176685437124</v>
      </c>
      <c r="P166" s="873">
        <f t="shared" si="83"/>
        <v>8.5033619434808347</v>
      </c>
      <c r="Q166" s="873">
        <f t="shared" si="83"/>
        <v>9.0720364809039165</v>
      </c>
      <c r="R166" s="873">
        <f t="shared" si="83"/>
        <v>9.0940470953315167</v>
      </c>
      <c r="S166" s="873">
        <f t="shared" si="83"/>
        <v>9.5894744664704312</v>
      </c>
      <c r="T166" s="873">
        <f t="shared" si="83"/>
        <v>9.1665866283308013</v>
      </c>
      <c r="U166" s="873">
        <f t="shared" si="83"/>
        <v>9.688672954324387</v>
      </c>
      <c r="V166" s="873">
        <f t="shared" si="83"/>
        <v>9.7147971563720699</v>
      </c>
      <c r="W166" s="873">
        <f t="shared" si="82"/>
        <v>10.030526997379955</v>
      </c>
      <c r="X166" s="873">
        <f t="shared" si="82"/>
        <v>10.479543796595111</v>
      </c>
      <c r="Y166" s="873">
        <f t="shared" si="82"/>
        <v>10.065247630261982</v>
      </c>
      <c r="Z166" s="873">
        <f t="shared" si="82"/>
        <v>10.451007033888732</v>
      </c>
      <c r="AA166" s="873">
        <f t="shared" si="82"/>
        <v>10.408710717669756</v>
      </c>
      <c r="AB166" s="873">
        <f t="shared" si="82"/>
        <v>10.54812040532434</v>
      </c>
      <c r="AC166" s="873">
        <f t="shared" si="82"/>
        <v>10.581699950573277</v>
      </c>
      <c r="AD166" s="873">
        <f t="shared" si="82"/>
        <v>10.736185327735665</v>
      </c>
      <c r="AE166" s="873">
        <f t="shared" si="82"/>
        <v>10.897528353487099</v>
      </c>
      <c r="AF166" s="873">
        <f t="shared" si="82"/>
        <v>10.955395090299223</v>
      </c>
      <c r="AG166" s="873">
        <f t="shared" si="82"/>
        <v>11.174541445049467</v>
      </c>
      <c r="AH166" s="873">
        <f t="shared" si="82"/>
        <v>11.326730276808895</v>
      </c>
      <c r="AI166" s="873">
        <f t="shared" si="82"/>
        <v>11.086924350014643</v>
      </c>
      <c r="AJ166" s="873">
        <f t="shared" si="82"/>
        <v>11.126726531667064</v>
      </c>
      <c r="AK166" s="873">
        <f t="shared" si="82"/>
        <v>11.674938509932375</v>
      </c>
      <c r="AL166" s="873">
        <f t="shared" si="82"/>
        <v>11.926178581877794</v>
      </c>
      <c r="AM166" s="873">
        <f t="shared" si="82"/>
        <v>11.949249242070787</v>
      </c>
      <c r="AN166" s="873">
        <f t="shared" si="82"/>
        <v>12.409554195648603</v>
      </c>
      <c r="AO166" s="873">
        <f t="shared" si="82"/>
        <v>11.153700356115008</v>
      </c>
      <c r="AP166" s="873">
        <f t="shared" si="82"/>
        <v>11.519322857351156</v>
      </c>
      <c r="AQ166" s="873">
        <f t="shared" si="82"/>
        <v>11.887006596643982</v>
      </c>
      <c r="AR166" s="873">
        <f t="shared" si="82"/>
        <v>12.256822774992168</v>
      </c>
      <c r="AS166" s="873">
        <f t="shared" si="82"/>
        <v>12.628717922357211</v>
      </c>
      <c r="AT166" s="873">
        <f t="shared" si="82"/>
        <v>13.00271643280726</v>
      </c>
      <c r="AU166" s="873">
        <f t="shared" si="82"/>
        <v>13.218026181191421</v>
      </c>
      <c r="AV166" s="873">
        <f t="shared" si="82"/>
        <v>13.43456595384465</v>
      </c>
      <c r="AW166" s="873">
        <f t="shared" si="82"/>
        <v>13.652332756920925</v>
      </c>
      <c r="AX166" s="873">
        <f t="shared" si="82"/>
        <v>13.871356170795838</v>
      </c>
      <c r="AY166" s="873">
        <f t="shared" si="82"/>
        <v>14.091662321028462</v>
      </c>
      <c r="AZ166" s="873">
        <f t="shared" si="82"/>
        <v>14.479078225915858</v>
      </c>
      <c r="BA166" s="873">
        <f t="shared" si="82"/>
        <v>14.868732936771327</v>
      </c>
      <c r="BB166" s="873">
        <f t="shared" si="82"/>
        <v>15.260640619980823</v>
      </c>
      <c r="BC166" s="873">
        <f t="shared" si="82"/>
        <v>15.654808401084862</v>
      </c>
      <c r="BD166" s="873">
        <f t="shared" si="82"/>
        <v>16.051254959145012</v>
      </c>
      <c r="BE166" s="873">
        <f t="shared" si="82"/>
        <v>16.306356169712686</v>
      </c>
      <c r="BF166" s="873">
        <f t="shared" si="82"/>
        <v>16.562891509795257</v>
      </c>
      <c r="BG166" s="873">
        <f t="shared" si="82"/>
        <v>16.820865691321053</v>
      </c>
      <c r="BH166" s="873">
        <f t="shared" si="82"/>
        <v>17.08028540998264</v>
      </c>
      <c r="BI166" s="873">
        <f t="shared" si="82"/>
        <v>17.341153942994083</v>
      </c>
      <c r="BJ166" s="873">
        <f t="shared" si="82"/>
        <v>17.573573074942541</v>
      </c>
      <c r="BK166" s="873">
        <f t="shared" si="82"/>
        <v>17.807258082505626</v>
      </c>
      <c r="BL166" s="873">
        <f t="shared" si="82"/>
        <v>18.042216125333024</v>
      </c>
      <c r="BM166" s="873">
        <f t="shared" si="82"/>
        <v>18.278454388282121</v>
      </c>
      <c r="BN166" s="873">
        <f t="shared" si="82"/>
        <v>18.51598090724449</v>
      </c>
      <c r="BO166" s="873">
        <f t="shared" si="82"/>
        <v>18.736339175672413</v>
      </c>
      <c r="BP166" s="873">
        <f t="shared" si="82"/>
        <v>18.957885413846842</v>
      </c>
      <c r="BQ166" s="873">
        <f t="shared" si="82"/>
        <v>19.180624009434943</v>
      </c>
      <c r="BR166" s="873">
        <f t="shared" si="82"/>
        <v>19.404559483797982</v>
      </c>
      <c r="BS166" s="873">
        <f t="shared" si="82"/>
        <v>19.629696198067489</v>
      </c>
    </row>
    <row r="167" spans="4:71" s="2329" customFormat="1" ht="13.5" thickBot="1">
      <c r="D167" s="4620" t="str">
        <f>D162</f>
        <v>Old Low Gas Price Case</v>
      </c>
      <c r="E167" s="4621">
        <f>D100</f>
        <v>0</v>
      </c>
      <c r="F167" s="4646">
        <f>E100</f>
        <v>0</v>
      </c>
      <c r="G167" s="873">
        <f t="shared" si="83"/>
        <v>4.4524108076059852</v>
      </c>
      <c r="H167" s="873">
        <f t="shared" si="82"/>
        <v>4.5506223148839773</v>
      </c>
      <c r="I167" s="873">
        <f t="shared" si="82"/>
        <v>5.7529677874372922</v>
      </c>
      <c r="J167" s="873">
        <f t="shared" si="82"/>
        <v>2.7979033739281056</v>
      </c>
      <c r="K167" s="873">
        <f t="shared" si="82"/>
        <v>2.890633397576952</v>
      </c>
      <c r="L167" s="873">
        <f t="shared" si="82"/>
        <v>2.787165044214658</v>
      </c>
      <c r="M167" s="873">
        <f t="shared" si="82"/>
        <v>3.8620183036605251</v>
      </c>
      <c r="N167" s="873">
        <f t="shared" si="82"/>
        <v>4.16667680496841</v>
      </c>
      <c r="O167" s="873">
        <f t="shared" si="82"/>
        <v>3.4216654500124735</v>
      </c>
      <c r="P167" s="873">
        <f t="shared" si="82"/>
        <v>3.3487510025580156</v>
      </c>
      <c r="Q167" s="873">
        <f t="shared" si="82"/>
        <v>3.486138875041207</v>
      </c>
      <c r="R167" s="873">
        <f t="shared" si="82"/>
        <v>3.4187557001255779</v>
      </c>
      <c r="S167" s="873">
        <f t="shared" si="82"/>
        <v>3.5342057641982314</v>
      </c>
      <c r="T167" s="873">
        <f t="shared" si="82"/>
        <v>3.3178003358145305</v>
      </c>
      <c r="U167" s="873">
        <f t="shared" si="82"/>
        <v>3.4489934002437441</v>
      </c>
      <c r="V167" s="873">
        <f t="shared" si="82"/>
        <v>3.4055988985995014</v>
      </c>
      <c r="W167" s="873">
        <f t="shared" si="82"/>
        <v>3.4664641092342809</v>
      </c>
      <c r="X167" s="873">
        <f t="shared" si="82"/>
        <v>3.5737115975660223</v>
      </c>
      <c r="Y167" s="873">
        <f t="shared" si="82"/>
        <v>3.3898230038400921</v>
      </c>
      <c r="Z167" s="873">
        <f t="shared" si="82"/>
        <v>3.4786128812117725</v>
      </c>
      <c r="AA167" s="873">
        <f t="shared" si="82"/>
        <v>3.4263016463966296</v>
      </c>
      <c r="AB167" s="873">
        <f t="shared" si="82"/>
        <v>3.4358985731487088</v>
      </c>
      <c r="AC167" s="873">
        <f t="shared" si="82"/>
        <v>3.4126212113804693</v>
      </c>
      <c r="AD167" s="873">
        <f t="shared" si="82"/>
        <v>3.4297240844442549</v>
      </c>
      <c r="AE167" s="873">
        <f t="shared" si="82"/>
        <v>3.4498810888562286</v>
      </c>
      <c r="AF167" s="873">
        <f t="shared" si="82"/>
        <v>3.428820920985356</v>
      </c>
      <c r="AG167" s="873">
        <f t="shared" si="82"/>
        <v>3.4588425718343414</v>
      </c>
      <c r="AH167" s="873">
        <f t="shared" si="82"/>
        <v>3.4674576353283788</v>
      </c>
      <c r="AI167" s="873">
        <f t="shared" si="82"/>
        <v>3.3573562639517132</v>
      </c>
      <c r="AJ167" s="873">
        <f t="shared" si="82"/>
        <v>3.333259174503576</v>
      </c>
      <c r="AK167" s="873">
        <f t="shared" si="82"/>
        <v>3.4608582269424488</v>
      </c>
      <c r="AL167" s="873">
        <f t="shared" si="82"/>
        <v>3.4983394113003277</v>
      </c>
      <c r="AM167" s="873">
        <f t="shared" si="82"/>
        <v>3.4685420091495498</v>
      </c>
      <c r="AN167" s="873">
        <f t="shared" si="82"/>
        <v>3.5645650092961096</v>
      </c>
      <c r="AO167" s="873">
        <f t="shared" si="82"/>
        <v>3.1700458186953755</v>
      </c>
      <c r="AP167" s="873">
        <f t="shared" si="82"/>
        <v>3.2389272652906498</v>
      </c>
      <c r="AQ167" s="873">
        <f t="shared" si="82"/>
        <v>3.3066964195754855</v>
      </c>
      <c r="AR167" s="873">
        <f t="shared" si="82"/>
        <v>3.3733096758696024</v>
      </c>
      <c r="AS167" s="873">
        <f t="shared" si="82"/>
        <v>3.4388152927162987</v>
      </c>
      <c r="AT167" s="873">
        <f t="shared" si="82"/>
        <v>3.5032065374349228</v>
      </c>
      <c r="AU167" s="873">
        <f t="shared" si="82"/>
        <v>3.5236383263087814</v>
      </c>
      <c r="AV167" s="873">
        <f t="shared" si="82"/>
        <v>3.5435446088303801</v>
      </c>
      <c r="AW167" s="873">
        <f t="shared" si="82"/>
        <v>3.5629352296997099</v>
      </c>
      <c r="AX167" s="873">
        <f t="shared" si="82"/>
        <v>3.5818005448839139</v>
      </c>
      <c r="AY167" s="873">
        <f t="shared" si="82"/>
        <v>3.6001361707206545</v>
      </c>
      <c r="AZ167" s="873">
        <f t="shared" si="82"/>
        <v>3.6598973607598375</v>
      </c>
      <c r="BA167" s="873">
        <f t="shared" si="82"/>
        <v>3.7185769213423665</v>
      </c>
      <c r="BB167" s="873">
        <f t="shared" si="82"/>
        <v>3.7761816445225773</v>
      </c>
      <c r="BC167" s="873">
        <f t="shared" si="82"/>
        <v>3.832723921193367</v>
      </c>
      <c r="BD167" s="873">
        <f t="shared" si="82"/>
        <v>3.8882093494513472</v>
      </c>
      <c r="BE167" s="873">
        <f t="shared" si="82"/>
        <v>3.9082164791454752</v>
      </c>
      <c r="BF167" s="873">
        <f t="shared" si="82"/>
        <v>3.9276946431903186</v>
      </c>
      <c r="BG167" s="873">
        <f t="shared" si="82"/>
        <v>3.9466520793478024</v>
      </c>
      <c r="BH167" s="873">
        <f t="shared" si="82"/>
        <v>3.9650960239841844</v>
      </c>
      <c r="BI167" s="873">
        <f t="shared" si="82"/>
        <v>3.9830358391767082</v>
      </c>
      <c r="BJ167" s="873">
        <f t="shared" si="82"/>
        <v>3.9936885174780916</v>
      </c>
      <c r="BK167" s="873">
        <f t="shared" si="82"/>
        <v>4.0039596215241247</v>
      </c>
      <c r="BL167" s="873">
        <f t="shared" si="82"/>
        <v>4.0138526814989932</v>
      </c>
      <c r="BM167" s="873">
        <f t="shared" si="82"/>
        <v>4.0233715173968623</v>
      </c>
      <c r="BN167" s="873">
        <f t="shared" si="82"/>
        <v>4.0325196551058147</v>
      </c>
      <c r="BO167" s="873">
        <f t="shared" si="82"/>
        <v>4.0373225597027531</v>
      </c>
      <c r="BP167" s="873">
        <f t="shared" si="82"/>
        <v>4.0418233660813989</v>
      </c>
      <c r="BQ167" s="873">
        <f t="shared" si="82"/>
        <v>4.0460269724144009</v>
      </c>
      <c r="BR167" s="873">
        <f t="shared" si="82"/>
        <v>4.0499381275784652</v>
      </c>
      <c r="BS167" s="873">
        <f t="shared" si="82"/>
        <v>4.0535615691671731</v>
      </c>
    </row>
    <row r="168" spans="4:71" s="2329" customFormat="1">
      <c r="AJ168" s="3"/>
      <c r="AK168" s="1362"/>
    </row>
    <row r="169" spans="4:71" s="2329" customFormat="1">
      <c r="AJ169" s="3"/>
      <c r="AK169" s="1362"/>
    </row>
    <row r="170" spans="4:71" s="2329" customFormat="1">
      <c r="AJ170" s="3"/>
      <c r="AK170" s="1362"/>
    </row>
    <row r="171" spans="4:71" s="2329" customFormat="1">
      <c r="AJ171" s="3"/>
      <c r="AK171" s="1362"/>
    </row>
    <row r="172" spans="4:71" s="2329" customFormat="1">
      <c r="D172" s="1" t="str">
        <f>C98</f>
        <v>New Forecast entered 2-9-13</v>
      </c>
      <c r="H172" s="2329" t="str">
        <f>G98</f>
        <v>Based on 2-1-13 Reference Forecast Burner Tip Prices (2-4-13 Email, Deaver &amp; Puglia) and 2009 IEPR Scaling for High and Low</v>
      </c>
    </row>
    <row r="173" spans="4:71" s="1" customFormat="1">
      <c r="D173" s="4634" t="str">
        <f>C99</f>
        <v>Nominal $/MMBtu</v>
      </c>
      <c r="E173" s="4635"/>
      <c r="F173" s="4636"/>
      <c r="G173" s="3121">
        <f t="shared" ref="G173:S173" si="84">F99</f>
        <v>2006</v>
      </c>
      <c r="H173" s="3121">
        <f t="shared" si="84"/>
        <v>2007</v>
      </c>
      <c r="I173" s="3121">
        <f t="shared" si="84"/>
        <v>2008</v>
      </c>
      <c r="J173" s="3121">
        <f t="shared" si="84"/>
        <v>2009</v>
      </c>
      <c r="K173" s="3121">
        <f t="shared" si="84"/>
        <v>2010</v>
      </c>
      <c r="L173" s="3121">
        <f t="shared" si="84"/>
        <v>2011</v>
      </c>
      <c r="M173" s="3121">
        <f t="shared" si="84"/>
        <v>2012</v>
      </c>
      <c r="N173" s="3121">
        <f t="shared" si="84"/>
        <v>2013</v>
      </c>
      <c r="O173" s="3121">
        <f t="shared" si="84"/>
        <v>2014</v>
      </c>
      <c r="P173" s="3121">
        <f t="shared" si="84"/>
        <v>2015</v>
      </c>
      <c r="Q173" s="3121">
        <f t="shared" si="84"/>
        <v>2016</v>
      </c>
      <c r="R173" s="3121">
        <f t="shared" si="84"/>
        <v>2017</v>
      </c>
      <c r="S173" s="3121">
        <f t="shared" si="84"/>
        <v>2018</v>
      </c>
      <c r="T173" s="3121">
        <f t="shared" ref="G173:BB175" si="85">S99</f>
        <v>2019</v>
      </c>
      <c r="U173" s="3121">
        <f t="shared" si="85"/>
        <v>2020</v>
      </c>
      <c r="V173" s="3121">
        <f t="shared" si="85"/>
        <v>2021</v>
      </c>
      <c r="W173" s="3121">
        <f t="shared" si="85"/>
        <v>2022</v>
      </c>
      <c r="X173" s="3121">
        <f t="shared" si="85"/>
        <v>2023</v>
      </c>
      <c r="Y173" s="3121">
        <f t="shared" si="85"/>
        <v>2024</v>
      </c>
      <c r="Z173" s="3121">
        <f t="shared" si="85"/>
        <v>2025</v>
      </c>
      <c r="AA173" s="3121">
        <f t="shared" si="85"/>
        <v>2026</v>
      </c>
      <c r="AB173" s="3121">
        <f t="shared" si="85"/>
        <v>2027</v>
      </c>
      <c r="AC173" s="3121">
        <f t="shared" si="85"/>
        <v>2028</v>
      </c>
      <c r="AD173" s="3121">
        <f t="shared" si="85"/>
        <v>2029</v>
      </c>
      <c r="AE173" s="3121">
        <f t="shared" si="85"/>
        <v>2030</v>
      </c>
      <c r="AF173" s="3121">
        <f t="shared" si="85"/>
        <v>2031</v>
      </c>
      <c r="AG173" s="3121">
        <f t="shared" si="85"/>
        <v>2032</v>
      </c>
      <c r="AH173" s="3121">
        <f t="shared" si="85"/>
        <v>2033</v>
      </c>
      <c r="AI173" s="3121">
        <f t="shared" si="85"/>
        <v>2034</v>
      </c>
      <c r="AJ173" s="3121">
        <f t="shared" si="85"/>
        <v>2035</v>
      </c>
      <c r="AK173" s="3121">
        <f t="shared" si="85"/>
        <v>2036</v>
      </c>
      <c r="AL173" s="3121">
        <f t="shared" si="85"/>
        <v>2037</v>
      </c>
      <c r="AM173" s="3121">
        <f t="shared" si="85"/>
        <v>2038</v>
      </c>
      <c r="AN173" s="3121">
        <f t="shared" si="85"/>
        <v>2039</v>
      </c>
      <c r="AO173" s="3121">
        <f t="shared" si="85"/>
        <v>2040</v>
      </c>
      <c r="AP173" s="3121">
        <f t="shared" si="85"/>
        <v>2041</v>
      </c>
      <c r="AQ173" s="3121">
        <f t="shared" si="85"/>
        <v>2042</v>
      </c>
      <c r="AR173" s="3121">
        <f t="shared" si="85"/>
        <v>2043</v>
      </c>
      <c r="AS173" s="3121">
        <f t="shared" si="85"/>
        <v>2044</v>
      </c>
      <c r="AT173" s="3121">
        <f t="shared" si="85"/>
        <v>2045</v>
      </c>
      <c r="AU173" s="3121">
        <f t="shared" si="85"/>
        <v>2046</v>
      </c>
      <c r="AV173" s="3121">
        <f t="shared" si="85"/>
        <v>2047</v>
      </c>
      <c r="AW173" s="3121">
        <f t="shared" si="85"/>
        <v>2048</v>
      </c>
      <c r="AX173" s="3121">
        <f t="shared" si="85"/>
        <v>2049</v>
      </c>
      <c r="AY173" s="3121">
        <f t="shared" si="85"/>
        <v>2050</v>
      </c>
      <c r="AZ173" s="3121">
        <f t="shared" si="85"/>
        <v>2051</v>
      </c>
      <c r="BA173" s="3121">
        <f t="shared" si="85"/>
        <v>2052</v>
      </c>
      <c r="BB173" s="3121">
        <f t="shared" si="85"/>
        <v>2053</v>
      </c>
      <c r="BC173" s="3121">
        <f t="shared" ref="BC173:BK173" si="86">BB99</f>
        <v>2054</v>
      </c>
      <c r="BD173" s="3121">
        <f t="shared" si="86"/>
        <v>2055</v>
      </c>
      <c r="BE173" s="3121">
        <f t="shared" si="86"/>
        <v>2056</v>
      </c>
      <c r="BF173" s="3121">
        <f t="shared" si="86"/>
        <v>2057</v>
      </c>
      <c r="BG173" s="3121">
        <f t="shared" si="86"/>
        <v>2058</v>
      </c>
      <c r="BH173" s="3121">
        <f t="shared" si="86"/>
        <v>2059</v>
      </c>
      <c r="BI173" s="3121">
        <f t="shared" si="86"/>
        <v>2060</v>
      </c>
      <c r="BJ173" s="3121">
        <f t="shared" si="86"/>
        <v>2061</v>
      </c>
      <c r="BK173" s="3121">
        <f t="shared" si="86"/>
        <v>2062</v>
      </c>
      <c r="BL173" s="3121">
        <f t="shared" ref="BL173:BS173" si="87">BK99</f>
        <v>2063</v>
      </c>
      <c r="BM173" s="3121">
        <f t="shared" si="87"/>
        <v>2064</v>
      </c>
      <c r="BN173" s="3121">
        <f t="shared" si="87"/>
        <v>2065</v>
      </c>
      <c r="BO173" s="3121">
        <f t="shared" si="87"/>
        <v>2066</v>
      </c>
      <c r="BP173" s="3121">
        <f t="shared" si="87"/>
        <v>2067</v>
      </c>
      <c r="BQ173" s="3121">
        <f t="shared" si="87"/>
        <v>2068</v>
      </c>
      <c r="BR173" s="3121">
        <f t="shared" si="87"/>
        <v>2069</v>
      </c>
      <c r="BS173" s="3121">
        <f t="shared" si="87"/>
        <v>2070</v>
      </c>
    </row>
    <row r="174" spans="4:71" s="2329" customFormat="1">
      <c r="D174" s="4631" t="str">
        <f>C100</f>
        <v>Reference Case</v>
      </c>
      <c r="E174" s="4632"/>
      <c r="F174" s="4633"/>
      <c r="G174" s="873">
        <f t="shared" si="85"/>
        <v>4.899505871665788</v>
      </c>
      <c r="H174" s="873">
        <f t="shared" si="85"/>
        <v>5.2332073206922969</v>
      </c>
      <c r="I174" s="873">
        <f t="shared" si="85"/>
        <v>6.8896443359756132</v>
      </c>
      <c r="J174" s="873">
        <f t="shared" si="85"/>
        <v>3.8008165346172214</v>
      </c>
      <c r="K174" s="873">
        <f t="shared" si="85"/>
        <v>4.2089239785629875</v>
      </c>
      <c r="L174" s="873">
        <f t="shared" si="85"/>
        <v>4.1462161746245494</v>
      </c>
      <c r="M174" s="873">
        <f t="shared" si="85"/>
        <v>3.3197655776194255</v>
      </c>
      <c r="N174" s="873">
        <f t="shared" si="85"/>
        <v>4.5630380383354501</v>
      </c>
      <c r="O174" s="873">
        <f t="shared" si="85"/>
        <v>4.812236822972574</v>
      </c>
      <c r="P174" s="873">
        <f t="shared" si="85"/>
        <v>4.99931710024656</v>
      </c>
      <c r="Q174" s="873">
        <f t="shared" si="85"/>
        <v>5.4514266162406706</v>
      </c>
      <c r="R174" s="873">
        <f t="shared" si="85"/>
        <v>5.873842290087893</v>
      </c>
      <c r="S174" s="873">
        <f t="shared" si="85"/>
        <v>5.7938511165555289</v>
      </c>
      <c r="T174" s="873">
        <f t="shared" si="85"/>
        <v>6.0214554203769772</v>
      </c>
      <c r="U174" s="873">
        <f t="shared" si="85"/>
        <v>6.2364795922505163</v>
      </c>
      <c r="V174" s="873">
        <f t="shared" si="85"/>
        <v>6.382580680788597</v>
      </c>
      <c r="W174" s="873">
        <f t="shared" si="85"/>
        <v>6.6019298225578211</v>
      </c>
      <c r="X174" s="873">
        <f t="shared" si="85"/>
        <v>6.9838711233313333</v>
      </c>
      <c r="Y174" s="873">
        <f t="shared" si="85"/>
        <v>7.1899229380394152</v>
      </c>
      <c r="Z174" s="873">
        <f t="shared" si="85"/>
        <v>7.4432130187163263</v>
      </c>
      <c r="AA174" s="873">
        <f t="shared" si="85"/>
        <v>7.6295896446804594</v>
      </c>
      <c r="AB174" s="873">
        <f t="shared" si="85"/>
        <v>7.9531673877287918</v>
      </c>
      <c r="AC174" s="873">
        <f t="shared" si="85"/>
        <v>8.2578824915831994</v>
      </c>
      <c r="AD174" s="873">
        <f t="shared" si="85"/>
        <v>8.4565981280292881</v>
      </c>
      <c r="AE174" s="873">
        <f t="shared" si="85"/>
        <v>8.7467902561554318</v>
      </c>
      <c r="AF174" s="873">
        <f t="shared" si="85"/>
        <v>8.9927761636510439</v>
      </c>
      <c r="AG174" s="873">
        <f t="shared" si="85"/>
        <v>9.2586327600257903</v>
      </c>
      <c r="AH174" s="873">
        <f t="shared" si="85"/>
        <v>9.5594865066080388</v>
      </c>
      <c r="AI174" s="873">
        <f t="shared" si="85"/>
        <v>9.8216637529842021</v>
      </c>
      <c r="AJ174" s="873">
        <f t="shared" si="85"/>
        <v>10.080166098513404</v>
      </c>
      <c r="AK174" s="873">
        <f t="shared" si="85"/>
        <v>10.326834815873069</v>
      </c>
      <c r="AL174" s="873">
        <f t="shared" si="85"/>
        <v>10.612991534267678</v>
      </c>
      <c r="AM174" s="873">
        <f t="shared" si="85"/>
        <v>10.917353195987152</v>
      </c>
      <c r="AN174" s="873">
        <f t="shared" si="85"/>
        <v>11.32984566586963</v>
      </c>
      <c r="AO174" s="873">
        <f t="shared" si="85"/>
        <v>11.53353003387701</v>
      </c>
      <c r="AP174" s="873">
        <f t="shared" si="85"/>
        <v>11.776576904240095</v>
      </c>
      <c r="AQ174" s="873">
        <f t="shared" si="85"/>
        <v>12.019623774603179</v>
      </c>
      <c r="AR174" s="873">
        <f t="shared" si="85"/>
        <v>12.262670644966263</v>
      </c>
      <c r="AS174" s="873">
        <f t="shared" si="85"/>
        <v>12.505717515329348</v>
      </c>
      <c r="AT174" s="873">
        <f t="shared" si="85"/>
        <v>12.748764385692429</v>
      </c>
      <c r="AU174" s="873">
        <f t="shared" si="85"/>
        <v>13.015669107072139</v>
      </c>
      <c r="AV174" s="873">
        <f t="shared" si="85"/>
        <v>13.282573828451849</v>
      </c>
      <c r="AW174" s="873">
        <f t="shared" si="85"/>
        <v>13.549478549831559</v>
      </c>
      <c r="AX174" s="873">
        <f t="shared" si="85"/>
        <v>13.816383271211269</v>
      </c>
      <c r="AY174" s="873">
        <f t="shared" si="85"/>
        <v>14.083287992590979</v>
      </c>
      <c r="AZ174" s="873">
        <f t="shared" si="85"/>
        <v>14.57511502972871</v>
      </c>
      <c r="BA174" s="873">
        <f t="shared" si="85"/>
        <v>15.066942066866442</v>
      </c>
      <c r="BB174" s="873">
        <f t="shared" si="85"/>
        <v>15.558769104004174</v>
      </c>
      <c r="BC174" s="873">
        <f t="shared" ref="BC174:BK174" si="88">BB100</f>
        <v>16.050596141141906</v>
      </c>
      <c r="BD174" s="873">
        <f t="shared" si="88"/>
        <v>16.542423178279634</v>
      </c>
      <c r="BE174" s="873">
        <f t="shared" si="88"/>
        <v>17.092236408206144</v>
      </c>
      <c r="BF174" s="873">
        <f t="shared" si="88"/>
        <v>17.642049638132654</v>
      </c>
      <c r="BG174" s="873">
        <f t="shared" si="88"/>
        <v>18.191862868059165</v>
      </c>
      <c r="BH174" s="873">
        <f t="shared" si="88"/>
        <v>18.741676097985675</v>
      </c>
      <c r="BI174" s="873">
        <f t="shared" si="88"/>
        <v>19.291489327912185</v>
      </c>
      <c r="BJ174" s="873">
        <f t="shared" si="88"/>
        <v>19.866882384507523</v>
      </c>
      <c r="BK174" s="873">
        <f t="shared" si="88"/>
        <v>20.442275441102861</v>
      </c>
      <c r="BL174" s="873">
        <f t="shared" ref="BL174:BS174" si="89">BK100</f>
        <v>21.0176684976982</v>
      </c>
      <c r="BM174" s="873">
        <f t="shared" si="89"/>
        <v>21.593061554293538</v>
      </c>
      <c r="BN174" s="873">
        <f t="shared" si="89"/>
        <v>22.168454610888872</v>
      </c>
      <c r="BO174" s="873">
        <f t="shared" si="89"/>
        <v>22.961075126893508</v>
      </c>
      <c r="BP174" s="873">
        <f t="shared" si="89"/>
        <v>23.753695642898144</v>
      </c>
      <c r="BQ174" s="873">
        <f t="shared" si="89"/>
        <v>24.54631615890278</v>
      </c>
      <c r="BR174" s="873">
        <f t="shared" si="89"/>
        <v>25.338936674907416</v>
      </c>
      <c r="BS174" s="873">
        <f t="shared" si="89"/>
        <v>26.131557190912055</v>
      </c>
    </row>
    <row r="175" spans="4:71" s="2329" customFormat="1">
      <c r="D175" s="4631" t="str">
        <f>C101</f>
        <v>High Gas Price Case</v>
      </c>
      <c r="E175" s="4632"/>
      <c r="F175" s="4633"/>
      <c r="G175" s="873">
        <f t="shared" si="85"/>
        <v>6.6689376511407188</v>
      </c>
      <c r="H175" s="873">
        <f t="shared" si="85"/>
        <v>7.0748370537672551</v>
      </c>
      <c r="I175" s="873">
        <f t="shared" si="85"/>
        <v>9.253855043988084</v>
      </c>
      <c r="J175" s="873">
        <f t="shared" si="85"/>
        <v>5.2900662411467305</v>
      </c>
      <c r="K175" s="873">
        <f t="shared" si="85"/>
        <v>5.9540120847799125</v>
      </c>
      <c r="L175" s="873">
        <f t="shared" si="85"/>
        <v>5.9407657504371745</v>
      </c>
      <c r="M175" s="873">
        <f t="shared" si="85"/>
        <v>4.8071467954733285</v>
      </c>
      <c r="N175" s="873">
        <f t="shared" si="85"/>
        <v>6.6673400692022877</v>
      </c>
      <c r="O175" s="873">
        <f t="shared" si="85"/>
        <v>7.0871027398730275</v>
      </c>
      <c r="P175" s="873">
        <f t="shared" si="85"/>
        <v>7.4143737568759827</v>
      </c>
      <c r="Q175" s="873">
        <f t="shared" si="85"/>
        <v>8.1360450554176715</v>
      </c>
      <c r="R175" s="873">
        <f t="shared" si="85"/>
        <v>8.8169525713980121</v>
      </c>
      <c r="S175" s="873">
        <f t="shared" si="85"/>
        <v>8.7428311890667025</v>
      </c>
      <c r="T175" s="873">
        <f t="shared" si="85"/>
        <v>9.1306604371725779</v>
      </c>
      <c r="U175" s="873">
        <f t="shared" si="85"/>
        <v>9.4996701086768649</v>
      </c>
      <c r="V175" s="873">
        <f t="shared" si="85"/>
        <v>9.7635067351363727</v>
      </c>
      <c r="W175" s="873">
        <f t="shared" si="85"/>
        <v>10.139328205099744</v>
      </c>
      <c r="X175" s="873">
        <f t="shared" si="85"/>
        <v>10.766256131528156</v>
      </c>
      <c r="Y175" s="873">
        <f t="shared" si="85"/>
        <v>11.123343722396418</v>
      </c>
      <c r="Z175" s="873">
        <f t="shared" si="85"/>
        <v>11.554092344467906</v>
      </c>
      <c r="AA175" s="873">
        <f t="shared" si="85"/>
        <v>11.881472965986489</v>
      </c>
      <c r="AB175" s="873">
        <f t="shared" si="85"/>
        <v>12.423360699477938</v>
      </c>
      <c r="AC175" s="873">
        <f t="shared" si="85"/>
        <v>12.937175348751921</v>
      </c>
      <c r="AD175" s="873">
        <f t="shared" si="85"/>
        <v>13.285723175683701</v>
      </c>
      <c r="AE175" s="873">
        <f t="shared" si="85"/>
        <v>13.778701628403663</v>
      </c>
      <c r="AF175" s="873">
        <f t="shared" si="85"/>
        <v>14.212537596691062</v>
      </c>
      <c r="AG175" s="873">
        <f t="shared" si="85"/>
        <v>14.679432677613544</v>
      </c>
      <c r="AH175" s="873">
        <f t="shared" si="85"/>
        <v>15.204803197544878</v>
      </c>
      <c r="AI175" s="873">
        <f t="shared" si="85"/>
        <v>15.671050772398567</v>
      </c>
      <c r="AJ175" s="873">
        <f t="shared" si="85"/>
        <v>16.133935335450509</v>
      </c>
      <c r="AK175" s="873">
        <f t="shared" si="85"/>
        <v>16.579409532376651</v>
      </c>
      <c r="AL175" s="873">
        <f t="shared" si="85"/>
        <v>17.091040812448199</v>
      </c>
      <c r="AM175" s="873">
        <f t="shared" si="85"/>
        <v>17.634884131680288</v>
      </c>
      <c r="AN175" s="873">
        <f t="shared" si="85"/>
        <v>18.3570617825605</v>
      </c>
      <c r="AO175" s="873">
        <f t="shared" si="85"/>
        <v>18.744637938304788</v>
      </c>
      <c r="AP175" s="873">
        <f t="shared" si="85"/>
        <v>19.199335875360632</v>
      </c>
      <c r="AQ175" s="873">
        <f t="shared" si="85"/>
        <v>19.656504388746356</v>
      </c>
      <c r="AR175" s="873">
        <f t="shared" si="85"/>
        <v>20.116260183872313</v>
      </c>
      <c r="AS175" s="873">
        <f t="shared" si="85"/>
        <v>20.578513490337027</v>
      </c>
      <c r="AT175" s="873">
        <f t="shared" si="85"/>
        <v>21.043303202569899</v>
      </c>
      <c r="AU175" s="873">
        <f t="shared" si="85"/>
        <v>21.550118898274199</v>
      </c>
      <c r="AV175" s="873">
        <f t="shared" si="85"/>
        <v>22.0599026649015</v>
      </c>
      <c r="AW175" s="873">
        <f t="shared" si="85"/>
        <v>22.572654756664857</v>
      </c>
      <c r="AX175" s="873">
        <f t="shared" si="85"/>
        <v>23.088429248507026</v>
      </c>
      <c r="AY175" s="873">
        <f t="shared" si="85"/>
        <v>23.60727546153613</v>
      </c>
      <c r="AZ175" s="873">
        <f t="shared" si="85"/>
        <v>24.507352321955405</v>
      </c>
      <c r="BA175" s="873">
        <f t="shared" si="85"/>
        <v>25.412733553900882</v>
      </c>
      <c r="BB175" s="873">
        <f t="shared" si="85"/>
        <v>26.323449110488255</v>
      </c>
      <c r="BC175" s="873">
        <f t="shared" ref="BC175:BK175" si="90">BB101</f>
        <v>27.239517059367337</v>
      </c>
      <c r="BD175" s="873">
        <f t="shared" si="90"/>
        <v>28.160975657752889</v>
      </c>
      <c r="BE175" s="873">
        <f t="shared" si="90"/>
        <v>29.186882436654816</v>
      </c>
      <c r="BF175" s="873">
        <f t="shared" si="90"/>
        <v>30.218881157002425</v>
      </c>
      <c r="BG175" s="873">
        <f t="shared" si="90"/>
        <v>31.256997555258444</v>
      </c>
      <c r="BH175" s="873">
        <f t="shared" si="90"/>
        <v>32.301260915077698</v>
      </c>
      <c r="BI175" s="873">
        <f t="shared" si="90"/>
        <v>33.351694008251791</v>
      </c>
      <c r="BJ175" s="873">
        <f t="shared" si="90"/>
        <v>34.452671667940479</v>
      </c>
      <c r="BK175" s="873">
        <f t="shared" si="90"/>
        <v>35.56012852420379</v>
      </c>
      <c r="BL175" s="873">
        <f t="shared" ref="BL175:BS175" si="91">BK101</f>
        <v>36.674096651028691</v>
      </c>
      <c r="BM175" s="873">
        <f t="shared" si="91"/>
        <v>37.794608485878783</v>
      </c>
      <c r="BN175" s="873">
        <f t="shared" si="91"/>
        <v>38.921698554740949</v>
      </c>
      <c r="BO175" s="873">
        <f t="shared" si="91"/>
        <v>40.437971201109264</v>
      </c>
      <c r="BP175" s="873">
        <f t="shared" si="91"/>
        <v>41.963253480516997</v>
      </c>
      <c r="BQ175" s="873">
        <f t="shared" si="91"/>
        <v>43.49758505402513</v>
      </c>
      <c r="BR175" s="873">
        <f t="shared" si="91"/>
        <v>45.041005821423397</v>
      </c>
      <c r="BS175" s="873">
        <f t="shared" si="91"/>
        <v>46.593555261651225</v>
      </c>
    </row>
    <row r="176" spans="4:71" s="2329" customFormat="1">
      <c r="D176" s="4631" t="str">
        <f>C102</f>
        <v>Low Gas Price Case</v>
      </c>
      <c r="E176" s="4632"/>
      <c r="F176" s="4633"/>
      <c r="G176" s="873">
        <f t="shared" ref="G176:BB176" si="92">F102</f>
        <v>4.0237415760909281</v>
      </c>
      <c r="H176" s="873">
        <f t="shared" si="92"/>
        <v>4.2464537316142392</v>
      </c>
      <c r="I176" s="873">
        <f t="shared" si="92"/>
        <v>5.5264420337967497</v>
      </c>
      <c r="J176" s="873">
        <f t="shared" si="92"/>
        <v>2.7464663584987865</v>
      </c>
      <c r="K176" s="873">
        <f t="shared" si="92"/>
        <v>2.8635004179511343</v>
      </c>
      <c r="L176" s="873">
        <f t="shared" si="92"/>
        <v>2.6984318180110329</v>
      </c>
      <c r="M176" s="873">
        <f t="shared" si="92"/>
        <v>2.0865830438336808</v>
      </c>
      <c r="N176" s="873">
        <f t="shared" si="92"/>
        <v>2.7873269438301946</v>
      </c>
      <c r="O176" s="873">
        <f t="shared" si="92"/>
        <v>2.8696105418463973</v>
      </c>
      <c r="P176" s="873">
        <f t="shared" si="92"/>
        <v>2.9198911814771735</v>
      </c>
      <c r="Q176" s="873">
        <f t="shared" si="92"/>
        <v>3.1264626213178848</v>
      </c>
      <c r="R176" s="873">
        <f t="shared" si="92"/>
        <v>3.3145866241090745</v>
      </c>
      <c r="S176" s="873">
        <f t="shared" si="92"/>
        <v>3.2221749473185168</v>
      </c>
      <c r="T176" s="873">
        <f t="shared" si="92"/>
        <v>3.3047970300124674</v>
      </c>
      <c r="U176" s="873">
        <f t="shared" si="92"/>
        <v>3.381711784862699</v>
      </c>
      <c r="V176" s="873">
        <f t="shared" si="92"/>
        <v>3.4226744262837978</v>
      </c>
      <c r="W176" s="873">
        <f t="shared" si="92"/>
        <v>3.5040648735511017</v>
      </c>
      <c r="X176" s="873">
        <f t="shared" si="92"/>
        <v>3.6714856244132945</v>
      </c>
      <c r="Y176" s="873">
        <f t="shared" si="92"/>
        <v>3.746173747025658</v>
      </c>
      <c r="Z176" s="873">
        <f t="shared" si="92"/>
        <v>3.8457743191491467</v>
      </c>
      <c r="AA176" s="873">
        <f t="shared" si="92"/>
        <v>3.9111001822606486</v>
      </c>
      <c r="AB176" s="873">
        <f t="shared" si="92"/>
        <v>4.0467311388957796</v>
      </c>
      <c r="AC176" s="873">
        <f t="shared" si="92"/>
        <v>4.1722671420207353</v>
      </c>
      <c r="AD176" s="873">
        <f t="shared" si="92"/>
        <v>4.2441857479105067</v>
      </c>
      <c r="AE176" s="873">
        <f t="shared" si="92"/>
        <v>4.3619874741240414</v>
      </c>
      <c r="AF176" s="873">
        <f t="shared" si="92"/>
        <v>4.4482417886486489</v>
      </c>
      <c r="AG176" s="873">
        <f t="shared" si="92"/>
        <v>4.5437074018101811</v>
      </c>
      <c r="AH176" s="873">
        <f t="shared" si="92"/>
        <v>4.6546540486568224</v>
      </c>
      <c r="AI176" s="873">
        <f t="shared" si="92"/>
        <v>4.7455271464306668</v>
      </c>
      <c r="AJ176" s="873">
        <f t="shared" si="92"/>
        <v>4.8332802846085983</v>
      </c>
      <c r="AK176" s="873">
        <f t="shared" si="92"/>
        <v>4.9147141827906857</v>
      </c>
      <c r="AL176" s="873">
        <f t="shared" si="92"/>
        <v>5.0133629346438857</v>
      </c>
      <c r="AM176" s="873">
        <f t="shared" si="92"/>
        <v>5.1189271558467935</v>
      </c>
      <c r="AN176" s="873">
        <f t="shared" si="92"/>
        <v>5.2729484937135549</v>
      </c>
      <c r="AO176" s="873">
        <f t="shared" si="92"/>
        <v>5.3275020147644607</v>
      </c>
      <c r="AP176" s="873">
        <f t="shared" si="92"/>
        <v>5.3983426988066761</v>
      </c>
      <c r="AQ176" s="873">
        <f t="shared" si="92"/>
        <v>5.4679950040566219</v>
      </c>
      <c r="AR176" s="873">
        <f t="shared" si="92"/>
        <v>5.5363756469596384</v>
      </c>
      <c r="AS176" s="873">
        <f t="shared" si="92"/>
        <v>5.6035543217462935</v>
      </c>
      <c r="AT176" s="873">
        <f t="shared" si="92"/>
        <v>5.6695105003187649</v>
      </c>
      <c r="AU176" s="873">
        <f t="shared" si="92"/>
        <v>5.7447930459179704</v>
      </c>
      <c r="AV176" s="873">
        <f t="shared" si="92"/>
        <v>5.8185913432628755</v>
      </c>
      <c r="AW176" s="873">
        <f t="shared" si="92"/>
        <v>5.890927821078729</v>
      </c>
      <c r="AX176" s="873">
        <f t="shared" si="92"/>
        <v>5.9617925921998403</v>
      </c>
      <c r="AY176" s="873">
        <f t="shared" si="92"/>
        <v>6.0311838550385799</v>
      </c>
      <c r="AZ176" s="873">
        <f t="shared" si="92"/>
        <v>6.1947585808186032</v>
      </c>
      <c r="BA176" s="873">
        <f t="shared" si="92"/>
        <v>6.3555653937435395</v>
      </c>
      <c r="BB176" s="873">
        <f t="shared" si="92"/>
        <v>6.5136272995907039</v>
      </c>
      <c r="BC176" s="873">
        <f t="shared" ref="BC176:BK176" si="93">BB102</f>
        <v>6.6689764550524346</v>
      </c>
      <c r="BD176" s="873">
        <f t="shared" si="93"/>
        <v>6.821632895424333</v>
      </c>
      <c r="BE176" s="873">
        <f t="shared" si="93"/>
        <v>6.995349158733962</v>
      </c>
      <c r="BF176" s="873">
        <f t="shared" si="93"/>
        <v>7.1660517472670735</v>
      </c>
      <c r="BG176" s="873">
        <f t="shared" si="93"/>
        <v>7.3337779790536821</v>
      </c>
      <c r="BH176" s="873">
        <f t="shared" si="93"/>
        <v>7.4985632938659723</v>
      </c>
      <c r="BI176" s="873">
        <f t="shared" si="93"/>
        <v>7.6604471057008539</v>
      </c>
      <c r="BJ176" s="873">
        <f t="shared" si="93"/>
        <v>7.8295539928010074</v>
      </c>
      <c r="BK176" s="873">
        <f t="shared" si="93"/>
        <v>7.9956901892155869</v>
      </c>
      <c r="BL176" s="873">
        <f t="shared" ref="BL176:BS176" si="94">BK102</f>
        <v>8.1588880302567421</v>
      </c>
      <c r="BM176" s="873">
        <f t="shared" si="94"/>
        <v>8.3191799516010292</v>
      </c>
      <c r="BN176" s="873">
        <f t="shared" si="94"/>
        <v>8.4765973360173348</v>
      </c>
      <c r="BO176" s="873">
        <f t="shared" si="94"/>
        <v>8.713608985624564</v>
      </c>
      <c r="BP176" s="873">
        <f t="shared" si="94"/>
        <v>8.9465705025555451</v>
      </c>
      <c r="BQ176" s="873">
        <f t="shared" si="94"/>
        <v>9.1755305915440797</v>
      </c>
      <c r="BR176" s="873">
        <f t="shared" si="94"/>
        <v>9.4005373805560435</v>
      </c>
      <c r="BS176" s="873">
        <f t="shared" si="94"/>
        <v>9.6216387188962322</v>
      </c>
    </row>
    <row r="177" spans="4:71" s="2329" customFormat="1">
      <c r="D177" s="4637" t="s">
        <v>1817</v>
      </c>
      <c r="E177" s="4637"/>
      <c r="F177" s="4637"/>
      <c r="G177" s="3122">
        <v>0.90372199465899061</v>
      </c>
      <c r="H177" s="3122">
        <v>0.93315890394268119</v>
      </c>
      <c r="I177" s="3122">
        <v>0.96062453988788099</v>
      </c>
      <c r="J177" s="3122">
        <v>0.98161587140262663</v>
      </c>
      <c r="K177" s="3122">
        <v>0.99061348296585727</v>
      </c>
      <c r="L177" s="3122">
        <v>1</v>
      </c>
      <c r="M177" s="3122">
        <v>1.0190846557987372</v>
      </c>
      <c r="N177" s="3122">
        <v>1.0467750651860983</v>
      </c>
      <c r="O177" s="3122">
        <v>1.0701736676000402</v>
      </c>
      <c r="P177" s="3122">
        <v>1.091085037120435</v>
      </c>
      <c r="Q177" s="3122">
        <v>1.1118413497313508</v>
      </c>
      <c r="R177" s="3122">
        <v>1.1306872508520636</v>
      </c>
      <c r="S177" s="3122">
        <v>1.148001319646478</v>
      </c>
      <c r="T177" s="3122">
        <v>1.164879030083865</v>
      </c>
      <c r="U177" s="3122">
        <v>1.1816485233702192</v>
      </c>
      <c r="V177" s="3122">
        <v>1.1988259636745122</v>
      </c>
      <c r="W177" s="3122">
        <v>1.2164105805436665</v>
      </c>
      <c r="X177" s="3122">
        <v>1.2347783803098757</v>
      </c>
      <c r="Y177" s="3122">
        <v>1.2534235338525548</v>
      </c>
      <c r="Z177" s="3122">
        <v>1.2723502292137283</v>
      </c>
      <c r="AA177" s="3122">
        <v>1.2915627176748554</v>
      </c>
      <c r="AB177" s="3122">
        <v>1.3110653147117457</v>
      </c>
      <c r="AC177" s="3122">
        <v>1.330862400963893</v>
      </c>
      <c r="AD177" s="3122">
        <v>1.3509584232184475</v>
      </c>
      <c r="AE177" s="3122">
        <v>1.371357895409046</v>
      </c>
      <c r="AF177" s="3122">
        <v>1.3920653996297223</v>
      </c>
      <c r="AG177" s="3122">
        <v>1.413085587164131</v>
      </c>
      <c r="AH177" s="3122">
        <v>1.4344231795303093</v>
      </c>
      <c r="AI177" s="3122">
        <v>1.4560829695412167</v>
      </c>
      <c r="AJ177" s="3123">
        <v>1.4780698223812889</v>
      </c>
      <c r="AK177" s="3124">
        <v>1.5003886766992462</v>
      </c>
      <c r="AL177" s="3122">
        <v>1.5230445457174047</v>
      </c>
      <c r="AM177" s="3122">
        <v>1.5460425183577373</v>
      </c>
      <c r="AN177" s="3122">
        <v>1.5693877603849389</v>
      </c>
      <c r="AO177" s="3122">
        <v>1.5930855155667514</v>
      </c>
      <c r="AP177" s="3122">
        <v>1.6171411068518091</v>
      </c>
      <c r="AQ177" s="3122">
        <v>1.6415599375652712</v>
      </c>
      <c r="AR177" s="3122">
        <v>1.6663474926225066</v>
      </c>
      <c r="AS177" s="3122">
        <v>1.6915093397611063</v>
      </c>
      <c r="AT177" s="3122">
        <v>1.7170511307914988</v>
      </c>
      <c r="AU177" s="3122">
        <v>1.7429786028664502</v>
      </c>
      <c r="AV177" s="3114">
        <f>AU177*(1+1.51%)</f>
        <v>1.7692975797697335</v>
      </c>
      <c r="AW177" s="3114">
        <f t="shared" ref="AW177:BS177" si="95">AV177*(1+1.51%)</f>
        <v>1.7960139732242562</v>
      </c>
      <c r="AX177" s="3114">
        <f t="shared" si="95"/>
        <v>1.8231337842199422</v>
      </c>
      <c r="AY177" s="3114">
        <f t="shared" si="95"/>
        <v>1.850663104361663</v>
      </c>
      <c r="AZ177" s="3114">
        <f t="shared" si="95"/>
        <v>1.878608117237524</v>
      </c>
      <c r="BA177" s="3114">
        <f t="shared" si="95"/>
        <v>1.9069750998078103</v>
      </c>
      <c r="BB177" s="3114">
        <f t="shared" si="95"/>
        <v>1.935770423814908</v>
      </c>
      <c r="BC177" s="3114">
        <f t="shared" si="95"/>
        <v>1.9650005572145131</v>
      </c>
      <c r="BD177" s="3114">
        <f t="shared" si="95"/>
        <v>1.994672065628452</v>
      </c>
      <c r="BE177" s="3114">
        <f t="shared" si="95"/>
        <v>2.0247916138194415</v>
      </c>
      <c r="BF177" s="3114">
        <f t="shared" si="95"/>
        <v>2.055365967188115</v>
      </c>
      <c r="BG177" s="3114">
        <f t="shared" si="95"/>
        <v>2.0864019932926552</v>
      </c>
      <c r="BH177" s="3114">
        <f t="shared" si="95"/>
        <v>2.1179066633913739</v>
      </c>
      <c r="BI177" s="3114">
        <f t="shared" si="95"/>
        <v>2.1498870540085835</v>
      </c>
      <c r="BJ177" s="3114">
        <f t="shared" si="95"/>
        <v>2.1823503485241127</v>
      </c>
      <c r="BK177" s="3114">
        <f t="shared" si="95"/>
        <v>2.2153038387868267</v>
      </c>
      <c r="BL177" s="3114">
        <f t="shared" si="95"/>
        <v>2.2487549267525075</v>
      </c>
      <c r="BM177" s="3114">
        <f t="shared" si="95"/>
        <v>2.2827111261464701</v>
      </c>
      <c r="BN177" s="3114">
        <f t="shared" si="95"/>
        <v>2.3171800641512816</v>
      </c>
      <c r="BO177" s="3114">
        <f t="shared" si="95"/>
        <v>2.3521694831199658</v>
      </c>
      <c r="BP177" s="3114">
        <f t="shared" si="95"/>
        <v>2.387687242315077</v>
      </c>
      <c r="BQ177" s="3114">
        <f t="shared" si="95"/>
        <v>2.4237413196740345</v>
      </c>
      <c r="BR177" s="3114">
        <f t="shared" si="95"/>
        <v>2.4603398136011121</v>
      </c>
      <c r="BS177" s="3114">
        <f t="shared" si="95"/>
        <v>2.4974909447864886</v>
      </c>
    </row>
    <row r="178" spans="4:71" s="1" customFormat="1">
      <c r="D178" s="4634" t="s">
        <v>1816</v>
      </c>
      <c r="E178" s="4635"/>
      <c r="F178" s="4636"/>
      <c r="G178" s="3121">
        <v>2006</v>
      </c>
      <c r="H178" s="3121">
        <v>2007</v>
      </c>
      <c r="I178" s="3121">
        <v>2008</v>
      </c>
      <c r="J178" s="3121">
        <v>2009</v>
      </c>
      <c r="K178" s="3121">
        <v>2010</v>
      </c>
      <c r="L178" s="3121">
        <v>2011</v>
      </c>
      <c r="M178" s="3121">
        <v>2012</v>
      </c>
      <c r="N178" s="3121">
        <v>2013</v>
      </c>
      <c r="O178" s="3121">
        <v>2014</v>
      </c>
      <c r="P178" s="3121">
        <v>2015</v>
      </c>
      <c r="Q178" s="3121">
        <v>2016</v>
      </c>
      <c r="R178" s="3121">
        <v>2017</v>
      </c>
      <c r="S178" s="3121">
        <v>2018</v>
      </c>
      <c r="T178" s="3121">
        <v>2019</v>
      </c>
      <c r="U178" s="3121">
        <v>2020</v>
      </c>
      <c r="V178" s="3121">
        <v>2021</v>
      </c>
      <c r="W178" s="3121">
        <v>2022</v>
      </c>
      <c r="X178" s="3121">
        <v>2023</v>
      </c>
      <c r="Y178" s="3121">
        <v>2024</v>
      </c>
      <c r="Z178" s="3121">
        <v>2025</v>
      </c>
      <c r="AA178" s="3121">
        <v>2026</v>
      </c>
      <c r="AB178" s="3121">
        <v>2027</v>
      </c>
      <c r="AC178" s="3121">
        <v>2028</v>
      </c>
      <c r="AD178" s="3121">
        <v>2029</v>
      </c>
      <c r="AE178" s="3121">
        <v>2030</v>
      </c>
      <c r="AF178" s="3121">
        <v>2031</v>
      </c>
      <c r="AG178" s="3121">
        <v>2032</v>
      </c>
      <c r="AH178" s="3121">
        <v>2033</v>
      </c>
      <c r="AI178" s="3121">
        <v>2034</v>
      </c>
      <c r="AJ178" s="3121">
        <v>2035</v>
      </c>
      <c r="AK178" s="3121">
        <v>2036</v>
      </c>
      <c r="AL178" s="3121">
        <v>2037</v>
      </c>
      <c r="AM178" s="3121">
        <v>2038</v>
      </c>
      <c r="AN178" s="3121">
        <v>2039</v>
      </c>
      <c r="AO178" s="3121">
        <v>2040</v>
      </c>
      <c r="AP178" s="3121">
        <v>2041</v>
      </c>
      <c r="AQ178" s="3121">
        <v>2042</v>
      </c>
      <c r="AR178" s="3121">
        <v>2043</v>
      </c>
      <c r="AS178" s="3121">
        <v>2044</v>
      </c>
      <c r="AT178" s="3121">
        <v>2045</v>
      </c>
      <c r="AU178" s="3121">
        <v>2046</v>
      </c>
      <c r="AV178" s="3121">
        <v>2047</v>
      </c>
      <c r="AW178" s="3121">
        <v>2048</v>
      </c>
      <c r="AX178" s="3121">
        <v>2049</v>
      </c>
      <c r="AY178" s="3121">
        <v>2050</v>
      </c>
      <c r="AZ178" s="3121">
        <v>2051</v>
      </c>
      <c r="BA178" s="3121">
        <v>2052</v>
      </c>
      <c r="BB178" s="3121">
        <v>2053</v>
      </c>
      <c r="BC178" s="3121">
        <v>2054</v>
      </c>
      <c r="BD178" s="3121">
        <v>2055</v>
      </c>
      <c r="BE178" s="3121">
        <v>2056</v>
      </c>
      <c r="BF178" s="3121">
        <v>2057</v>
      </c>
      <c r="BG178" s="3121">
        <v>2058</v>
      </c>
      <c r="BH178" s="3121">
        <v>2059</v>
      </c>
      <c r="BI178" s="3121">
        <v>2060</v>
      </c>
      <c r="BJ178" s="3121">
        <v>2061</v>
      </c>
      <c r="BK178" s="3121">
        <v>2062</v>
      </c>
      <c r="BL178" s="3121">
        <v>2063</v>
      </c>
      <c r="BM178" s="3121">
        <v>2064</v>
      </c>
      <c r="BN178" s="3121">
        <v>2065</v>
      </c>
      <c r="BO178" s="3121">
        <v>2066</v>
      </c>
      <c r="BP178" s="3121">
        <v>2067</v>
      </c>
      <c r="BQ178" s="3121">
        <v>2068</v>
      </c>
      <c r="BR178" s="3121">
        <v>2069</v>
      </c>
      <c r="BS178" s="3121">
        <v>2070</v>
      </c>
    </row>
    <row r="179" spans="4:71" s="2329" customFormat="1">
      <c r="D179" s="4631" t="str">
        <f>D174</f>
        <v>Reference Case</v>
      </c>
      <c r="E179" s="4632"/>
      <c r="F179" s="4633"/>
      <c r="G179" s="873">
        <f>G174/G$177</f>
        <v>5.4214746355869776</v>
      </c>
      <c r="H179" s="873">
        <f t="shared" ref="H179:BS181" si="96">H174/H$177</f>
        <v>5.6080559255037059</v>
      </c>
      <c r="I179" s="873">
        <f t="shared" si="96"/>
        <v>7.172046985994899</v>
      </c>
      <c r="J179" s="873">
        <f t="shared" si="96"/>
        <v>3.8719998783090692</v>
      </c>
      <c r="K179" s="873">
        <f t="shared" si="96"/>
        <v>4.2488054634201395</v>
      </c>
      <c r="L179" s="873">
        <f t="shared" si="96"/>
        <v>4.1462161746245494</v>
      </c>
      <c r="M179" s="873">
        <f t="shared" si="96"/>
        <v>3.2575954889807095</v>
      </c>
      <c r="N179" s="873">
        <f t="shared" si="96"/>
        <v>4.3591390262283536</v>
      </c>
      <c r="O179" s="873">
        <f t="shared" si="96"/>
        <v>4.4966877514043526</v>
      </c>
      <c r="P179" s="873">
        <f t="shared" si="96"/>
        <v>4.5819683435863396</v>
      </c>
      <c r="Q179" s="873">
        <f t="shared" si="96"/>
        <v>4.9030615901790968</v>
      </c>
      <c r="R179" s="873">
        <f t="shared" si="96"/>
        <v>5.1949310347856859</v>
      </c>
      <c r="S179" s="873">
        <f t="shared" si="96"/>
        <v>5.0469028366097346</v>
      </c>
      <c r="T179" s="873">
        <f t="shared" si="96"/>
        <v>5.169168012187038</v>
      </c>
      <c r="U179" s="873">
        <f t="shared" si="96"/>
        <v>5.2777788563245904</v>
      </c>
      <c r="V179" s="873">
        <f t="shared" si="96"/>
        <v>5.3240260673245663</v>
      </c>
      <c r="W179" s="873">
        <f t="shared" si="96"/>
        <v>5.4273860554609232</v>
      </c>
      <c r="X179" s="873">
        <f t="shared" si="96"/>
        <v>5.6559713343690756</v>
      </c>
      <c r="Y179" s="873">
        <f t="shared" si="96"/>
        <v>5.7362278143448311</v>
      </c>
      <c r="Z179" s="873">
        <f t="shared" si="96"/>
        <v>5.8499718456576169</v>
      </c>
      <c r="AA179" s="873">
        <f t="shared" si="96"/>
        <v>5.907254475737485</v>
      </c>
      <c r="AB179" s="873">
        <f t="shared" si="96"/>
        <v>6.066187014853182</v>
      </c>
      <c r="AC179" s="873">
        <f t="shared" si="96"/>
        <v>6.2049108049053983</v>
      </c>
      <c r="AD179" s="873">
        <f t="shared" si="96"/>
        <v>6.2597027285878744</v>
      </c>
      <c r="AE179" s="873">
        <f t="shared" si="96"/>
        <v>6.3781965929079778</v>
      </c>
      <c r="AF179" s="873">
        <f t="shared" si="96"/>
        <v>6.4600241957332223</v>
      </c>
      <c r="AG179" s="873">
        <f t="shared" si="96"/>
        <v>6.5520679314312424</v>
      </c>
      <c r="AH179" s="873">
        <f t="shared" si="96"/>
        <v>6.6643419062275742</v>
      </c>
      <c r="AI179" s="873">
        <f t="shared" si="96"/>
        <v>6.7452638060033188</v>
      </c>
      <c r="AJ179" s="873">
        <f t="shared" si="96"/>
        <v>6.8198172683570855</v>
      </c>
      <c r="AK179" s="873">
        <f t="shared" si="96"/>
        <v>6.8827730948965886</v>
      </c>
      <c r="AL179" s="873">
        <f t="shared" si="96"/>
        <v>6.9682738854290083</v>
      </c>
      <c r="AM179" s="873">
        <f t="shared" si="96"/>
        <v>7.0614831522123742</v>
      </c>
      <c r="AN179" s="873">
        <f t="shared" si="96"/>
        <v>7.219277448099028</v>
      </c>
      <c r="AO179" s="873">
        <f t="shared" si="96"/>
        <v>7.239743203473842</v>
      </c>
      <c r="AP179" s="873">
        <f t="shared" si="96"/>
        <v>7.2823434234296984</v>
      </c>
      <c r="AQ179" s="873">
        <f t="shared" si="96"/>
        <v>7.3220742657928435</v>
      </c>
      <c r="AR179" s="873">
        <f t="shared" si="96"/>
        <v>7.359011670289255</v>
      </c>
      <c r="AS179" s="873">
        <f t="shared" si="96"/>
        <v>7.3932299523072951</v>
      </c>
      <c r="AT179" s="873">
        <f t="shared" si="96"/>
        <v>7.4248018344192852</v>
      </c>
      <c r="AU179" s="873">
        <f t="shared" si="96"/>
        <v>7.4674864543184638</v>
      </c>
      <c r="AV179" s="873">
        <f t="shared" si="96"/>
        <v>7.5072582364468721</v>
      </c>
      <c r="AW179" s="873">
        <f t="shared" si="96"/>
        <v>7.5441943948282004</v>
      </c>
      <c r="AX179" s="873">
        <f t="shared" si="96"/>
        <v>7.5783704908539313</v>
      </c>
      <c r="AY179" s="873">
        <f t="shared" si="96"/>
        <v>7.6098604653647284</v>
      </c>
      <c r="AZ179" s="873">
        <f t="shared" si="96"/>
        <v>7.7584648421307172</v>
      </c>
      <c r="BA179" s="873">
        <f t="shared" si="96"/>
        <v>7.9009642382771155</v>
      </c>
      <c r="BB179" s="873">
        <f t="shared" si="96"/>
        <v>8.037507398910364</v>
      </c>
      <c r="BC179" s="873">
        <f t="shared" si="96"/>
        <v>8.1682399947481095</v>
      </c>
      <c r="BD179" s="873">
        <f t="shared" si="96"/>
        <v>8.2933046806707491</v>
      </c>
      <c r="BE179" s="873">
        <f t="shared" si="96"/>
        <v>8.4414792571984272</v>
      </c>
      <c r="BF179" s="873">
        <f t="shared" si="96"/>
        <v>8.5834104095185619</v>
      </c>
      <c r="BG179" s="873">
        <f t="shared" si="96"/>
        <v>8.7192510966449355</v>
      </c>
      <c r="BH179" s="873">
        <f t="shared" si="96"/>
        <v>8.8491511084699521</v>
      </c>
      <c r="BI179" s="873">
        <f t="shared" si="96"/>
        <v>8.9732571262021104</v>
      </c>
      <c r="BJ179" s="873">
        <f t="shared" si="96"/>
        <v>9.1034340100081383</v>
      </c>
      <c r="BK179" s="873">
        <f t="shared" si="96"/>
        <v>9.2277524568809142</v>
      </c>
      <c r="BL179" s="873">
        <f t="shared" si="96"/>
        <v>9.3463579546440059</v>
      </c>
      <c r="BM179" s="873">
        <f t="shared" si="96"/>
        <v>9.4593929590843988</v>
      </c>
      <c r="BN179" s="873">
        <f t="shared" si="96"/>
        <v>9.5669969519647839</v>
      </c>
      <c r="BO179" s="873">
        <f t="shared" si="96"/>
        <v>9.7616584568716824</v>
      </c>
      <c r="BP179" s="873">
        <f t="shared" si="96"/>
        <v>9.9484116771787932</v>
      </c>
      <c r="BQ179" s="873">
        <f t="shared" si="96"/>
        <v>10.127448816280435</v>
      </c>
      <c r="BR179" s="873">
        <f t="shared" si="96"/>
        <v>10.298958109294551</v>
      </c>
      <c r="BS179" s="873">
        <f t="shared" si="96"/>
        <v>10.463123898591773</v>
      </c>
    </row>
    <row r="180" spans="4:71" s="2329" customFormat="1">
      <c r="D180" s="4631" t="str">
        <f>D175</f>
        <v>High Gas Price Case</v>
      </c>
      <c r="E180" s="4632"/>
      <c r="F180" s="4633"/>
      <c r="G180" s="873">
        <f t="shared" ref="G180:V181" si="97">G175/G$177</f>
        <v>7.3794127956984914</v>
      </c>
      <c r="H180" s="873">
        <f t="shared" si="97"/>
        <v>7.581599472367917</v>
      </c>
      <c r="I180" s="873">
        <f t="shared" si="97"/>
        <v>9.6331653624715283</v>
      </c>
      <c r="J180" s="873">
        <f t="shared" si="97"/>
        <v>5.389140900490716</v>
      </c>
      <c r="K180" s="873">
        <f t="shared" si="97"/>
        <v>6.0104290797192039</v>
      </c>
      <c r="L180" s="873">
        <f t="shared" si="97"/>
        <v>5.9407657504371745</v>
      </c>
      <c r="M180" s="873">
        <f t="shared" si="97"/>
        <v>4.7171221430133174</v>
      </c>
      <c r="N180" s="873">
        <f t="shared" si="97"/>
        <v>6.3694104788567456</v>
      </c>
      <c r="O180" s="873">
        <f t="shared" si="97"/>
        <v>6.622385650514544</v>
      </c>
      <c r="P180" s="873">
        <f t="shared" si="97"/>
        <v>6.7954132855160552</v>
      </c>
      <c r="Q180" s="873">
        <f t="shared" si="97"/>
        <v>7.3176312945939159</v>
      </c>
      <c r="R180" s="873">
        <f t="shared" si="97"/>
        <v>7.7978703348372687</v>
      </c>
      <c r="S180" s="873">
        <f t="shared" si="97"/>
        <v>7.6156978563047462</v>
      </c>
      <c r="T180" s="873">
        <f t="shared" si="97"/>
        <v>7.8382906734231623</v>
      </c>
      <c r="U180" s="873">
        <f t="shared" si="97"/>
        <v>8.0393365038721818</v>
      </c>
      <c r="V180" s="873">
        <f t="shared" si="97"/>
        <v>8.1442236245954529</v>
      </c>
      <c r="W180" s="873">
        <f t="shared" si="96"/>
        <v>8.3354488749744675</v>
      </c>
      <c r="X180" s="873">
        <f t="shared" si="96"/>
        <v>8.7191809503712658</v>
      </c>
      <c r="Y180" s="873">
        <f t="shared" si="96"/>
        <v>8.8743696140820205</v>
      </c>
      <c r="Z180" s="873">
        <f t="shared" si="96"/>
        <v>9.0809056179507781</v>
      </c>
      <c r="AA180" s="873">
        <f t="shared" si="96"/>
        <v>9.1993000443495241</v>
      </c>
      <c r="AB180" s="873">
        <f t="shared" si="96"/>
        <v>9.4757755849939258</v>
      </c>
      <c r="AC180" s="873">
        <f t="shared" si="96"/>
        <v>9.7208962695031573</v>
      </c>
      <c r="AD180" s="873">
        <f t="shared" si="96"/>
        <v>9.834294636568119</v>
      </c>
      <c r="AE180" s="873">
        <f t="shared" si="96"/>
        <v>10.047487730614465</v>
      </c>
      <c r="AF180" s="873">
        <f t="shared" si="96"/>
        <v>10.209676643404453</v>
      </c>
      <c r="AG180" s="873">
        <f t="shared" si="96"/>
        <v>10.388212016989822</v>
      </c>
      <c r="AH180" s="873">
        <f t="shared" si="96"/>
        <v>10.599942481774153</v>
      </c>
      <c r="AI180" s="873">
        <f t="shared" si="96"/>
        <v>10.762471026864773</v>
      </c>
      <c r="AJ180" s="873">
        <f t="shared" si="96"/>
        <v>10.915543427750556</v>
      </c>
      <c r="AK180" s="873">
        <f t="shared" si="96"/>
        <v>11.050076416765709</v>
      </c>
      <c r="AL180" s="873">
        <f t="shared" si="96"/>
        <v>11.221628980259242</v>
      </c>
      <c r="AM180" s="873">
        <f t="shared" si="96"/>
        <v>11.406467753818765</v>
      </c>
      <c r="AN180" s="873">
        <f t="shared" si="96"/>
        <v>11.696957403349371</v>
      </c>
      <c r="AO180" s="873">
        <f t="shared" si="96"/>
        <v>11.766247169497522</v>
      </c>
      <c r="AP180" s="873">
        <f t="shared" si="96"/>
        <v>11.872393691566714</v>
      </c>
      <c r="AQ180" s="873">
        <f t="shared" si="96"/>
        <v>11.974283691340865</v>
      </c>
      <c r="AR180" s="873">
        <f t="shared" si="96"/>
        <v>12.072067964775604</v>
      </c>
      <c r="AS180" s="873">
        <f t="shared" si="96"/>
        <v>12.16576994676444</v>
      </c>
      <c r="AT180" s="873">
        <f t="shared" si="96"/>
        <v>12.255490139579997</v>
      </c>
      <c r="AU180" s="873">
        <f t="shared" si="96"/>
        <v>12.363960672169767</v>
      </c>
      <c r="AV180" s="873">
        <f t="shared" si="96"/>
        <v>12.468169807688598</v>
      </c>
      <c r="AW180" s="873">
        <f t="shared" si="96"/>
        <v>12.568195511386682</v>
      </c>
      <c r="AX180" s="873">
        <f t="shared" si="96"/>
        <v>12.664144259926482</v>
      </c>
      <c r="AY180" s="873">
        <f t="shared" si="96"/>
        <v>12.75611720247637</v>
      </c>
      <c r="AZ180" s="873">
        <f t="shared" si="96"/>
        <v>13.045484099149556</v>
      </c>
      <c r="BA180" s="873">
        <f t="shared" si="96"/>
        <v>13.326201037686355</v>
      </c>
      <c r="BB180" s="873">
        <f t="shared" si="96"/>
        <v>13.598435427384759</v>
      </c>
      <c r="BC180" s="873">
        <f t="shared" si="96"/>
        <v>13.862345717591408</v>
      </c>
      <c r="BD180" s="873">
        <f t="shared" si="96"/>
        <v>14.118097978617023</v>
      </c>
      <c r="BE180" s="873">
        <f t="shared" si="96"/>
        <v>14.414758653409518</v>
      </c>
      <c r="BF180" s="873">
        <f t="shared" si="96"/>
        <v>14.702433357084324</v>
      </c>
      <c r="BG180" s="873">
        <f t="shared" si="96"/>
        <v>14.981292030846948</v>
      </c>
      <c r="BH180" s="873">
        <f t="shared" si="96"/>
        <v>15.251503512130297</v>
      </c>
      <c r="BI180" s="873">
        <f t="shared" si="96"/>
        <v>15.513230774642654</v>
      </c>
      <c r="BJ180" s="873">
        <f t="shared" si="96"/>
        <v>15.786957255163108</v>
      </c>
      <c r="BK180" s="873">
        <f t="shared" si="96"/>
        <v>16.052032187005864</v>
      </c>
      <c r="BL180" s="873">
        <f t="shared" si="96"/>
        <v>16.30862314729459</v>
      </c>
      <c r="BM180" s="873">
        <f t="shared" si="96"/>
        <v>16.556895024067838</v>
      </c>
      <c r="BN180" s="873">
        <f t="shared" si="96"/>
        <v>16.797010796395263</v>
      </c>
      <c r="BO180" s="873">
        <f t="shared" si="96"/>
        <v>17.191776141688358</v>
      </c>
      <c r="BP180" s="873">
        <f t="shared" si="96"/>
        <v>17.574853497072699</v>
      </c>
      <c r="BQ180" s="873">
        <f t="shared" si="96"/>
        <v>17.946463469903239</v>
      </c>
      <c r="BR180" s="873">
        <f t="shared" si="96"/>
        <v>18.306823135743382</v>
      </c>
      <c r="BS180" s="873">
        <f t="shared" si="96"/>
        <v>18.656145824638624</v>
      </c>
    </row>
    <row r="181" spans="4:71" s="2329" customFormat="1">
      <c r="D181" s="4631" t="str">
        <f>D176</f>
        <v>Low Gas Price Case</v>
      </c>
      <c r="E181" s="4632"/>
      <c r="F181" s="4633"/>
      <c r="G181" s="873">
        <f t="shared" si="97"/>
        <v>4.4524108076059852</v>
      </c>
      <c r="H181" s="873">
        <f t="shared" si="96"/>
        <v>4.5506223148839773</v>
      </c>
      <c r="I181" s="873">
        <f t="shared" si="96"/>
        <v>5.7529677874372922</v>
      </c>
      <c r="J181" s="873">
        <f t="shared" si="96"/>
        <v>2.7979033739281056</v>
      </c>
      <c r="K181" s="873">
        <f t="shared" si="96"/>
        <v>2.890633397576952</v>
      </c>
      <c r="L181" s="873">
        <f t="shared" si="96"/>
        <v>2.6984318180110329</v>
      </c>
      <c r="M181" s="873">
        <f t="shared" si="96"/>
        <v>2.0475070760419416</v>
      </c>
      <c r="N181" s="873">
        <f t="shared" si="96"/>
        <v>2.6627754486439326</v>
      </c>
      <c r="O181" s="873">
        <f t="shared" si="96"/>
        <v>2.6814437962034279</v>
      </c>
      <c r="P181" s="873">
        <f t="shared" si="96"/>
        <v>2.6761352984761655</v>
      </c>
      <c r="Q181" s="873">
        <f t="shared" si="96"/>
        <v>2.811968292124877</v>
      </c>
      <c r="R181" s="873">
        <f t="shared" si="96"/>
        <v>2.9314796126084093</v>
      </c>
      <c r="S181" s="873">
        <f t="shared" si="96"/>
        <v>2.8067693757623653</v>
      </c>
      <c r="T181" s="873">
        <f t="shared" si="96"/>
        <v>2.837030236328093</v>
      </c>
      <c r="U181" s="873">
        <f t="shared" si="96"/>
        <v>2.8618592737014605</v>
      </c>
      <c r="V181" s="873">
        <f t="shared" si="96"/>
        <v>2.8550219381243505</v>
      </c>
      <c r="W181" s="873">
        <f t="shared" si="96"/>
        <v>2.8806596469959871</v>
      </c>
      <c r="X181" s="873">
        <f t="shared" si="96"/>
        <v>2.9733964272130446</v>
      </c>
      <c r="Y181" s="873">
        <f t="shared" si="96"/>
        <v>2.9887533190886582</v>
      </c>
      <c r="Z181" s="873">
        <f t="shared" si="96"/>
        <v>3.0225752554984111</v>
      </c>
      <c r="AA181" s="873">
        <f t="shared" si="96"/>
        <v>3.0281922269339216</v>
      </c>
      <c r="AB181" s="873">
        <f t="shared" si="96"/>
        <v>3.0865976648810243</v>
      </c>
      <c r="AC181" s="873">
        <f t="shared" si="96"/>
        <v>3.1350101550685641</v>
      </c>
      <c r="AD181" s="873">
        <f t="shared" si="96"/>
        <v>3.1416109296682846</v>
      </c>
      <c r="AE181" s="873">
        <f t="shared" si="96"/>
        <v>3.1807797867550516</v>
      </c>
      <c r="AF181" s="873">
        <f t="shared" si="96"/>
        <v>3.1954258685201458</v>
      </c>
      <c r="AG181" s="873">
        <f t="shared" si="96"/>
        <v>3.2154509557547599</v>
      </c>
      <c r="AH181" s="873">
        <f t="shared" si="96"/>
        <v>3.2449657221664201</v>
      </c>
      <c r="AI181" s="873">
        <f t="shared" si="96"/>
        <v>3.2591049038406714</v>
      </c>
      <c r="AJ181" s="873">
        <f t="shared" si="96"/>
        <v>3.2699945641416295</v>
      </c>
      <c r="AK181" s="873">
        <f t="shared" si="96"/>
        <v>3.2756273485099374</v>
      </c>
      <c r="AL181" s="873">
        <f t="shared" si="96"/>
        <v>3.2916719006944244</v>
      </c>
      <c r="AM181" s="873">
        <f t="shared" si="96"/>
        <v>3.3109873079585834</v>
      </c>
      <c r="AN181" s="873">
        <f t="shared" si="96"/>
        <v>3.3598761420314682</v>
      </c>
      <c r="AO181" s="873">
        <f t="shared" si="96"/>
        <v>3.3441406394741868</v>
      </c>
      <c r="AP181" s="873">
        <f t="shared" si="96"/>
        <v>3.3382013950013127</v>
      </c>
      <c r="AQ181" s="873">
        <f t="shared" si="96"/>
        <v>3.3309749336150603</v>
      </c>
      <c r="AR181" s="873">
        <f t="shared" si="96"/>
        <v>3.3224616542894427</v>
      </c>
      <c r="AS181" s="873">
        <f t="shared" si="96"/>
        <v>3.3127539943336579</v>
      </c>
      <c r="AT181" s="873">
        <f t="shared" si="96"/>
        <v>3.3018879861226522</v>
      </c>
      <c r="AU181" s="873">
        <f t="shared" si="96"/>
        <v>3.2959630350425737</v>
      </c>
      <c r="AV181" s="873">
        <f t="shared" si="96"/>
        <v>3.2886448327251658</v>
      </c>
      <c r="AW181" s="873">
        <f t="shared" si="96"/>
        <v>3.280001107398494</v>
      </c>
      <c r="AX181" s="873">
        <f t="shared" si="96"/>
        <v>3.2700795979987234</v>
      </c>
      <c r="AY181" s="873">
        <f t="shared" si="96"/>
        <v>3.2589312667574233</v>
      </c>
      <c r="AZ181" s="873">
        <f t="shared" si="96"/>
        <v>3.2975257180981092</v>
      </c>
      <c r="BA181" s="873">
        <f t="shared" si="96"/>
        <v>3.3327993608223143</v>
      </c>
      <c r="BB181" s="873">
        <f t="shared" si="96"/>
        <v>3.3648759271535988</v>
      </c>
      <c r="BC181" s="873">
        <f t="shared" si="96"/>
        <v>3.393880185207705</v>
      </c>
      <c r="BD181" s="873">
        <f t="shared" si="96"/>
        <v>3.4199270210740496</v>
      </c>
      <c r="BE181" s="873">
        <f t="shared" si="96"/>
        <v>3.4548489390166766</v>
      </c>
      <c r="BF181" s="873">
        <f t="shared" si="96"/>
        <v>3.486508904820846</v>
      </c>
      <c r="BG181" s="873">
        <f t="shared" si="96"/>
        <v>3.5150359339332691</v>
      </c>
      <c r="BH181" s="873">
        <f t="shared" si="96"/>
        <v>3.5405541818630617</v>
      </c>
      <c r="BI181" s="873">
        <f t="shared" si="96"/>
        <v>3.5631858387246558</v>
      </c>
      <c r="BJ181" s="873">
        <f t="shared" si="96"/>
        <v>3.587670512251163</v>
      </c>
      <c r="BK181" s="873">
        <f t="shared" si="96"/>
        <v>3.6092973113766145</v>
      </c>
      <c r="BL181" s="873">
        <f t="shared" si="96"/>
        <v>3.6281801690321274</v>
      </c>
      <c r="BM181" s="873">
        <f t="shared" si="96"/>
        <v>3.6444295803845086</v>
      </c>
      <c r="BN181" s="873">
        <f t="shared" si="96"/>
        <v>3.6581521941938835</v>
      </c>
      <c r="BO181" s="873">
        <f t="shared" si="96"/>
        <v>3.7044987821484083</v>
      </c>
      <c r="BP181" s="873">
        <f t="shared" si="96"/>
        <v>3.7469608012316731</v>
      </c>
      <c r="BQ181" s="873">
        <f t="shared" si="96"/>
        <v>3.7856888922362737</v>
      </c>
      <c r="BR181" s="873">
        <f t="shared" si="96"/>
        <v>3.8208288662356811</v>
      </c>
      <c r="BS181" s="873">
        <f t="shared" si="96"/>
        <v>3.8525219636857542</v>
      </c>
    </row>
    <row r="182" spans="4:71" s="2329" customFormat="1">
      <c r="AJ182" s="3"/>
      <c r="AK182" s="1362"/>
    </row>
    <row r="183" spans="4:71" s="2329" customFormat="1">
      <c r="AJ183" s="3"/>
      <c r="AK183" s="1362"/>
    </row>
    <row r="184" spans="4:71" s="2329" customFormat="1">
      <c r="AJ184" s="3"/>
      <c r="AK184" s="1362"/>
    </row>
    <row r="185" spans="4:71" s="2329" customFormat="1">
      <c r="AJ185" s="3"/>
      <c r="AK185" s="1362"/>
    </row>
    <row r="186" spans="4:71" s="2329" customFormat="1">
      <c r="AJ186" s="3"/>
      <c r="AK186" s="1362"/>
    </row>
    <row r="187" spans="4:71" s="2329" customFormat="1">
      <c r="AJ187" s="3"/>
      <c r="AK187" s="1362"/>
    </row>
    <row r="188" spans="4:71" s="2329" customFormat="1">
      <c r="AJ188" s="3"/>
      <c r="AK188" s="1362"/>
    </row>
    <row r="189" spans="4:71" s="2329" customFormat="1">
      <c r="AJ189" s="3"/>
      <c r="AK189" s="1362"/>
    </row>
    <row r="190" spans="4:71" s="2329" customFormat="1">
      <c r="AJ190" s="3"/>
      <c r="AK190" s="1362"/>
    </row>
    <row r="191" spans="4:71" s="2329" customFormat="1">
      <c r="AJ191" s="3"/>
      <c r="AK191" s="1362"/>
    </row>
    <row r="192" spans="4:71" s="2329" customFormat="1">
      <c r="AJ192" s="3"/>
      <c r="AK192" s="1362"/>
    </row>
    <row r="193" spans="36:37" s="2329" customFormat="1">
      <c r="AJ193" s="3"/>
      <c r="AK193" s="1362"/>
    </row>
    <row r="194" spans="36:37" s="2329" customFormat="1">
      <c r="AJ194" s="3"/>
      <c r="AK194" s="1362"/>
    </row>
    <row r="195" spans="36:37" s="2329" customFormat="1">
      <c r="AJ195" s="3"/>
      <c r="AK195" s="1362"/>
    </row>
    <row r="196" spans="36:37" s="2329" customFormat="1">
      <c r="AJ196" s="3"/>
      <c r="AK196" s="1362"/>
    </row>
    <row r="197" spans="36:37" s="2329" customFormat="1">
      <c r="AJ197" s="3"/>
      <c r="AK197" s="1362"/>
    </row>
    <row r="198" spans="36:37" s="2329" customFormat="1">
      <c r="AJ198" s="3"/>
      <c r="AK198" s="1362"/>
    </row>
    <row r="199" spans="36:37" s="2329" customFormat="1">
      <c r="AJ199" s="3"/>
      <c r="AK199" s="1362"/>
    </row>
    <row r="200" spans="36:37" s="2329" customFormat="1">
      <c r="AJ200" s="3"/>
      <c r="AK200" s="1362"/>
    </row>
    <row r="201" spans="36:37" s="2329" customFormat="1">
      <c r="AJ201" s="3"/>
      <c r="AK201" s="1362"/>
    </row>
    <row r="202" spans="36:37" s="2329" customFormat="1">
      <c r="AJ202" s="3"/>
      <c r="AK202" s="1362"/>
    </row>
    <row r="203" spans="36:37" s="2329" customFormat="1">
      <c r="AJ203" s="3"/>
      <c r="AK203" s="1362"/>
    </row>
    <row r="204" spans="36:37" s="2329" customFormat="1">
      <c r="AJ204" s="3"/>
      <c r="AK204" s="1362"/>
    </row>
    <row r="205" spans="36:37" s="2329" customFormat="1">
      <c r="AJ205" s="3"/>
      <c r="AK205" s="1362"/>
    </row>
    <row r="206" spans="36:37" s="2329" customFormat="1">
      <c r="AJ206" s="3"/>
      <c r="AK206" s="1362"/>
    </row>
    <row r="207" spans="36:37" s="2329" customFormat="1">
      <c r="AJ207" s="3"/>
      <c r="AK207" s="1362"/>
    </row>
    <row r="208" spans="36:37" s="2329" customFormat="1">
      <c r="AJ208" s="3"/>
      <c r="AK208" s="1362"/>
    </row>
    <row r="209" spans="36:37" s="2329" customFormat="1">
      <c r="AJ209" s="3"/>
      <c r="AK209" s="1362"/>
    </row>
    <row r="210" spans="36:37" s="2329" customFormat="1">
      <c r="AJ210" s="3"/>
      <c r="AK210" s="1362"/>
    </row>
    <row r="211" spans="36:37" s="2329" customFormat="1">
      <c r="AJ211" s="3"/>
      <c r="AK211" s="1362"/>
    </row>
    <row r="212" spans="36:37" s="2329" customFormat="1">
      <c r="AJ212" s="3"/>
      <c r="AK212" s="1362"/>
    </row>
    <row r="213" spans="36:37" s="2329" customFormat="1">
      <c r="AJ213" s="3"/>
      <c r="AK213" s="1362"/>
    </row>
    <row r="217" spans="36:37" s="2329" customFormat="1">
      <c r="AJ217" s="3"/>
      <c r="AK217" s="1362"/>
    </row>
    <row r="218" spans="36:37" s="2329" customFormat="1">
      <c r="AJ218" s="3"/>
      <c r="AK218" s="1362"/>
    </row>
    <row r="219" spans="36:37" s="2329" customFormat="1">
      <c r="AJ219" s="3"/>
      <c r="AK219" s="1362"/>
    </row>
    <row r="220" spans="36:37" s="2329" customFormat="1">
      <c r="AJ220" s="3"/>
      <c r="AK220" s="1362"/>
    </row>
    <row r="221" spans="36:37" s="2329" customFormat="1">
      <c r="AJ221" s="3"/>
      <c r="AK221" s="1362"/>
    </row>
    <row r="222" spans="36:37" s="2329" customFormat="1">
      <c r="AJ222" s="3"/>
      <c r="AK222" s="1362"/>
    </row>
    <row r="223" spans="36:37" s="2329" customFormat="1">
      <c r="AJ223" s="3"/>
      <c r="AK223" s="1362"/>
    </row>
    <row r="224" spans="36:37" s="2329" customFormat="1">
      <c r="AJ224" s="3"/>
      <c r="AK224" s="1362"/>
    </row>
    <row r="225" spans="1:37" s="2329" customFormat="1">
      <c r="AJ225" s="3"/>
      <c r="AK225" s="1362"/>
    </row>
    <row r="226" spans="1:37" s="2329" customFormat="1">
      <c r="AJ226" s="3"/>
      <c r="AK226" s="1362"/>
    </row>
    <row r="227" spans="1:37" s="2329" customFormat="1">
      <c r="AJ227" s="3"/>
      <c r="AK227" s="1362"/>
    </row>
    <row r="228" spans="1:37" s="2329" customFormat="1">
      <c r="AJ228" s="3"/>
      <c r="AK228" s="1362"/>
    </row>
    <row r="229" spans="1:37" s="2329" customFormat="1">
      <c r="AJ229" s="3"/>
      <c r="AK229" s="1362"/>
    </row>
    <row r="230" spans="1:37" s="2329" customFormat="1">
      <c r="AJ230" s="3"/>
      <c r="AK230" s="1362"/>
    </row>
    <row r="231" spans="1:37" s="2329" customFormat="1">
      <c r="AJ231" s="3"/>
      <c r="AK231" s="1362"/>
    </row>
    <row r="232" spans="1:37" s="2329" customFormat="1">
      <c r="AJ232" s="3"/>
      <c r="AK232" s="1362"/>
    </row>
    <row r="234" spans="1:37" ht="26.25">
      <c r="A234" s="3089" t="s">
        <v>1810</v>
      </c>
    </row>
    <row r="236" spans="1:37">
      <c r="G236" s="4630" t="s">
        <v>1813</v>
      </c>
      <c r="H236" s="4630"/>
      <c r="I236" s="4630"/>
      <c r="M236" s="2330" t="s">
        <v>1814</v>
      </c>
    </row>
    <row r="237" spans="1:37">
      <c r="G237" s="4630" t="s">
        <v>1812</v>
      </c>
      <c r="H237" s="4630"/>
      <c r="I237" s="4630"/>
      <c r="J237" s="2330" t="s">
        <v>249</v>
      </c>
      <c r="K237" s="2330" t="s">
        <v>248</v>
      </c>
    </row>
    <row r="238" spans="1:37">
      <c r="G238" s="3113" t="s">
        <v>1742</v>
      </c>
      <c r="H238" s="3113" t="s">
        <v>249</v>
      </c>
      <c r="I238" s="3113" t="s">
        <v>248</v>
      </c>
      <c r="J238" s="2330" t="s">
        <v>1811</v>
      </c>
      <c r="K238" s="2329" t="s">
        <v>1811</v>
      </c>
      <c r="M238" s="3113" t="s">
        <v>1152</v>
      </c>
      <c r="N238" s="3113" t="s">
        <v>249</v>
      </c>
      <c r="O238" s="3113" t="s">
        <v>248</v>
      </c>
    </row>
    <row r="239" spans="1:37">
      <c r="F239" s="2329">
        <v>2006</v>
      </c>
      <c r="G239" s="6">
        <v>6.5819835643550322</v>
      </c>
      <c r="H239" s="6">
        <v>8.959033657937594</v>
      </c>
      <c r="I239" s="6">
        <v>5.4054840660978964</v>
      </c>
      <c r="J239" s="3112">
        <f>H239/G239</f>
        <v>1.3611449451887971</v>
      </c>
      <c r="K239" s="3112">
        <f>I239/G239</f>
        <v>0.82125456760048587</v>
      </c>
      <c r="M239" s="1033">
        <v>4.899505871665788</v>
      </c>
      <c r="N239" s="1033">
        <f>J239*M239</f>
        <v>6.6689376511407188</v>
      </c>
      <c r="O239" s="1033">
        <f>K239*M239</f>
        <v>4.0237415760909281</v>
      </c>
      <c r="P239" s="6"/>
    </row>
    <row r="240" spans="1:37">
      <c r="F240" s="2329">
        <v>2007</v>
      </c>
      <c r="G240" s="6">
        <v>5.9167877707573355</v>
      </c>
      <c r="H240" s="6">
        <v>7.9989778341694455</v>
      </c>
      <c r="I240" s="6">
        <v>4.8011408623073946</v>
      </c>
      <c r="J240" s="3112">
        <f t="shared" ref="J240:J303" si="98">H240/G240</f>
        <v>1.3519122442929188</v>
      </c>
      <c r="K240" s="3112">
        <f t="shared" ref="K240:K303" si="99">I240/G240</f>
        <v>0.81144381855914693</v>
      </c>
      <c r="M240" s="1033">
        <v>5.2332073206922969</v>
      </c>
      <c r="N240" s="1033">
        <f t="shared" ref="N240:N303" si="100">J240*M240</f>
        <v>7.0748370537672551</v>
      </c>
      <c r="O240" s="1033">
        <f t="shared" ref="O240:O303" si="101">K240*M240</f>
        <v>4.2464537316142392</v>
      </c>
      <c r="P240" s="6"/>
    </row>
    <row r="241" spans="6:16">
      <c r="F241" s="2329">
        <v>2008</v>
      </c>
      <c r="G241" s="6">
        <v>6.509288188161082</v>
      </c>
      <c r="H241" s="6">
        <v>8.7429780690205572</v>
      </c>
      <c r="I241" s="6">
        <v>5.2213441070258204</v>
      </c>
      <c r="J241" s="3112">
        <f t="shared" si="98"/>
        <v>1.3431542461005261</v>
      </c>
      <c r="K241" s="3112">
        <f t="shared" si="99"/>
        <v>0.80213749277874347</v>
      </c>
      <c r="M241" s="1033">
        <v>6.8896443359756132</v>
      </c>
      <c r="N241" s="1033">
        <f t="shared" si="100"/>
        <v>9.253855043988084</v>
      </c>
      <c r="O241" s="1033">
        <f t="shared" si="101"/>
        <v>5.5264420337967497</v>
      </c>
      <c r="P241" s="6"/>
    </row>
    <row r="242" spans="6:16">
      <c r="F242" s="2329">
        <v>2009</v>
      </c>
      <c r="G242" s="6">
        <v>6.5628263254570625</v>
      </c>
      <c r="H242" s="6">
        <v>9.1342967161412503</v>
      </c>
      <c r="I242" s="6">
        <v>4.7422919668374046</v>
      </c>
      <c r="J242" s="3112">
        <f t="shared" si="98"/>
        <v>1.3918236234150383</v>
      </c>
      <c r="K242" s="3112">
        <f t="shared" si="99"/>
        <v>0.72259903457176</v>
      </c>
      <c r="M242" s="1033">
        <v>3.8008165346172214</v>
      </c>
      <c r="N242" s="1033">
        <f t="shared" si="100"/>
        <v>5.2900662411467305</v>
      </c>
      <c r="O242" s="1033">
        <f t="shared" si="101"/>
        <v>2.7464663584987865</v>
      </c>
      <c r="P242" s="6"/>
    </row>
    <row r="243" spans="6:16">
      <c r="F243" s="2329">
        <v>2010</v>
      </c>
      <c r="G243" s="6">
        <v>6.9674867810953725</v>
      </c>
      <c r="H243" s="6">
        <v>9.8563197402652527</v>
      </c>
      <c r="I243" s="6">
        <v>4.7402617418020974</v>
      </c>
      <c r="J243" s="3112">
        <f t="shared" si="98"/>
        <v>1.4146162095359902</v>
      </c>
      <c r="K243" s="3112">
        <f t="shared" si="99"/>
        <v>0.68034025621170557</v>
      </c>
      <c r="M243" s="1033">
        <v>4.2089239785629875</v>
      </c>
      <c r="N243" s="1033">
        <f t="shared" si="100"/>
        <v>5.9540120847799125</v>
      </c>
      <c r="O243" s="1033">
        <f t="shared" si="101"/>
        <v>2.8635004179511343</v>
      </c>
      <c r="P243" s="6"/>
    </row>
    <row r="244" spans="6:16">
      <c r="F244" s="2329">
        <v>2011</v>
      </c>
      <c r="G244" s="6">
        <v>7.2920993512270895</v>
      </c>
      <c r="H244" s="6">
        <v>10.44823816463883</v>
      </c>
      <c r="I244" s="6">
        <v>4.7458289873731951</v>
      </c>
      <c r="J244" s="3112">
        <f t="shared" si="98"/>
        <v>1.4328162112712626</v>
      </c>
      <c r="K244" s="3112">
        <f t="shared" si="99"/>
        <v>0.65081792756630275</v>
      </c>
      <c r="M244" s="1033">
        <v>4.2825572654968278</v>
      </c>
      <c r="N244" s="1033">
        <f t="shared" si="100"/>
        <v>6.1361174757013837</v>
      </c>
      <c r="O244" s="1033">
        <f t="shared" si="101"/>
        <v>2.787165044214658</v>
      </c>
      <c r="P244" s="6"/>
    </row>
    <row r="245" spans="6:16">
      <c r="F245" s="2329">
        <v>2012</v>
      </c>
      <c r="G245" s="6">
        <v>7.867975952244505</v>
      </c>
      <c r="H245" s="6">
        <v>11.393128370472343</v>
      </c>
      <c r="I245" s="6">
        <v>4.9452844869296948</v>
      </c>
      <c r="J245" s="3112">
        <f t="shared" si="98"/>
        <v>1.4480380265044168</v>
      </c>
      <c r="K245" s="3112">
        <f t="shared" si="99"/>
        <v>0.62853324882353623</v>
      </c>
      <c r="M245" s="1033">
        <v>6.2617587868916109</v>
      </c>
      <c r="N245" s="1033">
        <f t="shared" si="100"/>
        <v>9.0672648362172197</v>
      </c>
      <c r="O245" s="1033">
        <f t="shared" si="101"/>
        <v>3.9357235936743091</v>
      </c>
      <c r="P245" s="6"/>
    </row>
    <row r="246" spans="6:16">
      <c r="F246" s="2329">
        <v>2013</v>
      </c>
      <c r="G246" s="6">
        <v>8.2808778031092007</v>
      </c>
      <c r="H246" s="6">
        <v>12.099708115731236</v>
      </c>
      <c r="I246" s="6">
        <v>5.0583654191038843</v>
      </c>
      <c r="J246" s="3112">
        <f t="shared" si="98"/>
        <v>1.4611625003315698</v>
      </c>
      <c r="K246" s="3112">
        <f t="shared" si="99"/>
        <v>0.61084893888962255</v>
      </c>
      <c r="M246" s="1033">
        <v>7.1401832866543238</v>
      </c>
      <c r="N246" s="1033">
        <f t="shared" si="100"/>
        <v>10.432968063953517</v>
      </c>
      <c r="O246" s="1033">
        <f t="shared" si="101"/>
        <v>4.3615733841302111</v>
      </c>
      <c r="P246" s="6"/>
    </row>
    <row r="247" spans="6:16">
      <c r="F247" s="2329">
        <v>2014</v>
      </c>
      <c r="G247" s="6">
        <v>8.7442169881592999</v>
      </c>
      <c r="H247" s="6">
        <v>12.877829262057753</v>
      </c>
      <c r="I247" s="6">
        <v>5.2143105529694935</v>
      </c>
      <c r="J247" s="3112">
        <f t="shared" si="98"/>
        <v>1.4727252628217999</v>
      </c>
      <c r="K247" s="3112">
        <f t="shared" si="99"/>
        <v>0.59631532017449751</v>
      </c>
      <c r="M247" s="1033">
        <v>6.1406711182074929</v>
      </c>
      <c r="N247" s="1033">
        <f t="shared" si="100"/>
        <v>9.0435214864643658</v>
      </c>
      <c r="O247" s="1033">
        <f t="shared" si="101"/>
        <v>3.6617762639401907</v>
      </c>
      <c r="P247" s="6"/>
    </row>
    <row r="248" spans="6:16">
      <c r="F248" s="2329">
        <v>2015</v>
      </c>
      <c r="G248" s="6">
        <v>9.0057380693618523</v>
      </c>
      <c r="H248" s="6">
        <v>13.356205790483342</v>
      </c>
      <c r="I248" s="6">
        <v>5.2598734275379462</v>
      </c>
      <c r="J248" s="3112">
        <f t="shared" si="98"/>
        <v>1.483077310001063</v>
      </c>
      <c r="K248" s="3112">
        <f t="shared" si="99"/>
        <v>0.58405800690921728</v>
      </c>
      <c r="M248" s="1033">
        <v>6.255837722812057</v>
      </c>
      <c r="N248" s="1033">
        <f t="shared" si="100"/>
        <v>9.2778909817512805</v>
      </c>
      <c r="O248" s="1033">
        <f t="shared" si="101"/>
        <v>3.6537721119331064</v>
      </c>
      <c r="P248" s="6"/>
    </row>
    <row r="249" spans="6:16">
      <c r="F249" s="2329">
        <v>2016</v>
      </c>
      <c r="G249" s="6">
        <v>9.6784518891256575</v>
      </c>
      <c r="H249" s="6">
        <v>14.444718085725803</v>
      </c>
      <c r="I249" s="6">
        <v>5.5507154720614773</v>
      </c>
      <c r="J249" s="3112">
        <f t="shared" si="98"/>
        <v>1.4924616303517861</v>
      </c>
      <c r="K249" s="3112">
        <f t="shared" si="99"/>
        <v>0.57351274105087524</v>
      </c>
      <c r="M249" s="1033">
        <v>6.7584084445526083</v>
      </c>
      <c r="N249" s="1033">
        <f t="shared" si="100"/>
        <v>10.086665285740265</v>
      </c>
      <c r="O249" s="1033">
        <f t="shared" si="101"/>
        <v>3.8760333521767487</v>
      </c>
      <c r="P249" s="6"/>
    </row>
    <row r="250" spans="6:16">
      <c r="F250" s="2329">
        <v>2017</v>
      </c>
      <c r="G250" s="6">
        <v>10.203569245504672</v>
      </c>
      <c r="H250" s="6">
        <v>15.316105140991777</v>
      </c>
      <c r="I250" s="6">
        <v>5.7578349007416803</v>
      </c>
      <c r="J250" s="3112">
        <f t="shared" si="98"/>
        <v>1.5010536776373136</v>
      </c>
      <c r="K250" s="3112">
        <f t="shared" si="99"/>
        <v>0.56429615580630044</v>
      </c>
      <c r="M250" s="1033">
        <v>6.8502034687556739</v>
      </c>
      <c r="N250" s="1033">
        <f t="shared" si="100"/>
        <v>10.282523109339586</v>
      </c>
      <c r="O250" s="1033">
        <f t="shared" si="101"/>
        <v>3.8655434839098115</v>
      </c>
      <c r="P250" s="6"/>
    </row>
    <row r="251" spans="6:16">
      <c r="F251" s="2329">
        <v>2018</v>
      </c>
      <c r="G251" s="6">
        <v>10.91317647936255</v>
      </c>
      <c r="H251" s="6">
        <v>16.467813510589995</v>
      </c>
      <c r="I251" s="6">
        <v>6.0692211691440496</v>
      </c>
      <c r="J251" s="3112">
        <f t="shared" si="98"/>
        <v>1.5089844411232225</v>
      </c>
      <c r="K251" s="3112">
        <f t="shared" si="99"/>
        <v>0.55613699463408284</v>
      </c>
      <c r="M251" s="1033">
        <v>7.2954558325530776</v>
      </c>
      <c r="N251" s="1033">
        <f t="shared" si="100"/>
        <v>11.00872934222426</v>
      </c>
      <c r="O251" s="1033">
        <f t="shared" si="101"/>
        <v>4.0572728812017589</v>
      </c>
      <c r="P251" s="6"/>
    </row>
    <row r="252" spans="6:16">
      <c r="F252" s="2329">
        <v>2019</v>
      </c>
      <c r="G252" s="6">
        <v>11.776113955768507</v>
      </c>
      <c r="H252" s="6">
        <v>17.856762243178707</v>
      </c>
      <c r="I252" s="6">
        <v>6.4631660801493842</v>
      </c>
      <c r="J252" s="3112">
        <f t="shared" si="98"/>
        <v>1.5163544026704672</v>
      </c>
      <c r="K252" s="3112">
        <f t="shared" si="99"/>
        <v>0.54883691720590178</v>
      </c>
      <c r="M252" s="1033">
        <v>7.0418660189099835</v>
      </c>
      <c r="N252" s="1033">
        <f t="shared" si="100"/>
        <v>10.677964540789709</v>
      </c>
      <c r="O252" s="1033">
        <f t="shared" si="101"/>
        <v>3.8648360371955519</v>
      </c>
      <c r="P252" s="6"/>
    </row>
    <row r="253" spans="6:16">
      <c r="F253" s="2329">
        <v>2020</v>
      </c>
      <c r="G253" s="6">
        <v>12.228950082271194</v>
      </c>
      <c r="H253" s="6">
        <v>18.627655208141441</v>
      </c>
      <c r="I253" s="6">
        <v>6.6311103881590263</v>
      </c>
      <c r="J253" s="3112">
        <f t="shared" si="98"/>
        <v>1.5232423947127489</v>
      </c>
      <c r="K253" s="3112">
        <f t="shared" si="99"/>
        <v>0.54224690946873821</v>
      </c>
      <c r="M253" s="1033">
        <v>7.5159450194093065</v>
      </c>
      <c r="N253" s="1033">
        <f t="shared" si="100"/>
        <v>11.44860608989439</v>
      </c>
      <c r="O253" s="1033">
        <f t="shared" si="101"/>
        <v>4.0754979585116518</v>
      </c>
      <c r="P253" s="6"/>
    </row>
    <row r="254" spans="6:16">
      <c r="F254" s="2329">
        <v>2021</v>
      </c>
      <c r="G254" s="6">
        <v>12.660921551746082</v>
      </c>
      <c r="H254" s="6">
        <v>19.367556639837563</v>
      </c>
      <c r="I254" s="6">
        <v>6.7894500008094774</v>
      </c>
      <c r="J254" s="3112">
        <f t="shared" si="98"/>
        <v>1.5297114479922325</v>
      </c>
      <c r="K254" s="3112">
        <f t="shared" si="99"/>
        <v>0.53625243415817048</v>
      </c>
      <c r="M254" s="1033">
        <v>7.613430021835919</v>
      </c>
      <c r="N254" s="1033">
        <f t="shared" si="100"/>
        <v>11.646351062890158</v>
      </c>
      <c r="O254" s="1033">
        <f t="shared" si="101"/>
        <v>4.0827203815024049</v>
      </c>
      <c r="P254" s="6"/>
    </row>
    <row r="255" spans="6:16">
      <c r="F255" s="2329">
        <v>2022</v>
      </c>
      <c r="G255" s="6">
        <v>13.643159589777056</v>
      </c>
      <c r="H255" s="6">
        <v>20.953338880192561</v>
      </c>
      <c r="I255" s="6">
        <v>7.2412942227046733</v>
      </c>
      <c r="J255" s="3112">
        <f t="shared" si="98"/>
        <v>1.535812781658956</v>
      </c>
      <c r="K255" s="3112">
        <f t="shared" si="99"/>
        <v>0.53076372632411639</v>
      </c>
      <c r="M255" s="1033">
        <v>7.9444834121398076</v>
      </c>
      <c r="N255" s="1033">
        <f t="shared" si="100"/>
        <v>12.201239168041871</v>
      </c>
      <c r="O255" s="1033">
        <f t="shared" si="101"/>
        <v>4.2166436195474555</v>
      </c>
      <c r="P255" s="6"/>
    </row>
    <row r="256" spans="6:16">
      <c r="F256" s="2329">
        <v>2023</v>
      </c>
      <c r="G256" s="6">
        <v>14.156714709593517</v>
      </c>
      <c r="H256" s="6">
        <v>21.823830058271977</v>
      </c>
      <c r="I256" s="6">
        <v>7.4423158198829977</v>
      </c>
      <c r="J256" s="3112">
        <f t="shared" si="98"/>
        <v>1.5415886034266637</v>
      </c>
      <c r="K256" s="3112">
        <f t="shared" si="99"/>
        <v>0.52570924628717686</v>
      </c>
      <c r="M256" s="1033">
        <v>8.3938828340992551</v>
      </c>
      <c r="N256" s="1033">
        <f t="shared" si="100"/>
        <v>12.939914115546117</v>
      </c>
      <c r="O256" s="1033">
        <f t="shared" si="101"/>
        <v>4.4127418181371914</v>
      </c>
      <c r="P256" s="6"/>
    </row>
    <row r="257" spans="6:16">
      <c r="F257" s="2329">
        <v>2024</v>
      </c>
      <c r="G257" s="6">
        <v>14.774515402340626</v>
      </c>
      <c r="H257" s="6">
        <v>22.857270455931815</v>
      </c>
      <c r="I257" s="6">
        <v>7.6979826073584068</v>
      </c>
      <c r="J257" s="3112">
        <f t="shared" si="98"/>
        <v>1.5470741228041018</v>
      </c>
      <c r="K257" s="3112">
        <f t="shared" si="99"/>
        <v>0.52103114029302566</v>
      </c>
      <c r="M257" s="1033">
        <v>8.154760051804919</v>
      </c>
      <c r="N257" s="1033">
        <f t="shared" si="100"/>
        <v>12.616018253824027</v>
      </c>
      <c r="O257" s="1033">
        <f t="shared" si="101"/>
        <v>4.2488839286079303</v>
      </c>
      <c r="P257" s="6"/>
    </row>
    <row r="258" spans="6:16">
      <c r="F258" s="2329">
        <v>2025</v>
      </c>
      <c r="G258" s="6">
        <v>14.726390850278095</v>
      </c>
      <c r="H258" s="6">
        <v>22.859762223248158</v>
      </c>
      <c r="I258" s="6">
        <v>7.6088613349292213</v>
      </c>
      <c r="J258" s="3112">
        <f t="shared" si="98"/>
        <v>1.5522990293861765</v>
      </c>
      <c r="K258" s="3112">
        <f t="shared" si="99"/>
        <v>0.51668201749415976</v>
      </c>
      <c r="M258" s="1033">
        <v>8.5662239963783051</v>
      </c>
      <c r="N258" s="1033">
        <f t="shared" si="100"/>
        <v>13.297341195082616</v>
      </c>
      <c r="O258" s="1033">
        <f t="shared" si="101"/>
        <v>4.4260138967556264</v>
      </c>
      <c r="P258" s="6"/>
    </row>
    <row r="259" spans="6:16">
      <c r="F259" s="2329">
        <v>2026</v>
      </c>
      <c r="G259" s="6">
        <v>15.346137244589523</v>
      </c>
      <c r="H259" s="6">
        <v>23.8983645642118</v>
      </c>
      <c r="I259" s="6">
        <v>7.8667769787800648</v>
      </c>
      <c r="J259" s="3112">
        <f t="shared" si="98"/>
        <v>1.5572885986431195</v>
      </c>
      <c r="K259" s="3112">
        <f t="shared" si="99"/>
        <v>0.51262261332594283</v>
      </c>
      <c r="M259" s="1033">
        <v>8.6326341268525297</v>
      </c>
      <c r="N259" s="1033">
        <f t="shared" si="100"/>
        <v>13.443502702004945</v>
      </c>
      <c r="O259" s="1033">
        <f t="shared" si="101"/>
        <v>4.4252834659938625</v>
      </c>
      <c r="P259" s="6"/>
    </row>
    <row r="260" spans="6:16">
      <c r="F260" s="2329">
        <v>2027</v>
      </c>
      <c r="G260" s="6">
        <v>15.74906438059381</v>
      </c>
      <c r="H260" s="6">
        <v>24.601054893085948</v>
      </c>
      <c r="I260" s="6">
        <v>8.0134399454182166</v>
      </c>
      <c r="J260" s="3112">
        <f t="shared" si="98"/>
        <v>1.5620645327604139</v>
      </c>
      <c r="K260" s="3112">
        <f t="shared" si="99"/>
        <v>0.50882006395836921</v>
      </c>
      <c r="M260" s="1033">
        <v>8.8532032504351399</v>
      </c>
      <c r="N260" s="1033">
        <f t="shared" si="100"/>
        <v>13.829274798823944</v>
      </c>
      <c r="O260" s="1033">
        <f t="shared" si="101"/>
        <v>4.5046874441228502</v>
      </c>
      <c r="P260" s="6"/>
    </row>
    <row r="261" spans="6:16">
      <c r="F261" s="2329">
        <v>2028</v>
      </c>
      <c r="G261" s="6">
        <v>16.153504019698669</v>
      </c>
      <c r="H261" s="6">
        <v>25.306816149613795</v>
      </c>
      <c r="I261" s="6">
        <v>8.1615031599907564</v>
      </c>
      <c r="J261" s="3112">
        <f t="shared" si="98"/>
        <v>1.5666456094450443</v>
      </c>
      <c r="K261" s="3112">
        <f t="shared" si="99"/>
        <v>0.50524661089247702</v>
      </c>
      <c r="M261" s="1033">
        <v>8.9891335459638704</v>
      </c>
      <c r="N261" s="1033">
        <f t="shared" si="100"/>
        <v>14.082786602499459</v>
      </c>
      <c r="O261" s="1033">
        <f t="shared" si="101"/>
        <v>4.54172925895812</v>
      </c>
      <c r="P261" s="6"/>
    </row>
    <row r="262" spans="6:16">
      <c r="F262" s="2329">
        <v>2029</v>
      </c>
      <c r="G262" s="6">
        <v>16.796481304221825</v>
      </c>
      <c r="H262" s="6">
        <v>26.388081537633763</v>
      </c>
      <c r="I262" s="6">
        <v>8.4297947575565182</v>
      </c>
      <c r="J262" s="3112">
        <f t="shared" si="98"/>
        <v>1.5710481891824017</v>
      </c>
      <c r="K262" s="3112">
        <f t="shared" si="99"/>
        <v>0.50187861403076572</v>
      </c>
      <c r="M262" s="1033">
        <v>9.2321420193272292</v>
      </c>
      <c r="N262" s="1033">
        <f t="shared" si="100"/>
        <v>14.504140001738806</v>
      </c>
      <c r="O262" s="1033">
        <f t="shared" si="101"/>
        <v>4.6334146411951442</v>
      </c>
      <c r="P262" s="6"/>
    </row>
    <row r="263" spans="6:16">
      <c r="F263" s="2329">
        <v>2030</v>
      </c>
      <c r="G263" s="6">
        <v>17.456775228257474</v>
      </c>
      <c r="H263" s="6">
        <v>27.499424385419228</v>
      </c>
      <c r="I263" s="6">
        <v>8.7056203080519854</v>
      </c>
      <c r="J263" s="3112">
        <f t="shared" si="98"/>
        <v>1.5752866165628121</v>
      </c>
      <c r="K263" s="3112">
        <f t="shared" si="99"/>
        <v>0.49869578969889594</v>
      </c>
      <c r="M263" s="1033">
        <v>9.4867888743994726</v>
      </c>
      <c r="N263" s="1033">
        <f t="shared" si="100"/>
        <v>14.944411547998474</v>
      </c>
      <c r="O263" s="1033">
        <f t="shared" si="101"/>
        <v>4.7310216694253455</v>
      </c>
      <c r="P263" s="6"/>
    </row>
    <row r="264" spans="6:16">
      <c r="F264" s="2329">
        <v>2031</v>
      </c>
      <c r="G264" s="6">
        <v>18.080842276703763</v>
      </c>
      <c r="H264" s="6">
        <v>28.575675182063289</v>
      </c>
      <c r="I264" s="6">
        <v>8.9436183805274769</v>
      </c>
      <c r="J264" s="3112">
        <f t="shared" si="98"/>
        <v>1.5804393813490414</v>
      </c>
      <c r="K264" s="3112">
        <f t="shared" si="99"/>
        <v>0.49464611458122559</v>
      </c>
      <c r="M264" s="1033">
        <v>9.6496117626866269</v>
      </c>
      <c r="N264" s="1033">
        <f t="shared" si="100"/>
        <v>15.250626444478886</v>
      </c>
      <c r="O264" s="1033">
        <f t="shared" si="101"/>
        <v>4.7731429656302318</v>
      </c>
      <c r="P264" s="6"/>
    </row>
    <row r="265" spans="6:16">
      <c r="F265" s="2329">
        <v>2032</v>
      </c>
      <c r="G265" s="6">
        <v>18.727840566658834</v>
      </c>
      <c r="H265" s="6">
        <v>29.692729144878889</v>
      </c>
      <c r="I265" s="6">
        <v>9.1907552668080648</v>
      </c>
      <c r="J265" s="3112">
        <f t="shared" si="98"/>
        <v>1.5854860062051597</v>
      </c>
      <c r="K265" s="3112">
        <f t="shared" si="99"/>
        <v>0.49075360472527529</v>
      </c>
      <c r="M265" s="1033">
        <v>9.9594593691572229</v>
      </c>
      <c r="N265" s="1033">
        <f t="shared" si="100"/>
        <v>15.790583459167644</v>
      </c>
      <c r="O265" s="1033">
        <f t="shared" si="101"/>
        <v>4.8876405865288231</v>
      </c>
      <c r="P265" s="6"/>
    </row>
    <row r="266" spans="6:16">
      <c r="F266" s="2329">
        <v>2033</v>
      </c>
      <c r="G266" s="6">
        <v>19.33481990527919</v>
      </c>
      <c r="H266" s="6">
        <v>30.752920809765975</v>
      </c>
      <c r="I266" s="6">
        <v>9.414407111715418</v>
      </c>
      <c r="J266" s="3112">
        <f t="shared" si="98"/>
        <v>1.5905460180350157</v>
      </c>
      <c r="K266" s="3112">
        <f t="shared" si="99"/>
        <v>0.48691465231309983</v>
      </c>
      <c r="M266" s="1033">
        <v>10.214935168876549</v>
      </c>
      <c r="N266" s="1033">
        <f t="shared" si="100"/>
        <v>16.247324457342437</v>
      </c>
      <c r="O266" s="1033">
        <f t="shared" si="101"/>
        <v>4.9738016061543808</v>
      </c>
      <c r="P266" s="6"/>
    </row>
    <row r="267" spans="6:16">
      <c r="F267" s="2329">
        <v>2034</v>
      </c>
      <c r="G267" s="6">
        <v>19.952951678201426</v>
      </c>
      <c r="H267" s="6">
        <v>31.836125393042938</v>
      </c>
      <c r="I267" s="6">
        <v>9.6406552109416843</v>
      </c>
      <c r="J267" s="3112">
        <f t="shared" si="98"/>
        <v>1.5955596899392015</v>
      </c>
      <c r="K267" s="3112">
        <f t="shared" si="99"/>
        <v>0.48316937596125625</v>
      </c>
      <c r="M267" s="1033">
        <v>10.117754811957733</v>
      </c>
      <c r="N267" s="1033">
        <f t="shared" si="100"/>
        <v>16.143481730648144</v>
      </c>
      <c r="O267" s="1033">
        <f t="shared" si="101"/>
        <v>4.8885892786226153</v>
      </c>
      <c r="P267" s="6"/>
    </row>
    <row r="268" spans="6:16">
      <c r="F268" s="2329">
        <v>2035</v>
      </c>
      <c r="G268" s="6">
        <v>20.571122973529626</v>
      </c>
      <c r="H268" s="6">
        <v>32.925366962105322</v>
      </c>
      <c r="I268" s="6">
        <v>9.8635282522658851</v>
      </c>
      <c r="J268" s="3112">
        <f t="shared" si="98"/>
        <v>1.6005624488499151</v>
      </c>
      <c r="K268" s="3112">
        <f t="shared" si="99"/>
        <v>0.47948419077354265</v>
      </c>
      <c r="M268" s="1033">
        <v>10.275187150719207</v>
      </c>
      <c r="N268" s="1033">
        <f t="shared" si="100"/>
        <v>16.446078708346313</v>
      </c>
      <c r="O268" s="1033">
        <f t="shared" si="101"/>
        <v>4.9267897960093023</v>
      </c>
      <c r="P268" s="6"/>
    </row>
    <row r="269" spans="6:16">
      <c r="F269" s="2329">
        <v>2036</v>
      </c>
      <c r="G269" s="6">
        <v>21.268832752120286</v>
      </c>
      <c r="H269" s="6">
        <v>34.146444168063859</v>
      </c>
      <c r="I269" s="6">
        <v>10.122194829492026</v>
      </c>
      <c r="J269" s="3112">
        <f t="shared" si="98"/>
        <v>1.6054686482341072</v>
      </c>
      <c r="K269" s="3112">
        <f t="shared" si="99"/>
        <v>0.47591680029939332</v>
      </c>
      <c r="M269" s="1033">
        <v>10.910798887745212</v>
      </c>
      <c r="N269" s="1033">
        <f t="shared" si="100"/>
        <v>17.516945541462505</v>
      </c>
      <c r="O269" s="1033">
        <f t="shared" si="101"/>
        <v>5.1926324953658805</v>
      </c>
      <c r="P269" s="6"/>
    </row>
    <row r="270" spans="6:16">
      <c r="F270" s="2329">
        <v>2037</v>
      </c>
      <c r="G270" s="6">
        <v>21.975849341431541</v>
      </c>
      <c r="H270" s="6">
        <v>35.389657738809831</v>
      </c>
      <c r="I270" s="6">
        <v>10.380947557521379</v>
      </c>
      <c r="J270" s="3112">
        <f t="shared" si="98"/>
        <v>1.6103886220264965</v>
      </c>
      <c r="K270" s="3112">
        <f t="shared" si="99"/>
        <v>0.47237981095683779</v>
      </c>
      <c r="M270" s="1033">
        <v>11.279327854119577</v>
      </c>
      <c r="N270" s="1033">
        <f t="shared" si="100"/>
        <v>18.164101240380706</v>
      </c>
      <c r="O270" s="1033">
        <f t="shared" si="101"/>
        <v>5.3281267594492006</v>
      </c>
      <c r="P270" s="6"/>
    </row>
    <row r="271" spans="6:16">
      <c r="F271" s="2329">
        <v>2038</v>
      </c>
      <c r="G271" s="6">
        <v>22.719166342919866</v>
      </c>
      <c r="H271" s="6">
        <v>36.698443187953991</v>
      </c>
      <c r="I271" s="6">
        <v>10.652559779207298</v>
      </c>
      <c r="J271" s="3112">
        <f t="shared" si="98"/>
        <v>1.6153076496748564</v>
      </c>
      <c r="K271" s="3112">
        <f t="shared" si="99"/>
        <v>0.46887987078482879</v>
      </c>
      <c r="M271" s="1033">
        <v>11.436859965600995</v>
      </c>
      <c r="N271" s="1033">
        <f t="shared" si="100"/>
        <v>18.474047390695404</v>
      </c>
      <c r="O271" s="1033">
        <f t="shared" si="101"/>
        <v>5.3625134228551756</v>
      </c>
      <c r="P271" s="6"/>
    </row>
    <row r="272" spans="6:16">
      <c r="F272" s="2329">
        <v>2039</v>
      </c>
      <c r="G272" s="6">
        <v>23.502936532765155</v>
      </c>
      <c r="H272" s="6">
        <v>38.080382621915646</v>
      </c>
      <c r="I272" s="6">
        <v>10.938346156083936</v>
      </c>
      <c r="J272" s="3112">
        <f t="shared" si="98"/>
        <v>1.6202393504670471</v>
      </c>
      <c r="K272" s="3112">
        <f t="shared" si="99"/>
        <v>0.46540338228948208</v>
      </c>
      <c r="M272" s="1033">
        <v>12.020077441564753</v>
      </c>
      <c r="N272" s="1033">
        <f t="shared" si="100"/>
        <v>19.475402466484482</v>
      </c>
      <c r="O272" s="1033">
        <f t="shared" si="101"/>
        <v>5.5941846966857405</v>
      </c>
      <c r="P272" s="6"/>
    </row>
    <row r="273" spans="6:16">
      <c r="F273" s="2329">
        <v>2040</v>
      </c>
      <c r="G273" s="6">
        <v>24.303513752381519</v>
      </c>
      <c r="H273" s="6">
        <v>39.498797382839562</v>
      </c>
      <c r="I273" s="6">
        <v>11.226139620858513</v>
      </c>
      <c r="J273" s="3112">
        <f t="shared" si="98"/>
        <v>1.6252299064767557</v>
      </c>
      <c r="K273" s="3112">
        <f t="shared" si="99"/>
        <v>0.46191426207901543</v>
      </c>
      <c r="M273" s="1033">
        <v>10.933098395179371</v>
      </c>
      <c r="N273" s="1033">
        <f t="shared" si="100"/>
        <v>17.768798482298536</v>
      </c>
      <c r="O273" s="1033">
        <f t="shared" si="101"/>
        <v>5.050154077446547</v>
      </c>
      <c r="P273" s="6"/>
    </row>
    <row r="274" spans="6:16">
      <c r="F274" s="2329">
        <v>2041</v>
      </c>
      <c r="G274" s="6">
        <v>25.120837167552374</v>
      </c>
      <c r="H274" s="6">
        <v>40.954463607878296</v>
      </c>
      <c r="I274" s="6">
        <v>11.515306104148291</v>
      </c>
      <c r="J274" s="3112">
        <f t="shared" si="98"/>
        <v>1.6302985181074146</v>
      </c>
      <c r="K274" s="3112">
        <f t="shared" si="99"/>
        <v>0.4583965903422268</v>
      </c>
      <c r="M274" s="1033">
        <v>11.426355547047633</v>
      </c>
      <c r="N274" s="1033">
        <f t="shared" si="100"/>
        <v>18.628370515720192</v>
      </c>
      <c r="O274" s="1033">
        <f t="shared" si="101"/>
        <v>5.2378024228046245</v>
      </c>
      <c r="P274" s="6"/>
    </row>
    <row r="275" spans="6:16">
      <c r="F275" s="2329">
        <v>2042</v>
      </c>
      <c r="G275" s="6">
        <v>25.961230392253466</v>
      </c>
      <c r="H275" s="6">
        <v>42.456157423232909</v>
      </c>
      <c r="I275" s="6">
        <v>11.810342881442766</v>
      </c>
      <c r="J275" s="3112">
        <f t="shared" si="98"/>
        <v>1.6353676918140729</v>
      </c>
      <c r="K275" s="3112">
        <f t="shared" si="99"/>
        <v>0.45492230926646826</v>
      </c>
      <c r="M275" s="1033">
        <v>11.932016209137233</v>
      </c>
      <c r="N275" s="1033">
        <f t="shared" si="100"/>
        <v>19.513233806624861</v>
      </c>
      <c r="O275" s="1033">
        <f t="shared" si="101"/>
        <v>5.4281403680656402</v>
      </c>
      <c r="P275" s="6"/>
    </row>
    <row r="276" spans="6:16">
      <c r="F276" s="2329">
        <v>2043</v>
      </c>
      <c r="G276" s="6">
        <v>26.824709967920992</v>
      </c>
      <c r="H276" s="6">
        <v>44.004512613499813</v>
      </c>
      <c r="I276" s="6">
        <v>12.110874971930865</v>
      </c>
      <c r="J276" s="3112">
        <f t="shared" si="98"/>
        <v>1.6404469113039328</v>
      </c>
      <c r="K276" s="3112">
        <f t="shared" si="99"/>
        <v>0.45148204720252194</v>
      </c>
      <c r="M276" s="1033">
        <v>12.450342499893654</v>
      </c>
      <c r="N276" s="1033">
        <f t="shared" si="100"/>
        <v>20.424125898626631</v>
      </c>
      <c r="O276" s="1033">
        <f t="shared" si="101"/>
        <v>5.6211061202245522</v>
      </c>
      <c r="P276" s="6"/>
    </row>
    <row r="277" spans="6:16">
      <c r="F277" s="2329">
        <v>2044</v>
      </c>
      <c r="G277" s="6">
        <v>27.718809034751629</v>
      </c>
      <c r="H277" s="6">
        <v>45.612087827708301</v>
      </c>
      <c r="I277" s="6">
        <v>12.420227145699455</v>
      </c>
      <c r="J277" s="3112">
        <f t="shared" si="98"/>
        <v>1.6455284125130885</v>
      </c>
      <c r="K277" s="3112">
        <f t="shared" si="99"/>
        <v>0.44807939367553512</v>
      </c>
      <c r="M277" s="1033">
        <v>12.98160162561507</v>
      </c>
      <c r="N277" s="1033">
        <f t="shared" si="100"/>
        <v>21.361594314875695</v>
      </c>
      <c r="O277" s="1033">
        <f t="shared" si="101"/>
        <v>5.8167881853429417</v>
      </c>
      <c r="P277" s="6"/>
    </row>
    <row r="278" spans="6:16">
      <c r="F278" s="2329">
        <v>2045</v>
      </c>
      <c r="G278" s="6">
        <v>28.645851455609581</v>
      </c>
      <c r="H278" s="6">
        <v>47.283275417081164</v>
      </c>
      <c r="I278" s="6">
        <v>12.739113431291889</v>
      </c>
      <c r="J278" s="3112">
        <f t="shared" si="98"/>
        <v>1.6506151157822158</v>
      </c>
      <c r="K278" s="3112">
        <f t="shared" si="99"/>
        <v>0.4447105875359571</v>
      </c>
      <c r="M278" s="1033">
        <v>13.526065974339879</v>
      </c>
      <c r="N278" s="1033">
        <f t="shared" si="100"/>
        <v>22.32632895431291</v>
      </c>
      <c r="O278" s="1033">
        <f t="shared" si="101"/>
        <v>6.0151847464988055</v>
      </c>
      <c r="P278" s="6"/>
    </row>
    <row r="279" spans="6:16">
      <c r="F279" s="2329">
        <v>2046</v>
      </c>
      <c r="G279" s="6">
        <v>29.609765096578567</v>
      </c>
      <c r="H279" s="6">
        <v>49.025059959040107</v>
      </c>
      <c r="I279" s="6">
        <v>13.069014832719072</v>
      </c>
      <c r="J279" s="3112">
        <f t="shared" si="98"/>
        <v>1.6557058051333542</v>
      </c>
      <c r="K279" s="3112">
        <f t="shared" si="99"/>
        <v>0.44137516086641321</v>
      </c>
      <c r="M279" s="1033">
        <v>13.914752690070802</v>
      </c>
      <c r="N279" s="1033">
        <f t="shared" si="100"/>
        <v>23.038736805945184</v>
      </c>
      <c r="O279" s="1033">
        <f t="shared" si="101"/>
        <v>6.1416262069963565</v>
      </c>
      <c r="P279" s="6"/>
    </row>
    <row r="280" spans="6:16">
      <c r="F280" s="2329">
        <v>2047</v>
      </c>
      <c r="G280" s="6">
        <v>30.605456590486444</v>
      </c>
      <c r="H280" s="6">
        <v>50.830012475051426</v>
      </c>
      <c r="I280" s="6">
        <v>13.407088646671452</v>
      </c>
      <c r="J280" s="3112">
        <f t="shared" si="98"/>
        <v>1.660815362279277</v>
      </c>
      <c r="K280" s="3112">
        <f t="shared" si="99"/>
        <v>0.43806203665130028</v>
      </c>
      <c r="M280" s="1033">
        <v>14.312093666313983</v>
      </c>
      <c r="N280" s="1033">
        <f t="shared" si="100"/>
        <v>23.769745027394201</v>
      </c>
      <c r="O280" s="1033">
        <f t="shared" si="101"/>
        <v>6.2695849002096784</v>
      </c>
      <c r="P280" s="6"/>
    </row>
    <row r="281" spans="6:16">
      <c r="F281" s="2329">
        <v>2048</v>
      </c>
      <c r="G281" s="6">
        <v>31.635608398318645</v>
      </c>
      <c r="H281" s="6">
        <v>52.703110585844016</v>
      </c>
      <c r="I281" s="6">
        <v>13.754262569220717</v>
      </c>
      <c r="J281" s="3112">
        <f t="shared" si="98"/>
        <v>1.6659426909787218</v>
      </c>
      <c r="K281" s="3112">
        <f t="shared" si="99"/>
        <v>0.43477155223452957</v>
      </c>
      <c r="M281" s="1033">
        <v>14.718261637278848</v>
      </c>
      <c r="N281" s="1033">
        <f t="shared" si="100"/>
        <v>24.519780398537215</v>
      </c>
      <c r="O281" s="1033">
        <f t="shared" si="101"/>
        <v>6.3990814582336535</v>
      </c>
      <c r="P281" s="6"/>
    </row>
    <row r="282" spans="6:16">
      <c r="F282" s="2329">
        <v>2049</v>
      </c>
      <c r="G282" s="6">
        <v>32.70000085995774</v>
      </c>
      <c r="H282" s="6">
        <v>54.64466651373256</v>
      </c>
      <c r="I282" s="6">
        <v>14.110105305057401</v>
      </c>
      <c r="J282" s="3112">
        <f t="shared" si="98"/>
        <v>1.6710906751273762</v>
      </c>
      <c r="K282" s="3112">
        <f t="shared" si="99"/>
        <v>0.43150167993835448</v>
      </c>
      <c r="M282" s="1033">
        <v>15.133432580489998</v>
      </c>
      <c r="N282" s="1033">
        <f t="shared" si="100"/>
        <v>25.289338067925662</v>
      </c>
      <c r="O282" s="1033">
        <f t="shared" si="101"/>
        <v>6.530101581715261</v>
      </c>
      <c r="P282" s="6"/>
    </row>
    <row r="283" spans="6:16">
      <c r="F283" s="2329">
        <v>2050</v>
      </c>
      <c r="G283" s="6">
        <v>33.79789235953254</v>
      </c>
      <c r="H283" s="6">
        <v>56.65411055788843</v>
      </c>
      <c r="I283" s="6">
        <v>14.473985254038864</v>
      </c>
      <c r="J283" s="3112">
        <f t="shared" si="98"/>
        <v>1.6762616424485239</v>
      </c>
      <c r="K283" s="3112">
        <f t="shared" si="99"/>
        <v>0.42825111992394826</v>
      </c>
      <c r="M283" s="1033">
        <v>15.557785775350203</v>
      </c>
      <c r="N283" s="1033">
        <f t="shared" si="100"/>
        <v>26.078919536650812</v>
      </c>
      <c r="O283" s="1033">
        <f t="shared" si="101"/>
        <v>6.6626391818305963</v>
      </c>
      <c r="P283" s="6"/>
    </row>
    <row r="284" spans="6:16">
      <c r="F284" s="2329">
        <v>2051</v>
      </c>
      <c r="G284" s="6">
        <v>34.931275490899395</v>
      </c>
      <c r="H284" s="6">
        <v>58.735253462125954</v>
      </c>
      <c r="I284" s="6">
        <v>14.84659422205708</v>
      </c>
      <c r="J284" s="3112">
        <f t="shared" si="98"/>
        <v>1.6814517259018549</v>
      </c>
      <c r="K284" s="3112">
        <f t="shared" si="99"/>
        <v>0.4250229633305273</v>
      </c>
      <c r="M284" s="1033">
        <v>16.176803333877153</v>
      </c>
      <c r="N284" s="1033">
        <f t="shared" si="100"/>
        <v>27.200513885322618</v>
      </c>
      <c r="O284" s="1033">
        <f t="shared" si="101"/>
        <v>6.8755128901796212</v>
      </c>
      <c r="P284" s="6"/>
    </row>
    <row r="285" spans="6:16">
      <c r="F285" s="2329">
        <v>2052</v>
      </c>
      <c r="G285" s="6">
        <v>36.102387974092537</v>
      </c>
      <c r="H285" s="6">
        <v>60.892274104029823</v>
      </c>
      <c r="I285" s="6">
        <v>15.228776125995003</v>
      </c>
      <c r="J285" s="3112">
        <f t="shared" si="98"/>
        <v>1.686655025360837</v>
      </c>
      <c r="K285" s="3112">
        <f t="shared" si="99"/>
        <v>0.42182185114522996</v>
      </c>
      <c r="M285" s="1033">
        <v>16.810967891936976</v>
      </c>
      <c r="N285" s="1033">
        <f t="shared" si="100"/>
        <v>28.354303476115177</v>
      </c>
      <c r="O285" s="1033">
        <f t="shared" si="101"/>
        <v>7.0912335957198795</v>
      </c>
      <c r="P285" s="6"/>
    </row>
    <row r="286" spans="6:16">
      <c r="F286" s="2329">
        <v>2053</v>
      </c>
      <c r="G286" s="6">
        <v>37.312979779135226</v>
      </c>
      <c r="H286" s="6">
        <v>63.128793660416541</v>
      </c>
      <c r="I286" s="6">
        <v>15.620955751306965</v>
      </c>
      <c r="J286" s="3112">
        <f t="shared" si="98"/>
        <v>1.6918722126748256</v>
      </c>
      <c r="K286" s="3112">
        <f t="shared" si="99"/>
        <v>0.41864669730938869</v>
      </c>
      <c r="M286" s="1033">
        <v>17.460595746722049</v>
      </c>
      <c r="N286" s="1033">
        <f t="shared" si="100"/>
        <v>29.54109676062728</v>
      </c>
      <c r="O286" s="1033">
        <f t="shared" si="101"/>
        <v>7.3098207424195456</v>
      </c>
      <c r="P286" s="6"/>
    </row>
    <row r="287" spans="6:16">
      <c r="F287" s="2329">
        <v>2054</v>
      </c>
      <c r="G287" s="6">
        <v>38.565007802570179</v>
      </c>
      <c r="H287" s="6">
        <v>65.448795714201339</v>
      </c>
      <c r="I287" s="6">
        <v>16.023649636601998</v>
      </c>
      <c r="J287" s="3112">
        <f t="shared" si="98"/>
        <v>1.6971031368451968</v>
      </c>
      <c r="K287" s="3112">
        <f t="shared" si="99"/>
        <v>0.41549711901093139</v>
      </c>
      <c r="M287" s="1033">
        <v>18.126009293932594</v>
      </c>
      <c r="N287" s="1033">
        <f t="shared" si="100"/>
        <v>30.761707231218196</v>
      </c>
      <c r="O287" s="1033">
        <f t="shared" si="101"/>
        <v>7.5313046407943594</v>
      </c>
      <c r="P287" s="6"/>
    </row>
    <row r="288" spans="6:16">
      <c r="F288" s="2329">
        <v>2055</v>
      </c>
      <c r="G288" s="6">
        <v>39.859763281737472</v>
      </c>
      <c r="H288" s="6">
        <v>67.855223591102515</v>
      </c>
      <c r="I288" s="6">
        <v>16.437052146238532</v>
      </c>
      <c r="J288" s="3112">
        <f t="shared" si="98"/>
        <v>1.7023488853028816</v>
      </c>
      <c r="K288" s="3112">
        <f t="shared" si="99"/>
        <v>0.41237204621758222</v>
      </c>
      <c r="M288" s="1033">
        <v>18.807537139832686</v>
      </c>
      <c r="N288" s="1033">
        <f t="shared" si="100"/>
        <v>32.016989885286719</v>
      </c>
      <c r="O288" s="1033">
        <f t="shared" si="101"/>
        <v>7.7557025746659782</v>
      </c>
      <c r="P288" s="6"/>
    </row>
    <row r="289" spans="6:16">
      <c r="F289" s="2329">
        <v>2056</v>
      </c>
      <c r="G289" s="6">
        <v>41.19841418520955</v>
      </c>
      <c r="H289" s="6">
        <v>70.350844832863075</v>
      </c>
      <c r="I289" s="6">
        <v>16.861298026120952</v>
      </c>
      <c r="J289" s="3112">
        <f t="shared" si="98"/>
        <v>1.707610504535376</v>
      </c>
      <c r="K289" s="3112">
        <f t="shared" si="99"/>
        <v>0.40927055954921315</v>
      </c>
      <c r="M289" s="1033">
        <v>19.335189808621347</v>
      </c>
      <c r="N289" s="1033">
        <f t="shared" si="100"/>
        <v>33.016973224387158</v>
      </c>
      <c r="O289" s="1033">
        <f t="shared" si="101"/>
        <v>7.9133239519647027</v>
      </c>
      <c r="P289" s="6"/>
    </row>
    <row r="290" spans="6:16">
      <c r="F290" s="2329">
        <v>2057</v>
      </c>
      <c r="G290" s="6">
        <v>42.581799021210472</v>
      </c>
      <c r="H290" s="6">
        <v>72.937915404795433</v>
      </c>
      <c r="I290" s="6">
        <v>17.296367572743037</v>
      </c>
      <c r="J290" s="3112">
        <f t="shared" si="98"/>
        <v>1.7128894758172204</v>
      </c>
      <c r="K290" s="3112">
        <f t="shared" si="99"/>
        <v>0.40619156471354162</v>
      </c>
      <c r="M290" s="1033">
        <v>19.874489281464182</v>
      </c>
      <c r="N290" s="1033">
        <f t="shared" si="100"/>
        <v>34.042803527462148</v>
      </c>
      <c r="O290" s="1033">
        <f t="shared" si="101"/>
        <v>8.0728498991204471</v>
      </c>
      <c r="P290" s="6"/>
    </row>
    <row r="291" spans="6:16">
      <c r="F291" s="2329">
        <v>2058</v>
      </c>
      <c r="G291" s="6">
        <v>44.011464410394787</v>
      </c>
      <c r="H291" s="6">
        <v>75.619866170738106</v>
      </c>
      <c r="I291" s="6">
        <v>17.74256495114475</v>
      </c>
      <c r="J291" s="3112">
        <f t="shared" si="98"/>
        <v>1.7181856405777294</v>
      </c>
      <c r="K291" s="3112">
        <f t="shared" si="99"/>
        <v>0.40313507375487934</v>
      </c>
      <c r="M291" s="1033">
        <v>20.425666981758603</v>
      </c>
      <c r="N291" s="1033">
        <f t="shared" si="100"/>
        <v>35.095087707280278</v>
      </c>
      <c r="O291" s="1033">
        <f t="shared" si="101"/>
        <v>8.2343027651838572</v>
      </c>
      <c r="P291" s="6"/>
    </row>
    <row r="292" spans="6:16">
      <c r="F292" s="2329">
        <v>2059</v>
      </c>
      <c r="G292" s="6">
        <v>45.488821383472271</v>
      </c>
      <c r="H292" s="6">
        <v>78.399940354578348</v>
      </c>
      <c r="I292" s="6">
        <v>18.200122791791909</v>
      </c>
      <c r="J292" s="3112">
        <f t="shared" si="98"/>
        <v>1.723499048121389</v>
      </c>
      <c r="K292" s="3112">
        <f t="shared" si="99"/>
        <v>0.40010099708594932</v>
      </c>
      <c r="M292" s="1033">
        <v>20.988958666300849</v>
      </c>
      <c r="N292" s="1033">
        <f t="shared" si="100"/>
        <v>36.174450282428694</v>
      </c>
      <c r="O292" s="1033">
        <f t="shared" si="101"/>
        <v>8.3977032901827471</v>
      </c>
      <c r="P292" s="6"/>
    </row>
    <row r="293" spans="6:16">
      <c r="F293" s="2329">
        <v>2060</v>
      </c>
      <c r="G293" s="6">
        <v>47.015475633442101</v>
      </c>
      <c r="H293" s="6">
        <v>81.281736745448057</v>
      </c>
      <c r="I293" s="6">
        <v>18.669349894009905</v>
      </c>
      <c r="J293" s="3112">
        <f t="shared" si="98"/>
        <v>1.7288294045808263</v>
      </c>
      <c r="K293" s="3112">
        <f t="shared" si="99"/>
        <v>0.39708946134175443</v>
      </c>
      <c r="M293" s="1033">
        <v>21.564604503387766</v>
      </c>
      <c r="N293" s="1033">
        <f t="shared" si="100"/>
        <v>37.281522363612879</v>
      </c>
      <c r="O293" s="1033">
        <f t="shared" si="101"/>
        <v>8.5630771862982193</v>
      </c>
      <c r="P293" s="6"/>
    </row>
    <row r="294" spans="6:16">
      <c r="F294" s="2329">
        <v>2061</v>
      </c>
      <c r="G294" s="6">
        <v>48.593313061244132</v>
      </c>
      <c r="H294" s="6">
        <v>84.26935981973844</v>
      </c>
      <c r="I294" s="6">
        <v>19.150662944417718</v>
      </c>
      <c r="J294" s="3112">
        <f t="shared" si="98"/>
        <v>1.7341760524443011</v>
      </c>
      <c r="K294" s="3112">
        <f t="shared" si="99"/>
        <v>0.39410078749480115</v>
      </c>
      <c r="M294" s="1033">
        <v>22.115224847476444</v>
      </c>
      <c r="N294" s="1033">
        <f t="shared" si="100"/>
        <v>38.35169332491482</v>
      </c>
      <c r="O294" s="1033">
        <f t="shared" si="101"/>
        <v>8.7156275280150606</v>
      </c>
      <c r="P294" s="6"/>
    </row>
    <row r="295" spans="6:16">
      <c r="F295" s="2329">
        <v>2062</v>
      </c>
      <c r="G295" s="6">
        <v>50.224206831444789</v>
      </c>
      <c r="H295" s="6">
        <v>87.366949687085182</v>
      </c>
      <c r="I295" s="6">
        <v>19.644447066586071</v>
      </c>
      <c r="J295" s="3112">
        <f t="shared" si="98"/>
        <v>1.7395386646979512</v>
      </c>
      <c r="K295" s="3112">
        <f t="shared" si="99"/>
        <v>0.39113503837928032</v>
      </c>
      <c r="M295" s="1033">
        <v>22.677556980483786</v>
      </c>
      <c r="N295" s="1033">
        <f t="shared" si="100"/>
        <v>39.448487188442463</v>
      </c>
      <c r="O295" s="1033">
        <f t="shared" si="101"/>
        <v>8.8699871199098421</v>
      </c>
      <c r="P295" s="6"/>
    </row>
    <row r="296" spans="6:16">
      <c r="F296" s="2329">
        <v>2063</v>
      </c>
      <c r="G296" s="6">
        <v>51.909986590120766</v>
      </c>
      <c r="H296" s="6">
        <v>90.578641754112084</v>
      </c>
      <c r="I296" s="6">
        <v>20.151034749040218</v>
      </c>
      <c r="J296" s="3112">
        <f t="shared" si="98"/>
        <v>1.744917456236649</v>
      </c>
      <c r="K296" s="3112">
        <f t="shared" si="99"/>
        <v>0.38819186967147579</v>
      </c>
      <c r="M296" s="1033">
        <v>23.251829051490475</v>
      </c>
      <c r="N296" s="1033">
        <f t="shared" si="100"/>
        <v>40.572522401376176</v>
      </c>
      <c r="O296" s="1033">
        <f t="shared" si="101"/>
        <v>9.0261709927796243</v>
      </c>
      <c r="P296" s="6"/>
    </row>
    <row r="297" spans="6:16">
      <c r="F297" s="2329">
        <v>2064</v>
      </c>
      <c r="G297" s="6">
        <v>53.652491494607872</v>
      </c>
      <c r="H297" s="6">
        <v>93.908633809615836</v>
      </c>
      <c r="I297" s="6">
        <v>20.670747891543702</v>
      </c>
      <c r="J297" s="3112">
        <f t="shared" si="98"/>
        <v>1.7503126358829719</v>
      </c>
      <c r="K297" s="3112">
        <f t="shared" si="99"/>
        <v>0.38527097839661617</v>
      </c>
      <c r="M297" s="1033">
        <v>23.838273429274444</v>
      </c>
      <c r="N297" s="1033">
        <f t="shared" si="100"/>
        <v>41.724431200892369</v>
      </c>
      <c r="O297" s="1033">
        <f t="shared" si="101"/>
        <v>9.1841949273826238</v>
      </c>
      <c r="P297" s="6"/>
    </row>
    <row r="298" spans="6:16">
      <c r="F298" s="2329">
        <v>2065</v>
      </c>
      <c r="G298" s="6">
        <v>55.453546647227206</v>
      </c>
      <c r="H298" s="6">
        <v>97.361149628106688</v>
      </c>
      <c r="I298" s="6">
        <v>21.20388606392584</v>
      </c>
      <c r="J298" s="3112">
        <f t="shared" si="98"/>
        <v>1.7557244849906268</v>
      </c>
      <c r="K298" s="3112">
        <f t="shared" si="99"/>
        <v>0.38237204553959903</v>
      </c>
      <c r="M298" s="1033">
        <v>24.437126777725464</v>
      </c>
      <c r="N298" s="1033">
        <f t="shared" si="100"/>
        <v>42.904861826472697</v>
      </c>
      <c r="O298" s="1033">
        <f t="shared" si="101"/>
        <v>9.3440741531093963</v>
      </c>
      <c r="P298" s="6"/>
    </row>
    <row r="299" spans="6:16">
      <c r="F299" s="2329">
        <v>2066</v>
      </c>
      <c r="G299" s="6">
        <v>57.315040879964407</v>
      </c>
      <c r="H299" s="6">
        <v>100.94056831771587</v>
      </c>
      <c r="I299" s="6">
        <v>21.75076090570963</v>
      </c>
      <c r="J299" s="3112">
        <f t="shared" si="98"/>
        <v>1.7611532115822257</v>
      </c>
      <c r="K299" s="3112">
        <f t="shared" si="99"/>
        <v>0.37949481622568348</v>
      </c>
      <c r="M299" s="1033">
        <v>25.023970058123549</v>
      </c>
      <c r="N299" s="1033">
        <f t="shared" si="100"/>
        <v>44.071045234401744</v>
      </c>
      <c r="O299" s="1033">
        <f t="shared" si="101"/>
        <v>9.496466918444602</v>
      </c>
      <c r="P299" s="6"/>
    </row>
    <row r="300" spans="6:16">
      <c r="F300" s="2329">
        <v>2067</v>
      </c>
      <c r="G300" s="6">
        <v>59.238949077243795</v>
      </c>
      <c r="H300" s="6">
        <v>104.65146448868639</v>
      </c>
      <c r="I300" s="6">
        <v>22.311704350531826</v>
      </c>
      <c r="J300" s="3112">
        <f t="shared" si="98"/>
        <v>1.7665989373347522</v>
      </c>
      <c r="K300" s="3112">
        <f t="shared" si="99"/>
        <v>0.37663909806095297</v>
      </c>
      <c r="M300" s="1033">
        <v>25.622964096313076</v>
      </c>
      <c r="N300" s="1033">
        <f t="shared" si="100"/>
        <v>45.265501143913191</v>
      </c>
      <c r="O300" s="1033">
        <f t="shared" si="101"/>
        <v>9.6506100868835372</v>
      </c>
      <c r="P300" s="6"/>
    </row>
    <row r="301" spans="6:16">
      <c r="F301" s="2329">
        <v>2068</v>
      </c>
      <c r="G301" s="6">
        <v>61.227381777403373</v>
      </c>
      <c r="H301" s="6">
        <v>108.49869403038434</v>
      </c>
      <c r="I301" s="6">
        <v>22.887088673587154</v>
      </c>
      <c r="J301" s="3112">
        <f t="shared" si="98"/>
        <v>1.7720616312622886</v>
      </c>
      <c r="K301" s="3112">
        <f t="shared" si="99"/>
        <v>0.37380479140517292</v>
      </c>
      <c r="M301" s="1033">
        <v>26.234342039042975</v>
      </c>
      <c r="N301" s="1033">
        <f t="shared" si="100"/>
        <v>46.488870948799324</v>
      </c>
      <c r="O301" s="1033">
        <f t="shared" si="101"/>
        <v>9.8065227535564183</v>
      </c>
      <c r="P301" s="6"/>
    </row>
    <row r="302" spans="6:16">
      <c r="F302" s="2329">
        <v>2069</v>
      </c>
      <c r="G302" s="6">
        <v>63.282516835960756</v>
      </c>
      <c r="H302" s="6">
        <v>112.48728570466926</v>
      </c>
      <c r="I302" s="6">
        <v>23.477293964005295</v>
      </c>
      <c r="J302" s="3112">
        <f t="shared" si="98"/>
        <v>1.7775412756773847</v>
      </c>
      <c r="K302" s="3112">
        <f t="shared" si="99"/>
        <v>0.3709917863232669</v>
      </c>
      <c r="M302" s="1033">
        <v>26.858341303599712</v>
      </c>
      <c r="N302" s="1033">
        <f t="shared" si="100"/>
        <v>47.741810263379222</v>
      </c>
      <c r="O302" s="1033">
        <f t="shared" si="101"/>
        <v>9.9642240179024384</v>
      </c>
      <c r="P302" s="6"/>
    </row>
    <row r="303" spans="6:16">
      <c r="F303" s="2329">
        <v>2070</v>
      </c>
      <c r="G303" s="6">
        <v>65.40662364747341</v>
      </c>
      <c r="H303" s="6">
        <v>116.62248488032833</v>
      </c>
      <c r="I303" s="6">
        <v>24.082717228105579</v>
      </c>
      <c r="J303" s="3112">
        <f t="shared" si="98"/>
        <v>1.7830378389335089</v>
      </c>
      <c r="K303" s="3112">
        <f t="shared" si="99"/>
        <v>0.36819997555455336</v>
      </c>
      <c r="M303" s="1033">
        <v>27.495203653617754</v>
      </c>
      <c r="N303" s="1033">
        <f t="shared" si="100"/>
        <v>49.024988503583316</v>
      </c>
      <c r="O303" s="1033">
        <f t="shared" si="101"/>
        <v>10.123733313129524</v>
      </c>
      <c r="P303" s="6"/>
    </row>
    <row r="304" spans="6:16">
      <c r="F304" s="2329">
        <v>2071</v>
      </c>
      <c r="G304" s="6">
        <v>67.602050835291124</v>
      </c>
      <c r="H304" s="6">
        <v>120.90973667578508</v>
      </c>
      <c r="I304" s="6">
        <v>24.703765591751409</v>
      </c>
      <c r="J304" s="3112">
        <f>H304/G304</f>
        <v>1.7885513114147285</v>
      </c>
      <c r="K304" s="3112">
        <f>I304/G304</f>
        <v>0.36542923308555902</v>
      </c>
      <c r="M304" s="1033">
        <v>28.170065729082221</v>
      </c>
      <c r="N304" s="1033">
        <f>J304*M304</f>
        <v>50.383608002389103</v>
      </c>
      <c r="O304" s="1033">
        <f>K304*M304</f>
        <v>10.294165515348306</v>
      </c>
      <c r="P304" s="6"/>
    </row>
    <row r="305" spans="6:16">
      <c r="F305" s="2329">
        <v>2072</v>
      </c>
      <c r="G305" s="6">
        <v>69.871202259846086</v>
      </c>
      <c r="H305" s="6">
        <v>125.35464884523793</v>
      </c>
      <c r="I305" s="6">
        <v>25.340845083948857</v>
      </c>
      <c r="J305" s="3112">
        <f>H305/G305</f>
        <v>1.7940817502903816</v>
      </c>
      <c r="K305" s="3112">
        <f>I305/G305</f>
        <v>0.36267939099871271</v>
      </c>
      <c r="M305" s="1033">
        <v>28.859065673347391</v>
      </c>
      <c r="N305" s="1033">
        <f>J305*M305</f>
        <v>51.775523054984156</v>
      </c>
      <c r="O305" s="1033">
        <f>K305*M305</f>
        <v>10.466588363201486</v>
      </c>
      <c r="P305" s="6"/>
    </row>
    <row r="306" spans="6:16">
      <c r="F306" s="2329">
        <v>2073</v>
      </c>
      <c r="G306" s="6">
        <v>72.216545132924708</v>
      </c>
      <c r="H306" s="6">
        <v>129.96300718557319</v>
      </c>
      <c r="I306" s="6">
        <v>25.994364132079276</v>
      </c>
      <c r="J306" s="3112">
        <f>H306/G306</f>
        <v>1.7996292531906366</v>
      </c>
      <c r="K306" s="3112">
        <f>I306/G306</f>
        <v>0.35995025910243966</v>
      </c>
      <c r="M306" s="1033">
        <v>29.562479557896602</v>
      </c>
      <c r="N306" s="1033">
        <f>J306*M306</f>
        <v>53.201503009240923</v>
      </c>
      <c r="O306" s="1033">
        <f>K306*M306</f>
        <v>10.641022176575458</v>
      </c>
      <c r="P306" s="6"/>
    </row>
    <row r="307" spans="6:16">
      <c r="F307" s="2329">
        <v>2074</v>
      </c>
      <c r="G307" s="6">
        <v>74.64062277516166</v>
      </c>
      <c r="H307" s="6">
        <v>134.74079770558501</v>
      </c>
      <c r="I307" s="6">
        <v>26.664739875606433</v>
      </c>
      <c r="J307" s="3112">
        <f>H307/G307</f>
        <v>1.8051939104455468</v>
      </c>
      <c r="K307" s="3112">
        <f>I307/G307</f>
        <v>0.35724165855271672</v>
      </c>
      <c r="M307" s="1033">
        <v>30.280588907458515</v>
      </c>
      <c r="N307" s="1033">
        <f>J307*M307</f>
        <v>54.662334700449087</v>
      </c>
      <c r="O307" s="1033">
        <f>K307*M307</f>
        <v>10.817487803253476</v>
      </c>
      <c r="P307" s="6"/>
    </row>
    <row r="308" spans="6:16">
      <c r="F308" s="2329">
        <v>2075</v>
      </c>
      <c r="G308" s="6">
        <v>77.146062566068707</v>
      </c>
      <c r="H308" s="6">
        <v>139.69422334635695</v>
      </c>
      <c r="I308" s="6">
        <v>27.352400380365111</v>
      </c>
      <c r="J308" s="3112">
        <f>H308/G308</f>
        <v>1.8107758024166345</v>
      </c>
      <c r="K308" s="3112">
        <f>I308/G308</f>
        <v>0.35455342075222862</v>
      </c>
      <c r="M308" s="1033">
        <v>31.013680840376541</v>
      </c>
      <c r="N308" s="1033">
        <f>J308*M308</f>
        <v>56.158822809626237</v>
      </c>
      <c r="O308" s="1033">
        <f>K308*M308</f>
        <v>10.996006632073355</v>
      </c>
      <c r="P308" s="6"/>
    </row>
  </sheetData>
  <mergeCells count="35">
    <mergeCell ref="D164:F164"/>
    <mergeCell ref="D165:F165"/>
    <mergeCell ref="D166:F166"/>
    <mergeCell ref="D167:F167"/>
    <mergeCell ref="D159:F159"/>
    <mergeCell ref="D160:F160"/>
    <mergeCell ref="D161:F161"/>
    <mergeCell ref="D162:F162"/>
    <mergeCell ref="D163:F163"/>
    <mergeCell ref="AK2:AQ2"/>
    <mergeCell ref="C86:E86"/>
    <mergeCell ref="G237:I237"/>
    <mergeCell ref="G236:I236"/>
    <mergeCell ref="D175:F175"/>
    <mergeCell ref="D176:F176"/>
    <mergeCell ref="D178:F178"/>
    <mergeCell ref="D179:F179"/>
    <mergeCell ref="D180:F180"/>
    <mergeCell ref="D181:F181"/>
    <mergeCell ref="D177:F177"/>
    <mergeCell ref="D173:F173"/>
    <mergeCell ref="D174:F174"/>
    <mergeCell ref="C100:E100"/>
    <mergeCell ref="C101:E101"/>
    <mergeCell ref="C102:E102"/>
    <mergeCell ref="C87:E87"/>
    <mergeCell ref="C88:E88"/>
    <mergeCell ref="C89:E89"/>
    <mergeCell ref="C99:E99"/>
    <mergeCell ref="AS3:AY3"/>
    <mergeCell ref="AK3:AQ3"/>
    <mergeCell ref="C92:E92"/>
    <mergeCell ref="C93:E93"/>
    <mergeCell ref="C94:E94"/>
    <mergeCell ref="C95:E95"/>
  </mergeCells>
  <phoneticPr fontId="77" type="noConversion"/>
  <pageMargins left="0.75" right="0.75" top="1" bottom="1" header="0.5" footer="0.5"/>
  <pageSetup orientation="portrait" r:id="rId1"/>
  <headerFooter alignWithMargins="0"/>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enableFormatConditionsCalculation="0">
    <tabColor rgb="FFFF99CC"/>
  </sheetPr>
  <dimension ref="B1:AM173"/>
  <sheetViews>
    <sheetView showGridLines="0" zoomScale="90" zoomScaleNormal="90" workbookViewId="0">
      <pane xSplit="3" ySplit="3" topLeftCell="D4" activePane="bottomRight" state="frozen"/>
      <selection activeCell="N13" sqref="N13"/>
      <selection pane="topRight" activeCell="N13" sqref="N13"/>
      <selection pane="bottomLeft" activeCell="N13" sqref="N13"/>
      <selection pane="bottomRight" activeCell="G6" sqref="G6"/>
    </sheetView>
  </sheetViews>
  <sheetFormatPr defaultRowHeight="12.75"/>
  <cols>
    <col min="1" max="1" width="2.140625" customWidth="1"/>
    <col min="2" max="2" width="28.42578125" customWidth="1"/>
    <col min="3" max="3" width="17.28515625" customWidth="1"/>
    <col min="4" max="4" width="13.85546875" customWidth="1"/>
    <col min="5" max="5" width="16.42578125" customWidth="1"/>
    <col min="6" max="6" width="11.28515625" customWidth="1"/>
    <col min="7" max="7" width="14" customWidth="1"/>
    <col min="9" max="9" width="14.7109375" customWidth="1"/>
    <col min="10" max="10" width="14" customWidth="1"/>
    <col min="11" max="11" width="16" customWidth="1"/>
    <col min="12" max="12" width="12.140625" customWidth="1"/>
    <col min="13" max="13" width="15.140625" customWidth="1"/>
    <col min="14" max="14" width="12.85546875" customWidth="1"/>
    <col min="15" max="15" width="13.85546875" customWidth="1"/>
    <col min="16" max="16" width="13.140625" customWidth="1"/>
    <col min="17" max="17" width="11.5703125" customWidth="1"/>
    <col min="18" max="18" width="14.42578125" customWidth="1"/>
  </cols>
  <sheetData>
    <row r="1" spans="2:19" s="2" customFormat="1" ht="18.75" thickBot="1">
      <c r="B1" s="469" t="s">
        <v>414</v>
      </c>
      <c r="C1" s="470"/>
      <c r="D1" s="471"/>
      <c r="E1" s="472"/>
      <c r="F1" s="472"/>
      <c r="G1" s="472"/>
      <c r="H1" s="473"/>
      <c r="P1" s="4007" t="s">
        <v>2014</v>
      </c>
    </row>
    <row r="2" spans="2:19" s="2" customFormat="1">
      <c r="B2" s="121"/>
      <c r="C2" s="3182" t="s">
        <v>399</v>
      </c>
      <c r="D2" s="3178" t="s">
        <v>379</v>
      </c>
      <c r="E2" s="3177" t="s">
        <v>380</v>
      </c>
      <c r="F2" s="3190" t="s">
        <v>400</v>
      </c>
      <c r="G2" s="3190" t="s">
        <v>1195</v>
      </c>
      <c r="H2" s="3191" t="s">
        <v>401</v>
      </c>
      <c r="I2" s="3179" t="s">
        <v>1196</v>
      </c>
      <c r="J2" s="3189" t="s">
        <v>381</v>
      </c>
      <c r="K2" s="3177" t="s">
        <v>382</v>
      </c>
      <c r="L2" s="3178" t="s">
        <v>383</v>
      </c>
      <c r="M2" s="3179" t="s">
        <v>384</v>
      </c>
      <c r="N2" s="3181" t="s">
        <v>385</v>
      </c>
      <c r="O2" s="3180" t="s">
        <v>386</v>
      </c>
      <c r="P2" s="356" t="s">
        <v>1147</v>
      </c>
      <c r="Q2" s="465"/>
      <c r="R2" s="481" t="str">
        <f>N2</f>
        <v>South Coast</v>
      </c>
    </row>
    <row r="3" spans="2:19" s="2" customFormat="1" ht="13.5" thickBot="1">
      <c r="B3" s="16"/>
      <c r="C3" s="3188" t="s">
        <v>415</v>
      </c>
      <c r="D3" s="3183" t="s">
        <v>377</v>
      </c>
      <c r="E3" s="3185" t="s">
        <v>548</v>
      </c>
      <c r="F3" s="3186" t="s">
        <v>548</v>
      </c>
      <c r="G3" s="3186" t="s">
        <v>548</v>
      </c>
      <c r="H3" s="3185" t="s">
        <v>548</v>
      </c>
      <c r="I3" s="3184" t="s">
        <v>377</v>
      </c>
      <c r="J3" s="3183" t="s">
        <v>377</v>
      </c>
      <c r="K3" s="3196" t="s">
        <v>378</v>
      </c>
      <c r="L3" s="3183" t="s">
        <v>377</v>
      </c>
      <c r="M3" s="3185" t="s">
        <v>548</v>
      </c>
      <c r="N3" s="3185" t="s">
        <v>548</v>
      </c>
      <c r="O3" s="3187" t="s">
        <v>548</v>
      </c>
      <c r="P3" s="358" t="s">
        <v>1147</v>
      </c>
      <c r="Q3" s="17"/>
      <c r="R3" s="482" t="s">
        <v>1148</v>
      </c>
    </row>
    <row r="4" spans="2:19" s="2" customFormat="1">
      <c r="B4" s="16" t="s">
        <v>1124</v>
      </c>
      <c r="C4" s="373"/>
      <c r="D4" s="350"/>
      <c r="E4" s="422"/>
      <c r="F4" s="44"/>
      <c r="G4" s="422"/>
      <c r="H4" s="44"/>
      <c r="I4" s="422"/>
      <c r="J4" s="44"/>
      <c r="K4" s="422"/>
      <c r="L4" s="44"/>
      <c r="M4" s="422"/>
      <c r="N4" s="422"/>
      <c r="O4" s="121"/>
      <c r="P4" s="422"/>
      <c r="Q4" s="28"/>
      <c r="R4" s="373"/>
    </row>
    <row r="5" spans="2:19" s="2" customFormat="1">
      <c r="B5" s="20" t="s">
        <v>1122</v>
      </c>
      <c r="C5" s="466" t="s">
        <v>1341</v>
      </c>
      <c r="D5" s="974">
        <f>INDEX('ERC Forecasts'!$X$7:$AT$7,1,StartYr+1-'ERC Forecasts'!$X$1)*D14</f>
        <v>25704.823609953386</v>
      </c>
      <c r="E5" s="3257">
        <f>INDEX('ERC Forecasts'!$X$6:$AT$6,1,StartYr+1-'ERC Forecasts'!$X$1)*E14*0</f>
        <v>0</v>
      </c>
      <c r="F5" s="974">
        <f>INDEX('ERC Forecasts'!$X$6:$AT$6,1,StartYr+1-'ERC Forecasts'!$X$1)*F14</f>
        <v>77882.09479050494</v>
      </c>
      <c r="G5" s="974">
        <f>INDEX('ERC Forecasts'!$X$6:$AT$6,1,StartYr+1-'ERC Forecasts'!$X$1)*G14</f>
        <v>97352.618488131178</v>
      </c>
      <c r="H5" s="974">
        <f>INDEX('ERC Forecasts'!$X$6:$AT$6,1,StartYr+1-'ERC Forecasts'!$X$1)*H14</f>
        <v>77882.09479050494</v>
      </c>
      <c r="I5" s="974">
        <f>INDEX('ERC Forecasts'!$X$7:$AT$7,1,StartYr+1-'ERC Forecasts'!$X$1)*I14</f>
        <v>26822.424636473097</v>
      </c>
      <c r="J5" s="974">
        <f>INDEX('ERC Forecasts'!$X$5:$AT$5,1,StartYr+1-'ERC Forecasts'!$X$1)*J14</f>
        <v>36799.197178159346</v>
      </c>
      <c r="K5" s="974">
        <f>INDEX('ERC Forecasts'!$X$3:$AT$3,1,StartYr+1-'ERC Forecasts'!$X$1)*K14</f>
        <v>268650.68791600753</v>
      </c>
      <c r="L5" s="974">
        <f>INDEX('ERC Forecasts'!$X$7:$AT$7,1,StartYr+1-'ERC Forecasts'!$X$1)*L14</f>
        <v>22352.020530394249</v>
      </c>
      <c r="M5" s="974">
        <f>INDEX('ERC Forecasts'!$X$7:$AT$7,1,StartYr+1-'ERC Forecasts'!$X$1)*M14</f>
        <v>22352.020530394249</v>
      </c>
      <c r="N5" s="3206">
        <f>INDEX('ERC Forecasts'!$X$4:$AT$4,1,StartYr+1-'ERC Forecasts'!$X$1)</f>
        <v>117129.71274617399</v>
      </c>
      <c r="O5" s="974">
        <f>INDEX('ERC Forecasts'!$X$7:$AT$7,1,StartYr+1-'ERC Forecasts'!$X$1)*O14</f>
        <v>26822.424636473097</v>
      </c>
      <c r="P5" s="4006">
        <f>AVERAGE(D5:O5)/INDEX($D$33:$AM$33,1,StartYr+1-BaseYr)</f>
        <v>63667.778816692618</v>
      </c>
      <c r="Q5" s="28"/>
      <c r="R5" s="3200">
        <f>'SCAQMD Fees'!D21/2000</f>
        <v>0.38361000000000001</v>
      </c>
      <c r="S5" s="2">
        <f>INDEX($D$33:$AM$33,1,StartYr+1-BaseYr)</f>
        <v>1.0467750651860983</v>
      </c>
    </row>
    <row r="6" spans="2:19" s="66" customFormat="1">
      <c r="B6" s="21"/>
      <c r="C6" s="467" t="s">
        <v>1342</v>
      </c>
      <c r="D6" s="974">
        <f>INDEX('ERC Forecasts'!$X$16:$AT$16,1,StartYr+1-'ERC Forecasts'!$X$1)*D14</f>
        <v>17719.516573383444</v>
      </c>
      <c r="E6" s="974">
        <f>INDEX('ERC Forecasts'!$X$12:$AT$12,1,StartYr+1-'ERC Forecasts'!$X$1)*E14</f>
        <v>1948.8087292372491</v>
      </c>
      <c r="F6" s="974">
        <f>INDEX('ERC Forecasts'!$X$15:$AT$15,1,StartYr+1-'ERC Forecasts'!$X$1)*F14</f>
        <v>35897.378760900858</v>
      </c>
      <c r="G6" s="974">
        <f>INDEX('ERC Forecasts'!$X$15:$AT$15,1,StartYr+1-'ERC Forecasts'!$X$1)*G14</f>
        <v>44871.723451126076</v>
      </c>
      <c r="H6" s="974">
        <f>INDEX('ERC Forecasts'!$X$15:$AT$15,1,StartYr+1-'ERC Forecasts'!$X$1)*H14</f>
        <v>35897.378760900858</v>
      </c>
      <c r="I6" s="974">
        <f>INDEX('ERC Forecasts'!$X$16:$AT$16,1,StartYr+1-'ERC Forecasts'!$X$1)*I14</f>
        <v>18489.930337443595</v>
      </c>
      <c r="J6" s="974">
        <f>INDEX('ERC Forecasts'!$X$14:$AT$14,1,StartYr+1-'ERC Forecasts'!$X$1)*J14</f>
        <v>12274.367306898892</v>
      </c>
      <c r="K6" s="974">
        <f>INDEX('ERC Forecasts'!$X$12:$AT$12,1,StartYr+1-'ERC Forecasts'!$X$1)*K14</f>
        <v>1948.8087292372491</v>
      </c>
      <c r="L6" s="974">
        <f>INDEX('ERC Forecasts'!$X$16:$AT$16,1,StartYr+1-'ERC Forecasts'!$X$1)*L14</f>
        <v>15408.275281202996</v>
      </c>
      <c r="M6" s="974">
        <f>INDEX('ERC Forecasts'!$X$16:$AT$16,1,StartYr+1-'ERC Forecasts'!$X$1)*M14</f>
        <v>15408.275281202996</v>
      </c>
      <c r="N6" s="3208">
        <f>INDEX('ERC Forecasts'!$X$13:$AT$13,1,StartYr+1-'ERC Forecasts'!$X$1)*N14</f>
        <v>44083.151426922013</v>
      </c>
      <c r="O6" s="974">
        <f>INDEX('ERC Forecasts'!$X$16:$AT$16,1,StartYr+1-'ERC Forecasts'!$X$1)*O14</f>
        <v>18489.930337443595</v>
      </c>
      <c r="P6" s="4006">
        <f>AVERAGE(D6:O6)/INDEX($D$33:$AM$33,1,StartYr+1-BaseYr)</f>
        <v>20892.545248744773</v>
      </c>
      <c r="Q6" s="30"/>
      <c r="R6" s="3200">
        <f>'SCAQMD Fees'!B21/2000</f>
        <v>0.66612499999999997</v>
      </c>
    </row>
    <row r="7" spans="2:19" s="2" customFormat="1">
      <c r="B7" s="12"/>
      <c r="C7" s="466" t="s">
        <v>1343</v>
      </c>
      <c r="D7" s="974">
        <f>INDEX('ERC Forecasts'!$X$25:$AT$25,1,StartYr+1-'ERC Forecasts'!$X$1)</f>
        <v>0</v>
      </c>
      <c r="E7" s="974">
        <f>INDEX('ERC Forecasts'!$X$24:$AT$24,1,StartYr+1-'ERC Forecasts'!$X$1)</f>
        <v>0</v>
      </c>
      <c r="F7" s="974">
        <f>INDEX('ERC Forecasts'!$X$24:$AT$24,1,StartYr+1-'ERC Forecasts'!$X$1)</f>
        <v>0</v>
      </c>
      <c r="G7" s="974">
        <f>INDEX('ERC Forecasts'!$X$24:$AT$24,1,StartYr+1-'ERC Forecasts'!$X$1)</f>
        <v>0</v>
      </c>
      <c r="H7" s="974">
        <f>INDEX('ERC Forecasts'!$X$24:$AT$24,1,StartYr+1-'ERC Forecasts'!$X$1)</f>
        <v>0</v>
      </c>
      <c r="I7" s="974">
        <f>INDEX('ERC Forecasts'!$X$25:$AT$25,1,StartYr+1-'ERC Forecasts'!$X$1)</f>
        <v>0</v>
      </c>
      <c r="J7" s="974">
        <f>INDEX('ERC Forecasts'!$X$23:$AT$23,1,StartYr+1-'ERC Forecasts'!$X$1)</f>
        <v>0</v>
      </c>
      <c r="K7" s="974">
        <f>INDEX('ERC Forecasts'!$X$21:$AT$21,1,StartYr+1-'ERC Forecasts'!$X$1)</f>
        <v>0</v>
      </c>
      <c r="L7" s="974">
        <f>INDEX('ERC Forecasts'!$X$25:$AT$25,1,StartYr+1-'ERC Forecasts'!$X$1)</f>
        <v>0</v>
      </c>
      <c r="M7" s="974">
        <f>INDEX('ERC Forecasts'!$X$25:$AT$25,1,StartYr+1-'ERC Forecasts'!$X$1)</f>
        <v>0</v>
      </c>
      <c r="N7" s="974">
        <f>INDEX('ERC Forecasts'!$X$22:$AT$22,1,StartYr+1-'ERC Forecasts'!$X$1)</f>
        <v>0</v>
      </c>
      <c r="O7" s="974">
        <f>INDEX('ERC Forecasts'!$X$25:$AT$25,1,StartYr+1-'ERC Forecasts'!$X$1)</f>
        <v>0</v>
      </c>
      <c r="P7" s="3210">
        <f>MEDIAN(D7:O7)</f>
        <v>0</v>
      </c>
      <c r="Q7" s="28"/>
      <c r="R7" s="3200" t="str">
        <f>'SCAQMD Fees'!F19</f>
        <v>-</v>
      </c>
    </row>
    <row r="8" spans="2:19" s="2" customFormat="1">
      <c r="B8" s="12"/>
      <c r="C8" s="1335" t="s">
        <v>1344</v>
      </c>
      <c r="D8" s="975"/>
      <c r="E8" s="975"/>
      <c r="F8" s="975"/>
      <c r="G8" s="975"/>
      <c r="H8" s="975"/>
      <c r="I8" s="975"/>
      <c r="J8" s="975"/>
      <c r="K8" s="975"/>
      <c r="L8" s="975"/>
      <c r="M8" s="975"/>
      <c r="N8" s="3205"/>
      <c r="O8" s="975"/>
      <c r="P8" s="474"/>
      <c r="Q8" s="28"/>
      <c r="R8" s="3200"/>
    </row>
    <row r="9" spans="2:19" s="2" customFormat="1">
      <c r="B9" s="12"/>
      <c r="C9" s="467" t="s">
        <v>294</v>
      </c>
      <c r="D9" s="975"/>
      <c r="E9" s="975"/>
      <c r="F9" s="975"/>
      <c r="G9" s="975"/>
      <c r="H9" s="975"/>
      <c r="I9" s="975"/>
      <c r="J9" s="975"/>
      <c r="K9" s="975"/>
      <c r="L9" s="975"/>
      <c r="M9" s="975"/>
      <c r="N9" s="3205"/>
      <c r="O9" s="975"/>
      <c r="P9" s="474"/>
      <c r="Q9" s="28"/>
      <c r="R9" s="3200"/>
    </row>
    <row r="10" spans="2:19" s="2" customFormat="1">
      <c r="B10" s="12"/>
      <c r="C10" s="467" t="s">
        <v>295</v>
      </c>
      <c r="D10" s="975"/>
      <c r="E10" s="975"/>
      <c r="F10" s="975"/>
      <c r="G10" s="975"/>
      <c r="H10" s="975"/>
      <c r="I10" s="975"/>
      <c r="J10" s="975"/>
      <c r="K10" s="975"/>
      <c r="L10" s="975"/>
      <c r="M10" s="975"/>
      <c r="N10" s="3205"/>
      <c r="O10" s="975"/>
      <c r="P10" s="474"/>
      <c r="Q10" s="28"/>
      <c r="R10" s="3200"/>
    </row>
    <row r="11" spans="2:19" s="2" customFormat="1">
      <c r="B11" s="12"/>
      <c r="C11" s="467" t="s">
        <v>296</v>
      </c>
      <c r="D11" s="975"/>
      <c r="E11" s="975"/>
      <c r="F11" s="975"/>
      <c r="G11" s="975"/>
      <c r="H11" s="975"/>
      <c r="I11" s="975"/>
      <c r="J11" s="975"/>
      <c r="K11" s="975"/>
      <c r="L11" s="975"/>
      <c r="M11" s="975"/>
      <c r="N11" s="3205"/>
      <c r="O11" s="975"/>
      <c r="P11" s="474"/>
      <c r="Q11" s="28"/>
      <c r="R11" s="3200"/>
    </row>
    <row r="12" spans="2:19" s="2" customFormat="1">
      <c r="B12" s="12"/>
      <c r="C12" s="467" t="s">
        <v>387</v>
      </c>
      <c r="D12" s="975">
        <f>INDEX('ERC Forecasts'!$X$34:$AT$34,1,StartYr+1-'ERC Forecasts'!$X$1)*D14</f>
        <v>0</v>
      </c>
      <c r="E12" s="975">
        <f>INDEX('ERC Forecasts'!$X$30:$AT$30,1,StartYr+1-'ERC Forecasts'!$X$1)*E14</f>
        <v>0</v>
      </c>
      <c r="F12" s="975">
        <f>INDEX('ERC Forecasts'!$X$33:$AT$33,1,StartYr+1-'ERC Forecasts'!$X$1)*F14</f>
        <v>0</v>
      </c>
      <c r="G12" s="975">
        <f>INDEX('ERC Forecasts'!$X$33:$AT$33,1,StartYr+1-'ERC Forecasts'!$X$1)*G14</f>
        <v>0</v>
      </c>
      <c r="H12" s="975">
        <f>INDEX('ERC Forecasts'!$X$33:$AT$33,1,StartYr+1-'ERC Forecasts'!$X$1)*H14</f>
        <v>0</v>
      </c>
      <c r="I12" s="975">
        <f>INDEX('ERC Forecasts'!$X$34:$AT$34,1,StartYr+1-'ERC Forecasts'!$X$1)*I14</f>
        <v>0</v>
      </c>
      <c r="J12" s="975">
        <f>INDEX('ERC Forecasts'!$X$32:$AT$32,1,StartYr+1-'ERC Forecasts'!$X$1)*J14</f>
        <v>0</v>
      </c>
      <c r="K12" s="975">
        <f>INDEX('ERC Forecasts'!$X$30:$AT$30,1,StartYr+1-'ERC Forecasts'!$X$1)*K14</f>
        <v>0</v>
      </c>
      <c r="L12" s="975">
        <f>INDEX('ERC Forecasts'!$X$34:$AT$34,1,StartYr+1-'ERC Forecasts'!$X$1)*L14</f>
        <v>0</v>
      </c>
      <c r="M12" s="975">
        <f>INDEX('ERC Forecasts'!$X$34:$AT$34,1,StartYr+1-'ERC Forecasts'!$X$1)*M14</f>
        <v>0</v>
      </c>
      <c r="N12" s="3207">
        <f>INDEX('ERC Forecasts'!$X$31:$AT$31,1,StartYr+1-'ERC Forecasts'!$X$1)</f>
        <v>205081.0217376303</v>
      </c>
      <c r="O12" s="975">
        <f>INDEX('ERC Forecasts'!$X$34:$AT$34,1,StartYr+1-'ERC Forecasts'!$X$1)*O14</f>
        <v>0</v>
      </c>
      <c r="P12" s="4006">
        <f>AVERAGE(D12:O12)/INDEX($D$33:$AM$33,1,StartYr+1-BaseYr)</f>
        <v>16326.415973391768</v>
      </c>
      <c r="Q12" s="28"/>
      <c r="R12" s="3200">
        <f>'SCAQMD Fees'!E19/2000</f>
        <v>0.19011</v>
      </c>
    </row>
    <row r="13" spans="2:19" s="2" customFormat="1" ht="13.5" thickBot="1">
      <c r="B13" s="36"/>
      <c r="C13" s="468" t="s">
        <v>375</v>
      </c>
      <c r="D13" s="976">
        <f>INDEX('ERC Forecasts'!$X$43:$AT$43,1,StartYr+1-'ERC Forecasts'!$X$1)*D14</f>
        <v>47278.926297347825</v>
      </c>
      <c r="E13" s="976">
        <f>INDEX('ERC Forecasts'!$X$39:$AT$39,1,StartYr+1-'ERC Forecasts'!$X$1)*E14</f>
        <v>0</v>
      </c>
      <c r="F13" s="976">
        <f>INDEX('ERC Forecasts'!$X$42:$AT$42,1,StartYr+1-'ERC Forecasts'!$X$1)*F14</f>
        <v>129537.24912515844</v>
      </c>
      <c r="G13" s="976">
        <f>INDEX('ERC Forecasts'!$X$42:$AT$42,1,StartYr+1-'ERC Forecasts'!$X$1)*G14</f>
        <v>161921.56140644805</v>
      </c>
      <c r="H13" s="976">
        <f>INDEX('ERC Forecasts'!$X$42:$AT$42,1,StartYr+1-'ERC Forecasts'!$X$1)*H14</f>
        <v>129537.24912515844</v>
      </c>
      <c r="I13" s="976">
        <f>INDEX('ERC Forecasts'!$X$43:$AT$43,1,StartYr+1-'ERC Forecasts'!$X$1)*I14</f>
        <v>49334.531788536864</v>
      </c>
      <c r="J13" s="976">
        <f>INDEX('ERC Forecasts'!$X$42:$AT$42,1,StartYr+1-'ERC Forecasts'!$X$1)*J14</f>
        <v>161921.56140644805</v>
      </c>
      <c r="K13" s="976">
        <f>INDEX('ERC Forecasts'!$X$39:$AT$39,1,StartYr+1-'ERC Forecasts'!$X$1)*K14</f>
        <v>0</v>
      </c>
      <c r="L13" s="976">
        <f>INDEX('ERC Forecasts'!$X$43:$AT$43,1,StartYr+1-'ERC Forecasts'!$X$1)*L14</f>
        <v>41112.109823780724</v>
      </c>
      <c r="M13" s="976">
        <f>INDEX('ERC Forecasts'!$X$43:$AT$43,1,StartYr+1-'ERC Forecasts'!$X$1)*M14</f>
        <v>41112.109823780724</v>
      </c>
      <c r="N13" s="3209">
        <f>INDEX('ERC Forecasts'!$X$40:$AT$40,1,StartYr+1-'ERC Forecasts'!$X$1)*N14</f>
        <v>732528.51396341727</v>
      </c>
      <c r="O13" s="976">
        <f>INDEX('ERC Forecasts'!$X$43:$AT$43,1,StartYr+1-'ERC Forecasts'!$X$1)*O14</f>
        <v>49334.531788536864</v>
      </c>
      <c r="P13" s="4006">
        <f>AVERAGE(D13:O13)/INDEX($D$33:$AM$33,1,StartYr+1-BaseYr)</f>
        <v>122886.82289432328</v>
      </c>
      <c r="Q13" s="224"/>
      <c r="R13" s="4359">
        <f>'SCAQMD Fees'!G20/2000</f>
        <v>0.339615</v>
      </c>
    </row>
    <row r="14" spans="2:19" s="2" customFormat="1" ht="13.5" thickBot="1">
      <c r="B14" s="399" t="s">
        <v>1886</v>
      </c>
      <c r="C14" s="3263"/>
      <c r="D14" s="3264">
        <v>1.1499999999999999</v>
      </c>
      <c r="E14" s="3265">
        <v>1.2</v>
      </c>
      <c r="F14" s="3265">
        <v>1.2</v>
      </c>
      <c r="G14" s="3265">
        <v>1.5</v>
      </c>
      <c r="H14" s="3264">
        <v>1.2</v>
      </c>
      <c r="I14" s="3264">
        <v>1.2</v>
      </c>
      <c r="J14" s="3264">
        <v>1.5</v>
      </c>
      <c r="K14" s="3264">
        <v>1.2</v>
      </c>
      <c r="L14" s="3264">
        <v>1</v>
      </c>
      <c r="M14" s="3264">
        <v>1</v>
      </c>
      <c r="N14" s="3265">
        <v>1.2</v>
      </c>
      <c r="O14" s="3265">
        <v>1.2</v>
      </c>
      <c r="P14" s="3266">
        <f>MEDIAN(D14:O14)</f>
        <v>1.2</v>
      </c>
    </row>
    <row r="15" spans="2:19" s="2" customFormat="1" ht="13.5" thickBot="1">
      <c r="C15" s="28"/>
      <c r="D15" s="30"/>
      <c r="E15" s="28"/>
      <c r="F15" s="28"/>
      <c r="G15" s="28"/>
    </row>
    <row r="16" spans="2:19" s="2" customFormat="1">
      <c r="B16" s="13" t="s">
        <v>398</v>
      </c>
      <c r="C16" s="44"/>
      <c r="D16" s="44"/>
      <c r="E16" s="44"/>
      <c r="F16" s="44"/>
      <c r="G16" s="44"/>
      <c r="H16" s="44"/>
      <c r="I16" s="44"/>
      <c r="J16" s="44"/>
      <c r="K16" s="44"/>
      <c r="L16" s="44"/>
      <c r="M16" s="44"/>
      <c r="N16" s="44"/>
      <c r="O16" s="44"/>
      <c r="P16" s="42"/>
    </row>
    <row r="17" spans="2:39" s="2" customFormat="1" ht="13.5" thickBot="1">
      <c r="B17" s="36"/>
      <c r="C17" s="1515" t="s">
        <v>1128</v>
      </c>
      <c r="D17" s="1517">
        <f t="shared" ref="D17:O17" si="0">D29/$P29*$P17</f>
        <v>726.07456140350871</v>
      </c>
      <c r="E17" s="1517">
        <f t="shared" si="0"/>
        <v>642.54385964912285</v>
      </c>
      <c r="F17" s="1517">
        <f t="shared" si="0"/>
        <v>253.16228070175438</v>
      </c>
      <c r="G17" s="1517">
        <f t="shared" si="0"/>
        <v>253.16228070175438</v>
      </c>
      <c r="H17" s="1517">
        <f t="shared" si="0"/>
        <v>449.78070175438597</v>
      </c>
      <c r="I17" s="1517">
        <f t="shared" si="0"/>
        <v>449.78070175438597</v>
      </c>
      <c r="J17" s="1517">
        <f t="shared" si="0"/>
        <v>409.94298245614038</v>
      </c>
      <c r="K17" s="1517">
        <f t="shared" si="0"/>
        <v>723.50438596491233</v>
      </c>
      <c r="L17" s="1517">
        <f t="shared" si="0"/>
        <v>449.78070175438597</v>
      </c>
      <c r="M17" s="1517">
        <f t="shared" si="0"/>
        <v>449.78070175438597</v>
      </c>
      <c r="N17" s="1517">
        <f t="shared" si="0"/>
        <v>808.32017543859638</v>
      </c>
      <c r="O17" s="1517">
        <f t="shared" si="0"/>
        <v>449.78070175438597</v>
      </c>
      <c r="P17" s="1519">
        <v>586</v>
      </c>
    </row>
    <row r="18" spans="2:39" s="2" customFormat="1">
      <c r="C18" s="3378"/>
      <c r="D18" s="30"/>
      <c r="E18" s="28"/>
      <c r="F18" s="28"/>
      <c r="G18" s="28"/>
    </row>
    <row r="19" spans="2:39" s="2" customFormat="1">
      <c r="C19" s="28"/>
      <c r="D19" s="30"/>
      <c r="E19" s="28"/>
      <c r="F19" s="28"/>
      <c r="G19" s="28"/>
    </row>
    <row r="20" spans="2:39" s="2" customFormat="1">
      <c r="B20" s="1" t="s">
        <v>1884</v>
      </c>
      <c r="C20" s="2333" t="s">
        <v>1885</v>
      </c>
      <c r="D20" s="30"/>
      <c r="E20" s="28"/>
      <c r="F20" s="28"/>
      <c r="G20" s="28"/>
    </row>
    <row r="21" spans="2:39" s="2" customFormat="1">
      <c r="C21" s="28"/>
      <c r="D21" s="30"/>
      <c r="E21" s="28"/>
      <c r="F21" s="28"/>
      <c r="G21" s="28"/>
    </row>
    <row r="22" spans="2:39" s="2" customFormat="1">
      <c r="C22" s="28"/>
      <c r="D22" s="3472" t="s">
        <v>1341</v>
      </c>
      <c r="E22" s="3473" t="s">
        <v>1342</v>
      </c>
      <c r="F22" s="3472" t="s">
        <v>1343</v>
      </c>
      <c r="G22" s="3473" t="s">
        <v>387</v>
      </c>
      <c r="H22" s="3472" t="s">
        <v>375</v>
      </c>
    </row>
    <row r="23" spans="2:39" s="2" customFormat="1" ht="15">
      <c r="B23" s="3143" t="s">
        <v>1826</v>
      </c>
      <c r="C23" s="28"/>
      <c r="D23" s="3465">
        <v>3</v>
      </c>
      <c r="E23" s="3464">
        <f>D23+9</f>
        <v>12</v>
      </c>
      <c r="F23" s="3464">
        <f>E23+9</f>
        <v>21</v>
      </c>
      <c r="G23" s="2545">
        <f>F23+9</f>
        <v>30</v>
      </c>
      <c r="H23" s="3464">
        <f>G23+9</f>
        <v>39</v>
      </c>
    </row>
    <row r="24" spans="2:39" s="2" customFormat="1" ht="15">
      <c r="B24" s="3147" t="s">
        <v>385</v>
      </c>
      <c r="C24" s="28"/>
      <c r="D24" s="3465">
        <v>4</v>
      </c>
      <c r="E24" s="3464">
        <v>13</v>
      </c>
      <c r="F24" s="3464">
        <v>22</v>
      </c>
      <c r="G24" s="2545">
        <v>31</v>
      </c>
      <c r="H24" s="2545">
        <v>40</v>
      </c>
    </row>
    <row r="25" spans="2:39" s="2" customFormat="1" ht="15">
      <c r="B25" s="3149" t="s">
        <v>1829</v>
      </c>
      <c r="C25" s="28"/>
      <c r="D25" s="3465">
        <v>5</v>
      </c>
      <c r="E25" s="3464">
        <v>14</v>
      </c>
      <c r="F25" s="3464">
        <f>E25+9</f>
        <v>23</v>
      </c>
      <c r="G25" s="2545">
        <v>32</v>
      </c>
      <c r="H25" s="2545">
        <v>41</v>
      </c>
    </row>
    <row r="26" spans="2:39" s="2" customFormat="1" ht="15">
      <c r="B26" s="3137" t="s">
        <v>1831</v>
      </c>
      <c r="C26" s="28"/>
      <c r="D26" s="3465">
        <v>6</v>
      </c>
      <c r="E26" s="3464">
        <v>15</v>
      </c>
      <c r="F26" s="3464">
        <v>24</v>
      </c>
      <c r="G26" s="2545">
        <v>33</v>
      </c>
      <c r="H26" s="2545">
        <v>42</v>
      </c>
    </row>
    <row r="27" spans="2:39" s="2" customFormat="1" ht="15">
      <c r="B27" s="3150" t="s">
        <v>1833</v>
      </c>
      <c r="C27" s="28"/>
      <c r="D27" s="3465">
        <v>7</v>
      </c>
      <c r="E27" s="3464">
        <f>D27+9</f>
        <v>16</v>
      </c>
      <c r="F27" s="3464">
        <f>E27+9</f>
        <v>25</v>
      </c>
      <c r="G27" s="2545">
        <f>F27+9</f>
        <v>34</v>
      </c>
      <c r="H27" s="3464">
        <f>G27+9</f>
        <v>43</v>
      </c>
    </row>
    <row r="28" spans="2:39" s="2" customFormat="1">
      <c r="C28" s="28"/>
      <c r="D28" s="30"/>
      <c r="E28" s="28"/>
      <c r="F28" s="28"/>
      <c r="G28" s="28"/>
    </row>
    <row r="29" spans="2:39" s="3466" customFormat="1">
      <c r="C29" s="3467" t="s">
        <v>1914</v>
      </c>
      <c r="D29" s="3470">
        <v>565</v>
      </c>
      <c r="E29" s="3470">
        <v>500</v>
      </c>
      <c r="F29" s="3470">
        <v>197</v>
      </c>
      <c r="G29" s="3470">
        <v>197</v>
      </c>
      <c r="H29" s="3470">
        <v>350</v>
      </c>
      <c r="I29" s="3470">
        <v>350</v>
      </c>
      <c r="J29" s="3470">
        <v>319</v>
      </c>
      <c r="K29" s="3470">
        <v>563</v>
      </c>
      <c r="L29" s="3470">
        <v>350</v>
      </c>
      <c r="M29" s="3470">
        <v>350</v>
      </c>
      <c r="N29" s="3470">
        <v>629</v>
      </c>
      <c r="O29" s="3470">
        <v>350</v>
      </c>
      <c r="P29" s="3471">
        <v>456</v>
      </c>
    </row>
    <row r="30" spans="2:39" s="3466" customFormat="1">
      <c r="C30" s="3468" t="s">
        <v>1126</v>
      </c>
      <c r="D30" s="3469"/>
      <c r="E30" s="3467"/>
      <c r="F30" s="3467"/>
      <c r="G30" s="3467"/>
    </row>
    <row r="31" spans="2:39" s="3466" customFormat="1" ht="13.5" thickBot="1">
      <c r="C31" s="3467"/>
      <c r="D31" s="3469"/>
      <c r="E31" s="3467"/>
      <c r="F31" s="3467"/>
      <c r="G31" s="3467"/>
    </row>
    <row r="32" spans="2:39" s="2" customFormat="1" ht="13.5" thickBot="1">
      <c r="B32" s="13" t="s">
        <v>521</v>
      </c>
      <c r="C32" s="2526"/>
      <c r="D32" s="4367">
        <v>2011</v>
      </c>
      <c r="E32" s="2526">
        <v>2012</v>
      </c>
      <c r="F32" s="4367">
        <v>2013</v>
      </c>
      <c r="G32" s="2526">
        <v>2014</v>
      </c>
      <c r="H32" s="4367">
        <v>2015</v>
      </c>
      <c r="I32" s="2526">
        <v>2016</v>
      </c>
      <c r="J32" s="4367">
        <v>2017</v>
      </c>
      <c r="K32" s="2526">
        <v>2018</v>
      </c>
      <c r="L32" s="4367">
        <v>2019</v>
      </c>
      <c r="M32" s="2526">
        <v>2020</v>
      </c>
      <c r="N32" s="4367">
        <v>2021</v>
      </c>
      <c r="O32" s="2526">
        <v>2022</v>
      </c>
      <c r="P32" s="4367">
        <v>2023</v>
      </c>
      <c r="Q32" s="2526">
        <v>2024</v>
      </c>
      <c r="R32" s="4367">
        <v>2025</v>
      </c>
      <c r="S32" s="2526">
        <v>2026</v>
      </c>
      <c r="T32" s="4367">
        <v>2027</v>
      </c>
      <c r="U32" s="2526">
        <v>2028</v>
      </c>
      <c r="V32" s="4367">
        <v>2029</v>
      </c>
      <c r="W32" s="2526">
        <v>2030</v>
      </c>
      <c r="X32" s="4367">
        <v>2031</v>
      </c>
      <c r="Y32" s="2526">
        <v>2032</v>
      </c>
      <c r="Z32" s="4367">
        <v>2033</v>
      </c>
      <c r="AA32" s="2526">
        <v>2034</v>
      </c>
      <c r="AB32" s="4367">
        <v>2035</v>
      </c>
      <c r="AC32" s="2526">
        <v>2036</v>
      </c>
      <c r="AD32" s="4367">
        <v>2037</v>
      </c>
      <c r="AE32" s="2526">
        <v>2038</v>
      </c>
      <c r="AF32" s="4367">
        <v>2039</v>
      </c>
      <c r="AG32" s="2526">
        <v>2040</v>
      </c>
      <c r="AH32" s="4367">
        <v>2041</v>
      </c>
      <c r="AI32" s="2526">
        <v>2042</v>
      </c>
      <c r="AJ32" s="4367">
        <v>2043</v>
      </c>
      <c r="AK32" s="2526">
        <v>2044</v>
      </c>
      <c r="AL32" s="4367">
        <v>2045</v>
      </c>
      <c r="AM32" s="42">
        <v>2046</v>
      </c>
    </row>
    <row r="33" spans="2:39" s="2" customFormat="1" ht="15.75" thickBot="1">
      <c r="B33" s="4362" t="s">
        <v>2051</v>
      </c>
      <c r="C33" s="4363"/>
      <c r="D33" s="4364">
        <f>Inflation!C18</f>
        <v>1</v>
      </c>
      <c r="E33" s="4365">
        <f>Inflation!C19</f>
        <v>1.0190846557987372</v>
      </c>
      <c r="F33" s="4364">
        <f>Inflation!C20</f>
        <v>1.0467750651860983</v>
      </c>
      <c r="G33" s="4364">
        <f>Inflation!C21</f>
        <v>1.0701736676000402</v>
      </c>
      <c r="H33" s="4364">
        <f>Inflation!C22</f>
        <v>1.091085037120435</v>
      </c>
      <c r="I33" s="4364">
        <f>Inflation!C23</f>
        <v>1.1118413497313508</v>
      </c>
      <c r="J33" s="4364">
        <f>Inflation!C24</f>
        <v>1.1306872508520636</v>
      </c>
      <c r="K33" s="4364">
        <f>Inflation!C25</f>
        <v>1.148001319646478</v>
      </c>
      <c r="L33" s="4364">
        <f>Inflation!C26</f>
        <v>1.164879030083865</v>
      </c>
      <c r="M33" s="4364">
        <f>Inflation!C27</f>
        <v>1.1816485233702192</v>
      </c>
      <c r="N33" s="4364">
        <f>Inflation!C28</f>
        <v>1.1988259636745122</v>
      </c>
      <c r="O33" s="4364">
        <f>Inflation!C29</f>
        <v>1.2164105805436665</v>
      </c>
      <c r="P33" s="4365">
        <f>Inflation!C30</f>
        <v>1.2347783803098757</v>
      </c>
      <c r="Q33" s="4364">
        <f>Inflation!C31</f>
        <v>1.2534235338525548</v>
      </c>
      <c r="R33" s="4364">
        <f>Inflation!C32</f>
        <v>1.2723502292137283</v>
      </c>
      <c r="S33" s="4364">
        <f>Inflation!C33</f>
        <v>1.2915627176748554</v>
      </c>
      <c r="T33" s="4364">
        <f>Inflation!C34</f>
        <v>1.3110653147117457</v>
      </c>
      <c r="U33" s="4363">
        <f>Inflation!C35</f>
        <v>1.330862400963893</v>
      </c>
      <c r="V33" s="4363">
        <f>Inflation!C36</f>
        <v>1.3509584232184475</v>
      </c>
      <c r="W33" s="4363">
        <f>Inflation!C37</f>
        <v>1.371357895409046</v>
      </c>
      <c r="X33" s="4363">
        <f>Inflation!C38</f>
        <v>1.3920653996297223</v>
      </c>
      <c r="Y33" s="4363">
        <f>Inflation!C39</f>
        <v>1.413085587164131</v>
      </c>
      <c r="Z33" s="4363">
        <f>Inflation!C40</f>
        <v>1.4344231795303093</v>
      </c>
      <c r="AA33" s="4363">
        <f>Inflation!C41</f>
        <v>1.4560829695412167</v>
      </c>
      <c r="AB33" s="4363">
        <f>Inflation!C42</f>
        <v>1.4780698223812889</v>
      </c>
      <c r="AC33" s="4363">
        <f>Inflation!C43</f>
        <v>1.5003886766992462</v>
      </c>
      <c r="AD33" s="4363">
        <f>Inflation!C44</f>
        <v>1.5230445457174047</v>
      </c>
      <c r="AE33" s="4363">
        <f>Inflation!C45</f>
        <v>1.5460425183577373</v>
      </c>
      <c r="AF33" s="4363">
        <f>Inflation!C46</f>
        <v>1.5693877603849389</v>
      </c>
      <c r="AG33" s="4363">
        <f>Inflation!C47</f>
        <v>1.5930855155667514</v>
      </c>
      <c r="AH33" s="4363">
        <f>Inflation!C48</f>
        <v>1.6171411068518091</v>
      </c>
      <c r="AI33" s="4363">
        <f>Inflation!C49</f>
        <v>1.6415599375652712</v>
      </c>
      <c r="AJ33" s="4363">
        <f>Inflation!C50</f>
        <v>1.6663474926225066</v>
      </c>
      <c r="AK33" s="4363">
        <f>Inflation!C51</f>
        <v>1.6915093397611063</v>
      </c>
      <c r="AL33" s="4363">
        <f>Inflation!C52</f>
        <v>1.7170511307914988</v>
      </c>
      <c r="AM33" s="4366">
        <f>Inflation!C53</f>
        <v>1.7429786028664502</v>
      </c>
    </row>
    <row r="34" spans="2:39" s="2" customFormat="1">
      <c r="C34" s="28"/>
      <c r="D34" s="30"/>
      <c r="E34" s="28"/>
      <c r="F34" s="28"/>
      <c r="G34" s="28"/>
    </row>
    <row r="35" spans="2:39" s="2" customFormat="1">
      <c r="C35" s="28"/>
      <c r="D35" s="30"/>
      <c r="E35" s="28"/>
      <c r="F35" s="28"/>
      <c r="G35" s="28"/>
    </row>
    <row r="36" spans="2:39" s="2" customFormat="1">
      <c r="C36" s="28"/>
      <c r="D36" s="30"/>
      <c r="E36" s="28"/>
      <c r="F36" s="28"/>
      <c r="G36" s="28"/>
    </row>
    <row r="37" spans="2:39" s="2" customFormat="1">
      <c r="C37" s="28"/>
      <c r="D37" s="30"/>
      <c r="E37" s="28"/>
      <c r="F37" s="28"/>
      <c r="G37" s="28"/>
    </row>
    <row r="38" spans="2:39" s="2" customFormat="1">
      <c r="C38" s="28"/>
      <c r="D38" s="30"/>
      <c r="E38" s="28"/>
      <c r="F38" s="28"/>
      <c r="G38" s="28"/>
    </row>
    <row r="39" spans="2:39" s="2" customFormat="1">
      <c r="C39" s="28"/>
      <c r="D39" s="30"/>
      <c r="E39" s="28"/>
      <c r="F39" s="28"/>
      <c r="G39" s="28"/>
    </row>
    <row r="40" spans="2:39" s="2" customFormat="1">
      <c r="C40" s="28"/>
      <c r="D40" s="30"/>
      <c r="E40" s="28"/>
      <c r="F40" s="28"/>
      <c r="G40" s="28"/>
    </row>
    <row r="41" spans="2:39" s="2" customFormat="1">
      <c r="C41" s="28"/>
      <c r="D41" s="30"/>
      <c r="E41" s="28"/>
      <c r="F41" s="28"/>
      <c r="G41" s="28"/>
    </row>
    <row r="42" spans="2:39" s="2" customFormat="1">
      <c r="C42" s="28"/>
      <c r="D42" s="30"/>
      <c r="E42" s="28"/>
      <c r="F42" s="28"/>
      <c r="G42" s="28"/>
    </row>
    <row r="43" spans="2:39" s="2" customFormat="1">
      <c r="C43" s="28"/>
      <c r="D43" s="30"/>
      <c r="E43" s="28"/>
      <c r="F43" s="28"/>
      <c r="G43" s="28"/>
    </row>
    <row r="44" spans="2:39" s="2" customFormat="1">
      <c r="C44" s="28"/>
      <c r="D44" s="30"/>
      <c r="E44" s="28"/>
      <c r="F44" s="28"/>
      <c r="G44" s="28"/>
    </row>
    <row r="45" spans="2:39" s="2" customFormat="1">
      <c r="C45" s="28"/>
      <c r="D45" s="30"/>
      <c r="E45" s="28"/>
      <c r="F45" s="28"/>
      <c r="G45" s="28"/>
    </row>
    <row r="46" spans="2:39" s="2" customFormat="1">
      <c r="C46" s="28"/>
      <c r="D46" s="30"/>
      <c r="E46" s="28"/>
      <c r="F46" s="28"/>
      <c r="G46" s="28"/>
    </row>
    <row r="47" spans="2:39" s="2" customFormat="1">
      <c r="C47" s="28"/>
      <c r="D47" s="30"/>
      <c r="E47" s="28"/>
      <c r="F47" s="28"/>
      <c r="G47" s="28"/>
    </row>
    <row r="48" spans="2:39" s="2" customFormat="1">
      <c r="C48" s="28"/>
      <c r="D48" s="30"/>
      <c r="E48" s="28"/>
      <c r="F48" s="28"/>
      <c r="G48" s="28"/>
    </row>
    <row r="49" spans="3:7" s="2" customFormat="1">
      <c r="C49" s="28"/>
      <c r="D49" s="30"/>
      <c r="E49" s="28"/>
      <c r="F49" s="28"/>
      <c r="G49" s="28"/>
    </row>
    <row r="50" spans="3:7" s="2" customFormat="1">
      <c r="C50" s="28"/>
      <c r="D50" s="30"/>
      <c r="E50" s="28"/>
      <c r="F50" s="28"/>
      <c r="G50" s="28"/>
    </row>
    <row r="51" spans="3:7" s="2" customFormat="1">
      <c r="C51" s="28"/>
      <c r="D51" s="30"/>
      <c r="E51" s="28"/>
      <c r="F51" s="28"/>
      <c r="G51" s="28"/>
    </row>
    <row r="52" spans="3:7" s="2" customFormat="1">
      <c r="C52" s="28"/>
      <c r="D52" s="30"/>
      <c r="E52" s="28"/>
      <c r="F52" s="28"/>
      <c r="G52" s="28"/>
    </row>
    <row r="53" spans="3:7" s="2" customFormat="1">
      <c r="C53" s="28"/>
      <c r="D53" s="30"/>
      <c r="E53" s="28"/>
      <c r="F53" s="28"/>
      <c r="G53" s="28"/>
    </row>
    <row r="54" spans="3:7" s="2" customFormat="1">
      <c r="C54" s="28"/>
      <c r="D54" s="30"/>
      <c r="E54" s="28"/>
      <c r="F54" s="28"/>
      <c r="G54" s="28"/>
    </row>
    <row r="55" spans="3:7" s="2" customFormat="1">
      <c r="C55" s="28"/>
      <c r="D55" s="30"/>
      <c r="E55" s="28"/>
      <c r="F55" s="28"/>
      <c r="G55" s="28"/>
    </row>
    <row r="56" spans="3:7" s="2" customFormat="1">
      <c r="C56" s="28"/>
      <c r="D56" s="30"/>
      <c r="E56" s="28"/>
      <c r="F56" s="28"/>
      <c r="G56" s="28"/>
    </row>
    <row r="57" spans="3:7" s="2" customFormat="1">
      <c r="C57" s="28"/>
      <c r="D57" s="30"/>
      <c r="E57" s="28"/>
      <c r="F57" s="28"/>
      <c r="G57" s="28"/>
    </row>
    <row r="58" spans="3:7" s="2" customFormat="1">
      <c r="C58" s="28"/>
      <c r="D58" s="30"/>
      <c r="E58" s="28"/>
      <c r="F58" s="28"/>
      <c r="G58" s="28"/>
    </row>
    <row r="59" spans="3:7" s="2" customFormat="1">
      <c r="C59" s="28"/>
      <c r="D59" s="30"/>
      <c r="E59" s="28"/>
      <c r="F59" s="28"/>
      <c r="G59" s="28"/>
    </row>
    <row r="60" spans="3:7" s="2" customFormat="1">
      <c r="C60" s="28"/>
      <c r="D60" s="30"/>
      <c r="E60" s="28"/>
      <c r="F60" s="28"/>
      <c r="G60" s="28"/>
    </row>
    <row r="61" spans="3:7" s="2" customFormat="1">
      <c r="C61" s="28"/>
      <c r="D61" s="30"/>
      <c r="E61" s="28"/>
      <c r="F61" s="28"/>
      <c r="G61" s="28"/>
    </row>
    <row r="62" spans="3:7" s="2" customFormat="1">
      <c r="C62" s="28"/>
      <c r="D62" s="30"/>
      <c r="E62" s="28"/>
      <c r="F62" s="28"/>
      <c r="G62" s="28"/>
    </row>
    <row r="63" spans="3:7" s="2" customFormat="1">
      <c r="C63" s="28"/>
      <c r="D63" s="30"/>
      <c r="E63" s="28"/>
      <c r="F63" s="28"/>
      <c r="G63" s="28"/>
    </row>
    <row r="64" spans="3:7" s="2" customFormat="1">
      <c r="C64" s="28"/>
      <c r="D64" s="30"/>
      <c r="E64" s="28"/>
      <c r="F64" s="28"/>
      <c r="G64" s="28"/>
    </row>
    <row r="65" spans="3:7" s="2" customFormat="1">
      <c r="C65" s="28"/>
      <c r="D65" s="30"/>
      <c r="E65" s="28"/>
      <c r="F65" s="28"/>
      <c r="G65" s="28"/>
    </row>
    <row r="66" spans="3:7" s="2" customFormat="1">
      <c r="C66" s="28"/>
      <c r="D66" s="30"/>
      <c r="E66" s="28"/>
      <c r="F66" s="28"/>
      <c r="G66" s="28"/>
    </row>
    <row r="67" spans="3:7" s="2" customFormat="1">
      <c r="C67" s="28"/>
      <c r="D67" s="30"/>
      <c r="E67" s="28"/>
      <c r="F67" s="28"/>
      <c r="G67" s="28"/>
    </row>
    <row r="68" spans="3:7" s="2" customFormat="1">
      <c r="C68" s="28"/>
      <c r="D68" s="30"/>
      <c r="E68" s="28"/>
      <c r="F68" s="28"/>
      <c r="G68" s="28"/>
    </row>
    <row r="69" spans="3:7" s="2" customFormat="1">
      <c r="C69" s="28"/>
      <c r="D69" s="30"/>
      <c r="E69" s="28"/>
      <c r="F69" s="28"/>
      <c r="G69" s="28"/>
    </row>
    <row r="70" spans="3:7" s="2" customFormat="1">
      <c r="C70" s="28"/>
      <c r="D70" s="30"/>
      <c r="E70" s="28"/>
      <c r="F70" s="28"/>
      <c r="G70" s="28"/>
    </row>
    <row r="71" spans="3:7" s="2" customFormat="1">
      <c r="C71" s="28"/>
      <c r="D71" s="30"/>
      <c r="E71" s="28"/>
      <c r="F71" s="28"/>
      <c r="G71" s="28"/>
    </row>
    <row r="72" spans="3:7" s="2" customFormat="1">
      <c r="C72" s="28"/>
      <c r="D72" s="30"/>
      <c r="E72" s="28"/>
      <c r="F72" s="28"/>
      <c r="G72" s="28"/>
    </row>
    <row r="73" spans="3:7" s="2" customFormat="1">
      <c r="C73" s="28"/>
      <c r="D73" s="30"/>
      <c r="E73" s="28"/>
      <c r="F73" s="28"/>
      <c r="G73" s="28"/>
    </row>
    <row r="74" spans="3:7" s="2" customFormat="1">
      <c r="C74" s="28"/>
      <c r="D74" s="30"/>
      <c r="E74" s="28"/>
      <c r="F74" s="28"/>
      <c r="G74" s="28"/>
    </row>
    <row r="75" spans="3:7" s="2" customFormat="1">
      <c r="C75" s="28"/>
      <c r="D75" s="30"/>
      <c r="E75" s="28"/>
      <c r="F75" s="28"/>
      <c r="G75" s="28"/>
    </row>
    <row r="76" spans="3:7" s="2" customFormat="1">
      <c r="C76" s="28"/>
      <c r="D76" s="30"/>
      <c r="E76" s="28"/>
      <c r="F76" s="28"/>
      <c r="G76" s="28"/>
    </row>
    <row r="77" spans="3:7" s="2" customFormat="1">
      <c r="C77" s="28"/>
      <c r="D77" s="30"/>
      <c r="E77" s="28"/>
      <c r="F77" s="28"/>
      <c r="G77" s="28"/>
    </row>
    <row r="78" spans="3:7" s="2" customFormat="1">
      <c r="C78" s="28"/>
      <c r="D78" s="30"/>
      <c r="E78" s="28"/>
      <c r="F78" s="28"/>
      <c r="G78" s="28"/>
    </row>
    <row r="79" spans="3:7" s="2" customFormat="1">
      <c r="C79" s="28"/>
      <c r="D79" s="30"/>
      <c r="E79" s="28"/>
      <c r="F79" s="28"/>
      <c r="G79" s="28"/>
    </row>
    <row r="80" spans="3:7" s="2" customFormat="1">
      <c r="C80" s="28"/>
      <c r="D80" s="30"/>
      <c r="E80" s="28"/>
      <c r="F80" s="28"/>
      <c r="G80" s="28"/>
    </row>
    <row r="81" spans="3:7" s="2" customFormat="1">
      <c r="C81" s="28"/>
      <c r="D81" s="30"/>
      <c r="E81" s="28"/>
      <c r="F81" s="28"/>
      <c r="G81" s="28"/>
    </row>
    <row r="82" spans="3:7" s="2" customFormat="1">
      <c r="C82" s="28"/>
      <c r="D82" s="30"/>
      <c r="E82" s="28"/>
      <c r="F82" s="28"/>
      <c r="G82" s="28"/>
    </row>
    <row r="83" spans="3:7" s="2" customFormat="1">
      <c r="C83" s="28"/>
      <c r="D83" s="30"/>
      <c r="E83" s="28"/>
      <c r="F83" s="28"/>
      <c r="G83" s="28"/>
    </row>
    <row r="84" spans="3:7" s="2" customFormat="1">
      <c r="C84" s="28"/>
      <c r="D84" s="30"/>
      <c r="E84" s="28"/>
      <c r="F84" s="28"/>
      <c r="G84" s="28"/>
    </row>
    <row r="85" spans="3:7" s="2" customFormat="1">
      <c r="C85" s="28"/>
      <c r="D85" s="30"/>
      <c r="E85" s="28"/>
      <c r="F85" s="28"/>
      <c r="G85" s="28"/>
    </row>
    <row r="86" spans="3:7" s="2" customFormat="1">
      <c r="C86" s="28"/>
      <c r="D86" s="30"/>
      <c r="E86" s="28"/>
      <c r="F86" s="28"/>
      <c r="G86" s="28"/>
    </row>
    <row r="87" spans="3:7" s="2" customFormat="1">
      <c r="C87" s="28"/>
      <c r="D87" s="30"/>
      <c r="E87" s="28"/>
      <c r="F87" s="28"/>
      <c r="G87" s="28"/>
    </row>
    <row r="88" spans="3:7" s="2" customFormat="1">
      <c r="C88" s="28"/>
      <c r="D88" s="30"/>
      <c r="E88" s="28"/>
      <c r="F88" s="28"/>
      <c r="G88" s="28"/>
    </row>
    <row r="89" spans="3:7" s="2" customFormat="1">
      <c r="C89" s="28"/>
      <c r="D89" s="30"/>
      <c r="E89" s="28"/>
      <c r="F89" s="28"/>
      <c r="G89" s="28"/>
    </row>
    <row r="90" spans="3:7" s="2" customFormat="1">
      <c r="C90" s="28"/>
      <c r="D90" s="30"/>
      <c r="E90" s="28"/>
      <c r="F90" s="28"/>
      <c r="G90" s="28"/>
    </row>
    <row r="91" spans="3:7" s="2" customFormat="1">
      <c r="C91" s="28"/>
      <c r="D91" s="30"/>
      <c r="E91" s="28"/>
      <c r="F91" s="28"/>
      <c r="G91" s="28"/>
    </row>
    <row r="92" spans="3:7" s="2" customFormat="1">
      <c r="C92" s="28"/>
      <c r="D92" s="30"/>
      <c r="E92" s="28"/>
      <c r="F92" s="28"/>
      <c r="G92" s="28"/>
    </row>
    <row r="93" spans="3:7" s="2" customFormat="1">
      <c r="C93" s="28"/>
      <c r="D93" s="30"/>
      <c r="E93" s="28"/>
      <c r="F93" s="28"/>
      <c r="G93" s="28"/>
    </row>
    <row r="94" spans="3:7" s="2" customFormat="1">
      <c r="C94" s="28"/>
      <c r="D94" s="30"/>
      <c r="E94" s="28"/>
      <c r="F94" s="28"/>
      <c r="G94" s="28"/>
    </row>
    <row r="95" spans="3:7" s="2" customFormat="1">
      <c r="C95" s="28"/>
      <c r="D95" s="30"/>
      <c r="E95" s="28"/>
      <c r="F95" s="28"/>
      <c r="G95" s="28"/>
    </row>
    <row r="96" spans="3:7" s="2" customFormat="1">
      <c r="C96" s="28"/>
      <c r="D96" s="30"/>
      <c r="E96" s="28"/>
      <c r="F96" s="28"/>
      <c r="G96" s="28"/>
    </row>
    <row r="97" spans="3:7" s="2" customFormat="1">
      <c r="C97" s="28"/>
      <c r="D97" s="30"/>
      <c r="E97" s="28"/>
      <c r="F97" s="28"/>
      <c r="G97" s="28"/>
    </row>
    <row r="98" spans="3:7" s="2" customFormat="1">
      <c r="C98" s="28"/>
      <c r="D98" s="30"/>
      <c r="E98" s="28"/>
      <c r="F98" s="28"/>
      <c r="G98" s="28"/>
    </row>
    <row r="99" spans="3:7" s="2" customFormat="1">
      <c r="C99" s="28"/>
      <c r="D99" s="30"/>
      <c r="E99" s="28"/>
      <c r="F99" s="28"/>
      <c r="G99" s="28"/>
    </row>
    <row r="100" spans="3:7" s="2" customFormat="1">
      <c r="C100" s="28"/>
      <c r="D100" s="30"/>
      <c r="E100" s="28"/>
      <c r="F100" s="28"/>
      <c r="G100" s="28"/>
    </row>
    <row r="101" spans="3:7" s="2" customFormat="1">
      <c r="C101" s="28"/>
      <c r="D101" s="30"/>
      <c r="E101" s="28"/>
      <c r="F101" s="28"/>
      <c r="G101" s="28"/>
    </row>
    <row r="102" spans="3:7" s="2" customFormat="1">
      <c r="C102" s="28"/>
      <c r="D102" s="30"/>
      <c r="E102" s="28"/>
      <c r="F102" s="28"/>
      <c r="G102" s="28"/>
    </row>
    <row r="103" spans="3:7" s="2" customFormat="1">
      <c r="C103" s="28"/>
      <c r="D103" s="30"/>
      <c r="E103" s="28"/>
      <c r="F103" s="28"/>
      <c r="G103" s="28"/>
    </row>
    <row r="104" spans="3:7" s="2" customFormat="1">
      <c r="C104" s="28"/>
      <c r="D104" s="30"/>
      <c r="E104" s="28"/>
      <c r="F104" s="28"/>
      <c r="G104" s="28"/>
    </row>
    <row r="105" spans="3:7" s="2" customFormat="1">
      <c r="C105" s="28"/>
      <c r="D105" s="30"/>
      <c r="E105" s="28"/>
      <c r="F105" s="28"/>
      <c r="G105" s="28"/>
    </row>
    <row r="106" spans="3:7" s="2" customFormat="1">
      <c r="C106" s="28"/>
      <c r="D106" s="30"/>
      <c r="E106" s="28"/>
      <c r="F106" s="28"/>
      <c r="G106" s="28"/>
    </row>
    <row r="107" spans="3:7" s="2" customFormat="1">
      <c r="C107" s="28"/>
      <c r="D107" s="30"/>
      <c r="E107" s="28"/>
      <c r="F107" s="28"/>
      <c r="G107" s="28"/>
    </row>
    <row r="108" spans="3:7" s="2" customFormat="1">
      <c r="C108" s="28"/>
      <c r="D108" s="30"/>
      <c r="E108" s="28"/>
      <c r="F108" s="28"/>
      <c r="G108" s="28"/>
    </row>
    <row r="109" spans="3:7" s="2" customFormat="1">
      <c r="C109" s="28"/>
      <c r="D109" s="30"/>
      <c r="E109" s="28"/>
      <c r="F109" s="28"/>
      <c r="G109" s="28"/>
    </row>
    <row r="110" spans="3:7" s="2" customFormat="1">
      <c r="C110" s="28"/>
      <c r="D110" s="30"/>
      <c r="E110" s="28"/>
      <c r="F110" s="28"/>
      <c r="G110" s="28"/>
    </row>
    <row r="111" spans="3:7" s="2" customFormat="1">
      <c r="C111" s="28"/>
      <c r="D111" s="30"/>
      <c r="E111" s="28"/>
      <c r="F111" s="28"/>
      <c r="G111" s="28"/>
    </row>
    <row r="112" spans="3:7" s="2" customFormat="1">
      <c r="C112" s="28"/>
      <c r="D112" s="30"/>
      <c r="E112" s="28"/>
      <c r="F112" s="28"/>
      <c r="G112" s="28"/>
    </row>
    <row r="113" spans="3:7" s="2" customFormat="1">
      <c r="C113" s="28"/>
      <c r="D113" s="30"/>
      <c r="E113" s="28"/>
      <c r="F113" s="28"/>
      <c r="G113" s="28"/>
    </row>
    <row r="114" spans="3:7" s="2" customFormat="1">
      <c r="C114" s="28"/>
      <c r="D114" s="30"/>
      <c r="E114" s="28"/>
      <c r="F114" s="28"/>
      <c r="G114" s="28"/>
    </row>
    <row r="115" spans="3:7" s="2" customFormat="1">
      <c r="C115" s="28"/>
      <c r="D115" s="30"/>
      <c r="E115" s="28"/>
      <c r="F115" s="28"/>
      <c r="G115" s="28"/>
    </row>
    <row r="116" spans="3:7" s="2" customFormat="1">
      <c r="C116" s="28"/>
      <c r="D116" s="30"/>
      <c r="E116" s="28"/>
      <c r="F116" s="28"/>
      <c r="G116" s="28"/>
    </row>
    <row r="117" spans="3:7" s="2" customFormat="1">
      <c r="C117" s="28"/>
      <c r="D117" s="30"/>
      <c r="E117" s="28"/>
      <c r="F117" s="28"/>
      <c r="G117" s="28"/>
    </row>
    <row r="118" spans="3:7" s="2" customFormat="1">
      <c r="C118" s="28"/>
      <c r="D118" s="30"/>
      <c r="E118" s="28"/>
      <c r="F118" s="28"/>
      <c r="G118" s="28"/>
    </row>
    <row r="119" spans="3:7" s="2" customFormat="1">
      <c r="C119" s="28"/>
      <c r="D119" s="30"/>
      <c r="E119" s="28"/>
      <c r="F119" s="28"/>
      <c r="G119" s="28"/>
    </row>
    <row r="120" spans="3:7" s="2" customFormat="1">
      <c r="C120" s="28"/>
      <c r="D120" s="30"/>
      <c r="E120" s="28"/>
      <c r="F120" s="28"/>
      <c r="G120" s="28"/>
    </row>
    <row r="121" spans="3:7" s="2" customFormat="1">
      <c r="C121" s="28"/>
      <c r="D121" s="30"/>
      <c r="E121" s="28"/>
      <c r="F121" s="28"/>
      <c r="G121" s="28"/>
    </row>
    <row r="122" spans="3:7" s="2" customFormat="1">
      <c r="C122" s="28"/>
      <c r="D122" s="30"/>
      <c r="E122" s="28"/>
      <c r="F122" s="28"/>
      <c r="G122" s="28"/>
    </row>
    <row r="123" spans="3:7" s="2" customFormat="1">
      <c r="C123" s="28"/>
      <c r="D123" s="30"/>
      <c r="E123" s="28"/>
      <c r="F123" s="28"/>
      <c r="G123" s="28"/>
    </row>
    <row r="124" spans="3:7" s="2" customFormat="1">
      <c r="C124" s="28"/>
      <c r="D124" s="30"/>
      <c r="E124" s="28"/>
      <c r="F124" s="28"/>
      <c r="G124" s="28"/>
    </row>
    <row r="125" spans="3:7" s="2" customFormat="1">
      <c r="C125" s="28"/>
      <c r="D125" s="30"/>
      <c r="E125" s="28"/>
      <c r="F125" s="28"/>
      <c r="G125" s="28"/>
    </row>
    <row r="126" spans="3:7" s="2" customFormat="1">
      <c r="C126" s="28"/>
      <c r="D126" s="30"/>
      <c r="E126" s="28"/>
      <c r="F126" s="28"/>
      <c r="G126" s="28"/>
    </row>
    <row r="127" spans="3:7" s="2" customFormat="1">
      <c r="C127" s="28"/>
      <c r="D127" s="30"/>
      <c r="E127" s="28"/>
      <c r="F127" s="28"/>
      <c r="G127" s="28"/>
    </row>
    <row r="128" spans="3:7" s="2" customFormat="1">
      <c r="C128" s="28"/>
      <c r="D128" s="30"/>
      <c r="E128" s="28"/>
      <c r="F128" s="28"/>
      <c r="G128" s="28"/>
    </row>
    <row r="129" spans="3:7" s="2" customFormat="1">
      <c r="C129" s="28"/>
      <c r="D129" s="30"/>
      <c r="E129" s="28"/>
      <c r="F129" s="28"/>
      <c r="G129" s="28"/>
    </row>
    <row r="130" spans="3:7" s="2" customFormat="1">
      <c r="C130" s="28"/>
      <c r="D130" s="30"/>
      <c r="E130" s="28"/>
      <c r="F130" s="28"/>
      <c r="G130" s="28"/>
    </row>
    <row r="131" spans="3:7" s="2" customFormat="1">
      <c r="C131" s="28"/>
      <c r="D131" s="30"/>
      <c r="E131" s="28"/>
      <c r="F131" s="28"/>
      <c r="G131" s="28"/>
    </row>
    <row r="132" spans="3:7" s="2" customFormat="1">
      <c r="C132" s="28"/>
      <c r="D132" s="30"/>
      <c r="E132" s="28"/>
      <c r="F132" s="28"/>
      <c r="G132" s="28"/>
    </row>
    <row r="133" spans="3:7" s="2" customFormat="1">
      <c r="C133" s="28"/>
      <c r="D133" s="30"/>
      <c r="E133" s="28"/>
      <c r="F133" s="28"/>
      <c r="G133" s="28"/>
    </row>
    <row r="134" spans="3:7" s="2" customFormat="1">
      <c r="C134" s="28"/>
      <c r="D134" s="30"/>
      <c r="E134" s="28"/>
      <c r="F134" s="28"/>
      <c r="G134" s="28"/>
    </row>
    <row r="135" spans="3:7" s="2" customFormat="1">
      <c r="C135" s="28"/>
      <c r="D135" s="30"/>
      <c r="E135" s="28"/>
      <c r="F135" s="28"/>
      <c r="G135" s="28"/>
    </row>
    <row r="136" spans="3:7" s="2" customFormat="1">
      <c r="C136" s="28"/>
      <c r="D136" s="30"/>
      <c r="E136" s="28"/>
      <c r="F136" s="28"/>
      <c r="G136" s="28"/>
    </row>
    <row r="137" spans="3:7" s="2" customFormat="1">
      <c r="C137" s="28"/>
      <c r="D137" s="30"/>
      <c r="E137" s="28"/>
      <c r="F137" s="28"/>
      <c r="G137" s="28"/>
    </row>
    <row r="138" spans="3:7" s="2" customFormat="1">
      <c r="C138" s="28"/>
      <c r="D138" s="30"/>
      <c r="E138" s="28"/>
      <c r="F138" s="28"/>
      <c r="G138" s="28"/>
    </row>
    <row r="139" spans="3:7" s="2" customFormat="1">
      <c r="C139" s="28"/>
      <c r="D139" s="30"/>
      <c r="E139" s="28"/>
      <c r="F139" s="28"/>
      <c r="G139" s="28"/>
    </row>
    <row r="140" spans="3:7" s="2" customFormat="1">
      <c r="C140" s="28"/>
      <c r="D140" s="30"/>
      <c r="E140" s="28"/>
      <c r="F140" s="28"/>
      <c r="G140" s="28"/>
    </row>
    <row r="141" spans="3:7" s="2" customFormat="1">
      <c r="C141" s="28"/>
      <c r="D141" s="30"/>
      <c r="E141" s="28"/>
      <c r="F141" s="28"/>
      <c r="G141" s="28"/>
    </row>
    <row r="142" spans="3:7" s="2" customFormat="1">
      <c r="C142" s="28"/>
      <c r="D142" s="30"/>
      <c r="E142" s="28"/>
      <c r="F142" s="28"/>
      <c r="G142" s="28"/>
    </row>
    <row r="143" spans="3:7" s="2" customFormat="1">
      <c r="C143" s="28"/>
      <c r="D143" s="30"/>
      <c r="E143" s="28"/>
      <c r="F143" s="28"/>
      <c r="G143" s="28"/>
    </row>
    <row r="144" spans="3:7" s="2" customFormat="1">
      <c r="C144" s="28"/>
      <c r="D144" s="30"/>
      <c r="E144" s="28"/>
      <c r="F144" s="28"/>
      <c r="G144" s="28"/>
    </row>
    <row r="145" spans="3:7" s="2" customFormat="1">
      <c r="C145" s="28"/>
      <c r="D145" s="30"/>
      <c r="E145" s="28"/>
      <c r="F145" s="28"/>
      <c r="G145" s="28"/>
    </row>
    <row r="146" spans="3:7" s="2" customFormat="1">
      <c r="C146" s="28"/>
      <c r="D146" s="30"/>
      <c r="E146" s="28"/>
      <c r="F146" s="28"/>
      <c r="G146" s="28"/>
    </row>
    <row r="147" spans="3:7" s="2" customFormat="1">
      <c r="C147" s="28"/>
      <c r="D147" s="30"/>
      <c r="E147" s="28"/>
      <c r="F147" s="28"/>
      <c r="G147" s="28"/>
    </row>
    <row r="148" spans="3:7" s="2" customFormat="1">
      <c r="C148" s="28"/>
      <c r="D148" s="30"/>
      <c r="E148" s="28"/>
      <c r="F148" s="28"/>
      <c r="G148" s="28"/>
    </row>
    <row r="149" spans="3:7" s="2" customFormat="1">
      <c r="C149" s="28"/>
      <c r="D149" s="30"/>
      <c r="E149" s="28"/>
      <c r="F149" s="28"/>
      <c r="G149" s="28"/>
    </row>
    <row r="150" spans="3:7" s="2" customFormat="1">
      <c r="C150" s="28"/>
      <c r="D150" s="30"/>
      <c r="E150" s="28"/>
      <c r="F150" s="28"/>
      <c r="G150" s="28"/>
    </row>
    <row r="151" spans="3:7" s="2" customFormat="1">
      <c r="C151" s="28"/>
      <c r="D151" s="30"/>
      <c r="E151" s="28"/>
      <c r="F151" s="28"/>
      <c r="G151" s="28"/>
    </row>
    <row r="152" spans="3:7" s="2" customFormat="1">
      <c r="C152" s="28"/>
      <c r="D152" s="30"/>
      <c r="E152" s="28"/>
      <c r="F152" s="28"/>
      <c r="G152" s="28"/>
    </row>
    <row r="153" spans="3:7" s="2" customFormat="1">
      <c r="C153" s="28"/>
      <c r="D153" s="30"/>
      <c r="E153" s="28"/>
      <c r="F153" s="28"/>
      <c r="G153" s="28"/>
    </row>
    <row r="154" spans="3:7" s="2" customFormat="1">
      <c r="C154" s="28"/>
      <c r="D154" s="30"/>
      <c r="E154" s="28"/>
      <c r="F154" s="28"/>
      <c r="G154" s="28"/>
    </row>
    <row r="155" spans="3:7" s="2" customFormat="1">
      <c r="C155" s="28"/>
      <c r="D155" s="30"/>
      <c r="E155" s="28"/>
      <c r="F155" s="28"/>
      <c r="G155" s="28"/>
    </row>
    <row r="156" spans="3:7" s="2" customFormat="1">
      <c r="C156" s="28"/>
      <c r="D156" s="30"/>
      <c r="E156" s="28"/>
      <c r="F156" s="28"/>
      <c r="G156" s="28"/>
    </row>
    <row r="157" spans="3:7" s="2" customFormat="1">
      <c r="C157" s="28"/>
      <c r="D157" s="30"/>
      <c r="E157" s="28"/>
      <c r="F157" s="28"/>
      <c r="G157" s="28"/>
    </row>
    <row r="158" spans="3:7" s="2" customFormat="1">
      <c r="C158" s="28"/>
      <c r="D158" s="30"/>
      <c r="E158" s="28"/>
      <c r="F158" s="28"/>
      <c r="G158" s="28"/>
    </row>
    <row r="159" spans="3:7" s="2" customFormat="1">
      <c r="C159" s="28"/>
      <c r="D159" s="30"/>
      <c r="E159" s="28"/>
      <c r="F159" s="28"/>
      <c r="G159" s="28"/>
    </row>
    <row r="160" spans="3:7" s="2" customFormat="1">
      <c r="C160" s="28"/>
      <c r="D160" s="30"/>
      <c r="E160" s="28"/>
      <c r="F160" s="28"/>
      <c r="G160" s="28"/>
    </row>
    <row r="161" spans="3:7" s="2" customFormat="1">
      <c r="C161" s="28"/>
      <c r="D161" s="30"/>
      <c r="E161" s="28"/>
      <c r="F161" s="28"/>
      <c r="G161" s="28"/>
    </row>
    <row r="162" spans="3:7" s="2" customFormat="1">
      <c r="C162" s="28"/>
      <c r="D162" s="30"/>
      <c r="E162" s="28"/>
      <c r="F162" s="28"/>
      <c r="G162" s="28"/>
    </row>
    <row r="163" spans="3:7" s="2" customFormat="1">
      <c r="C163" s="28"/>
      <c r="D163" s="30"/>
      <c r="E163" s="28"/>
      <c r="F163" s="28"/>
      <c r="G163" s="28"/>
    </row>
    <row r="164" spans="3:7" s="2" customFormat="1">
      <c r="C164" s="28"/>
      <c r="D164" s="30"/>
      <c r="E164" s="28"/>
      <c r="F164" s="28"/>
      <c r="G164" s="28"/>
    </row>
    <row r="165" spans="3:7" s="2" customFormat="1">
      <c r="C165" s="28"/>
      <c r="D165" s="30"/>
      <c r="E165" s="28"/>
      <c r="F165" s="28"/>
      <c r="G165" s="28"/>
    </row>
    <row r="166" spans="3:7" s="2" customFormat="1">
      <c r="C166" s="28"/>
      <c r="D166" s="30"/>
      <c r="E166" s="28"/>
      <c r="F166" s="28"/>
      <c r="G166" s="28"/>
    </row>
    <row r="167" spans="3:7" s="2" customFormat="1">
      <c r="C167" s="28"/>
      <c r="D167" s="30"/>
      <c r="E167" s="28"/>
      <c r="F167" s="28"/>
      <c r="G167" s="28"/>
    </row>
    <row r="168" spans="3:7" s="2" customFormat="1">
      <c r="C168" s="28"/>
      <c r="D168" s="30"/>
      <c r="E168" s="28"/>
      <c r="F168" s="28"/>
      <c r="G168" s="28"/>
    </row>
    <row r="169" spans="3:7" s="2" customFormat="1">
      <c r="C169" s="28"/>
      <c r="D169" s="30"/>
      <c r="E169" s="28"/>
      <c r="F169" s="28"/>
      <c r="G169" s="28"/>
    </row>
    <row r="170" spans="3:7" s="2" customFormat="1">
      <c r="C170" s="28"/>
      <c r="D170" s="30"/>
      <c r="E170" s="28"/>
      <c r="F170" s="28"/>
      <c r="G170" s="28"/>
    </row>
    <row r="171" spans="3:7" s="2" customFormat="1">
      <c r="C171" s="28"/>
      <c r="D171" s="30"/>
      <c r="E171" s="28"/>
      <c r="F171" s="28"/>
      <c r="G171" s="28"/>
    </row>
    <row r="172" spans="3:7" s="2" customFormat="1">
      <c r="C172" s="28"/>
      <c r="D172" s="30"/>
      <c r="E172" s="28"/>
      <c r="F172" s="28"/>
      <c r="G172" s="28"/>
    </row>
    <row r="173" spans="3:7" s="2" customFormat="1">
      <c r="C173" s="28"/>
      <c r="D173" s="30"/>
      <c r="E173" s="28"/>
      <c r="F173" s="28"/>
      <c r="G173" s="28"/>
    </row>
  </sheetData>
  <phoneticPr fontId="77" type="noConversion"/>
  <pageMargins left="0.75" right="0.75" top="1" bottom="1" header="0.5" footer="0.5"/>
  <pageSetup orientation="portrait" horizontalDpi="1200" verticalDpi="1200"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rgb="FFFF99CC"/>
  </sheetPr>
  <dimension ref="A1:BO85"/>
  <sheetViews>
    <sheetView zoomScale="85" zoomScaleNormal="85" workbookViewId="0">
      <pane xSplit="4" ySplit="1" topLeftCell="E2" activePane="bottomRight" state="frozen"/>
      <selection activeCell="N13" sqref="N13"/>
      <selection pane="topRight" activeCell="N13" sqref="N13"/>
      <selection pane="bottomLeft" activeCell="N13" sqref="N13"/>
      <selection pane="bottomRight" activeCell="Y42" sqref="Y42"/>
    </sheetView>
  </sheetViews>
  <sheetFormatPr defaultColWidth="9.140625" defaultRowHeight="15"/>
  <cols>
    <col min="1" max="1" width="9.140625" style="3132"/>
    <col min="2" max="2" width="33.42578125" style="3133" customWidth="1"/>
    <col min="3" max="3" width="18.7109375" style="3133" customWidth="1"/>
    <col min="4" max="4" width="10.28515625" style="3144" bestFit="1" customWidth="1"/>
    <col min="5" max="5" width="11.28515625" style="3157" customWidth="1"/>
    <col min="6" max="23" width="11.28515625" style="3133" customWidth="1"/>
    <col min="24" max="24" width="15.140625" style="3133" customWidth="1"/>
    <col min="25" max="41" width="13.85546875" style="3133" customWidth="1"/>
    <col min="42" max="46" width="16.140625" style="3133" customWidth="1"/>
    <col min="47" max="16384" width="9.140625" style="3133"/>
  </cols>
  <sheetData>
    <row r="1" spans="1:46" ht="51.75">
      <c r="D1" s="3134" t="s">
        <v>1822</v>
      </c>
      <c r="E1" s="3135" t="s">
        <v>1823</v>
      </c>
      <c r="F1" s="3136">
        <v>1993</v>
      </c>
      <c r="G1" s="3136">
        <v>1994</v>
      </c>
      <c r="H1" s="3136">
        <v>1995</v>
      </c>
      <c r="I1" s="3136">
        <v>1996</v>
      </c>
      <c r="J1" s="3136">
        <v>1997</v>
      </c>
      <c r="K1" s="3136">
        <v>1998</v>
      </c>
      <c r="L1" s="3136">
        <v>1999</v>
      </c>
      <c r="M1" s="3136">
        <v>2000</v>
      </c>
      <c r="N1" s="3136">
        <v>2001</v>
      </c>
      <c r="O1" s="3136">
        <v>2002</v>
      </c>
      <c r="P1" s="3136">
        <v>2003</v>
      </c>
      <c r="Q1" s="3136">
        <v>2004</v>
      </c>
      <c r="R1" s="3136">
        <v>2005</v>
      </c>
      <c r="S1" s="3136">
        <v>2006</v>
      </c>
      <c r="T1" s="3136">
        <v>2007</v>
      </c>
      <c r="U1" s="3136">
        <v>2008</v>
      </c>
      <c r="V1" s="3136">
        <v>2009</v>
      </c>
      <c r="W1" s="3136">
        <v>2010</v>
      </c>
      <c r="X1" s="3136">
        <v>2011</v>
      </c>
      <c r="Y1" s="3137">
        <v>2012</v>
      </c>
      <c r="Z1" s="3137">
        <v>2013</v>
      </c>
      <c r="AA1" s="3137">
        <v>2014</v>
      </c>
      <c r="AB1" s="3137">
        <v>2015</v>
      </c>
      <c r="AC1" s="3137">
        <v>2016</v>
      </c>
      <c r="AD1" s="3137">
        <v>2017</v>
      </c>
      <c r="AE1" s="3137">
        <v>2018</v>
      </c>
      <c r="AF1" s="3137">
        <v>2019</v>
      </c>
      <c r="AG1" s="3137">
        <v>2020</v>
      </c>
      <c r="AH1" s="3137">
        <v>2021</v>
      </c>
      <c r="AI1" s="3137">
        <v>2022</v>
      </c>
      <c r="AJ1" s="3137">
        <v>2023</v>
      </c>
      <c r="AK1" s="3137">
        <v>2024</v>
      </c>
      <c r="AL1" s="3137">
        <v>2025</v>
      </c>
      <c r="AM1" s="3137">
        <v>2026</v>
      </c>
      <c r="AN1" s="3137">
        <v>2027</v>
      </c>
      <c r="AO1" s="3137">
        <v>2028</v>
      </c>
      <c r="AP1" s="3137">
        <v>2029</v>
      </c>
      <c r="AQ1" s="3137">
        <v>2030</v>
      </c>
      <c r="AR1" s="3137">
        <v>2031</v>
      </c>
      <c r="AS1" s="3137">
        <v>2032</v>
      </c>
      <c r="AT1" s="3137">
        <v>2033</v>
      </c>
    </row>
    <row r="2" spans="1:46">
      <c r="A2" s="3132" t="s">
        <v>1341</v>
      </c>
      <c r="B2" s="3138" t="s">
        <v>1825</v>
      </c>
      <c r="C2" s="3139"/>
      <c r="D2" s="3140">
        <v>5.2310599999999999E-2</v>
      </c>
      <c r="E2" s="3140"/>
      <c r="F2" s="3142">
        <f t="shared" ref="F2:AT2" si="0">EXP(($D$2+$E$8)*(F$1-1993)+$D$7+$D8)</f>
        <v>9513.9640657638156</v>
      </c>
      <c r="G2" s="3142">
        <f t="shared" si="0"/>
        <v>10519.060048872312</v>
      </c>
      <c r="H2" s="3142">
        <f t="shared" si="0"/>
        <v>11630.338683951919</v>
      </c>
      <c r="I2" s="3142">
        <f t="shared" si="0"/>
        <v>12859.01756192842</v>
      </c>
      <c r="J2" s="3142">
        <f t="shared" si="0"/>
        <v>14217.499348161467</v>
      </c>
      <c r="K2" s="3142">
        <f t="shared" si="0"/>
        <v>15719.496978792338</v>
      </c>
      <c r="L2" s="3142">
        <f t="shared" si="0"/>
        <v>17380.172083371039</v>
      </c>
      <c r="M2" s="3142">
        <f t="shared" si="0"/>
        <v>19216.288031043394</v>
      </c>
      <c r="N2" s="3142">
        <f t="shared" si="0"/>
        <v>21246.379145194205</v>
      </c>
      <c r="O2" s="3142">
        <f t="shared" si="0"/>
        <v>23490.93779465137</v>
      </c>
      <c r="P2" s="3142">
        <f t="shared" si="0"/>
        <v>25972.621250007123</v>
      </c>
      <c r="Q2" s="3142">
        <f t="shared" si="0"/>
        <v>28716.480393129157</v>
      </c>
      <c r="R2" s="3142">
        <f t="shared" si="0"/>
        <v>31750.212588525126</v>
      </c>
      <c r="S2" s="3142">
        <f t="shared" si="0"/>
        <v>35104.441269123447</v>
      </c>
      <c r="T2" s="3142">
        <f t="shared" si="0"/>
        <v>38813.025058695646</v>
      </c>
      <c r="U2" s="3142">
        <f t="shared" si="0"/>
        <v>42913.399551297065</v>
      </c>
      <c r="V2" s="3142">
        <f t="shared" si="0"/>
        <v>47446.955197754622</v>
      </c>
      <c r="W2" s="3142">
        <f t="shared" si="0"/>
        <v>52459.455113704571</v>
      </c>
      <c r="X2" s="3142">
        <f t="shared" si="0"/>
        <v>58001.497026663157</v>
      </c>
      <c r="Y2" s="3142">
        <f t="shared" si="0"/>
        <v>64129.024025168503</v>
      </c>
      <c r="Z2" s="3142">
        <f t="shared" si="0"/>
        <v>70903.889265653343</v>
      </c>
      <c r="AA2" s="3142">
        <f t="shared" si="0"/>
        <v>78394.480337373607</v>
      </c>
      <c r="AB2" s="3142">
        <f t="shared" si="0"/>
        <v>86676.409587927788</v>
      </c>
      <c r="AC2" s="3142">
        <f t="shared" si="0"/>
        <v>95833.277377726277</v>
      </c>
      <c r="AD2" s="3142">
        <f t="shared" si="0"/>
        <v>105957.51596793605</v>
      </c>
      <c r="AE2" s="3142">
        <f t="shared" si="0"/>
        <v>117151.32256036981</v>
      </c>
      <c r="AF2" s="3142">
        <f t="shared" si="0"/>
        <v>129527.69090771255</v>
      </c>
      <c r="AG2" s="3142">
        <f t="shared" si="0"/>
        <v>143211.55190747645</v>
      </c>
      <c r="AH2" s="3142">
        <f t="shared" si="0"/>
        <v>158341.03469319682</v>
      </c>
      <c r="AI2" s="3142">
        <f t="shared" si="0"/>
        <v>175068.8609527128</v>
      </c>
      <c r="AJ2" s="3142">
        <f t="shared" si="0"/>
        <v>193563.88654821095</v>
      </c>
      <c r="AK2" s="3142">
        <f t="shared" si="0"/>
        <v>214012.8059996271</v>
      </c>
      <c r="AL2" s="3142">
        <f t="shared" si="0"/>
        <v>236622.03703698795</v>
      </c>
      <c r="AM2" s="3142">
        <f t="shared" si="0"/>
        <v>261619.80424494436</v>
      </c>
      <c r="AN2" s="3142">
        <f t="shared" si="0"/>
        <v>289258.44283245609</v>
      </c>
      <c r="AO2" s="3142">
        <f t="shared" si="0"/>
        <v>319816.94578259095</v>
      </c>
      <c r="AP2" s="3142">
        <f t="shared" si="0"/>
        <v>353603.7800941522</v>
      </c>
      <c r="AQ2" s="3142">
        <f t="shared" si="0"/>
        <v>390960.00054315943</v>
      </c>
      <c r="AR2" s="3142">
        <f t="shared" si="0"/>
        <v>432262.69239545177</v>
      </c>
      <c r="AS2" s="3142">
        <f t="shared" si="0"/>
        <v>477928.77782221563</v>
      </c>
      <c r="AT2" s="3142">
        <f t="shared" si="0"/>
        <v>528419.22444158571</v>
      </c>
    </row>
    <row r="3" spans="1:46">
      <c r="B3" s="3143" t="s">
        <v>1826</v>
      </c>
      <c r="C3" s="3133" t="s">
        <v>1827</v>
      </c>
      <c r="D3" s="3144">
        <v>0.40510170000000001</v>
      </c>
      <c r="E3" s="3152">
        <v>9.4953599999999999E-2</v>
      </c>
      <c r="F3" s="3146">
        <f t="shared" ref="F3:AT3" si="1">EXP(($D$2+$E$3)*(F$1-1993)+$D$7+$D3)</f>
        <v>11772.972297242979</v>
      </c>
      <c r="G3" s="3146">
        <f t="shared" si="1"/>
        <v>13640.872559646656</v>
      </c>
      <c r="H3" s="3146">
        <f t="shared" si="1"/>
        <v>15805.133953478866</v>
      </c>
      <c r="I3" s="3146">
        <f t="shared" si="1"/>
        <v>18312.777147877754</v>
      </c>
      <c r="J3" s="3146">
        <f t="shared" si="1"/>
        <v>21218.283113255031</v>
      </c>
      <c r="K3" s="3146">
        <f t="shared" si="1"/>
        <v>24584.776772998546</v>
      </c>
      <c r="L3" s="3146">
        <f t="shared" si="1"/>
        <v>28485.398453402388</v>
      </c>
      <c r="M3" s="3146">
        <f t="shared" si="1"/>
        <v>33004.892927898341</v>
      </c>
      <c r="N3" s="3146">
        <f t="shared" si="1"/>
        <v>38241.45057910958</v>
      </c>
      <c r="O3" s="3146">
        <f t="shared" si="1"/>
        <v>44308.840679750858</v>
      </c>
      <c r="P3" s="3146">
        <f t="shared" si="1"/>
        <v>51338.883139962134</v>
      </c>
      <c r="Q3" s="3146">
        <f t="shared" si="1"/>
        <v>59484.312422175259</v>
      </c>
      <c r="R3" s="3146">
        <f t="shared" si="1"/>
        <v>68922.095844829033</v>
      </c>
      <c r="S3" s="3146">
        <f t="shared" si="1"/>
        <v>79857.278368287109</v>
      </c>
      <c r="T3" s="3146">
        <f t="shared" si="1"/>
        <v>92527.437394644337</v>
      </c>
      <c r="U3" s="3146">
        <f t="shared" si="1"/>
        <v>107207.84436625252</v>
      </c>
      <c r="V3" s="3146">
        <f t="shared" si="1"/>
        <v>124217.44530367668</v>
      </c>
      <c r="W3" s="3146">
        <f t="shared" si="1"/>
        <v>143925.79021604755</v>
      </c>
      <c r="X3" s="3146">
        <f t="shared" si="1"/>
        <v>166761.06193193948</v>
      </c>
      <c r="Y3" s="3146">
        <f t="shared" si="1"/>
        <v>193219.37878488333</v>
      </c>
      <c r="Z3" s="3146">
        <f t="shared" si="1"/>
        <v>223875.57326333961</v>
      </c>
      <c r="AA3" s="3146">
        <f t="shared" si="1"/>
        <v>259395.68080171285</v>
      </c>
      <c r="AB3" s="3146">
        <f t="shared" si="1"/>
        <v>300551.41004345811</v>
      </c>
      <c r="AC3" s="3146">
        <f t="shared" si="1"/>
        <v>348236.9089567138</v>
      </c>
      <c r="AD3" s="3146">
        <f t="shared" si="1"/>
        <v>403488.1910625266</v>
      </c>
      <c r="AE3" s="3146">
        <f t="shared" si="1"/>
        <v>467505.6438292315</v>
      </c>
      <c r="AF3" s="3146">
        <f t="shared" si="1"/>
        <v>541680.10824959795</v>
      </c>
      <c r="AG3" s="3146">
        <f t="shared" si="1"/>
        <v>627623.09620474861</v>
      </c>
      <c r="AH3" s="3146">
        <f t="shared" si="1"/>
        <v>727201.80211625388</v>
      </c>
      <c r="AI3" s="3146">
        <f t="shared" si="1"/>
        <v>842579.66954837705</v>
      </c>
      <c r="AJ3" s="3146">
        <f t="shared" si="1"/>
        <v>976263.39410908159</v>
      </c>
      <c r="AK3" s="3146">
        <f t="shared" si="1"/>
        <v>1131157.3838331955</v>
      </c>
      <c r="AL3" s="3146">
        <f t="shared" si="1"/>
        <v>1310626.8602522204</v>
      </c>
      <c r="AM3" s="3146">
        <f t="shared" si="1"/>
        <v>1518570.9710823915</v>
      </c>
      <c r="AN3" s="3146">
        <f t="shared" si="1"/>
        <v>1759507.5029748203</v>
      </c>
      <c r="AO3" s="3146">
        <f t="shared" si="1"/>
        <v>2038671.03479402</v>
      </c>
      <c r="AP3" s="3146">
        <f t="shared" si="1"/>
        <v>2362126.6638995302</v>
      </c>
      <c r="AQ3" s="3146">
        <f t="shared" si="1"/>
        <v>2736901.7762440918</v>
      </c>
      <c r="AR3" s="3146">
        <f t="shared" si="1"/>
        <v>3171138.7231208486</v>
      </c>
      <c r="AS3" s="3146">
        <f t="shared" si="1"/>
        <v>3674271.7216095105</v>
      </c>
      <c r="AT3" s="3146">
        <f t="shared" si="1"/>
        <v>4257231.822054497</v>
      </c>
    </row>
    <row r="4" spans="1:46">
      <c r="B4" s="3147" t="s">
        <v>385</v>
      </c>
      <c r="C4" s="3133" t="s">
        <v>1828</v>
      </c>
      <c r="E4" s="3152"/>
      <c r="F4" s="3146"/>
      <c r="G4" s="3146"/>
      <c r="H4" s="3146"/>
      <c r="I4" s="3146"/>
      <c r="J4" s="3146"/>
      <c r="K4" s="3146"/>
      <c r="L4" s="3146"/>
      <c r="M4" s="3146"/>
      <c r="N4" s="3146"/>
      <c r="O4" s="3146"/>
      <c r="P4" s="3146"/>
      <c r="Q4" s="3146"/>
      <c r="R4" s="3146"/>
      <c r="S4" s="3146"/>
      <c r="T4" s="3146"/>
      <c r="U4" s="3146"/>
      <c r="V4" s="3146"/>
      <c r="W4" s="3146"/>
      <c r="X4" s="3202">
        <f t="shared" ref="X4:AT4" si="2">PV((1+DiscountRate)/(1+InflationRate)-1,30,-IF(CostScenario="Higher Cost",X49,IF(CostScenario="Lower Cost",X50,X48))*2000)</f>
        <v>115326.47843195623</v>
      </c>
      <c r="Y4" s="3202">
        <f t="shared" si="2"/>
        <v>115326.47843195623</v>
      </c>
      <c r="Z4" s="3202">
        <f t="shared" si="2"/>
        <v>117129.71274617399</v>
      </c>
      <c r="AA4" s="3202">
        <f t="shared" si="2"/>
        <v>118961.14226791202</v>
      </c>
      <c r="AB4" s="3202">
        <f t="shared" si="2"/>
        <v>120821.20785486743</v>
      </c>
      <c r="AC4" s="3202">
        <f t="shared" si="2"/>
        <v>122710.35725794816</v>
      </c>
      <c r="AD4" s="3202">
        <f t="shared" si="2"/>
        <v>124629.04522905452</v>
      </c>
      <c r="AE4" s="3202">
        <f t="shared" si="2"/>
        <v>126577.73363054616</v>
      </c>
      <c r="AF4" s="3202">
        <f t="shared" si="2"/>
        <v>128556.89154642049</v>
      </c>
      <c r="AG4" s="3202">
        <f t="shared" si="2"/>
        <v>130566.99539522958</v>
      </c>
      <c r="AH4" s="3202">
        <f t="shared" si="2"/>
        <v>132608.52904476263</v>
      </c>
      <c r="AI4" s="3202">
        <f t="shared" si="2"/>
        <v>134681.98392852157</v>
      </c>
      <c r="AJ4" s="3202">
        <f t="shared" si="2"/>
        <v>136787.85916401769</v>
      </c>
      <c r="AK4" s="3202">
        <f t="shared" si="2"/>
        <v>138926.66167291833</v>
      </c>
      <c r="AL4" s="3202">
        <f t="shared" si="2"/>
        <v>141098.90630307177</v>
      </c>
      <c r="AM4" s="3202">
        <f t="shared" si="2"/>
        <v>143305.11595244048</v>
      </c>
      <c r="AN4" s="3202">
        <f t="shared" si="2"/>
        <v>145545.82169497173</v>
      </c>
      <c r="AO4" s="3202">
        <f t="shared" si="2"/>
        <v>147821.56290843681</v>
      </c>
      <c r="AP4" s="3202">
        <f t="shared" si="2"/>
        <v>150132.88740426852</v>
      </c>
      <c r="AQ4" s="3202">
        <f t="shared" si="2"/>
        <v>152480.35155942957</v>
      </c>
      <c r="AR4" s="3202">
        <f t="shared" si="2"/>
        <v>154864.52045034195</v>
      </c>
      <c r="AS4" s="3202">
        <f t="shared" si="2"/>
        <v>157285.96798891129</v>
      </c>
      <c r="AT4" s="3202">
        <f t="shared" si="2"/>
        <v>159745.27706067753</v>
      </c>
    </row>
    <row r="5" spans="1:46">
      <c r="B5" s="3149" t="s">
        <v>1829</v>
      </c>
      <c r="C5" s="3133" t="s">
        <v>1830</v>
      </c>
      <c r="D5" s="3144">
        <v>0.40399020000000002</v>
      </c>
      <c r="E5" s="3152">
        <v>-1.5544799999999999E-2</v>
      </c>
      <c r="F5" s="3146">
        <f t="shared" ref="F5:AT5" si="3">EXP(($D$2+$E$5)*(F$1-1993)+$D$7+$D5)</f>
        <v>11759.89390819578</v>
      </c>
      <c r="G5" s="3146">
        <f t="shared" si="3"/>
        <v>12200.302188942049</v>
      </c>
      <c r="H5" s="3146">
        <f t="shared" si="3"/>
        <v>12657.203769310265</v>
      </c>
      <c r="I5" s="3146">
        <f t="shared" si="3"/>
        <v>13131.216323727294</v>
      </c>
      <c r="J5" s="3146">
        <f t="shared" si="3"/>
        <v>13622.980658540697</v>
      </c>
      <c r="K5" s="3146">
        <f t="shared" si="3"/>
        <v>14133.161578309564</v>
      </c>
      <c r="L5" s="3146">
        <f t="shared" si="3"/>
        <v>14662.448784538094</v>
      </c>
      <c r="M5" s="3146">
        <f t="shared" si="3"/>
        <v>15211.557808066638</v>
      </c>
      <c r="N5" s="3146">
        <f t="shared" si="3"/>
        <v>15781.230976381041</v>
      </c>
      <c r="O5" s="3146">
        <f t="shared" si="3"/>
        <v>16372.238417147491</v>
      </c>
      <c r="P5" s="3146">
        <f t="shared" si="3"/>
        <v>16985.379099329937</v>
      </c>
      <c r="Q5" s="3146">
        <f t="shared" si="3"/>
        <v>17621.481913297175</v>
      </c>
      <c r="R5" s="3146">
        <f t="shared" si="3"/>
        <v>18281.406791380312</v>
      </c>
      <c r="S5" s="3146">
        <f t="shared" si="3"/>
        <v>18966.04587039481</v>
      </c>
      <c r="T5" s="3146">
        <f t="shared" si="3"/>
        <v>19676.324697699041</v>
      </c>
      <c r="U5" s="3146">
        <f t="shared" si="3"/>
        <v>20413.203482420027</v>
      </c>
      <c r="V5" s="3146">
        <f t="shared" si="3"/>
        <v>21177.678393537288</v>
      </c>
      <c r="W5" s="3146">
        <f t="shared" si="3"/>
        <v>21970.782906580178</v>
      </c>
      <c r="X5" s="3146">
        <f t="shared" si="3"/>
        <v>22793.589200758815</v>
      </c>
      <c r="Y5" s="3146">
        <f t="shared" si="3"/>
        <v>23647.209608418008</v>
      </c>
      <c r="Z5" s="3146">
        <f t="shared" si="3"/>
        <v>24532.798118772895</v>
      </c>
      <c r="AA5" s="3146">
        <f t="shared" si="3"/>
        <v>25451.551937959492</v>
      </c>
      <c r="AB5" s="3146">
        <f t="shared" si="3"/>
        <v>26404.713107509608</v>
      </c>
      <c r="AC5" s="3146">
        <f t="shared" si="3"/>
        <v>27393.570183437168</v>
      </c>
      <c r="AD5" s="3146">
        <f t="shared" si="3"/>
        <v>28419.459978206702</v>
      </c>
      <c r="AE5" s="3146">
        <f t="shared" si="3"/>
        <v>29483.769367938236</v>
      </c>
      <c r="AF5" s="3146">
        <f t="shared" si="3"/>
        <v>30587.937167292592</v>
      </c>
      <c r="AG5" s="3146">
        <f t="shared" si="3"/>
        <v>31733.456074570648</v>
      </c>
      <c r="AH5" s="3146">
        <f t="shared" si="3"/>
        <v>32921.874689656928</v>
      </c>
      <c r="AI5" s="3146">
        <f t="shared" si="3"/>
        <v>34154.7996075349</v>
      </c>
      <c r="AJ5" s="3146">
        <f t="shared" si="3"/>
        <v>35433.897590205022</v>
      </c>
      <c r="AK5" s="3146">
        <f t="shared" si="3"/>
        <v>36760.897819940648</v>
      </c>
      <c r="AL5" s="3146">
        <f t="shared" si="3"/>
        <v>38137.594236928409</v>
      </c>
      <c r="AM5" s="3146">
        <f t="shared" si="3"/>
        <v>39565.847964453867</v>
      </c>
      <c r="AN5" s="3146">
        <f t="shared" si="3"/>
        <v>41047.589824909715</v>
      </c>
      <c r="AO5" s="3146">
        <f t="shared" si="3"/>
        <v>42584.82295002904</v>
      </c>
      <c r="AP5" s="3146">
        <f t="shared" si="3"/>
        <v>44179.62548887133</v>
      </c>
      <c r="AQ5" s="3146">
        <f t="shared" si="3"/>
        <v>45834.153417223453</v>
      </c>
      <c r="AR5" s="3146">
        <f t="shared" si="3"/>
        <v>47550.643452211967</v>
      </c>
      <c r="AS5" s="3146">
        <f t="shared" si="3"/>
        <v>49331.416076068192</v>
      </c>
      <c r="AT5" s="3146">
        <f t="shared" si="3"/>
        <v>51178.878673132836</v>
      </c>
    </row>
    <row r="6" spans="1:46">
      <c r="B6" s="3137" t="s">
        <v>1831</v>
      </c>
      <c r="C6" s="3133" t="s">
        <v>1832</v>
      </c>
      <c r="D6" s="3144">
        <v>-0.2329242</v>
      </c>
      <c r="E6" s="3152">
        <v>6.4944100000000005E-2</v>
      </c>
      <c r="F6" s="3146">
        <f t="shared" ref="F6:AT6" si="4">EXP(($D$2+$E$6)*(F$1-1993)+$D$7+$D6)</f>
        <v>6220.0660210897277</v>
      </c>
      <c r="G6" s="3146">
        <f t="shared" si="4"/>
        <v>6993.8781822033907</v>
      </c>
      <c r="H6" s="3146">
        <f t="shared" si="4"/>
        <v>7863.9570483097596</v>
      </c>
      <c r="I6" s="3146">
        <f t="shared" si="4"/>
        <v>8842.2787538712546</v>
      </c>
      <c r="J6" s="3146">
        <f t="shared" si="4"/>
        <v>9942.3093336919828</v>
      </c>
      <c r="K6" s="3146">
        <f t="shared" si="4"/>
        <v>11179.190075130942</v>
      </c>
      <c r="L6" s="3146">
        <f t="shared" si="4"/>
        <v>12569.945929201755</v>
      </c>
      <c r="M6" s="3146">
        <f t="shared" si="4"/>
        <v>14133.719849217681</v>
      </c>
      <c r="N6" s="3146">
        <f t="shared" si="4"/>
        <v>15892.036282518517</v>
      </c>
      <c r="O6" s="3146">
        <f t="shared" si="4"/>
        <v>17869.097442090893</v>
      </c>
      <c r="P6" s="3146">
        <f t="shared" si="4"/>
        <v>20092.116436090655</v>
      </c>
      <c r="Q6" s="3146">
        <f t="shared" si="4"/>
        <v>22591.691840602969</v>
      </c>
      <c r="R6" s="3146">
        <f t="shared" si="4"/>
        <v>25402.228871418629</v>
      </c>
      <c r="S6" s="3146">
        <f t="shared" si="4"/>
        <v>28562.412952013419</v>
      </c>
      <c r="T6" s="3146">
        <f t="shared" si="4"/>
        <v>32115.742196121064</v>
      </c>
      <c r="U6" s="3146">
        <f t="shared" si="4"/>
        <v>36111.126134215636</v>
      </c>
      <c r="V6" s="3146">
        <f t="shared" si="4"/>
        <v>40603.558925028672</v>
      </c>
      <c r="W6" s="3146">
        <f t="shared" si="4"/>
        <v>45654.876318469673</v>
      </c>
      <c r="X6" s="3146">
        <f t="shared" si="4"/>
        <v>51334.606789109057</v>
      </c>
      <c r="Y6" s="3146">
        <f t="shared" si="4"/>
        <v>57720.928555584658</v>
      </c>
      <c r="Z6" s="3146">
        <f t="shared" si="4"/>
        <v>64901.745658754116</v>
      </c>
      <c r="AA6" s="3146">
        <f t="shared" si="4"/>
        <v>72975.897910188127</v>
      </c>
      <c r="AB6" s="3146">
        <f t="shared" si="4"/>
        <v>82054.521365249064</v>
      </c>
      <c r="AC6" s="3146">
        <f t="shared" si="4"/>
        <v>92262.578046883238</v>
      </c>
      <c r="AD6" s="3146">
        <f t="shared" si="4"/>
        <v>103740.57597589378</v>
      </c>
      <c r="AE6" s="3146">
        <f t="shared" si="4"/>
        <v>116646.50318292021</v>
      </c>
      <c r="AF6" s="3146">
        <f t="shared" si="4"/>
        <v>131158.00232268556</v>
      </c>
      <c r="AG6" s="3146">
        <f t="shared" si="4"/>
        <v>147474.81582282382</v>
      </c>
      <c r="AH6" s="3146">
        <f t="shared" si="4"/>
        <v>165821.53522335293</v>
      </c>
      <c r="AI6" s="3146">
        <f t="shared" si="4"/>
        <v>186450.69254986758</v>
      </c>
      <c r="AJ6" s="3146">
        <f t="shared" si="4"/>
        <v>209646.2362714237</v>
      </c>
      <c r="AK6" s="3146">
        <f t="shared" si="4"/>
        <v>235727.43968767166</v>
      </c>
      <c r="AL6" s="3146">
        <f t="shared" si="4"/>
        <v>265053.29554193973</v>
      </c>
      <c r="AM6" s="3146">
        <f t="shared" si="4"/>
        <v>298027.45734957821</v>
      </c>
      <c r="AN6" s="3146">
        <f t="shared" si="4"/>
        <v>335103.7954561123</v>
      </c>
      <c r="AO6" s="3146">
        <f t="shared" si="4"/>
        <v>376792.64430113725</v>
      </c>
      <c r="AP6" s="3146">
        <f t="shared" si="4"/>
        <v>423667.82687794755</v>
      </c>
      <c r="AQ6" s="3146">
        <f t="shared" si="4"/>
        <v>476374.55307654146</v>
      </c>
      <c r="AR6" s="3146">
        <f t="shared" si="4"/>
        <v>535638.30062614172</v>
      </c>
      <c r="AS6" s="3146">
        <f t="shared" si="4"/>
        <v>602274.80087829649</v>
      </c>
      <c r="AT6" s="3146">
        <f t="shared" si="4"/>
        <v>677201.26687910047</v>
      </c>
    </row>
    <row r="7" spans="1:46">
      <c r="B7" s="3150" t="s">
        <v>1833</v>
      </c>
      <c r="C7" s="3133" t="s">
        <v>1834</v>
      </c>
      <c r="D7" s="3144">
        <v>8.9684600000000003</v>
      </c>
      <c r="E7" s="3152"/>
      <c r="F7" s="3146">
        <f t="shared" ref="F7:AT7" si="5">EXP($D$2*(F$1-1993)+$D$7)</f>
        <v>7851.5009788857597</v>
      </c>
      <c r="G7" s="3146">
        <f t="shared" si="5"/>
        <v>8273.1499148179064</v>
      </c>
      <c r="H7" s="3146">
        <f t="shared" si="5"/>
        <v>8717.4426516807052</v>
      </c>
      <c r="I7" s="3146">
        <f t="shared" si="5"/>
        <v>9185.5952288777753</v>
      </c>
      <c r="J7" s="3146">
        <f t="shared" si="5"/>
        <v>9678.8889907425746</v>
      </c>
      <c r="K7" s="3146">
        <f t="shared" si="5"/>
        <v>10198.674093607198</v>
      </c>
      <c r="L7" s="3146">
        <f t="shared" si="5"/>
        <v>10746.37320121127</v>
      </c>
      <c r="M7" s="3146">
        <f t="shared" si="5"/>
        <v>11323.485378565099</v>
      </c>
      <c r="N7" s="3146">
        <f t="shared" si="5"/>
        <v>11931.590194925036</v>
      </c>
      <c r="O7" s="3146">
        <f t="shared" si="5"/>
        <v>12572.352047110724</v>
      </c>
      <c r="P7" s="3146">
        <f t="shared" si="5"/>
        <v>13247.524714997327</v>
      </c>
      <c r="Q7" s="3146">
        <f t="shared" si="5"/>
        <v>13958.956161651256</v>
      </c>
      <c r="R7" s="3146">
        <f t="shared" si="5"/>
        <v>14708.593591247427</v>
      </c>
      <c r="S7" s="3146">
        <f t="shared" si="5"/>
        <v>15498.488778611718</v>
      </c>
      <c r="T7" s="3146">
        <f t="shared" si="5"/>
        <v>16330.803684975661</v>
      </c>
      <c r="U7" s="3146">
        <f t="shared" si="5"/>
        <v>17207.816375314011</v>
      </c>
      <c r="V7" s="3146">
        <f t="shared" si="5"/>
        <v>18131.927253460599</v>
      </c>
      <c r="W7" s="3146">
        <f t="shared" si="5"/>
        <v>19105.665632068776</v>
      </c>
      <c r="X7" s="3146">
        <f t="shared" si="5"/>
        <v>20131.696655398082</v>
      </c>
      <c r="Y7" s="3146">
        <f t="shared" si="5"/>
        <v>21212.828593875151</v>
      </c>
      <c r="Z7" s="3146">
        <f t="shared" si="5"/>
        <v>22352.020530394249</v>
      </c>
      <c r="AA7" s="3146">
        <f t="shared" si="5"/>
        <v>23552.390459394934</v>
      </c>
      <c r="AB7" s="3146">
        <f t="shared" si="5"/>
        <v>24817.22382088445</v>
      </c>
      <c r="AC7" s="3146">
        <f t="shared" si="5"/>
        <v>26149.982492762101</v>
      </c>
      <c r="AD7" s="3146">
        <f t="shared" si="5"/>
        <v>27554.314266058544</v>
      </c>
      <c r="AE7" s="3146">
        <f t="shared" si="5"/>
        <v>29034.062829023424</v>
      </c>
      <c r="AF7" s="3146">
        <f t="shared" si="5"/>
        <v>30593.278287388199</v>
      </c>
      <c r="AG7" s="3146">
        <f t="shared" si="5"/>
        <v>32236.228249598345</v>
      </c>
      <c r="AH7" s="3146">
        <f t="shared" si="5"/>
        <v>33967.409507355493</v>
      </c>
      <c r="AI7" s="3146">
        <f t="shared" si="5"/>
        <v>35791.560343439385</v>
      </c>
      <c r="AJ7" s="3146">
        <f t="shared" si="5"/>
        <v>37713.673500496341</v>
      </c>
      <c r="AK7" s="3146">
        <f t="shared" si="5"/>
        <v>39739.009846290617</v>
      </c>
      <c r="AL7" s="3146">
        <f t="shared" si="5"/>
        <v>41873.112772819637</v>
      </c>
      <c r="AM7" s="3146">
        <f t="shared" si="5"/>
        <v>44121.823368705191</v>
      </c>
      <c r="AN7" s="3146">
        <f t="shared" si="5"/>
        <v>46491.296406386813</v>
      </c>
      <c r="AO7" s="3146">
        <f t="shared" si="5"/>
        <v>48988.017187875012</v>
      </c>
      <c r="AP7" s="3146">
        <f t="shared" si="5"/>
        <v>51618.819295171517</v>
      </c>
      <c r="AQ7" s="3146">
        <f t="shared" si="5"/>
        <v>54390.903293939809</v>
      </c>
      <c r="AR7" s="3146">
        <f t="shared" si="5"/>
        <v>57311.856441618416</v>
      </c>
      <c r="AS7" s="3146">
        <f t="shared" si="5"/>
        <v>60389.673453918265</v>
      </c>
      <c r="AT7" s="3146">
        <f t="shared" si="5"/>
        <v>63632.778386543272</v>
      </c>
    </row>
    <row r="8" spans="1:46">
      <c r="D8" s="3144">
        <f>AVERAGE(D3:D6)</f>
        <v>0.19205590000000003</v>
      </c>
      <c r="E8" s="3152">
        <f>AVERAGE(E3:E6)</f>
        <v>4.8117633333333333E-2</v>
      </c>
    </row>
    <row r="9" spans="1:46">
      <c r="D9" s="3144">
        <f>SUM(D7:D8)</f>
        <v>9.1605159</v>
      </c>
      <c r="E9" s="3152"/>
    </row>
    <row r="10" spans="1:46">
      <c r="E10" s="3152"/>
    </row>
    <row r="11" spans="1:46">
      <c r="A11" s="3132" t="s">
        <v>1824</v>
      </c>
      <c r="B11" s="3138" t="s">
        <v>1825</v>
      </c>
      <c r="C11" s="3139"/>
      <c r="D11" s="3140">
        <v>3.1337700000000003E-2</v>
      </c>
      <c r="E11" s="3141"/>
      <c r="F11" s="3142">
        <f>EXP(($D$11+$E$17)*(F$1-1993)+$D$16+$D17)</f>
        <v>4284.9882975443725</v>
      </c>
      <c r="G11" s="3142">
        <f t="shared" ref="G11:AT11" si="6">EXP(($D$11+$E$17)*(G$1-1993)+$D$16+$D17)</f>
        <v>4402.25416963318</v>
      </c>
      <c r="H11" s="3142">
        <f t="shared" si="6"/>
        <v>4522.7292184575681</v>
      </c>
      <c r="I11" s="3142">
        <f t="shared" si="6"/>
        <v>4646.5012685067813</v>
      </c>
      <c r="J11" s="3142">
        <f t="shared" si="6"/>
        <v>4773.6605477340909</v>
      </c>
      <c r="K11" s="3142">
        <f t="shared" si="6"/>
        <v>4904.2997533316266</v>
      </c>
      <c r="L11" s="3142">
        <f t="shared" si="6"/>
        <v>5038.5141193052596</v>
      </c>
      <c r="M11" s="3142">
        <f t="shared" si="6"/>
        <v>5176.4014858986993</v>
      </c>
      <c r="N11" s="3142">
        <f t="shared" si="6"/>
        <v>5318.0623709175761</v>
      </c>
      <c r="O11" s="3142">
        <f t="shared" si="6"/>
        <v>5463.6000430054337</v>
      </c>
      <c r="P11" s="3142">
        <f t="shared" si="6"/>
        <v>5613.1205969249495</v>
      </c>
      <c r="Q11" s="3142">
        <f t="shared" si="6"/>
        <v>5766.7330308994415</v>
      </c>
      <c r="R11" s="3142">
        <f t="shared" si="6"/>
        <v>5924.5493260709572</v>
      </c>
      <c r="S11" s="3142">
        <f t="shared" si="6"/>
        <v>6086.6845281327724</v>
      </c>
      <c r="T11" s="3142">
        <f t="shared" si="6"/>
        <v>6253.2568311959876</v>
      </c>
      <c r="U11" s="3142">
        <f t="shared" si="6"/>
        <v>6424.3876639512882</v>
      </c>
      <c r="V11" s="3142">
        <f t="shared" si="6"/>
        <v>6600.201778188557</v>
      </c>
      <c r="W11" s="3142">
        <f t="shared" si="6"/>
        <v>6780.8273397390685</v>
      </c>
      <c r="X11" s="3142">
        <f t="shared" si="6"/>
        <v>6966.3960219064893</v>
      </c>
      <c r="Y11" s="3142">
        <f t="shared" si="6"/>
        <v>7157.0431014546466</v>
      </c>
      <c r="Z11" s="3142">
        <f t="shared" si="6"/>
        <v>7352.9075572222791</v>
      </c>
      <c r="AA11" s="3142">
        <f t="shared" si="6"/>
        <v>7554.1321714365549</v>
      </c>
      <c r="AB11" s="3142">
        <f t="shared" si="6"/>
        <v>7760.8636337990729</v>
      </c>
      <c r="AC11" s="3142">
        <f t="shared" si="6"/>
        <v>7973.2526484204764</v>
      </c>
      <c r="AD11" s="3142">
        <f t="shared" si="6"/>
        <v>8191.4540436815187</v>
      </c>
      <c r="AE11" s="3142">
        <f t="shared" si="6"/>
        <v>8415.6268851005225</v>
      </c>
      <c r="AF11" s="3142">
        <f t="shared" si="6"/>
        <v>8645.9345912897807</v>
      </c>
      <c r="AG11" s="3142">
        <f t="shared" si="6"/>
        <v>8882.5450530853032</v>
      </c>
      <c r="AH11" s="3142">
        <f t="shared" si="6"/>
        <v>9125.6307559366032</v>
      </c>
      <c r="AI11" s="3142">
        <f t="shared" si="6"/>
        <v>9375.368905646028</v>
      </c>
      <c r="AJ11" s="3142">
        <f t="shared" si="6"/>
        <v>9631.9415575491657</v>
      </c>
      <c r="AK11" s="3142">
        <f t="shared" si="6"/>
        <v>9895.5357492303065</v>
      </c>
      <c r="AL11" s="3142">
        <f t="shared" si="6"/>
        <v>10166.343636870153</v>
      </c>
      <c r="AM11" s="3142">
        <f t="shared" si="6"/>
        <v>10444.562635324661</v>
      </c>
      <c r="AN11" s="3142">
        <f t="shared" si="6"/>
        <v>10730.395562037513</v>
      </c>
      <c r="AO11" s="3142">
        <f t="shared" si="6"/>
        <v>11024.050784891051</v>
      </c>
      <c r="AP11" s="3142">
        <f t="shared" si="6"/>
        <v>11325.742374103183</v>
      </c>
      <c r="AQ11" s="3142">
        <f t="shared" si="6"/>
        <v>11635.690258281396</v>
      </c>
      <c r="AR11" s="3142">
        <f t="shared" si="6"/>
        <v>11954.120384747448</v>
      </c>
      <c r="AS11" s="3142">
        <f t="shared" si="6"/>
        <v>12281.264884249429</v>
      </c>
      <c r="AT11" s="3142">
        <f t="shared" si="6"/>
        <v>12617.362240181623</v>
      </c>
    </row>
    <row r="12" spans="1:46">
      <c r="B12" s="3143" t="s">
        <v>1826</v>
      </c>
      <c r="C12" s="3133" t="s">
        <v>1827</v>
      </c>
      <c r="D12" s="3144">
        <v>-1.0836140000000001</v>
      </c>
      <c r="E12" s="3145">
        <v>-5.8319700000000002E-2</v>
      </c>
      <c r="F12" s="3146">
        <f>EXP(($D$11+$E$12)*(F$1-1993)+$D$16+$D12)</f>
        <v>2785.8045568651241</v>
      </c>
      <c r="G12" s="3146">
        <f t="shared" ref="G12:AT12" si="7">EXP(($D$11+$E$12)*(G$1-1993)+$D$16+$D12)</f>
        <v>2711.6429912489507</v>
      </c>
      <c r="H12" s="3146">
        <f t="shared" si="7"/>
        <v>2639.4556983078242</v>
      </c>
      <c r="I12" s="3146">
        <f t="shared" si="7"/>
        <v>2569.1901204593505</v>
      </c>
      <c r="J12" s="3146">
        <f t="shared" si="7"/>
        <v>2500.795099269038</v>
      </c>
      <c r="K12" s="3146">
        <f t="shared" si="7"/>
        <v>2434.2208382032336</v>
      </c>
      <c r="L12" s="3146">
        <f t="shared" si="7"/>
        <v>2369.4188663736613</v>
      </c>
      <c r="M12" s="3146">
        <f t="shared" si="7"/>
        <v>2306.3420032470863</v>
      </c>
      <c r="N12" s="3146">
        <f t="shared" si="7"/>
        <v>2244.9443242944681</v>
      </c>
      <c r="O12" s="3146">
        <f t="shared" si="7"/>
        <v>2185.1811275545747</v>
      </c>
      <c r="P12" s="3146">
        <f t="shared" si="7"/>
        <v>2127.0089010877205</v>
      </c>
      <c r="Q12" s="3146">
        <f t="shared" si="7"/>
        <v>2070.3852912959014</v>
      </c>
      <c r="R12" s="3146">
        <f t="shared" si="7"/>
        <v>2015.2690720863295</v>
      </c>
      <c r="S12" s="3146">
        <f t="shared" si="7"/>
        <v>1961.6201148558341</v>
      </c>
      <c r="T12" s="3146">
        <f t="shared" si="7"/>
        <v>1909.3993592743323</v>
      </c>
      <c r="U12" s="3146">
        <f t="shared" si="7"/>
        <v>1858.5687848460777</v>
      </c>
      <c r="V12" s="3146">
        <f t="shared" si="7"/>
        <v>1809.0913832279859</v>
      </c>
      <c r="W12" s="3146">
        <f t="shared" si="7"/>
        <v>1760.9311312848656</v>
      </c>
      <c r="X12" s="3146">
        <f t="shared" si="7"/>
        <v>1714.0529648619838</v>
      </c>
      <c r="Y12" s="3146">
        <f t="shared" si="7"/>
        <v>1668.4227532558064</v>
      </c>
      <c r="Z12" s="3146">
        <f t="shared" si="7"/>
        <v>1624.0072743643743</v>
      </c>
      <c r="AA12" s="3146">
        <f t="shared" si="7"/>
        <v>1580.7741904992063</v>
      </c>
      <c r="AB12" s="3146">
        <f t="shared" si="7"/>
        <v>1538.6920248411161</v>
      </c>
      <c r="AC12" s="3146">
        <f t="shared" si="7"/>
        <v>1497.7301385228091</v>
      </c>
      <c r="AD12" s="3146">
        <f t="shared" si="7"/>
        <v>1457.8587083215562</v>
      </c>
      <c r="AE12" s="3146">
        <f t="shared" si="7"/>
        <v>1419.0487049457399</v>
      </c>
      <c r="AF12" s="3146">
        <f t="shared" si="7"/>
        <v>1381.2718718994167</v>
      </c>
      <c r="AG12" s="3146">
        <f t="shared" si="7"/>
        <v>1344.5007049095411</v>
      </c>
      <c r="AH12" s="3146">
        <f t="shared" si="7"/>
        <v>1308.7084319008636</v>
      </c>
      <c r="AI12" s="3146">
        <f t="shared" si="7"/>
        <v>1273.8689935039099</v>
      </c>
      <c r="AJ12" s="3146">
        <f t="shared" si="7"/>
        <v>1239.9570240818844</v>
      </c>
      <c r="AK12" s="3146">
        <f t="shared" si="7"/>
        <v>1206.9478332626388</v>
      </c>
      <c r="AL12" s="3146">
        <f t="shared" si="7"/>
        <v>1174.8173879622941</v>
      </c>
      <c r="AM12" s="3146">
        <f t="shared" si="7"/>
        <v>1143.542294887412</v>
      </c>
      <c r="AN12" s="3146">
        <f t="shared" si="7"/>
        <v>1113.0997835029823</v>
      </c>
      <c r="AO12" s="3146">
        <f t="shared" si="7"/>
        <v>1083.4676894538243</v>
      </c>
      <c r="AP12" s="3146">
        <f t="shared" si="7"/>
        <v>1054.6244384273223</v>
      </c>
      <c r="AQ12" s="3146">
        <f t="shared" si="7"/>
        <v>1026.5490304457726</v>
      </c>
      <c r="AR12" s="3146">
        <f t="shared" si="7"/>
        <v>999.22102457687083</v>
      </c>
      <c r="AS12" s="3146">
        <f t="shared" si="7"/>
        <v>972.62052405123188</v>
      </c>
      <c r="AT12" s="3146">
        <f t="shared" si="7"/>
        <v>946.72816177610162</v>
      </c>
    </row>
    <row r="13" spans="1:46">
      <c r="B13" s="3147" t="s">
        <v>385</v>
      </c>
      <c r="C13" s="3133" t="s">
        <v>1828</v>
      </c>
      <c r="E13" s="3145"/>
      <c r="F13" s="3146"/>
      <c r="G13" s="3146"/>
      <c r="H13" s="3146"/>
      <c r="I13" s="3146"/>
      <c r="J13" s="3146"/>
      <c r="K13" s="3146"/>
      <c r="L13" s="3146"/>
      <c r="M13" s="3146"/>
      <c r="N13" s="3146"/>
      <c r="O13" s="3146"/>
      <c r="P13" s="3146"/>
      <c r="Q13" s="3146"/>
      <c r="R13" s="3146"/>
      <c r="S13" s="3146"/>
      <c r="T13" s="3146"/>
      <c r="U13" s="3146"/>
      <c r="V13" s="3146"/>
      <c r="W13" s="3146"/>
      <c r="X13" s="3202">
        <f t="shared" ref="X13:AT13" si="8">PV((1+DiscountRate)/(1+InflationRate)-1,30,-IF(CostScenario="Higher Cost",X$59,IF(CostScenario="Lower Cost",X$59,X$59)))</f>
        <v>35613.55214629681</v>
      </c>
      <c r="Y13" s="3202">
        <f t="shared" si="8"/>
        <v>36170.402404403634</v>
      </c>
      <c r="Z13" s="3202">
        <f t="shared" si="8"/>
        <v>36735.959522435012</v>
      </c>
      <c r="AA13" s="3202">
        <f t="shared" si="8"/>
        <v>37310.359640059811</v>
      </c>
      <c r="AB13" s="3202">
        <f t="shared" si="8"/>
        <v>37893.741025614348</v>
      </c>
      <c r="AC13" s="3202">
        <f t="shared" si="8"/>
        <v>38486.244109386083</v>
      </c>
      <c r="AD13" s="3202">
        <f t="shared" si="8"/>
        <v>39088.011517417646</v>
      </c>
      <c r="AE13" s="3202">
        <f t="shared" si="8"/>
        <v>39699.188105839465</v>
      </c>
      <c r="AF13" s="3202">
        <f t="shared" si="8"/>
        <v>40319.92099573926</v>
      </c>
      <c r="AG13" s="3202">
        <f t="shared" si="8"/>
        <v>40950.359608576677</v>
      </c>
      <c r="AH13" s="3202">
        <f t="shared" si="8"/>
        <v>41590.655702151664</v>
      </c>
      <c r="AI13" s="3202">
        <f t="shared" si="8"/>
        <v>42240.963407135358</v>
      </c>
      <c r="AJ13" s="3202">
        <f t="shared" si="8"/>
        <v>42901.43926417199</v>
      </c>
      <c r="AK13" s="3202">
        <f t="shared" si="8"/>
        <v>43572.24226156107</v>
      </c>
      <c r="AL13" s="3202">
        <f t="shared" si="8"/>
        <v>44253.533873528686</v>
      </c>
      <c r="AM13" s="3202">
        <f t="shared" si="8"/>
        <v>44945.478099097199</v>
      </c>
      <c r="AN13" s="3202">
        <f t="shared" si="8"/>
        <v>45648.241501562778</v>
      </c>
      <c r="AO13" s="3202">
        <f t="shared" si="8"/>
        <v>46361.993248590101</v>
      </c>
      <c r="AP13" s="3202">
        <f t="shared" si="8"/>
        <v>47086.905152934036</v>
      </c>
      <c r="AQ13" s="3202">
        <f t="shared" si="8"/>
        <v>47823.151713798055</v>
      </c>
      <c r="AR13" s="3202">
        <f t="shared" si="8"/>
        <v>48570.91015883931</v>
      </c>
      <c r="AS13" s="3202">
        <f t="shared" si="8"/>
        <v>49330.360486830396</v>
      </c>
      <c r="AT13" s="3202">
        <f t="shared" si="8"/>
        <v>50101.685510988384</v>
      </c>
    </row>
    <row r="14" spans="1:46">
      <c r="B14" s="3149" t="s">
        <v>1829</v>
      </c>
      <c r="C14" s="3133" t="s">
        <v>1830</v>
      </c>
      <c r="D14" s="3144">
        <v>0.38180530000000001</v>
      </c>
      <c r="E14" s="3145">
        <v>-5.0733100000000003E-2</v>
      </c>
      <c r="F14" s="3146">
        <f>EXP(($D$11+$E$14)*(F$1-1993)+$D$16+$D14)</f>
        <v>12060.74568946165</v>
      </c>
      <c r="G14" s="3146">
        <f t="shared" ref="G14:AT14" si="9">EXP(($D$11+$E$14)*(G$1-1993)+$D$16+$D14)</f>
        <v>11829.076622054621</v>
      </c>
      <c r="H14" s="3146">
        <f t="shared" si="9"/>
        <v>11601.857574420448</v>
      </c>
      <c r="I14" s="3146">
        <f t="shared" si="9"/>
        <v>11379.003068268006</v>
      </c>
      <c r="J14" s="3146">
        <f t="shared" si="9"/>
        <v>11160.429267217647</v>
      </c>
      <c r="K14" s="3146">
        <f t="shared" si="9"/>
        <v>10946.053945262423</v>
      </c>
      <c r="L14" s="3146">
        <f t="shared" si="9"/>
        <v>10735.796455835254</v>
      </c>
      <c r="M14" s="3146">
        <f t="shared" si="9"/>
        <v>10529.577701470154</v>
      </c>
      <c r="N14" s="3146">
        <f t="shared" si="9"/>
        <v>10327.320104046397</v>
      </c>
      <c r="O14" s="3146">
        <f t="shared" si="9"/>
        <v>10128.947575604097</v>
      </c>
      <c r="P14" s="3146">
        <f t="shared" si="9"/>
        <v>9934.3854897203655</v>
      </c>
      <c r="Q14" s="3146">
        <f t="shared" si="9"/>
        <v>9743.5606534354574</v>
      </c>
      <c r="R14" s="3146">
        <f t="shared" si="9"/>
        <v>9556.4012797179948</v>
      </c>
      <c r="S14" s="3146">
        <f t="shared" si="9"/>
        <v>9372.8369604592062</v>
      </c>
      <c r="T14" s="3146">
        <f t="shared" si="9"/>
        <v>9192.7986399857855</v>
      </c>
      <c r="U14" s="3146">
        <f t="shared" si="9"/>
        <v>9016.2185890817218</v>
      </c>
      <c r="V14" s="3146">
        <f t="shared" si="9"/>
        <v>8843.0303795089567</v>
      </c>
      <c r="W14" s="3146">
        <f t="shared" si="9"/>
        <v>8673.1688590174908</v>
      </c>
      <c r="X14" s="3146">
        <f t="shared" si="9"/>
        <v>8506.5701268356206</v>
      </c>
      <c r="Y14" s="3146">
        <f t="shared" si="9"/>
        <v>8343.1715096308435</v>
      </c>
      <c r="Z14" s="3146">
        <f t="shared" si="9"/>
        <v>8182.9115379325949</v>
      </c>
      <c r="AA14" s="3146">
        <f t="shared" si="9"/>
        <v>8025.7299230077815</v>
      </c>
      <c r="AB14" s="3146">
        <f t="shared" si="9"/>
        <v>7871.5675341806536</v>
      </c>
      <c r="AC14" s="3146">
        <f t="shared" si="9"/>
        <v>7720.3663765881902</v>
      </c>
      <c r="AD14" s="3146">
        <f t="shared" si="9"/>
        <v>7572.0695693627813</v>
      </c>
      <c r="AE14" s="3146">
        <f t="shared" si="9"/>
        <v>7426.6213242341073</v>
      </c>
      <c r="AF14" s="3146">
        <f t="shared" si="9"/>
        <v>7283.9669245419045</v>
      </c>
      <c r="AG14" s="3146">
        <f t="shared" si="9"/>
        <v>7144.0527046519537</v>
      </c>
      <c r="AH14" s="3146">
        <f t="shared" si="9"/>
        <v>7006.8260297673714</v>
      </c>
      <c r="AI14" s="3146">
        <f t="shared" si="9"/>
        <v>6872.2352761278289</v>
      </c>
      <c r="AJ14" s="3146">
        <f t="shared" si="9"/>
        <v>6740.2298115889989</v>
      </c>
      <c r="AK14" s="3146">
        <f t="shared" si="9"/>
        <v>6610.7599765750438</v>
      </c>
      <c r="AL14" s="3146">
        <f t="shared" si="9"/>
        <v>6483.7770653970847</v>
      </c>
      <c r="AM14" s="3146">
        <f t="shared" si="9"/>
        <v>6359.2333079304044</v>
      </c>
      <c r="AN14" s="3146">
        <f t="shared" si="9"/>
        <v>6237.0818516436593</v>
      </c>
      <c r="AO14" s="3146">
        <f t="shared" si="9"/>
        <v>6117.2767439732324</v>
      </c>
      <c r="AP14" s="3146">
        <f t="shared" si="9"/>
        <v>5999.7729150362466</v>
      </c>
      <c r="AQ14" s="3146">
        <f t="shared" si="9"/>
        <v>5884.5261606755457</v>
      </c>
      <c r="AR14" s="3146">
        <f t="shared" si="9"/>
        <v>5771.4931258303495</v>
      </c>
      <c r="AS14" s="3146">
        <f t="shared" si="9"/>
        <v>5660.6312882264356</v>
      </c>
      <c r="AT14" s="3146">
        <f t="shared" si="9"/>
        <v>5551.8989423795019</v>
      </c>
    </row>
    <row r="15" spans="1:46">
      <c r="B15" s="3137" t="s">
        <v>1831</v>
      </c>
      <c r="C15" s="3133" t="s">
        <v>1832</v>
      </c>
      <c r="D15" s="3144">
        <v>-1.25729</v>
      </c>
      <c r="E15" s="3145">
        <v>9.6036399999999994E-2</v>
      </c>
      <c r="F15" s="3146">
        <f>EXP(($D$11+$E$15)*(F$1-1993)+$D$16+$D15)</f>
        <v>2341.6615020472918</v>
      </c>
      <c r="G15" s="3146">
        <f t="shared" ref="G15:AT15" si="10">EXP(($D$11+$E$15)*(G$1-1993)+$D$16+$D15)</f>
        <v>2659.75714836308</v>
      </c>
      <c r="H15" s="3146">
        <f t="shared" si="10"/>
        <v>3021.0634978981798</v>
      </c>
      <c r="I15" s="3146">
        <f t="shared" si="10"/>
        <v>3431.4503728093387</v>
      </c>
      <c r="J15" s="3146">
        <f t="shared" si="10"/>
        <v>3897.5849627938469</v>
      </c>
      <c r="K15" s="3146">
        <f t="shared" si="10"/>
        <v>4427.0401409767983</v>
      </c>
      <c r="L15" s="3146">
        <f t="shared" si="10"/>
        <v>5028.4174936294921</v>
      </c>
      <c r="M15" s="3146">
        <f t="shared" si="10"/>
        <v>5711.4870624733439</v>
      </c>
      <c r="N15" s="3146">
        <f t="shared" si="10"/>
        <v>6487.3460698376812</v>
      </c>
      <c r="O15" s="3146">
        <f t="shared" si="10"/>
        <v>7368.5992053378477</v>
      </c>
      <c r="P15" s="3146">
        <f t="shared" si="10"/>
        <v>8369.5634030302317</v>
      </c>
      <c r="Q15" s="3146">
        <f t="shared" si="10"/>
        <v>9506.5004358764509</v>
      </c>
      <c r="R15" s="3146">
        <f t="shared" si="10"/>
        <v>10797.881106271196</v>
      </c>
      <c r="S15" s="3146">
        <f t="shared" si="10"/>
        <v>12264.685324702168</v>
      </c>
      <c r="T15" s="3146">
        <f t="shared" si="10"/>
        <v>13930.742951652064</v>
      </c>
      <c r="U15" s="3146">
        <f t="shared" si="10"/>
        <v>15823.120940097715</v>
      </c>
      <c r="V15" s="3146">
        <f t="shared" si="10"/>
        <v>17972.563068164785</v>
      </c>
      <c r="W15" s="3146">
        <f t="shared" si="10"/>
        <v>20413.989405883003</v>
      </c>
      <c r="X15" s="3146">
        <f t="shared" si="10"/>
        <v>23187.063630432804</v>
      </c>
      <c r="Y15" s="3146">
        <f t="shared" si="10"/>
        <v>26336.837406548319</v>
      </c>
      <c r="Z15" s="3146">
        <f t="shared" si="10"/>
        <v>29914.482300750718</v>
      </c>
      <c r="AA15" s="3146">
        <f t="shared" si="10"/>
        <v>33978.121120170137</v>
      </c>
      <c r="AB15" s="3146">
        <f t="shared" si="10"/>
        <v>38593.772181976921</v>
      </c>
      <c r="AC15" s="3146">
        <f t="shared" si="10"/>
        <v>43836.421854125023</v>
      </c>
      <c r="AD15" s="3146">
        <f t="shared" si="10"/>
        <v>49791.2427920224</v>
      </c>
      <c r="AE15" s="3146">
        <f t="shared" si="10"/>
        <v>56554.977662731566</v>
      </c>
      <c r="AF15" s="3146">
        <f t="shared" si="10"/>
        <v>64237.510836836009</v>
      </c>
      <c r="AG15" s="3146">
        <f t="shared" si="10"/>
        <v>72963.653581846564</v>
      </c>
      <c r="AH15" s="3146">
        <f t="shared" si="10"/>
        <v>82875.171759596415</v>
      </c>
      <c r="AI15" s="3146">
        <f t="shared" si="10"/>
        <v>94133.088969813412</v>
      </c>
      <c r="AJ15" s="3146">
        <f t="shared" si="10"/>
        <v>106920.30255699277</v>
      </c>
      <c r="AK15" s="3146">
        <f t="shared" si="10"/>
        <v>121444.55498050075</v>
      </c>
      <c r="AL15" s="3146">
        <f t="shared" si="10"/>
        <v>137941.80882110965</v>
      </c>
      <c r="AM15" s="3146">
        <f t="shared" si="10"/>
        <v>156680.08025468665</v>
      </c>
      <c r="AN15" s="3146">
        <f t="shared" si="10"/>
        <v>177963.79327206741</v>
      </c>
      <c r="AO15" s="3146">
        <f t="shared" si="10"/>
        <v>202138.72538424231</v>
      </c>
      <c r="AP15" s="3146">
        <f t="shared" si="10"/>
        <v>229597.62516131674</v>
      </c>
      <c r="AQ15" s="3146">
        <f t="shared" si="10"/>
        <v>260786.59286839407</v>
      </c>
      <c r="AR15" s="3146">
        <f t="shared" si="10"/>
        <v>296212.32785888523</v>
      </c>
      <c r="AS15" s="3146">
        <f t="shared" si="10"/>
        <v>336450.36046718317</v>
      </c>
      <c r="AT15" s="3146">
        <f t="shared" si="10"/>
        <v>382154.40213692025</v>
      </c>
    </row>
    <row r="16" spans="1:46">
      <c r="B16" s="3150" t="s">
        <v>1833</v>
      </c>
      <c r="C16" s="3133" t="s">
        <v>1834</v>
      </c>
      <c r="D16" s="3144">
        <v>9.0159059999999993</v>
      </c>
      <c r="E16" s="3145"/>
      <c r="F16" s="3146">
        <f t="shared" ref="F16:AT16" si="11">EXP($D$11*(F$1-1993)+$D$16)</f>
        <v>8233.0020804923151</v>
      </c>
      <c r="G16" s="3146">
        <f t="shared" si="11"/>
        <v>8495.0906072524504</v>
      </c>
      <c r="H16" s="3146">
        <f t="shared" si="11"/>
        <v>8765.5224327495143</v>
      </c>
      <c r="I16" s="3146">
        <f t="shared" si="11"/>
        <v>9044.5631566824868</v>
      </c>
      <c r="J16" s="3146">
        <f t="shared" si="11"/>
        <v>9332.4868338233719</v>
      </c>
      <c r="K16" s="3146">
        <f t="shared" si="11"/>
        <v>9629.5762431751136</v>
      </c>
      <c r="L16" s="3146">
        <f t="shared" si="11"/>
        <v>9936.1231656978453</v>
      </c>
      <c r="M16" s="3146">
        <f t="shared" si="11"/>
        <v>10252.428670876252</v>
      </c>
      <c r="N16" s="3146">
        <f t="shared" si="11"/>
        <v>10578.803412409496</v>
      </c>
      <c r="O16" s="3146">
        <f t="shared" si="11"/>
        <v>10915.567933314087</v>
      </c>
      <c r="P16" s="3146">
        <f t="shared" si="11"/>
        <v>11263.052980739405</v>
      </c>
      <c r="Q16" s="3146">
        <f t="shared" si="11"/>
        <v>11621.59983080492</v>
      </c>
      <c r="R16" s="3146">
        <f t="shared" si="11"/>
        <v>11991.56062377843</v>
      </c>
      <c r="S16" s="3146">
        <f t="shared" si="11"/>
        <v>12373.298709924158</v>
      </c>
      <c r="T16" s="3146">
        <f t="shared" si="11"/>
        <v>12767.189006360619</v>
      </c>
      <c r="U16" s="3146">
        <f t="shared" si="11"/>
        <v>13173.618365278642</v>
      </c>
      <c r="V16" s="3146">
        <f t="shared" si="11"/>
        <v>13592.985953881229</v>
      </c>
      <c r="W16" s="3146">
        <f t="shared" si="11"/>
        <v>14025.703646418349</v>
      </c>
      <c r="X16" s="3146">
        <f t="shared" si="11"/>
        <v>14472.196428701749</v>
      </c>
      <c r="Y16" s="3146">
        <f t="shared" si="11"/>
        <v>14932.90281549704</v>
      </c>
      <c r="Z16" s="3146">
        <f t="shared" si="11"/>
        <v>15408.275281202996</v>
      </c>
      <c r="AA16" s="3146">
        <f t="shared" si="11"/>
        <v>15898.780704241055</v>
      </c>
      <c r="AB16" s="3146">
        <f t="shared" si="11"/>
        <v>16404.90082559147</v>
      </c>
      <c r="AC16" s="3146">
        <f t="shared" si="11"/>
        <v>16927.13272192646</v>
      </c>
      <c r="AD16" s="3146">
        <f t="shared" si="11"/>
        <v>17465.989293805</v>
      </c>
      <c r="AE16" s="3146">
        <f t="shared" si="11"/>
        <v>18021.999769408805</v>
      </c>
      <c r="AF16" s="3146">
        <f t="shared" si="11"/>
        <v>18595.710224314145</v>
      </c>
      <c r="AG16" s="3146">
        <f t="shared" si="11"/>
        <v>19187.684117810044</v>
      </c>
      <c r="AH16" s="3146">
        <f t="shared" si="11"/>
        <v>19798.502846289579</v>
      </c>
      <c r="AI16" s="3146">
        <f t="shared" si="11"/>
        <v>20428.766314257802</v>
      </c>
      <c r="AJ16" s="3146">
        <f t="shared" si="11"/>
        <v>21079.093523516862</v>
      </c>
      <c r="AK16" s="3146">
        <f t="shared" si="11"/>
        <v>21750.123181107763</v>
      </c>
      <c r="AL16" s="3146">
        <f t="shared" si="11"/>
        <v>22442.514326604367</v>
      </c>
      <c r="AM16" s="3146">
        <f t="shared" si="11"/>
        <v>23156.946979377517</v>
      </c>
      <c r="AN16" s="3146">
        <f t="shared" si="11"/>
        <v>23894.122806463507</v>
      </c>
      <c r="AO16" s="3146">
        <f t="shared" si="11"/>
        <v>24654.765811693662</v>
      </c>
      <c r="AP16" s="3146">
        <f t="shared" si="11"/>
        <v>25439.623046761495</v>
      </c>
      <c r="AQ16" s="3146">
        <f t="shared" si="11"/>
        <v>26249.465344925986</v>
      </c>
      <c r="AR16" s="3146">
        <f t="shared" si="11"/>
        <v>27085.0880780714</v>
      </c>
      <c r="AS16" s="3146">
        <f t="shared" si="11"/>
        <v>27947.311937867358</v>
      </c>
      <c r="AT16" s="3146">
        <f t="shared" si="11"/>
        <v>28836.983741796208</v>
      </c>
    </row>
    <row r="17" spans="1:46">
      <c r="D17" s="3144">
        <f>AVERAGE(D12:D15)</f>
        <v>-0.65303290000000003</v>
      </c>
      <c r="E17" s="3145">
        <f>AVERAGE(E12:E15)</f>
        <v>-4.3388000000000038E-3</v>
      </c>
      <c r="K17" s="3151"/>
    </row>
    <row r="18" spans="1:46">
      <c r="D18" s="3144">
        <f>SUM(D16:D17)</f>
        <v>8.3628730999999998</v>
      </c>
      <c r="E18" s="3152"/>
      <c r="G18" s="3153"/>
      <c r="K18" s="3151"/>
    </row>
    <row r="19" spans="1:46">
      <c r="E19" s="3152"/>
      <c r="K19" s="3151"/>
    </row>
    <row r="20" spans="1:46">
      <c r="A20" s="3132" t="s">
        <v>1343</v>
      </c>
      <c r="B20" s="3138" t="s">
        <v>1825</v>
      </c>
      <c r="C20" s="3139"/>
      <c r="D20" s="3140">
        <v>-0.30205130000000002</v>
      </c>
      <c r="E20" s="3141"/>
      <c r="F20" s="3142">
        <f t="shared" ref="F20:AT20" si="12">EXP(($D$20+$E$26)*(F$1-1993)+$D$25+$D26)*0</f>
        <v>0</v>
      </c>
      <c r="G20" s="3142">
        <f t="shared" si="12"/>
        <v>0</v>
      </c>
      <c r="H20" s="3142">
        <f t="shared" si="12"/>
        <v>0</v>
      </c>
      <c r="I20" s="3142">
        <f t="shared" si="12"/>
        <v>0</v>
      </c>
      <c r="J20" s="3142">
        <f t="shared" si="12"/>
        <v>0</v>
      </c>
      <c r="K20" s="3142">
        <f t="shared" si="12"/>
        <v>0</v>
      </c>
      <c r="L20" s="3142">
        <f t="shared" si="12"/>
        <v>0</v>
      </c>
      <c r="M20" s="3142">
        <f t="shared" si="12"/>
        <v>0</v>
      </c>
      <c r="N20" s="3142">
        <f t="shared" si="12"/>
        <v>0</v>
      </c>
      <c r="O20" s="3142">
        <f t="shared" si="12"/>
        <v>0</v>
      </c>
      <c r="P20" s="3142">
        <f t="shared" si="12"/>
        <v>0</v>
      </c>
      <c r="Q20" s="3142">
        <f t="shared" si="12"/>
        <v>0</v>
      </c>
      <c r="R20" s="3142">
        <f t="shared" si="12"/>
        <v>0</v>
      </c>
      <c r="S20" s="3142">
        <f t="shared" si="12"/>
        <v>0</v>
      </c>
      <c r="T20" s="3142">
        <f t="shared" si="12"/>
        <v>0</v>
      </c>
      <c r="U20" s="3142">
        <f t="shared" si="12"/>
        <v>0</v>
      </c>
      <c r="V20" s="3142">
        <f t="shared" si="12"/>
        <v>0</v>
      </c>
      <c r="W20" s="3142">
        <f t="shared" si="12"/>
        <v>0</v>
      </c>
      <c r="X20" s="3142">
        <f t="shared" si="12"/>
        <v>0</v>
      </c>
      <c r="Y20" s="3142">
        <f t="shared" si="12"/>
        <v>0</v>
      </c>
      <c r="Z20" s="3142">
        <f t="shared" si="12"/>
        <v>0</v>
      </c>
      <c r="AA20" s="3142">
        <f t="shared" si="12"/>
        <v>0</v>
      </c>
      <c r="AB20" s="3142">
        <f t="shared" si="12"/>
        <v>0</v>
      </c>
      <c r="AC20" s="3142">
        <f t="shared" si="12"/>
        <v>0</v>
      </c>
      <c r="AD20" s="3142">
        <f t="shared" si="12"/>
        <v>0</v>
      </c>
      <c r="AE20" s="3142">
        <f t="shared" si="12"/>
        <v>0</v>
      </c>
      <c r="AF20" s="3142">
        <f t="shared" si="12"/>
        <v>0</v>
      </c>
      <c r="AG20" s="3142">
        <f t="shared" si="12"/>
        <v>0</v>
      </c>
      <c r="AH20" s="3142">
        <f t="shared" si="12"/>
        <v>0</v>
      </c>
      <c r="AI20" s="3142">
        <f t="shared" si="12"/>
        <v>0</v>
      </c>
      <c r="AJ20" s="3142">
        <f t="shared" si="12"/>
        <v>0</v>
      </c>
      <c r="AK20" s="3142">
        <f t="shared" si="12"/>
        <v>0</v>
      </c>
      <c r="AL20" s="3142">
        <f t="shared" si="12"/>
        <v>0</v>
      </c>
      <c r="AM20" s="3142">
        <f t="shared" si="12"/>
        <v>0</v>
      </c>
      <c r="AN20" s="3142">
        <f t="shared" si="12"/>
        <v>0</v>
      </c>
      <c r="AO20" s="3142">
        <f t="shared" si="12"/>
        <v>0</v>
      </c>
      <c r="AP20" s="3142">
        <f t="shared" si="12"/>
        <v>0</v>
      </c>
      <c r="AQ20" s="3142">
        <f t="shared" si="12"/>
        <v>0</v>
      </c>
      <c r="AR20" s="3142">
        <f t="shared" si="12"/>
        <v>0</v>
      </c>
      <c r="AS20" s="3142">
        <f t="shared" si="12"/>
        <v>0</v>
      </c>
      <c r="AT20" s="3142">
        <f t="shared" si="12"/>
        <v>0</v>
      </c>
    </row>
    <row r="21" spans="1:46">
      <c r="B21" s="3143" t="s">
        <v>1826</v>
      </c>
      <c r="C21" s="3133" t="s">
        <v>1827</v>
      </c>
      <c r="D21" s="3154">
        <v>-3.3529979999999999</v>
      </c>
      <c r="E21" s="3141">
        <v>0.19600329999999999</v>
      </c>
      <c r="F21" s="3146">
        <f t="shared" ref="F21:AT21" si="13">EXP(($D$20+$E$21)*(F$1-1993)+$D$25+$D21)*0</f>
        <v>0</v>
      </c>
      <c r="G21" s="3146">
        <f t="shared" si="13"/>
        <v>0</v>
      </c>
      <c r="H21" s="3146">
        <f t="shared" si="13"/>
        <v>0</v>
      </c>
      <c r="I21" s="3146">
        <f t="shared" si="13"/>
        <v>0</v>
      </c>
      <c r="J21" s="3146">
        <f t="shared" si="13"/>
        <v>0</v>
      </c>
      <c r="K21" s="3146">
        <f t="shared" si="13"/>
        <v>0</v>
      </c>
      <c r="L21" s="3146">
        <f t="shared" si="13"/>
        <v>0</v>
      </c>
      <c r="M21" s="3146">
        <f t="shared" si="13"/>
        <v>0</v>
      </c>
      <c r="N21" s="3146">
        <f t="shared" si="13"/>
        <v>0</v>
      </c>
      <c r="O21" s="3146">
        <f t="shared" si="13"/>
        <v>0</v>
      </c>
      <c r="P21" s="3146">
        <f t="shared" si="13"/>
        <v>0</v>
      </c>
      <c r="Q21" s="3146">
        <f t="shared" si="13"/>
        <v>0</v>
      </c>
      <c r="R21" s="3146">
        <f t="shared" si="13"/>
        <v>0</v>
      </c>
      <c r="S21" s="3146">
        <f t="shared" si="13"/>
        <v>0</v>
      </c>
      <c r="T21" s="3146">
        <f t="shared" si="13"/>
        <v>0</v>
      </c>
      <c r="U21" s="3146">
        <f t="shared" si="13"/>
        <v>0</v>
      </c>
      <c r="V21" s="3146">
        <f t="shared" si="13"/>
        <v>0</v>
      </c>
      <c r="W21" s="3146">
        <f t="shared" si="13"/>
        <v>0</v>
      </c>
      <c r="X21" s="3146">
        <f t="shared" si="13"/>
        <v>0</v>
      </c>
      <c r="Y21" s="3146">
        <f t="shared" si="13"/>
        <v>0</v>
      </c>
      <c r="Z21" s="3146">
        <f t="shared" si="13"/>
        <v>0</v>
      </c>
      <c r="AA21" s="3146">
        <f t="shared" si="13"/>
        <v>0</v>
      </c>
      <c r="AB21" s="3146">
        <f t="shared" si="13"/>
        <v>0</v>
      </c>
      <c r="AC21" s="3146">
        <f t="shared" si="13"/>
        <v>0</v>
      </c>
      <c r="AD21" s="3146">
        <f t="shared" si="13"/>
        <v>0</v>
      </c>
      <c r="AE21" s="3146">
        <f t="shared" si="13"/>
        <v>0</v>
      </c>
      <c r="AF21" s="3146">
        <f t="shared" si="13"/>
        <v>0</v>
      </c>
      <c r="AG21" s="3146">
        <f t="shared" si="13"/>
        <v>0</v>
      </c>
      <c r="AH21" s="3146">
        <f t="shared" si="13"/>
        <v>0</v>
      </c>
      <c r="AI21" s="3146">
        <f t="shared" si="13"/>
        <v>0</v>
      </c>
      <c r="AJ21" s="3146">
        <f t="shared" si="13"/>
        <v>0</v>
      </c>
      <c r="AK21" s="3146">
        <f t="shared" si="13"/>
        <v>0</v>
      </c>
      <c r="AL21" s="3146">
        <f t="shared" si="13"/>
        <v>0</v>
      </c>
      <c r="AM21" s="3146">
        <f t="shared" si="13"/>
        <v>0</v>
      </c>
      <c r="AN21" s="3146">
        <f t="shared" si="13"/>
        <v>0</v>
      </c>
      <c r="AO21" s="3146">
        <f t="shared" si="13"/>
        <v>0</v>
      </c>
      <c r="AP21" s="3146">
        <f t="shared" si="13"/>
        <v>0</v>
      </c>
      <c r="AQ21" s="3146">
        <f t="shared" si="13"/>
        <v>0</v>
      </c>
      <c r="AR21" s="3146">
        <f t="shared" si="13"/>
        <v>0</v>
      </c>
      <c r="AS21" s="3146">
        <f t="shared" si="13"/>
        <v>0</v>
      </c>
      <c r="AT21" s="3146">
        <f t="shared" si="13"/>
        <v>0</v>
      </c>
    </row>
    <row r="22" spans="1:46">
      <c r="B22" s="3155" t="s">
        <v>385</v>
      </c>
      <c r="C22" s="3133" t="s">
        <v>1828</v>
      </c>
      <c r="D22" s="3154">
        <v>-2.8496670000000002</v>
      </c>
      <c r="E22" s="3141">
        <v>0.49219420000000003</v>
      </c>
      <c r="F22" s="3146">
        <f>EXP(($D$20+$E$22)*(F$1-1993)+$D$25+$D22)*0</f>
        <v>0</v>
      </c>
      <c r="G22" s="3146">
        <f t="shared" ref="G22:AT22" si="14">EXP(($D$20+$E$22)*(G$1-1993)+$D$25+$D22)*0</f>
        <v>0</v>
      </c>
      <c r="H22" s="3146">
        <f t="shared" si="14"/>
        <v>0</v>
      </c>
      <c r="I22" s="3146">
        <f t="shared" si="14"/>
        <v>0</v>
      </c>
      <c r="J22" s="3146">
        <f t="shared" si="14"/>
        <v>0</v>
      </c>
      <c r="K22" s="3146">
        <f t="shared" si="14"/>
        <v>0</v>
      </c>
      <c r="L22" s="3146">
        <f t="shared" si="14"/>
        <v>0</v>
      </c>
      <c r="M22" s="3146">
        <f t="shared" si="14"/>
        <v>0</v>
      </c>
      <c r="N22" s="3146">
        <f t="shared" si="14"/>
        <v>0</v>
      </c>
      <c r="O22" s="3146">
        <f t="shared" si="14"/>
        <v>0</v>
      </c>
      <c r="P22" s="3146">
        <f t="shared" si="14"/>
        <v>0</v>
      </c>
      <c r="Q22" s="3146">
        <f t="shared" si="14"/>
        <v>0</v>
      </c>
      <c r="R22" s="3146">
        <f t="shared" si="14"/>
        <v>0</v>
      </c>
      <c r="S22" s="3146">
        <f t="shared" si="14"/>
        <v>0</v>
      </c>
      <c r="T22" s="3146">
        <f t="shared" si="14"/>
        <v>0</v>
      </c>
      <c r="U22" s="3146">
        <f t="shared" si="14"/>
        <v>0</v>
      </c>
      <c r="V22" s="3146">
        <f t="shared" si="14"/>
        <v>0</v>
      </c>
      <c r="W22" s="3146">
        <f t="shared" si="14"/>
        <v>0</v>
      </c>
      <c r="X22" s="3146">
        <f t="shared" si="14"/>
        <v>0</v>
      </c>
      <c r="Y22" s="3146">
        <f t="shared" si="14"/>
        <v>0</v>
      </c>
      <c r="Z22" s="3146">
        <f t="shared" si="14"/>
        <v>0</v>
      </c>
      <c r="AA22" s="3146">
        <f t="shared" si="14"/>
        <v>0</v>
      </c>
      <c r="AB22" s="3146">
        <f t="shared" si="14"/>
        <v>0</v>
      </c>
      <c r="AC22" s="3146">
        <f t="shared" si="14"/>
        <v>0</v>
      </c>
      <c r="AD22" s="3146">
        <f t="shared" si="14"/>
        <v>0</v>
      </c>
      <c r="AE22" s="3146">
        <f t="shared" si="14"/>
        <v>0</v>
      </c>
      <c r="AF22" s="3146">
        <f t="shared" si="14"/>
        <v>0</v>
      </c>
      <c r="AG22" s="3146">
        <f t="shared" si="14"/>
        <v>0</v>
      </c>
      <c r="AH22" s="3146">
        <f t="shared" si="14"/>
        <v>0</v>
      </c>
      <c r="AI22" s="3146">
        <f t="shared" si="14"/>
        <v>0</v>
      </c>
      <c r="AJ22" s="3146">
        <f t="shared" si="14"/>
        <v>0</v>
      </c>
      <c r="AK22" s="3146">
        <f t="shared" si="14"/>
        <v>0</v>
      </c>
      <c r="AL22" s="3146">
        <f t="shared" si="14"/>
        <v>0</v>
      </c>
      <c r="AM22" s="3146">
        <f t="shared" si="14"/>
        <v>0</v>
      </c>
      <c r="AN22" s="3146">
        <f t="shared" si="14"/>
        <v>0</v>
      </c>
      <c r="AO22" s="3146">
        <f t="shared" si="14"/>
        <v>0</v>
      </c>
      <c r="AP22" s="3146">
        <f t="shared" si="14"/>
        <v>0</v>
      </c>
      <c r="AQ22" s="3146">
        <f t="shared" si="14"/>
        <v>0</v>
      </c>
      <c r="AR22" s="3146">
        <f t="shared" si="14"/>
        <v>0</v>
      </c>
      <c r="AS22" s="3146">
        <f t="shared" si="14"/>
        <v>0</v>
      </c>
      <c r="AT22" s="3146">
        <f t="shared" si="14"/>
        <v>0</v>
      </c>
    </row>
    <row r="23" spans="1:46">
      <c r="B23" s="3149" t="s">
        <v>1829</v>
      </c>
      <c r="C23" s="3133" t="s">
        <v>1830</v>
      </c>
      <c r="D23" s="3154">
        <v>-2.0345780000000002</v>
      </c>
      <c r="E23" s="3141">
        <v>0.21238799999999999</v>
      </c>
      <c r="F23" s="3146">
        <f t="shared" ref="F23:AT23" si="15">EXP(($D$20+$E$23)*(F$1-1993)+$D$25+$D23)*0</f>
        <v>0</v>
      </c>
      <c r="G23" s="3146">
        <f t="shared" si="15"/>
        <v>0</v>
      </c>
      <c r="H23" s="3146">
        <f t="shared" si="15"/>
        <v>0</v>
      </c>
      <c r="I23" s="3146">
        <f t="shared" si="15"/>
        <v>0</v>
      </c>
      <c r="J23" s="3146">
        <f t="shared" si="15"/>
        <v>0</v>
      </c>
      <c r="K23" s="3146">
        <f t="shared" si="15"/>
        <v>0</v>
      </c>
      <c r="L23" s="3146">
        <f t="shared" si="15"/>
        <v>0</v>
      </c>
      <c r="M23" s="3146">
        <f t="shared" si="15"/>
        <v>0</v>
      </c>
      <c r="N23" s="3146">
        <f t="shared" si="15"/>
        <v>0</v>
      </c>
      <c r="O23" s="3146">
        <f t="shared" si="15"/>
        <v>0</v>
      </c>
      <c r="P23" s="3146">
        <f t="shared" si="15"/>
        <v>0</v>
      </c>
      <c r="Q23" s="3146">
        <f t="shared" si="15"/>
        <v>0</v>
      </c>
      <c r="R23" s="3146">
        <f t="shared" si="15"/>
        <v>0</v>
      </c>
      <c r="S23" s="3146">
        <f t="shared" si="15"/>
        <v>0</v>
      </c>
      <c r="T23" s="3146">
        <f t="shared" si="15"/>
        <v>0</v>
      </c>
      <c r="U23" s="3146">
        <f t="shared" si="15"/>
        <v>0</v>
      </c>
      <c r="V23" s="3146">
        <f t="shared" si="15"/>
        <v>0</v>
      </c>
      <c r="W23" s="3146">
        <f t="shared" si="15"/>
        <v>0</v>
      </c>
      <c r="X23" s="3146">
        <f t="shared" si="15"/>
        <v>0</v>
      </c>
      <c r="Y23" s="3146">
        <f t="shared" si="15"/>
        <v>0</v>
      </c>
      <c r="Z23" s="3146">
        <f t="shared" si="15"/>
        <v>0</v>
      </c>
      <c r="AA23" s="3146">
        <f t="shared" si="15"/>
        <v>0</v>
      </c>
      <c r="AB23" s="3146">
        <f t="shared" si="15"/>
        <v>0</v>
      </c>
      <c r="AC23" s="3146">
        <f t="shared" si="15"/>
        <v>0</v>
      </c>
      <c r="AD23" s="3146">
        <f t="shared" si="15"/>
        <v>0</v>
      </c>
      <c r="AE23" s="3146">
        <f t="shared" si="15"/>
        <v>0</v>
      </c>
      <c r="AF23" s="3146">
        <f t="shared" si="15"/>
        <v>0</v>
      </c>
      <c r="AG23" s="3146">
        <f t="shared" si="15"/>
        <v>0</v>
      </c>
      <c r="AH23" s="3146">
        <f t="shared" si="15"/>
        <v>0</v>
      </c>
      <c r="AI23" s="3146">
        <f t="shared" si="15"/>
        <v>0</v>
      </c>
      <c r="AJ23" s="3146">
        <f t="shared" si="15"/>
        <v>0</v>
      </c>
      <c r="AK23" s="3146">
        <f t="shared" si="15"/>
        <v>0</v>
      </c>
      <c r="AL23" s="3146">
        <f t="shared" si="15"/>
        <v>0</v>
      </c>
      <c r="AM23" s="3146">
        <f t="shared" si="15"/>
        <v>0</v>
      </c>
      <c r="AN23" s="3146">
        <f t="shared" si="15"/>
        <v>0</v>
      </c>
      <c r="AO23" s="3146">
        <f t="shared" si="15"/>
        <v>0</v>
      </c>
      <c r="AP23" s="3146">
        <f t="shared" si="15"/>
        <v>0</v>
      </c>
      <c r="AQ23" s="3146">
        <f t="shared" si="15"/>
        <v>0</v>
      </c>
      <c r="AR23" s="3146">
        <f t="shared" si="15"/>
        <v>0</v>
      </c>
      <c r="AS23" s="3146">
        <f t="shared" si="15"/>
        <v>0</v>
      </c>
      <c r="AT23" s="3146">
        <f t="shared" si="15"/>
        <v>0</v>
      </c>
    </row>
    <row r="24" spans="1:46">
      <c r="B24" s="3137" t="s">
        <v>1831</v>
      </c>
      <c r="C24" s="3133" t="s">
        <v>1832</v>
      </c>
      <c r="D24" s="3154">
        <v>-2.9428450000000002</v>
      </c>
      <c r="E24" s="3141">
        <v>0.1272626</v>
      </c>
      <c r="F24" s="3146">
        <f t="shared" ref="F24:AT24" si="16">EXP(($D$20+$E$24)*(F$1-1993)+$D$25+$D24)*0</f>
        <v>0</v>
      </c>
      <c r="G24" s="3146">
        <f t="shared" si="16"/>
        <v>0</v>
      </c>
      <c r="H24" s="3146">
        <f t="shared" si="16"/>
        <v>0</v>
      </c>
      <c r="I24" s="3146">
        <f t="shared" si="16"/>
        <v>0</v>
      </c>
      <c r="J24" s="3146">
        <f t="shared" si="16"/>
        <v>0</v>
      </c>
      <c r="K24" s="3146">
        <f t="shared" si="16"/>
        <v>0</v>
      </c>
      <c r="L24" s="3146">
        <f t="shared" si="16"/>
        <v>0</v>
      </c>
      <c r="M24" s="3146">
        <f t="shared" si="16"/>
        <v>0</v>
      </c>
      <c r="N24" s="3146">
        <f t="shared" si="16"/>
        <v>0</v>
      </c>
      <c r="O24" s="3146">
        <f t="shared" si="16"/>
        <v>0</v>
      </c>
      <c r="P24" s="3146">
        <f t="shared" si="16"/>
        <v>0</v>
      </c>
      <c r="Q24" s="3146">
        <f t="shared" si="16"/>
        <v>0</v>
      </c>
      <c r="R24" s="3146">
        <f t="shared" si="16"/>
        <v>0</v>
      </c>
      <c r="S24" s="3146">
        <f t="shared" si="16"/>
        <v>0</v>
      </c>
      <c r="T24" s="3146">
        <f t="shared" si="16"/>
        <v>0</v>
      </c>
      <c r="U24" s="3146">
        <f t="shared" si="16"/>
        <v>0</v>
      </c>
      <c r="V24" s="3146">
        <f t="shared" si="16"/>
        <v>0</v>
      </c>
      <c r="W24" s="3146">
        <f t="shared" si="16"/>
        <v>0</v>
      </c>
      <c r="X24" s="3146">
        <f t="shared" si="16"/>
        <v>0</v>
      </c>
      <c r="Y24" s="3146">
        <f t="shared" si="16"/>
        <v>0</v>
      </c>
      <c r="Z24" s="3146">
        <f t="shared" si="16"/>
        <v>0</v>
      </c>
      <c r="AA24" s="3146">
        <f t="shared" si="16"/>
        <v>0</v>
      </c>
      <c r="AB24" s="3146">
        <f t="shared" si="16"/>
        <v>0</v>
      </c>
      <c r="AC24" s="3146">
        <f t="shared" si="16"/>
        <v>0</v>
      </c>
      <c r="AD24" s="3146">
        <f t="shared" si="16"/>
        <v>0</v>
      </c>
      <c r="AE24" s="3146">
        <f t="shared" si="16"/>
        <v>0</v>
      </c>
      <c r="AF24" s="3146">
        <f t="shared" si="16"/>
        <v>0</v>
      </c>
      <c r="AG24" s="3146">
        <f t="shared" si="16"/>
        <v>0</v>
      </c>
      <c r="AH24" s="3146">
        <f t="shared" si="16"/>
        <v>0</v>
      </c>
      <c r="AI24" s="3146">
        <f t="shared" si="16"/>
        <v>0</v>
      </c>
      <c r="AJ24" s="3146">
        <f t="shared" si="16"/>
        <v>0</v>
      </c>
      <c r="AK24" s="3146">
        <f t="shared" si="16"/>
        <v>0</v>
      </c>
      <c r="AL24" s="3146">
        <f t="shared" si="16"/>
        <v>0</v>
      </c>
      <c r="AM24" s="3146">
        <f t="shared" si="16"/>
        <v>0</v>
      </c>
      <c r="AN24" s="3146">
        <f t="shared" si="16"/>
        <v>0</v>
      </c>
      <c r="AO24" s="3146">
        <f t="shared" si="16"/>
        <v>0</v>
      </c>
      <c r="AP24" s="3146">
        <f t="shared" si="16"/>
        <v>0</v>
      </c>
      <c r="AQ24" s="3146">
        <f t="shared" si="16"/>
        <v>0</v>
      </c>
      <c r="AR24" s="3146">
        <f t="shared" si="16"/>
        <v>0</v>
      </c>
      <c r="AS24" s="3146">
        <f t="shared" si="16"/>
        <v>0</v>
      </c>
      <c r="AT24" s="3146">
        <f t="shared" si="16"/>
        <v>0</v>
      </c>
    </row>
    <row r="25" spans="1:46">
      <c r="B25" s="3150" t="s">
        <v>1833</v>
      </c>
      <c r="C25" s="3133" t="s">
        <v>1834</v>
      </c>
      <c r="D25" s="3156">
        <v>10.573029999999999</v>
      </c>
      <c r="E25" s="3141"/>
      <c r="F25" s="3146">
        <f t="shared" ref="F25:AT25" si="17">EXP($D$20*(F$1-1993)+$D$25)*0</f>
        <v>0</v>
      </c>
      <c r="G25" s="3146">
        <f t="shared" si="17"/>
        <v>0</v>
      </c>
      <c r="H25" s="3146">
        <f t="shared" si="17"/>
        <v>0</v>
      </c>
      <c r="I25" s="3146">
        <f t="shared" si="17"/>
        <v>0</v>
      </c>
      <c r="J25" s="3146">
        <f t="shared" si="17"/>
        <v>0</v>
      </c>
      <c r="K25" s="3146">
        <f t="shared" si="17"/>
        <v>0</v>
      </c>
      <c r="L25" s="3146">
        <f t="shared" si="17"/>
        <v>0</v>
      </c>
      <c r="M25" s="3146">
        <f t="shared" si="17"/>
        <v>0</v>
      </c>
      <c r="N25" s="3146">
        <f t="shared" si="17"/>
        <v>0</v>
      </c>
      <c r="O25" s="3146">
        <f t="shared" si="17"/>
        <v>0</v>
      </c>
      <c r="P25" s="3146">
        <f t="shared" si="17"/>
        <v>0</v>
      </c>
      <c r="Q25" s="3146">
        <f t="shared" si="17"/>
        <v>0</v>
      </c>
      <c r="R25" s="3146">
        <f t="shared" si="17"/>
        <v>0</v>
      </c>
      <c r="S25" s="3146">
        <f t="shared" si="17"/>
        <v>0</v>
      </c>
      <c r="T25" s="3146">
        <f t="shared" si="17"/>
        <v>0</v>
      </c>
      <c r="U25" s="3146">
        <f t="shared" si="17"/>
        <v>0</v>
      </c>
      <c r="V25" s="3146">
        <f t="shared" si="17"/>
        <v>0</v>
      </c>
      <c r="W25" s="3146">
        <f t="shared" si="17"/>
        <v>0</v>
      </c>
      <c r="X25" s="3146">
        <f t="shared" si="17"/>
        <v>0</v>
      </c>
      <c r="Y25" s="3146">
        <f t="shared" si="17"/>
        <v>0</v>
      </c>
      <c r="Z25" s="3146">
        <f t="shared" si="17"/>
        <v>0</v>
      </c>
      <c r="AA25" s="3146">
        <f t="shared" si="17"/>
        <v>0</v>
      </c>
      <c r="AB25" s="3146">
        <f t="shared" si="17"/>
        <v>0</v>
      </c>
      <c r="AC25" s="3146">
        <f t="shared" si="17"/>
        <v>0</v>
      </c>
      <c r="AD25" s="3146">
        <f t="shared" si="17"/>
        <v>0</v>
      </c>
      <c r="AE25" s="3146">
        <f t="shared" si="17"/>
        <v>0</v>
      </c>
      <c r="AF25" s="3146">
        <f t="shared" si="17"/>
        <v>0</v>
      </c>
      <c r="AG25" s="3146">
        <f t="shared" si="17"/>
        <v>0</v>
      </c>
      <c r="AH25" s="3146">
        <f t="shared" si="17"/>
        <v>0</v>
      </c>
      <c r="AI25" s="3146">
        <f t="shared" si="17"/>
        <v>0</v>
      </c>
      <c r="AJ25" s="3146">
        <f t="shared" si="17"/>
        <v>0</v>
      </c>
      <c r="AK25" s="3146">
        <f t="shared" si="17"/>
        <v>0</v>
      </c>
      <c r="AL25" s="3146">
        <f t="shared" si="17"/>
        <v>0</v>
      </c>
      <c r="AM25" s="3146">
        <f t="shared" si="17"/>
        <v>0</v>
      </c>
      <c r="AN25" s="3146">
        <f t="shared" si="17"/>
        <v>0</v>
      </c>
      <c r="AO25" s="3146">
        <f t="shared" si="17"/>
        <v>0</v>
      </c>
      <c r="AP25" s="3146">
        <f t="shared" si="17"/>
        <v>0</v>
      </c>
      <c r="AQ25" s="3146">
        <f t="shared" si="17"/>
        <v>0</v>
      </c>
      <c r="AR25" s="3146">
        <f t="shared" si="17"/>
        <v>0</v>
      </c>
      <c r="AS25" s="3146">
        <f t="shared" si="17"/>
        <v>0</v>
      </c>
      <c r="AT25" s="3146">
        <f t="shared" si="17"/>
        <v>0</v>
      </c>
    </row>
    <row r="26" spans="1:46">
      <c r="D26" s="3144">
        <f>AVERAGE(D21:D24)</f>
        <v>-2.7950219999999999</v>
      </c>
      <c r="E26" s="3157">
        <f>AVERAGE(E21:E24)</f>
        <v>0.25696202499999998</v>
      </c>
      <c r="K26" s="3158"/>
    </row>
    <row r="27" spans="1:46">
      <c r="D27" s="3144">
        <f>SUM(D25:D26)</f>
        <v>7.7780079999999998</v>
      </c>
      <c r="K27" s="3158"/>
    </row>
    <row r="28" spans="1:46">
      <c r="K28" s="3158"/>
    </row>
    <row r="29" spans="1:46">
      <c r="A29" s="3132" t="s">
        <v>387</v>
      </c>
      <c r="B29" s="3138" t="s">
        <v>1825</v>
      </c>
      <c r="C29" s="3139"/>
      <c r="D29" s="3140">
        <v>5.5753400000000002E-2</v>
      </c>
      <c r="E29" s="3140"/>
      <c r="F29" s="3142">
        <f t="shared" ref="F29:AT29" si="18">EXP(($D$29+$E$35)*(F$1-1993)+$D$34+$D35)*0</f>
        <v>0</v>
      </c>
      <c r="G29" s="3142">
        <f t="shared" si="18"/>
        <v>0</v>
      </c>
      <c r="H29" s="3142">
        <f t="shared" si="18"/>
        <v>0</v>
      </c>
      <c r="I29" s="3142">
        <f t="shared" si="18"/>
        <v>0</v>
      </c>
      <c r="J29" s="3142">
        <f t="shared" si="18"/>
        <v>0</v>
      </c>
      <c r="K29" s="3142">
        <f t="shared" si="18"/>
        <v>0</v>
      </c>
      <c r="L29" s="3142">
        <f t="shared" si="18"/>
        <v>0</v>
      </c>
      <c r="M29" s="3142">
        <f t="shared" si="18"/>
        <v>0</v>
      </c>
      <c r="N29" s="3142">
        <f t="shared" si="18"/>
        <v>0</v>
      </c>
      <c r="O29" s="3142">
        <f t="shared" si="18"/>
        <v>0</v>
      </c>
      <c r="P29" s="3142">
        <f t="shared" si="18"/>
        <v>0</v>
      </c>
      <c r="Q29" s="3142">
        <f t="shared" si="18"/>
        <v>0</v>
      </c>
      <c r="R29" s="3142">
        <f t="shared" si="18"/>
        <v>0</v>
      </c>
      <c r="S29" s="3142">
        <f t="shared" si="18"/>
        <v>0</v>
      </c>
      <c r="T29" s="3142">
        <f t="shared" si="18"/>
        <v>0</v>
      </c>
      <c r="U29" s="3142">
        <f t="shared" si="18"/>
        <v>0</v>
      </c>
      <c r="V29" s="3142">
        <f t="shared" si="18"/>
        <v>0</v>
      </c>
      <c r="W29" s="3142">
        <f t="shared" si="18"/>
        <v>0</v>
      </c>
      <c r="X29" s="3142">
        <f t="shared" si="18"/>
        <v>0</v>
      </c>
      <c r="Y29" s="3142">
        <f t="shared" si="18"/>
        <v>0</v>
      </c>
      <c r="Z29" s="3142">
        <f t="shared" si="18"/>
        <v>0</v>
      </c>
      <c r="AA29" s="3142">
        <f t="shared" si="18"/>
        <v>0</v>
      </c>
      <c r="AB29" s="3142">
        <f t="shared" si="18"/>
        <v>0</v>
      </c>
      <c r="AC29" s="3142">
        <f t="shared" si="18"/>
        <v>0</v>
      </c>
      <c r="AD29" s="3142">
        <f t="shared" si="18"/>
        <v>0</v>
      </c>
      <c r="AE29" s="3142">
        <f t="shared" si="18"/>
        <v>0</v>
      </c>
      <c r="AF29" s="3142">
        <f t="shared" si="18"/>
        <v>0</v>
      </c>
      <c r="AG29" s="3142">
        <f t="shared" si="18"/>
        <v>0</v>
      </c>
      <c r="AH29" s="3142">
        <f t="shared" si="18"/>
        <v>0</v>
      </c>
      <c r="AI29" s="3142">
        <f t="shared" si="18"/>
        <v>0</v>
      </c>
      <c r="AJ29" s="3142">
        <f t="shared" si="18"/>
        <v>0</v>
      </c>
      <c r="AK29" s="3142">
        <f t="shared" si="18"/>
        <v>0</v>
      </c>
      <c r="AL29" s="3142">
        <f t="shared" si="18"/>
        <v>0</v>
      </c>
      <c r="AM29" s="3142">
        <f t="shared" si="18"/>
        <v>0</v>
      </c>
      <c r="AN29" s="3142">
        <f t="shared" si="18"/>
        <v>0</v>
      </c>
      <c r="AO29" s="3142">
        <f t="shared" si="18"/>
        <v>0</v>
      </c>
      <c r="AP29" s="3142">
        <f t="shared" si="18"/>
        <v>0</v>
      </c>
      <c r="AQ29" s="3142">
        <f t="shared" si="18"/>
        <v>0</v>
      </c>
      <c r="AR29" s="3142">
        <f t="shared" si="18"/>
        <v>0</v>
      </c>
      <c r="AS29" s="3142">
        <f t="shared" si="18"/>
        <v>0</v>
      </c>
      <c r="AT29" s="3142">
        <f t="shared" si="18"/>
        <v>0</v>
      </c>
    </row>
    <row r="30" spans="1:46">
      <c r="B30" s="3143" t="s">
        <v>1826</v>
      </c>
      <c r="C30" s="3133" t="s">
        <v>1827</v>
      </c>
      <c r="D30" s="3154">
        <v>-2.4373019999999999</v>
      </c>
      <c r="E30" s="3140">
        <v>0.1218581</v>
      </c>
      <c r="F30" s="3146">
        <f t="shared" ref="F30:AT30" si="19">EXP(($D$29+$E$30)*(F$1-1993)+$D$34+$D30)*0</f>
        <v>0</v>
      </c>
      <c r="G30" s="3146">
        <f t="shared" si="19"/>
        <v>0</v>
      </c>
      <c r="H30" s="3146">
        <f t="shared" si="19"/>
        <v>0</v>
      </c>
      <c r="I30" s="3146">
        <f t="shared" si="19"/>
        <v>0</v>
      </c>
      <c r="J30" s="3146">
        <f t="shared" si="19"/>
        <v>0</v>
      </c>
      <c r="K30" s="3146">
        <f t="shared" si="19"/>
        <v>0</v>
      </c>
      <c r="L30" s="3146">
        <f t="shared" si="19"/>
        <v>0</v>
      </c>
      <c r="M30" s="3146">
        <f t="shared" si="19"/>
        <v>0</v>
      </c>
      <c r="N30" s="3146">
        <f t="shared" si="19"/>
        <v>0</v>
      </c>
      <c r="O30" s="3146">
        <f t="shared" si="19"/>
        <v>0</v>
      </c>
      <c r="P30" s="3146">
        <f t="shared" si="19"/>
        <v>0</v>
      </c>
      <c r="Q30" s="3146">
        <f t="shared" si="19"/>
        <v>0</v>
      </c>
      <c r="R30" s="3146">
        <f t="shared" si="19"/>
        <v>0</v>
      </c>
      <c r="S30" s="3146">
        <f t="shared" si="19"/>
        <v>0</v>
      </c>
      <c r="T30" s="3146">
        <f t="shared" si="19"/>
        <v>0</v>
      </c>
      <c r="U30" s="3146">
        <f t="shared" si="19"/>
        <v>0</v>
      </c>
      <c r="V30" s="3146">
        <f t="shared" si="19"/>
        <v>0</v>
      </c>
      <c r="W30" s="3146">
        <f t="shared" si="19"/>
        <v>0</v>
      </c>
      <c r="X30" s="3146">
        <f t="shared" si="19"/>
        <v>0</v>
      </c>
      <c r="Y30" s="3146">
        <f t="shared" si="19"/>
        <v>0</v>
      </c>
      <c r="Z30" s="3146">
        <f t="shared" si="19"/>
        <v>0</v>
      </c>
      <c r="AA30" s="3146">
        <f t="shared" si="19"/>
        <v>0</v>
      </c>
      <c r="AB30" s="3146">
        <f t="shared" si="19"/>
        <v>0</v>
      </c>
      <c r="AC30" s="3146">
        <f t="shared" si="19"/>
        <v>0</v>
      </c>
      <c r="AD30" s="3146">
        <f t="shared" si="19"/>
        <v>0</v>
      </c>
      <c r="AE30" s="3146">
        <f t="shared" si="19"/>
        <v>0</v>
      </c>
      <c r="AF30" s="3146">
        <f t="shared" si="19"/>
        <v>0</v>
      </c>
      <c r="AG30" s="3146">
        <f t="shared" si="19"/>
        <v>0</v>
      </c>
      <c r="AH30" s="3146">
        <f t="shared" si="19"/>
        <v>0</v>
      </c>
      <c r="AI30" s="3146">
        <f t="shared" si="19"/>
        <v>0</v>
      </c>
      <c r="AJ30" s="3146">
        <f t="shared" si="19"/>
        <v>0</v>
      </c>
      <c r="AK30" s="3146">
        <f t="shared" si="19"/>
        <v>0</v>
      </c>
      <c r="AL30" s="3146">
        <f t="shared" si="19"/>
        <v>0</v>
      </c>
      <c r="AM30" s="3146">
        <f t="shared" si="19"/>
        <v>0</v>
      </c>
      <c r="AN30" s="3146">
        <f t="shared" si="19"/>
        <v>0</v>
      </c>
      <c r="AO30" s="3146">
        <f t="shared" si="19"/>
        <v>0</v>
      </c>
      <c r="AP30" s="3146">
        <f t="shared" si="19"/>
        <v>0</v>
      </c>
      <c r="AQ30" s="3146">
        <f t="shared" si="19"/>
        <v>0</v>
      </c>
      <c r="AR30" s="3146">
        <f t="shared" si="19"/>
        <v>0</v>
      </c>
      <c r="AS30" s="3146">
        <f t="shared" si="19"/>
        <v>0</v>
      </c>
      <c r="AT30" s="3146">
        <f t="shared" si="19"/>
        <v>0</v>
      </c>
    </row>
    <row r="31" spans="1:46">
      <c r="B31" s="3147" t="s">
        <v>385</v>
      </c>
      <c r="C31" s="3133" t="s">
        <v>1828</v>
      </c>
      <c r="D31" s="3154">
        <v>-1.2007410000000001</v>
      </c>
      <c r="E31" s="3140">
        <v>0.29461710000000002</v>
      </c>
      <c r="F31" s="3146"/>
      <c r="G31" s="3146"/>
      <c r="H31" s="3146"/>
      <c r="I31" s="3146"/>
      <c r="J31" s="3146"/>
      <c r="K31" s="3146"/>
      <c r="L31" s="3146"/>
      <c r="M31" s="3146"/>
      <c r="N31" s="3146"/>
      <c r="O31" s="3146"/>
      <c r="P31" s="3146"/>
      <c r="Q31" s="3146"/>
      <c r="R31" s="3146"/>
      <c r="S31" s="3146"/>
      <c r="T31" s="3146"/>
      <c r="U31" s="3146"/>
      <c r="V31" s="3146"/>
      <c r="W31" s="3146"/>
      <c r="X31" s="3202">
        <f t="shared" ref="X31:AT31" si="20">PV((1+DiscountRate)/(1+InflationRate)-1,30,-IF(CostScenario="Higher Cost",X58,IF(CostScenario="Lower Cost",X58,X58)))</f>
        <v>198815.10533047348</v>
      </c>
      <c r="Y31" s="3202">
        <f t="shared" si="20"/>
        <v>201923.76021173954</v>
      </c>
      <c r="Z31" s="3202">
        <f t="shared" si="20"/>
        <v>205081.0217376303</v>
      </c>
      <c r="AA31" s="3202">
        <f t="shared" si="20"/>
        <v>208287.64991721459</v>
      </c>
      <c r="AB31" s="3202">
        <f t="shared" si="20"/>
        <v>211544.41664299386</v>
      </c>
      <c r="AC31" s="3202">
        <f t="shared" si="20"/>
        <v>214852.10587671038</v>
      </c>
      <c r="AD31" s="3202">
        <f t="shared" si="20"/>
        <v>218211.5138380609</v>
      </c>
      <c r="AE31" s="3202">
        <f t="shared" si="20"/>
        <v>221623.44919636074</v>
      </c>
      <c r="AF31" s="3202">
        <f t="shared" si="20"/>
        <v>225088.733265205</v>
      </c>
      <c r="AG31" s="3202">
        <f t="shared" si="20"/>
        <v>228608.20020017348</v>
      </c>
      <c r="AH31" s="3202">
        <f t="shared" si="20"/>
        <v>232182.69719962651</v>
      </c>
      <c r="AI31" s="3202">
        <f t="shared" si="20"/>
        <v>235813.08470864096</v>
      </c>
      <c r="AJ31" s="3202">
        <f t="shared" si="20"/>
        <v>239500.2366261344</v>
      </c>
      <c r="AK31" s="3202">
        <f t="shared" si="20"/>
        <v>243245.04051522855</v>
      </c>
      <c r="AL31" s="3202">
        <f t="shared" si="20"/>
        <v>247048.39781690095</v>
      </c>
      <c r="AM31" s="3202">
        <f t="shared" si="20"/>
        <v>250911.22406697841</v>
      </c>
      <c r="AN31" s="3202">
        <f t="shared" si="20"/>
        <v>254834.44911652248</v>
      </c>
      <c r="AO31" s="3202">
        <f t="shared" si="20"/>
        <v>258819.0173556612</v>
      </c>
      <c r="AP31" s="3202">
        <f t="shared" si="20"/>
        <v>262865.88794092071</v>
      </c>
      <c r="AQ31" s="3202">
        <f t="shared" si="20"/>
        <v>266976.03502611123</v>
      </c>
      <c r="AR31" s="3202">
        <f t="shared" si="20"/>
        <v>271150.44799682312</v>
      </c>
      <c r="AS31" s="3202">
        <f t="shared" si="20"/>
        <v>275390.13170858991</v>
      </c>
      <c r="AT31" s="3202">
        <f t="shared" si="20"/>
        <v>279696.10672877461</v>
      </c>
    </row>
    <row r="32" spans="1:46">
      <c r="B32" s="3149" t="s">
        <v>1829</v>
      </c>
      <c r="C32" s="3133" t="s">
        <v>1830</v>
      </c>
      <c r="D32" s="3154">
        <v>0.29644490000000001</v>
      </c>
      <c r="E32" s="3140">
        <v>-8.4675100000000003E-2</v>
      </c>
      <c r="F32" s="3146">
        <f t="shared" ref="F32:AT32" si="21">EXP(($D$29+$E$32)*(F$1-1993)+$D$34+$D32)*0</f>
        <v>0</v>
      </c>
      <c r="G32" s="3146">
        <f t="shared" si="21"/>
        <v>0</v>
      </c>
      <c r="H32" s="3146">
        <f t="shared" si="21"/>
        <v>0</v>
      </c>
      <c r="I32" s="3146">
        <f t="shared" si="21"/>
        <v>0</v>
      </c>
      <c r="J32" s="3146">
        <f t="shared" si="21"/>
        <v>0</v>
      </c>
      <c r="K32" s="3146">
        <f t="shared" si="21"/>
        <v>0</v>
      </c>
      <c r="L32" s="3146">
        <f t="shared" si="21"/>
        <v>0</v>
      </c>
      <c r="M32" s="3146">
        <f t="shared" si="21"/>
        <v>0</v>
      </c>
      <c r="N32" s="3146">
        <f t="shared" si="21"/>
        <v>0</v>
      </c>
      <c r="O32" s="3146">
        <f t="shared" si="21"/>
        <v>0</v>
      </c>
      <c r="P32" s="3146">
        <f t="shared" si="21"/>
        <v>0</v>
      </c>
      <c r="Q32" s="3146">
        <f t="shared" si="21"/>
        <v>0</v>
      </c>
      <c r="R32" s="3146">
        <f t="shared" si="21"/>
        <v>0</v>
      </c>
      <c r="S32" s="3146">
        <f t="shared" si="21"/>
        <v>0</v>
      </c>
      <c r="T32" s="3146">
        <f t="shared" si="21"/>
        <v>0</v>
      </c>
      <c r="U32" s="3146">
        <f t="shared" si="21"/>
        <v>0</v>
      </c>
      <c r="V32" s="3146">
        <f t="shared" si="21"/>
        <v>0</v>
      </c>
      <c r="W32" s="3146">
        <f t="shared" si="21"/>
        <v>0</v>
      </c>
      <c r="X32" s="3146">
        <f t="shared" si="21"/>
        <v>0</v>
      </c>
      <c r="Y32" s="3146">
        <f t="shared" si="21"/>
        <v>0</v>
      </c>
      <c r="Z32" s="3146">
        <f t="shared" si="21"/>
        <v>0</v>
      </c>
      <c r="AA32" s="3146">
        <f t="shared" si="21"/>
        <v>0</v>
      </c>
      <c r="AB32" s="3146">
        <f t="shared" si="21"/>
        <v>0</v>
      </c>
      <c r="AC32" s="3146">
        <f t="shared" si="21"/>
        <v>0</v>
      </c>
      <c r="AD32" s="3146">
        <f t="shared" si="21"/>
        <v>0</v>
      </c>
      <c r="AE32" s="3146">
        <f t="shared" si="21"/>
        <v>0</v>
      </c>
      <c r="AF32" s="3146">
        <f t="shared" si="21"/>
        <v>0</v>
      </c>
      <c r="AG32" s="3146">
        <f t="shared" si="21"/>
        <v>0</v>
      </c>
      <c r="AH32" s="3146">
        <f t="shared" si="21"/>
        <v>0</v>
      </c>
      <c r="AI32" s="3146">
        <f t="shared" si="21"/>
        <v>0</v>
      </c>
      <c r="AJ32" s="3146">
        <f t="shared" si="21"/>
        <v>0</v>
      </c>
      <c r="AK32" s="3146">
        <f t="shared" si="21"/>
        <v>0</v>
      </c>
      <c r="AL32" s="3146">
        <f t="shared" si="21"/>
        <v>0</v>
      </c>
      <c r="AM32" s="3146">
        <f t="shared" si="21"/>
        <v>0</v>
      </c>
      <c r="AN32" s="3146">
        <f t="shared" si="21"/>
        <v>0</v>
      </c>
      <c r="AO32" s="3146">
        <f t="shared" si="21"/>
        <v>0</v>
      </c>
      <c r="AP32" s="3146">
        <f t="shared" si="21"/>
        <v>0</v>
      </c>
      <c r="AQ32" s="3146">
        <f t="shared" si="21"/>
        <v>0</v>
      </c>
      <c r="AR32" s="3146">
        <f t="shared" si="21"/>
        <v>0</v>
      </c>
      <c r="AS32" s="3146">
        <f t="shared" si="21"/>
        <v>0</v>
      </c>
      <c r="AT32" s="3146">
        <f t="shared" si="21"/>
        <v>0</v>
      </c>
    </row>
    <row r="33" spans="1:67">
      <c r="B33" s="3137" t="s">
        <v>1831</v>
      </c>
      <c r="C33" s="3133" t="s">
        <v>1832</v>
      </c>
      <c r="D33" s="3154">
        <v>-1.5682290000000001</v>
      </c>
      <c r="E33" s="3140">
        <v>0.15822420000000001</v>
      </c>
      <c r="F33" s="3146">
        <f t="shared" ref="F33:AT33" si="22">EXP(($D$29+$E$33)*(F$1-1993)+$D$34+$D33)*0</f>
        <v>0</v>
      </c>
      <c r="G33" s="3146">
        <f t="shared" si="22"/>
        <v>0</v>
      </c>
      <c r="H33" s="3146">
        <f t="shared" si="22"/>
        <v>0</v>
      </c>
      <c r="I33" s="3146">
        <f t="shared" si="22"/>
        <v>0</v>
      </c>
      <c r="J33" s="3146">
        <f t="shared" si="22"/>
        <v>0</v>
      </c>
      <c r="K33" s="3146">
        <f t="shared" si="22"/>
        <v>0</v>
      </c>
      <c r="L33" s="3146">
        <f t="shared" si="22"/>
        <v>0</v>
      </c>
      <c r="M33" s="3146">
        <f t="shared" si="22"/>
        <v>0</v>
      </c>
      <c r="N33" s="3146">
        <f t="shared" si="22"/>
        <v>0</v>
      </c>
      <c r="O33" s="3146">
        <f t="shared" si="22"/>
        <v>0</v>
      </c>
      <c r="P33" s="3146">
        <f t="shared" si="22"/>
        <v>0</v>
      </c>
      <c r="Q33" s="3146">
        <f t="shared" si="22"/>
        <v>0</v>
      </c>
      <c r="R33" s="3146">
        <f t="shared" si="22"/>
        <v>0</v>
      </c>
      <c r="S33" s="3146">
        <f t="shared" si="22"/>
        <v>0</v>
      </c>
      <c r="T33" s="3146">
        <f t="shared" si="22"/>
        <v>0</v>
      </c>
      <c r="U33" s="3146">
        <f t="shared" si="22"/>
        <v>0</v>
      </c>
      <c r="V33" s="3146">
        <f t="shared" si="22"/>
        <v>0</v>
      </c>
      <c r="W33" s="3146">
        <f t="shared" si="22"/>
        <v>0</v>
      </c>
      <c r="X33" s="3146">
        <f t="shared" si="22"/>
        <v>0</v>
      </c>
      <c r="Y33" s="3146">
        <f t="shared" si="22"/>
        <v>0</v>
      </c>
      <c r="Z33" s="3146">
        <f t="shared" si="22"/>
        <v>0</v>
      </c>
      <c r="AA33" s="3146">
        <f t="shared" si="22"/>
        <v>0</v>
      </c>
      <c r="AB33" s="3146">
        <f t="shared" si="22"/>
        <v>0</v>
      </c>
      <c r="AC33" s="3146">
        <f t="shared" si="22"/>
        <v>0</v>
      </c>
      <c r="AD33" s="3146">
        <f t="shared" si="22"/>
        <v>0</v>
      </c>
      <c r="AE33" s="3146">
        <f t="shared" si="22"/>
        <v>0</v>
      </c>
      <c r="AF33" s="3146">
        <f t="shared" si="22"/>
        <v>0</v>
      </c>
      <c r="AG33" s="3146">
        <f t="shared" si="22"/>
        <v>0</v>
      </c>
      <c r="AH33" s="3146">
        <f t="shared" si="22"/>
        <v>0</v>
      </c>
      <c r="AI33" s="3146">
        <f t="shared" si="22"/>
        <v>0</v>
      </c>
      <c r="AJ33" s="3146">
        <f t="shared" si="22"/>
        <v>0</v>
      </c>
      <c r="AK33" s="3146">
        <f t="shared" si="22"/>
        <v>0</v>
      </c>
      <c r="AL33" s="3146">
        <f t="shared" si="22"/>
        <v>0</v>
      </c>
      <c r="AM33" s="3146">
        <f t="shared" si="22"/>
        <v>0</v>
      </c>
      <c r="AN33" s="3146">
        <f t="shared" si="22"/>
        <v>0</v>
      </c>
      <c r="AO33" s="3146">
        <f t="shared" si="22"/>
        <v>0</v>
      </c>
      <c r="AP33" s="3146">
        <f t="shared" si="22"/>
        <v>0</v>
      </c>
      <c r="AQ33" s="3146">
        <f t="shared" si="22"/>
        <v>0</v>
      </c>
      <c r="AR33" s="3146">
        <f t="shared" si="22"/>
        <v>0</v>
      </c>
      <c r="AS33" s="3146">
        <f t="shared" si="22"/>
        <v>0</v>
      </c>
      <c r="AT33" s="3146">
        <f t="shared" si="22"/>
        <v>0</v>
      </c>
    </row>
    <row r="34" spans="1:67">
      <c r="B34" s="3150" t="s">
        <v>1833</v>
      </c>
      <c r="C34" s="3133" t="s">
        <v>1834</v>
      </c>
      <c r="D34" s="3154">
        <v>8.3725210000000008</v>
      </c>
      <c r="E34" s="3140"/>
      <c r="F34" s="3146">
        <f t="shared" ref="F34:AT34" si="23">EXP($D$29*(F$1-1993)+$D$34)*0</f>
        <v>0</v>
      </c>
      <c r="G34" s="3146">
        <f t="shared" si="23"/>
        <v>0</v>
      </c>
      <c r="H34" s="3146">
        <f t="shared" si="23"/>
        <v>0</v>
      </c>
      <c r="I34" s="3146">
        <f t="shared" si="23"/>
        <v>0</v>
      </c>
      <c r="J34" s="3146">
        <f t="shared" si="23"/>
        <v>0</v>
      </c>
      <c r="K34" s="3146">
        <f t="shared" si="23"/>
        <v>0</v>
      </c>
      <c r="L34" s="3146">
        <f t="shared" si="23"/>
        <v>0</v>
      </c>
      <c r="M34" s="3146">
        <f t="shared" si="23"/>
        <v>0</v>
      </c>
      <c r="N34" s="3146">
        <f t="shared" si="23"/>
        <v>0</v>
      </c>
      <c r="O34" s="3146">
        <f t="shared" si="23"/>
        <v>0</v>
      </c>
      <c r="P34" s="3146">
        <f t="shared" si="23"/>
        <v>0</v>
      </c>
      <c r="Q34" s="3146">
        <f t="shared" si="23"/>
        <v>0</v>
      </c>
      <c r="R34" s="3146">
        <f t="shared" si="23"/>
        <v>0</v>
      </c>
      <c r="S34" s="3146">
        <f t="shared" si="23"/>
        <v>0</v>
      </c>
      <c r="T34" s="3146">
        <f t="shared" si="23"/>
        <v>0</v>
      </c>
      <c r="U34" s="3146">
        <f t="shared" si="23"/>
        <v>0</v>
      </c>
      <c r="V34" s="3146">
        <f t="shared" si="23"/>
        <v>0</v>
      </c>
      <c r="W34" s="3146">
        <f t="shared" si="23"/>
        <v>0</v>
      </c>
      <c r="X34" s="3146">
        <f t="shared" si="23"/>
        <v>0</v>
      </c>
      <c r="Y34" s="3146">
        <f t="shared" si="23"/>
        <v>0</v>
      </c>
      <c r="Z34" s="3146">
        <f t="shared" si="23"/>
        <v>0</v>
      </c>
      <c r="AA34" s="3146">
        <f t="shared" si="23"/>
        <v>0</v>
      </c>
      <c r="AB34" s="3146">
        <f t="shared" si="23"/>
        <v>0</v>
      </c>
      <c r="AC34" s="3146">
        <f t="shared" si="23"/>
        <v>0</v>
      </c>
      <c r="AD34" s="3146">
        <f t="shared" si="23"/>
        <v>0</v>
      </c>
      <c r="AE34" s="3146">
        <f t="shared" si="23"/>
        <v>0</v>
      </c>
      <c r="AF34" s="3146">
        <f t="shared" si="23"/>
        <v>0</v>
      </c>
      <c r="AG34" s="3146">
        <f t="shared" si="23"/>
        <v>0</v>
      </c>
      <c r="AH34" s="3146">
        <f t="shared" si="23"/>
        <v>0</v>
      </c>
      <c r="AI34" s="3146">
        <f t="shared" si="23"/>
        <v>0</v>
      </c>
      <c r="AJ34" s="3146">
        <f t="shared" si="23"/>
        <v>0</v>
      </c>
      <c r="AK34" s="3146">
        <f t="shared" si="23"/>
        <v>0</v>
      </c>
      <c r="AL34" s="3146">
        <f t="shared" si="23"/>
        <v>0</v>
      </c>
      <c r="AM34" s="3146">
        <f t="shared" si="23"/>
        <v>0</v>
      </c>
      <c r="AN34" s="3146">
        <f t="shared" si="23"/>
        <v>0</v>
      </c>
      <c r="AO34" s="3146">
        <f t="shared" si="23"/>
        <v>0</v>
      </c>
      <c r="AP34" s="3146">
        <f t="shared" si="23"/>
        <v>0</v>
      </c>
      <c r="AQ34" s="3146">
        <f t="shared" si="23"/>
        <v>0</v>
      </c>
      <c r="AR34" s="3146">
        <f t="shared" si="23"/>
        <v>0</v>
      </c>
      <c r="AS34" s="3146">
        <f t="shared" si="23"/>
        <v>0</v>
      </c>
      <c r="AT34" s="3146">
        <f t="shared" si="23"/>
        <v>0</v>
      </c>
    </row>
    <row r="35" spans="1:67">
      <c r="D35" s="3154">
        <f>AVERAGE(D30:D33)</f>
        <v>-1.2274567749999998</v>
      </c>
      <c r="E35" s="3140">
        <f>AVERAGE(E30:E33)</f>
        <v>0.12250607500000002</v>
      </c>
    </row>
    <row r="36" spans="1:67">
      <c r="D36" s="3154">
        <f>SUM(D34:D35)</f>
        <v>7.1450642250000005</v>
      </c>
      <c r="E36" s="3140"/>
    </row>
    <row r="38" spans="1:67">
      <c r="A38" s="3132" t="s">
        <v>375</v>
      </c>
      <c r="B38" s="3138" t="s">
        <v>1825</v>
      </c>
      <c r="C38" s="3139"/>
      <c r="D38" s="3140">
        <v>9.9293000000000006E-2</v>
      </c>
      <c r="E38" s="3140"/>
      <c r="F38" s="3142">
        <f t="shared" ref="F38:AT38" si="24">EXP(($D$38+$E$44)*(F$1-1993)+$D$43+$D44)</f>
        <v>4845.5091183935292</v>
      </c>
      <c r="G38" s="3142">
        <f t="shared" si="24"/>
        <v>4843.0448347486927</v>
      </c>
      <c r="H38" s="3142">
        <f t="shared" si="24"/>
        <v>4840.5818043661429</v>
      </c>
      <c r="I38" s="3142">
        <f t="shared" si="24"/>
        <v>4838.1200266085252</v>
      </c>
      <c r="J38" s="3142">
        <f t="shared" si="24"/>
        <v>4835.6595008387749</v>
      </c>
      <c r="K38" s="3142">
        <f t="shared" si="24"/>
        <v>4833.2002264201838</v>
      </c>
      <c r="L38" s="3142">
        <f t="shared" si="24"/>
        <v>4830.7422027163338</v>
      </c>
      <c r="M38" s="3142">
        <f t="shared" si="24"/>
        <v>4828.2854290911664</v>
      </c>
      <c r="N38" s="3142">
        <f t="shared" si="24"/>
        <v>4825.8299049089201</v>
      </c>
      <c r="O38" s="3142">
        <f t="shared" si="24"/>
        <v>4823.3756295341545</v>
      </c>
      <c r="P38" s="3142">
        <f t="shared" si="24"/>
        <v>4820.9226023317824</v>
      </c>
      <c r="Q38" s="3142">
        <f t="shared" si="24"/>
        <v>4818.470822667</v>
      </c>
      <c r="R38" s="3142">
        <f t="shared" si="24"/>
        <v>4816.0202899053666</v>
      </c>
      <c r="S38" s="3142">
        <f t="shared" si="24"/>
        <v>4813.5710034127324</v>
      </c>
      <c r="T38" s="3142">
        <f t="shared" si="24"/>
        <v>4811.1229625552742</v>
      </c>
      <c r="U38" s="3142">
        <f t="shared" si="24"/>
        <v>4808.6761666995162</v>
      </c>
      <c r="V38" s="3142">
        <f t="shared" si="24"/>
        <v>4806.2306152122692</v>
      </c>
      <c r="W38" s="3142">
        <f t="shared" si="24"/>
        <v>4803.7863074607021</v>
      </c>
      <c r="X38" s="3142">
        <f t="shared" si="24"/>
        <v>4801.3432428122687</v>
      </c>
      <c r="Y38" s="3142">
        <f t="shared" si="24"/>
        <v>4798.901420634782</v>
      </c>
      <c r="Z38" s="3142">
        <f t="shared" si="24"/>
        <v>4796.4608402963477</v>
      </c>
      <c r="AA38" s="3142">
        <f t="shared" si="24"/>
        <v>4794.0215011653954</v>
      </c>
      <c r="AB38" s="3142">
        <f t="shared" si="24"/>
        <v>4791.5834026107004</v>
      </c>
      <c r="AC38" s="3142">
        <f t="shared" si="24"/>
        <v>4789.1465440013244</v>
      </c>
      <c r="AD38" s="3142">
        <f t="shared" si="24"/>
        <v>4786.7109247066855</v>
      </c>
      <c r="AE38" s="3142">
        <f t="shared" si="24"/>
        <v>4784.2765440964868</v>
      </c>
      <c r="AF38" s="3142">
        <f t="shared" si="24"/>
        <v>4781.8434015407875</v>
      </c>
      <c r="AG38" s="3142">
        <f t="shared" si="24"/>
        <v>4779.4114964099408</v>
      </c>
      <c r="AH38" s="3142">
        <f t="shared" si="24"/>
        <v>4776.9808280746192</v>
      </c>
      <c r="AI38" s="3142">
        <f t="shared" si="24"/>
        <v>4774.5513959058435</v>
      </c>
      <c r="AJ38" s="3142">
        <f t="shared" si="24"/>
        <v>4772.1231992749181</v>
      </c>
      <c r="AK38" s="3142">
        <f t="shared" si="24"/>
        <v>4769.6962375535004</v>
      </c>
      <c r="AL38" s="3142">
        <f t="shared" si="24"/>
        <v>4767.2705101135361</v>
      </c>
      <c r="AM38" s="3142">
        <f t="shared" si="24"/>
        <v>4764.846016327323</v>
      </c>
      <c r="AN38" s="3142">
        <f t="shared" si="24"/>
        <v>4762.4227555674515</v>
      </c>
      <c r="AO38" s="3142">
        <f t="shared" si="24"/>
        <v>4760.0007272068333</v>
      </c>
      <c r="AP38" s="3142">
        <f t="shared" si="24"/>
        <v>4757.5799306187228</v>
      </c>
      <c r="AQ38" s="3142">
        <f t="shared" si="24"/>
        <v>4755.1603651766591</v>
      </c>
      <c r="AR38" s="3142">
        <f t="shared" si="24"/>
        <v>4752.7420302545361</v>
      </c>
      <c r="AS38" s="3142">
        <f t="shared" si="24"/>
        <v>4750.3249252265368</v>
      </c>
      <c r="AT38" s="3142">
        <f t="shared" si="24"/>
        <v>4747.9090494671655</v>
      </c>
    </row>
    <row r="39" spans="1:67">
      <c r="B39" s="3143" t="s">
        <v>1826</v>
      </c>
      <c r="C39" s="3133" t="s">
        <v>1827</v>
      </c>
      <c r="D39" s="3154">
        <v>-0.98144140000000002</v>
      </c>
      <c r="E39" s="3140">
        <v>-0.2034521</v>
      </c>
      <c r="F39" s="3146">
        <f t="shared" ref="F39:AT39" si="25">EXP(($D$38+$E$39)*(F$1-1993)+$D$43+$D39)*0</f>
        <v>0</v>
      </c>
      <c r="G39" s="3146">
        <f t="shared" si="25"/>
        <v>0</v>
      </c>
      <c r="H39" s="3146">
        <f t="shared" si="25"/>
        <v>0</v>
      </c>
      <c r="I39" s="3146">
        <f t="shared" si="25"/>
        <v>0</v>
      </c>
      <c r="J39" s="3146">
        <f t="shared" si="25"/>
        <v>0</v>
      </c>
      <c r="K39" s="3146">
        <f t="shared" si="25"/>
        <v>0</v>
      </c>
      <c r="L39" s="3146">
        <f t="shared" si="25"/>
        <v>0</v>
      </c>
      <c r="M39" s="3146">
        <f t="shared" si="25"/>
        <v>0</v>
      </c>
      <c r="N39" s="3146">
        <f t="shared" si="25"/>
        <v>0</v>
      </c>
      <c r="O39" s="3146">
        <f t="shared" si="25"/>
        <v>0</v>
      </c>
      <c r="P39" s="3146">
        <f t="shared" si="25"/>
        <v>0</v>
      </c>
      <c r="Q39" s="3146">
        <f t="shared" si="25"/>
        <v>0</v>
      </c>
      <c r="R39" s="3146">
        <f t="shared" si="25"/>
        <v>0</v>
      </c>
      <c r="S39" s="3146">
        <f t="shared" si="25"/>
        <v>0</v>
      </c>
      <c r="T39" s="3146">
        <f t="shared" si="25"/>
        <v>0</v>
      </c>
      <c r="U39" s="3146">
        <f t="shared" si="25"/>
        <v>0</v>
      </c>
      <c r="V39" s="3146">
        <f t="shared" si="25"/>
        <v>0</v>
      </c>
      <c r="W39" s="3146">
        <f t="shared" si="25"/>
        <v>0</v>
      </c>
      <c r="X39" s="3146">
        <f t="shared" si="25"/>
        <v>0</v>
      </c>
      <c r="Y39" s="3146">
        <f t="shared" si="25"/>
        <v>0</v>
      </c>
      <c r="Z39" s="3146">
        <f t="shared" si="25"/>
        <v>0</v>
      </c>
      <c r="AA39" s="3146">
        <f t="shared" si="25"/>
        <v>0</v>
      </c>
      <c r="AB39" s="3146">
        <f t="shared" si="25"/>
        <v>0</v>
      </c>
      <c r="AC39" s="3146">
        <f t="shared" si="25"/>
        <v>0</v>
      </c>
      <c r="AD39" s="3146">
        <f t="shared" si="25"/>
        <v>0</v>
      </c>
      <c r="AE39" s="3146">
        <f t="shared" si="25"/>
        <v>0</v>
      </c>
      <c r="AF39" s="3146">
        <f t="shared" si="25"/>
        <v>0</v>
      </c>
      <c r="AG39" s="3146">
        <f t="shared" si="25"/>
        <v>0</v>
      </c>
      <c r="AH39" s="3146">
        <f t="shared" si="25"/>
        <v>0</v>
      </c>
      <c r="AI39" s="3146">
        <f t="shared" si="25"/>
        <v>0</v>
      </c>
      <c r="AJ39" s="3146">
        <f t="shared" si="25"/>
        <v>0</v>
      </c>
      <c r="AK39" s="3146">
        <f t="shared" si="25"/>
        <v>0</v>
      </c>
      <c r="AL39" s="3146">
        <f t="shared" si="25"/>
        <v>0</v>
      </c>
      <c r="AM39" s="3146">
        <f t="shared" si="25"/>
        <v>0</v>
      </c>
      <c r="AN39" s="3146">
        <f t="shared" si="25"/>
        <v>0</v>
      </c>
      <c r="AO39" s="3146">
        <f t="shared" si="25"/>
        <v>0</v>
      </c>
      <c r="AP39" s="3146">
        <f t="shared" si="25"/>
        <v>0</v>
      </c>
      <c r="AQ39" s="3146">
        <f t="shared" si="25"/>
        <v>0</v>
      </c>
      <c r="AR39" s="3146">
        <f t="shared" si="25"/>
        <v>0</v>
      </c>
      <c r="AS39" s="3146">
        <f t="shared" si="25"/>
        <v>0</v>
      </c>
      <c r="AT39" s="3146">
        <f t="shared" si="25"/>
        <v>0</v>
      </c>
    </row>
    <row r="40" spans="1:67">
      <c r="B40" s="3147" t="s">
        <v>385</v>
      </c>
      <c r="C40" s="3133" t="s">
        <v>1828</v>
      </c>
      <c r="E40" s="3152"/>
      <c r="F40" s="3146"/>
      <c r="G40" s="3146"/>
      <c r="H40" s="3146"/>
      <c r="I40" s="3146"/>
      <c r="J40" s="3146"/>
      <c r="K40" s="3146"/>
      <c r="L40" s="3146"/>
      <c r="M40" s="3146"/>
      <c r="N40" s="3146"/>
      <c r="O40" s="3146"/>
      <c r="P40" s="3146"/>
      <c r="Q40" s="3146"/>
      <c r="R40" s="3146"/>
      <c r="S40" s="3146"/>
      <c r="T40" s="3146"/>
      <c r="U40" s="3146"/>
      <c r="V40" s="3146"/>
      <c r="W40" s="3146"/>
      <c r="X40" s="3146">
        <f t="shared" ref="X40:AT40" si="26">PV((1+DiscountRate)/(1+InflationRate)-1,30,-IF(CostScenario="Higher Cost",X$56,IF(CostScenario="Lower Cost",X$56,X$56)))</f>
        <v>591789.41582550551</v>
      </c>
      <c r="Y40" s="3146">
        <f t="shared" si="26"/>
        <v>601042.58123831265</v>
      </c>
      <c r="Z40" s="3148">
        <f t="shared" si="26"/>
        <v>610440.42830284778</v>
      </c>
      <c r="AA40" s="3146">
        <f t="shared" si="26"/>
        <v>619985.21924824151</v>
      </c>
      <c r="AB40" s="3146">
        <f t="shared" si="26"/>
        <v>629679.25167563302</v>
      </c>
      <c r="AC40" s="3146">
        <f t="shared" si="26"/>
        <v>639524.85911124363</v>
      </c>
      <c r="AD40" s="3146">
        <f t="shared" si="26"/>
        <v>649524.41156809824</v>
      </c>
      <c r="AE40" s="3146">
        <f t="shared" si="26"/>
        <v>659680.31611652975</v>
      </c>
      <c r="AF40" s="3146">
        <f t="shared" si="26"/>
        <v>669995.01746360317</v>
      </c>
      <c r="AG40" s="3146">
        <f t="shared" si="26"/>
        <v>680470.998541601</v>
      </c>
      <c r="AH40" s="3146">
        <f t="shared" si="26"/>
        <v>691110.78110570833</v>
      </c>
      <c r="AI40" s="3146">
        <f t="shared" si="26"/>
        <v>701916.92634104507</v>
      </c>
      <c r="AJ40" s="3146">
        <f t="shared" si="26"/>
        <v>712892.03547918808</v>
      </c>
      <c r="AK40" s="3146">
        <f t="shared" si="26"/>
        <v>724038.75042433466</v>
      </c>
      <c r="AL40" s="3146">
        <f t="shared" si="26"/>
        <v>735359.75438925507</v>
      </c>
      <c r="AM40" s="3146">
        <f t="shared" si="26"/>
        <v>746857.77254119073</v>
      </c>
      <c r="AN40" s="3146">
        <f t="shared" si="26"/>
        <v>758535.57265784929</v>
      </c>
      <c r="AO40" s="3146">
        <f t="shared" si="26"/>
        <v>770395.96579365875</v>
      </c>
      <c r="AP40" s="3146">
        <f t="shared" si="26"/>
        <v>782441.80695643811</v>
      </c>
      <c r="AQ40" s="3146">
        <f t="shared" si="26"/>
        <v>794675.99579464889</v>
      </c>
      <c r="AR40" s="3146">
        <f t="shared" si="26"/>
        <v>807101.47729539149</v>
      </c>
      <c r="AS40" s="3146">
        <f t="shared" si="26"/>
        <v>819721.24249331676</v>
      </c>
      <c r="AT40" s="3146">
        <f t="shared" si="26"/>
        <v>832538.32919062104</v>
      </c>
    </row>
    <row r="41" spans="1:67">
      <c r="B41" s="3149" t="s">
        <v>1829</v>
      </c>
      <c r="C41" s="3133" t="s">
        <v>1830</v>
      </c>
      <c r="D41" s="3144">
        <v>1.385078</v>
      </c>
      <c r="E41" s="3152">
        <v>-0.1872606</v>
      </c>
      <c r="F41" s="3146">
        <f t="shared" ref="F41:AT41" si="27">EXP(($D$38+$E$41)*(F$1-1993)+$D$43+$D41)</f>
        <v>22545.167039788656</v>
      </c>
      <c r="G41" s="3146">
        <f t="shared" si="27"/>
        <v>20646.650874882118</v>
      </c>
      <c r="H41" s="3146">
        <f t="shared" si="27"/>
        <v>18908.007716108161</v>
      </c>
      <c r="I41" s="3146">
        <f t="shared" si="27"/>
        <v>17315.774745207742</v>
      </c>
      <c r="J41" s="3146">
        <f t="shared" si="27"/>
        <v>15857.622840471851</v>
      </c>
      <c r="K41" s="3146">
        <f t="shared" si="27"/>
        <v>14522.261108775889</v>
      </c>
      <c r="L41" s="3146">
        <f t="shared" si="27"/>
        <v>13299.34945691957</v>
      </c>
      <c r="M41" s="3146">
        <f t="shared" si="27"/>
        <v>12179.418525286119</v>
      </c>
      <c r="N41" s="3146">
        <f t="shared" si="27"/>
        <v>11153.796363844169</v>
      </c>
      <c r="O41" s="3146">
        <f t="shared" si="27"/>
        <v>10214.54128272358</v>
      </c>
      <c r="P41" s="3146">
        <f t="shared" si="27"/>
        <v>9354.3803574072645</v>
      </c>
      <c r="Q41" s="3146">
        <f t="shared" si="27"/>
        <v>8566.6531123671666</v>
      </c>
      <c r="R41" s="3146">
        <f t="shared" si="27"/>
        <v>7845.2599470704672</v>
      </c>
      <c r="S41" s="3146">
        <f t="shared" si="27"/>
        <v>7184.6149050035392</v>
      </c>
      <c r="T41" s="3146">
        <f t="shared" si="27"/>
        <v>6579.6024199904641</v>
      </c>
      <c r="U41" s="3146">
        <f t="shared" si="27"/>
        <v>6025.5377048803666</v>
      </c>
      <c r="V41" s="3146">
        <f t="shared" si="27"/>
        <v>5518.1304758817896</v>
      </c>
      <c r="W41" s="3146">
        <f t="shared" si="27"/>
        <v>5053.4517316508927</v>
      </c>
      <c r="X41" s="3146">
        <f t="shared" si="27"/>
        <v>4627.9033298944478</v>
      </c>
      <c r="Y41" s="3146">
        <f t="shared" si="27"/>
        <v>4238.190125910497</v>
      </c>
      <c r="Z41" s="3146">
        <f t="shared" si="27"/>
        <v>3881.2944573271679</v>
      </c>
      <c r="AA41" s="3146">
        <f t="shared" si="27"/>
        <v>3554.4527774676644</v>
      </c>
      <c r="AB41" s="3146">
        <f t="shared" si="27"/>
        <v>3255.1342564068173</v>
      </c>
      <c r="AC41" s="3146">
        <f t="shared" si="27"/>
        <v>2981.0211840209363</v>
      </c>
      <c r="AD41" s="3146">
        <f t="shared" si="27"/>
        <v>2729.9910232860716</v>
      </c>
      <c r="AE41" s="3146">
        <f t="shared" si="27"/>
        <v>2500.0999748582094</v>
      </c>
      <c r="AF41" s="3146">
        <f t="shared" si="27"/>
        <v>2289.5679256711728</v>
      </c>
      <c r="AG41" s="3146">
        <f t="shared" si="27"/>
        <v>2096.76466500485</v>
      </c>
      <c r="AH41" s="3146">
        <f t="shared" si="27"/>
        <v>1920.1972612907336</v>
      </c>
      <c r="AI41" s="3146">
        <f t="shared" si="27"/>
        <v>1758.4985019098026</v>
      </c>
      <c r="AJ41" s="3146">
        <f t="shared" si="27"/>
        <v>1610.4163064686393</v>
      </c>
      <c r="AK41" s="3146">
        <f t="shared" si="27"/>
        <v>1474.8040315777962</v>
      </c>
      <c r="AL41" s="3146">
        <f t="shared" si="27"/>
        <v>1350.6115920594607</v>
      </c>
      <c r="AM41" s="3146">
        <f t="shared" si="27"/>
        <v>1236.877329833339</v>
      </c>
      <c r="AN41" s="3146">
        <f t="shared" si="27"/>
        <v>1132.7205675192363</v>
      </c>
      <c r="AO41" s="3146">
        <f t="shared" si="27"/>
        <v>1037.3347890966554</v>
      </c>
      <c r="AP41" s="3146">
        <f t="shared" si="27"/>
        <v>949.98139481732971</v>
      </c>
      <c r="AQ41" s="3146">
        <f t="shared" si="27"/>
        <v>869.9839820131516</v>
      </c>
      <c r="AR41" s="3146">
        <f t="shared" si="27"/>
        <v>796.72310751411703</v>
      </c>
      <c r="AS41" s="3146">
        <f t="shared" si="27"/>
        <v>729.63149112020778</v>
      </c>
      <c r="AT41" s="3146">
        <f t="shared" si="27"/>
        <v>668.1896229862582</v>
      </c>
    </row>
    <row r="42" spans="1:67">
      <c r="B42" s="3137" t="s">
        <v>1831</v>
      </c>
      <c r="C42" s="3133" t="s">
        <v>1832</v>
      </c>
      <c r="D42" s="3144">
        <v>-0.86080780000000001</v>
      </c>
      <c r="E42" s="3152">
        <v>9.1307600000000003E-2</v>
      </c>
      <c r="F42" s="3146">
        <f t="shared" ref="F42:AT42" si="28">EXP(($D$38+$E$42)*(F$1-1993)+$D$43+$D42)</f>
        <v>2386.0396015869806</v>
      </c>
      <c r="G42" s="3146">
        <f t="shared" si="28"/>
        <v>2887.0508703612786</v>
      </c>
      <c r="H42" s="3146">
        <f t="shared" si="28"/>
        <v>3493.2625269547402</v>
      </c>
      <c r="I42" s="3146">
        <f t="shared" si="28"/>
        <v>4226.7641375848625</v>
      </c>
      <c r="J42" s="3146">
        <f t="shared" si="28"/>
        <v>5114.2835492378035</v>
      </c>
      <c r="K42" s="3146">
        <f t="shared" si="28"/>
        <v>6188.1608177336648</v>
      </c>
      <c r="L42" s="3146">
        <f t="shared" si="28"/>
        <v>7487.5266373998911</v>
      </c>
      <c r="M42" s="3146">
        <f t="shared" si="28"/>
        <v>9059.7282128012466</v>
      </c>
      <c r="N42" s="3146">
        <f t="shared" si="28"/>
        <v>10962.05452944197</v>
      </c>
      <c r="O42" s="3146">
        <f t="shared" si="28"/>
        <v>13263.823890066118</v>
      </c>
      <c r="P42" s="3146">
        <f t="shared" si="28"/>
        <v>16048.909783670315</v>
      </c>
      <c r="Q42" s="3146">
        <f t="shared" si="28"/>
        <v>19418.797126618458</v>
      </c>
      <c r="R42" s="3146">
        <f t="shared" si="28"/>
        <v>23496.280241319037</v>
      </c>
      <c r="S42" s="3146">
        <f t="shared" si="28"/>
        <v>28429.93732201045</v>
      </c>
      <c r="T42" s="3146">
        <f t="shared" si="28"/>
        <v>34399.544431381386</v>
      </c>
      <c r="U42" s="3146">
        <f t="shared" si="28"/>
        <v>41622.626307038998</v>
      </c>
      <c r="V42" s="3146">
        <f t="shared" si="28"/>
        <v>50362.382680712879</v>
      </c>
      <c r="W42" s="3146">
        <f t="shared" si="28"/>
        <v>60937.278934982314</v>
      </c>
      <c r="X42" s="3146">
        <f t="shared" si="28"/>
        <v>73732.650568614379</v>
      </c>
      <c r="Y42" s="3146">
        <f t="shared" si="28"/>
        <v>89214.744322173079</v>
      </c>
      <c r="Z42" s="3146">
        <f t="shared" si="28"/>
        <v>107947.7076042987</v>
      </c>
      <c r="AA42" s="3146">
        <f t="shared" si="28"/>
        <v>130614.14529130752</v>
      </c>
      <c r="AB42" s="3146">
        <f t="shared" si="28"/>
        <v>158039.99296321746</v>
      </c>
      <c r="AC42" s="3146">
        <f t="shared" si="28"/>
        <v>191224.61292464618</v>
      </c>
      <c r="AD42" s="3146">
        <f t="shared" si="28"/>
        <v>231377.20967053826</v>
      </c>
      <c r="AE42" s="3146">
        <f t="shared" si="28"/>
        <v>279960.89172903885</v>
      </c>
      <c r="AF42" s="3146">
        <f t="shared" si="28"/>
        <v>338745.98543790221</v>
      </c>
      <c r="AG42" s="3146">
        <f t="shared" si="28"/>
        <v>409874.54333927378</v>
      </c>
      <c r="AH42" s="3146">
        <f t="shared" si="28"/>
        <v>495938.39779504808</v>
      </c>
      <c r="AI42" s="3146">
        <f t="shared" si="28"/>
        <v>600073.6039952843</v>
      </c>
      <c r="AJ42" s="3146">
        <f t="shared" si="28"/>
        <v>726074.71374035382</v>
      </c>
      <c r="AK42" s="3146">
        <f t="shared" si="28"/>
        <v>878533.0439851837</v>
      </c>
      <c r="AL42" s="3146">
        <f t="shared" si="28"/>
        <v>1063003.9784719422</v>
      </c>
      <c r="AM42" s="3146">
        <f t="shared" si="28"/>
        <v>1286209.3987055931</v>
      </c>
      <c r="AN42" s="3146">
        <f t="shared" si="28"/>
        <v>1556282.6205944146</v>
      </c>
      <c r="AO42" s="3146">
        <f t="shared" si="28"/>
        <v>1883064.7619288673</v>
      </c>
      <c r="AP42" s="3146">
        <f t="shared" si="28"/>
        <v>2278463.3399452018</v>
      </c>
      <c r="AQ42" s="3146">
        <f t="shared" si="28"/>
        <v>2756886.1658037598</v>
      </c>
      <c r="AR42" s="3146">
        <f t="shared" si="28"/>
        <v>3335766.3465337842</v>
      </c>
      <c r="AS42" s="3146">
        <f t="shared" si="28"/>
        <v>4036197.5248343912</v>
      </c>
      <c r="AT42" s="3146">
        <f t="shared" si="28"/>
        <v>4883702.5040459801</v>
      </c>
    </row>
    <row r="43" spans="1:67">
      <c r="B43" s="3150" t="s">
        <v>1833</v>
      </c>
      <c r="C43" s="3133" t="s">
        <v>1834</v>
      </c>
      <c r="D43" s="3144">
        <v>8.6381979999999992</v>
      </c>
      <c r="E43" s="3152"/>
      <c r="F43" s="3146">
        <f t="shared" ref="F43:AT43" si="29">EXP($D$38*(F$1-1993)+$D$43)</f>
        <v>5643.1516973390953</v>
      </c>
      <c r="G43" s="3146">
        <f t="shared" si="29"/>
        <v>6232.2393909825178</v>
      </c>
      <c r="H43" s="3146">
        <f t="shared" si="29"/>
        <v>6882.821853757493</v>
      </c>
      <c r="I43" s="3146">
        <f t="shared" si="29"/>
        <v>7601.3185146749029</v>
      </c>
      <c r="J43" s="3146">
        <f t="shared" si="29"/>
        <v>8394.8189259026076</v>
      </c>
      <c r="K43" s="3146">
        <f t="shared" si="29"/>
        <v>9271.1527168134653</v>
      </c>
      <c r="L43" s="3146">
        <f t="shared" si="29"/>
        <v>10238.966850525105</v>
      </c>
      <c r="M43" s="3146">
        <f t="shared" si="29"/>
        <v>11307.810945237532</v>
      </c>
      <c r="N43" s="3146">
        <f t="shared" si="29"/>
        <v>12488.231502251256</v>
      </c>
      <c r="O43" s="3146">
        <f t="shared" si="29"/>
        <v>13791.875970432964</v>
      </c>
      <c r="P43" s="3146">
        <f t="shared" si="29"/>
        <v>15231.607673954153</v>
      </c>
      <c r="Q43" s="3146">
        <f t="shared" si="29"/>
        <v>16821.632737317625</v>
      </c>
      <c r="R43" s="3146">
        <f t="shared" si="29"/>
        <v>18577.640260066964</v>
      </c>
      <c r="S43" s="3146">
        <f t="shared" si="29"/>
        <v>20516.957124311528</v>
      </c>
      <c r="T43" s="3146">
        <f t="shared" si="29"/>
        <v>22658.718962583735</v>
      </c>
      <c r="U43" s="3146">
        <f t="shared" si="29"/>
        <v>25024.058973003248</v>
      </c>
      <c r="V43" s="3146">
        <f t="shared" si="29"/>
        <v>27636.316444826032</v>
      </c>
      <c r="W43" s="3146">
        <f t="shared" si="29"/>
        <v>30521.267051941424</v>
      </c>
      <c r="X43" s="3146">
        <f t="shared" si="29"/>
        <v>33707.377186670055</v>
      </c>
      <c r="Y43" s="3146">
        <f t="shared" si="29"/>
        <v>37226.084843426361</v>
      </c>
      <c r="Z43" s="3146">
        <f t="shared" si="29"/>
        <v>41112.109823780724</v>
      </c>
      <c r="AA43" s="3146">
        <f t="shared" si="29"/>
        <v>45403.796323777853</v>
      </c>
      <c r="AB43" s="3146">
        <f t="shared" si="29"/>
        <v>50143.491283890726</v>
      </c>
      <c r="AC43" s="3146">
        <f t="shared" si="29"/>
        <v>55377.962234863873</v>
      </c>
      <c r="AD43" s="3146">
        <f t="shared" si="29"/>
        <v>61158.858762417964</v>
      </c>
      <c r="AE43" s="3146">
        <f t="shared" si="29"/>
        <v>67543.22214417941</v>
      </c>
      <c r="AF43" s="3146">
        <f t="shared" si="29"/>
        <v>74594.048187527194</v>
      </c>
      <c r="AG43" s="3146">
        <f t="shared" si="29"/>
        <v>82380.908821990888</v>
      </c>
      <c r="AH43" s="3146">
        <f t="shared" si="29"/>
        <v>90980.638579580016</v>
      </c>
      <c r="AI43" s="3146">
        <f t="shared" si="29"/>
        <v>100478.09273668205</v>
      </c>
      <c r="AJ43" s="3146">
        <f t="shared" si="29"/>
        <v>110966.9845982728</v>
      </c>
      <c r="AK43" s="3146">
        <f t="shared" si="29"/>
        <v>122550.81018608842</v>
      </c>
      <c r="AL43" s="3146">
        <f t="shared" si="29"/>
        <v>135343.86945484745</v>
      </c>
      <c r="AM43" s="3146">
        <f t="shared" si="29"/>
        <v>149472.39411306765</v>
      </c>
      <c r="AN43" s="3146">
        <f t="shared" si="29"/>
        <v>165075.79317691855</v>
      </c>
      <c r="AO43" s="3146">
        <f t="shared" si="29"/>
        <v>182308.02854723527</v>
      </c>
      <c r="AP43" s="3146">
        <f t="shared" si="29"/>
        <v>201339.13418279885</v>
      </c>
      <c r="AQ43" s="3146">
        <f t="shared" si="29"/>
        <v>222356.89385986634</v>
      </c>
      <c r="AR43" s="3146">
        <f t="shared" si="29"/>
        <v>245568.69407274932</v>
      </c>
      <c r="AS43" s="3146">
        <f t="shared" si="29"/>
        <v>271203.57035838155</v>
      </c>
      <c r="AT43" s="3146">
        <f t="shared" si="29"/>
        <v>299514.4672363826</v>
      </c>
    </row>
    <row r="44" spans="1:67">
      <c r="D44" s="3144">
        <f>AVERAGE(D39:D42)</f>
        <v>-0.15239040000000001</v>
      </c>
      <c r="E44" s="3152">
        <f>AVERAGE(E39:E42)</f>
        <v>-9.9801700000000007E-2</v>
      </c>
    </row>
    <row r="45" spans="1:67">
      <c r="D45" s="3144">
        <f>SUM(D43:D44)</f>
        <v>8.4858075999999993</v>
      </c>
      <c r="E45" s="3152"/>
    </row>
    <row r="46" spans="1:67">
      <c r="E46" s="3152"/>
    </row>
    <row r="47" spans="1:67">
      <c r="B47" s="3147" t="s">
        <v>385</v>
      </c>
      <c r="K47" s="3158"/>
    </row>
    <row r="48" spans="1:67">
      <c r="B48" s="3133" t="s">
        <v>1868</v>
      </c>
      <c r="C48" s="3133" t="s">
        <v>1742</v>
      </c>
      <c r="K48" s="3158"/>
      <c r="X48" s="3203">
        <v>3.75</v>
      </c>
      <c r="Y48" s="3203">
        <v>3.75</v>
      </c>
      <c r="Z48" s="3201">
        <f t="shared" ref="Z48:AT48" si="30">MIN(Y48*(1+InflationRate),7.5)</f>
        <v>3.8086346584952411</v>
      </c>
      <c r="AA48" s="3201">
        <f t="shared" si="30"/>
        <v>3.8681861231709767</v>
      </c>
      <c r="AB48" s="3201">
        <f t="shared" si="30"/>
        <v>3.9286687291251532</v>
      </c>
      <c r="AC48" s="3201">
        <f t="shared" si="30"/>
        <v>3.9900970355980032</v>
      </c>
      <c r="AD48" s="3201">
        <f t="shared" si="30"/>
        <v>4.0524858294767139</v>
      </c>
      <c r="AE48" s="3201">
        <f t="shared" si="30"/>
        <v>4.115850128854893</v>
      </c>
      <c r="AF48" s="3201">
        <f t="shared" si="30"/>
        <v>4.1802051866476937</v>
      </c>
      <c r="AG48" s="3201">
        <f t="shared" si="30"/>
        <v>4.2455664942634597</v>
      </c>
      <c r="AH48" s="3201">
        <f t="shared" si="30"/>
        <v>4.3119497853327866</v>
      </c>
      <c r="AI48" s="3201">
        <f t="shared" si="30"/>
        <v>4.3793710394958847</v>
      </c>
      <c r="AJ48" s="3201">
        <f t="shared" si="30"/>
        <v>4.447846486249162</v>
      </c>
      <c r="AK48" s="3201">
        <f t="shared" si="30"/>
        <v>4.5173926088519565</v>
      </c>
      <c r="AL48" s="3201">
        <f t="shared" si="30"/>
        <v>4.5880261482943459</v>
      </c>
      <c r="AM48" s="3201">
        <f t="shared" si="30"/>
        <v>4.659764107327006</v>
      </c>
      <c r="AN48" s="3201">
        <f t="shared" si="30"/>
        <v>4.7326237545540728</v>
      </c>
      <c r="AO48" s="3201">
        <f t="shared" si="30"/>
        <v>4.8066226285900049</v>
      </c>
      <c r="AP48" s="3201">
        <f t="shared" si="30"/>
        <v>4.8817785422814381</v>
      </c>
      <c r="AQ48" s="3201">
        <f t="shared" si="30"/>
        <v>4.9581095869950564</v>
      </c>
      <c r="AR48" s="3201">
        <f t="shared" si="30"/>
        <v>5.0356341369725062</v>
      </c>
      <c r="AS48" s="3201">
        <f t="shared" si="30"/>
        <v>5.1143708537534023</v>
      </c>
      <c r="AT48" s="3201">
        <f t="shared" si="30"/>
        <v>5.1943386906674949</v>
      </c>
      <c r="AU48" s="3201"/>
      <c r="AV48" s="3201"/>
      <c r="AW48" s="3201"/>
      <c r="AX48" s="3201"/>
      <c r="AY48" s="3201"/>
      <c r="AZ48" s="3201"/>
      <c r="BA48" s="3201"/>
      <c r="BB48" s="3201"/>
      <c r="BC48" s="3201"/>
      <c r="BD48" s="3201"/>
      <c r="BE48" s="3201"/>
      <c r="BF48" s="3201"/>
      <c r="BG48" s="3201"/>
      <c r="BH48" s="3201"/>
      <c r="BI48" s="3201"/>
      <c r="BJ48" s="3201"/>
      <c r="BK48" s="3201"/>
      <c r="BL48" s="3201"/>
      <c r="BM48" s="3201"/>
      <c r="BN48" s="3201"/>
      <c r="BO48" s="3201"/>
    </row>
    <row r="49" spans="1:67">
      <c r="C49" s="3133" t="s">
        <v>249</v>
      </c>
      <c r="K49" s="3158"/>
      <c r="X49" s="3204">
        <v>5</v>
      </c>
      <c r="Y49" s="3204">
        <v>5</v>
      </c>
      <c r="Z49" s="3201">
        <f t="shared" ref="Z49:AT49" si="31">MIN(Y49*(1+InflationRate),7.5)</f>
        <v>5.0781795446603217</v>
      </c>
      <c r="AA49" s="3201">
        <f t="shared" si="31"/>
        <v>5.1575814975613028</v>
      </c>
      <c r="AB49" s="3201">
        <f t="shared" si="31"/>
        <v>5.2382249721668712</v>
      </c>
      <c r="AC49" s="3201">
        <f t="shared" si="31"/>
        <v>5.3201293807973373</v>
      </c>
      <c r="AD49" s="3201">
        <f t="shared" si="31"/>
        <v>5.4033144393022843</v>
      </c>
      <c r="AE49" s="3201">
        <f t="shared" si="31"/>
        <v>5.4878001718065228</v>
      </c>
      <c r="AF49" s="3201">
        <f t="shared" si="31"/>
        <v>5.5736069155302568</v>
      </c>
      <c r="AG49" s="3201">
        <f t="shared" si="31"/>
        <v>5.6607553256846117</v>
      </c>
      <c r="AH49" s="3201">
        <f t="shared" si="31"/>
        <v>5.7492663804437143</v>
      </c>
      <c r="AI49" s="3201">
        <f t="shared" si="31"/>
        <v>5.8391613859945117</v>
      </c>
      <c r="AJ49" s="3201">
        <f t="shared" si="31"/>
        <v>5.9304619816655482</v>
      </c>
      <c r="AK49" s="3201">
        <f t="shared" si="31"/>
        <v>6.0231901451359402</v>
      </c>
      <c r="AL49" s="3201">
        <f t="shared" si="31"/>
        <v>6.117368197725793</v>
      </c>
      <c r="AM49" s="3201">
        <f t="shared" si="31"/>
        <v>6.2130188097693404</v>
      </c>
      <c r="AN49" s="3201">
        <f t="shared" si="31"/>
        <v>6.3101650060720962</v>
      </c>
      <c r="AO49" s="3201">
        <f t="shared" si="31"/>
        <v>6.4088301714533387</v>
      </c>
      <c r="AP49" s="3201">
        <f t="shared" si="31"/>
        <v>6.5090380563752497</v>
      </c>
      <c r="AQ49" s="3201">
        <f t="shared" si="31"/>
        <v>6.6108127826600738</v>
      </c>
      <c r="AR49" s="3201">
        <f t="shared" si="31"/>
        <v>6.7141788492966734</v>
      </c>
      <c r="AS49" s="3201">
        <f t="shared" si="31"/>
        <v>6.8191611383378685</v>
      </c>
      <c r="AT49" s="3201">
        <f t="shared" si="31"/>
        <v>6.925784920889992</v>
      </c>
      <c r="AU49" s="3201"/>
      <c r="AV49" s="3201"/>
      <c r="AW49" s="3201"/>
      <c r="AX49" s="3201"/>
      <c r="AY49" s="3201"/>
      <c r="AZ49" s="3201"/>
      <c r="BA49" s="3201"/>
      <c r="BB49" s="3201"/>
      <c r="BC49" s="3201"/>
      <c r="BD49" s="3201"/>
      <c r="BE49" s="3201"/>
      <c r="BF49" s="3201"/>
      <c r="BG49" s="3201"/>
      <c r="BH49" s="3201"/>
      <c r="BI49" s="3201"/>
      <c r="BJ49" s="3201"/>
      <c r="BK49" s="3201"/>
      <c r="BL49" s="3201"/>
      <c r="BM49" s="3201"/>
      <c r="BN49" s="3201"/>
      <c r="BO49" s="3201"/>
    </row>
    <row r="50" spans="1:67">
      <c r="C50" s="3133" t="s">
        <v>248</v>
      </c>
      <c r="K50" s="3158"/>
      <c r="X50" s="3204">
        <v>2</v>
      </c>
      <c r="Y50" s="3204">
        <v>2</v>
      </c>
      <c r="Z50" s="3201">
        <f t="shared" ref="Z50:AT50" si="32">MIN(Y50*(1+InflationRate),7.5)</f>
        <v>2.0312718178641287</v>
      </c>
      <c r="AA50" s="3201">
        <f t="shared" si="32"/>
        <v>2.0630325990245209</v>
      </c>
      <c r="AB50" s="3201">
        <f t="shared" si="32"/>
        <v>2.0952899888667482</v>
      </c>
      <c r="AC50" s="3201">
        <f t="shared" si="32"/>
        <v>2.1280517523189348</v>
      </c>
      <c r="AD50" s="3201">
        <f t="shared" si="32"/>
        <v>2.1613257757209134</v>
      </c>
      <c r="AE50" s="3201">
        <f t="shared" si="32"/>
        <v>2.1951200687226091</v>
      </c>
      <c r="AF50" s="3201">
        <f t="shared" si="32"/>
        <v>2.2294427662121028</v>
      </c>
      <c r="AG50" s="3201">
        <f t="shared" si="32"/>
        <v>2.2643021302738449</v>
      </c>
      <c r="AH50" s="3201">
        <f t="shared" si="32"/>
        <v>2.299706552177486</v>
      </c>
      <c r="AI50" s="3201">
        <f t="shared" si="32"/>
        <v>2.335664554397805</v>
      </c>
      <c r="AJ50" s="3201">
        <f t="shared" si="32"/>
        <v>2.3721847926662196</v>
      </c>
      <c r="AK50" s="3201">
        <f t="shared" si="32"/>
        <v>2.4092760580543766</v>
      </c>
      <c r="AL50" s="3201">
        <f t="shared" si="32"/>
        <v>2.4469472790903177</v>
      </c>
      <c r="AM50" s="3201">
        <f t="shared" si="32"/>
        <v>2.4852075239077367</v>
      </c>
      <c r="AN50" s="3201">
        <f t="shared" si="32"/>
        <v>2.5240660024288393</v>
      </c>
      <c r="AO50" s="3201">
        <f t="shared" si="32"/>
        <v>2.5635320685813361</v>
      </c>
      <c r="AP50" s="3201">
        <f t="shared" si="32"/>
        <v>2.6036152225501006</v>
      </c>
      <c r="AQ50" s="3201">
        <f t="shared" si="32"/>
        <v>2.6443251130640304</v>
      </c>
      <c r="AR50" s="3201">
        <f t="shared" si="32"/>
        <v>2.6856715397186703</v>
      </c>
      <c r="AS50" s="3201">
        <f t="shared" si="32"/>
        <v>2.7276644553351486</v>
      </c>
      <c r="AT50" s="3201">
        <f t="shared" si="32"/>
        <v>2.7703139683559979</v>
      </c>
      <c r="AU50" s="3201"/>
      <c r="AV50" s="3201"/>
      <c r="AW50" s="3201"/>
      <c r="AX50" s="3201"/>
      <c r="AY50" s="3201"/>
      <c r="AZ50" s="3201"/>
      <c r="BA50" s="3201"/>
      <c r="BB50" s="3201"/>
      <c r="BC50" s="3201"/>
      <c r="BD50" s="3201"/>
      <c r="BE50" s="3201"/>
      <c r="BF50" s="3201"/>
      <c r="BG50" s="3201"/>
      <c r="BH50" s="3201"/>
      <c r="BI50" s="3201"/>
      <c r="BJ50" s="3201"/>
      <c r="BK50" s="3201"/>
      <c r="BL50" s="3201"/>
      <c r="BM50" s="3201"/>
      <c r="BN50" s="3201"/>
      <c r="BO50" s="3201"/>
    </row>
    <row r="51" spans="1:67" s="3382" customFormat="1">
      <c r="A51" s="3381"/>
      <c r="B51" s="3382" t="s">
        <v>1869</v>
      </c>
      <c r="D51" s="3383"/>
      <c r="E51" s="3384"/>
      <c r="K51" s="3385"/>
    </row>
    <row r="52" spans="1:67" s="3382" customFormat="1">
      <c r="A52" s="3381"/>
      <c r="B52" s="3382" t="s">
        <v>1927</v>
      </c>
      <c r="C52" s="3382" t="s">
        <v>1742</v>
      </c>
      <c r="D52" s="3383"/>
      <c r="E52" s="3384"/>
      <c r="K52" s="3385"/>
      <c r="X52" s="3387">
        <v>2</v>
      </c>
      <c r="Y52" s="3387">
        <v>2</v>
      </c>
      <c r="Z52" s="3386">
        <f t="shared" ref="Z52:AT52" si="33">MIN(Y52*(1+InflationRate),7.5)</f>
        <v>2.0312718178641287</v>
      </c>
      <c r="AA52" s="3386">
        <f t="shared" si="33"/>
        <v>2.0630325990245209</v>
      </c>
      <c r="AB52" s="3386">
        <f t="shared" si="33"/>
        <v>2.0952899888667482</v>
      </c>
      <c r="AC52" s="3386">
        <f t="shared" si="33"/>
        <v>2.1280517523189348</v>
      </c>
      <c r="AD52" s="3386">
        <f t="shared" si="33"/>
        <v>2.1613257757209134</v>
      </c>
      <c r="AE52" s="3386">
        <f t="shared" si="33"/>
        <v>2.1951200687226091</v>
      </c>
      <c r="AF52" s="3386">
        <f t="shared" si="33"/>
        <v>2.2294427662121028</v>
      </c>
      <c r="AG52" s="3386">
        <f t="shared" si="33"/>
        <v>2.2643021302738449</v>
      </c>
      <c r="AH52" s="3386">
        <f t="shared" si="33"/>
        <v>2.299706552177486</v>
      </c>
      <c r="AI52" s="3386">
        <f t="shared" si="33"/>
        <v>2.335664554397805</v>
      </c>
      <c r="AJ52" s="3386">
        <f t="shared" si="33"/>
        <v>2.3721847926662196</v>
      </c>
      <c r="AK52" s="3386">
        <f t="shared" si="33"/>
        <v>2.4092760580543766</v>
      </c>
      <c r="AL52" s="3386">
        <f t="shared" si="33"/>
        <v>2.4469472790903177</v>
      </c>
      <c r="AM52" s="3386">
        <f t="shared" si="33"/>
        <v>2.4852075239077367</v>
      </c>
      <c r="AN52" s="3386">
        <f t="shared" si="33"/>
        <v>2.5240660024288393</v>
      </c>
      <c r="AO52" s="3386">
        <f t="shared" si="33"/>
        <v>2.5635320685813361</v>
      </c>
      <c r="AP52" s="3386">
        <f t="shared" si="33"/>
        <v>2.6036152225501006</v>
      </c>
      <c r="AQ52" s="3386">
        <f t="shared" si="33"/>
        <v>2.6443251130640304</v>
      </c>
      <c r="AR52" s="3386">
        <f t="shared" si="33"/>
        <v>2.6856715397186703</v>
      </c>
      <c r="AS52" s="3386">
        <f t="shared" si="33"/>
        <v>2.7276644553351486</v>
      </c>
      <c r="AT52" s="3386">
        <f t="shared" si="33"/>
        <v>2.7703139683559979</v>
      </c>
      <c r="AU52" s="3386"/>
      <c r="AV52" s="3386"/>
      <c r="AW52" s="3386"/>
      <c r="AX52" s="3386"/>
      <c r="AY52" s="3386"/>
      <c r="AZ52" s="3386"/>
      <c r="BA52" s="3386"/>
      <c r="BB52" s="3386"/>
      <c r="BC52" s="3386"/>
      <c r="BD52" s="3386"/>
    </row>
    <row r="53" spans="1:67" s="3382" customFormat="1">
      <c r="A53" s="3381"/>
      <c r="C53" s="3382" t="s">
        <v>249</v>
      </c>
      <c r="D53" s="3383"/>
      <c r="E53" s="3384"/>
      <c r="K53" s="3385"/>
      <c r="X53" s="3388">
        <v>4</v>
      </c>
      <c r="Y53" s="3388">
        <v>4</v>
      </c>
      <c r="Z53" s="3386">
        <f t="shared" ref="Z53:AT53" si="34">MIN(Y53*(1+InflationRate),7.5)</f>
        <v>4.0625436357282574</v>
      </c>
      <c r="AA53" s="3386">
        <f t="shared" si="34"/>
        <v>4.1260651980490417</v>
      </c>
      <c r="AB53" s="3386">
        <f t="shared" si="34"/>
        <v>4.1905799777334964</v>
      </c>
      <c r="AC53" s="3386">
        <f t="shared" si="34"/>
        <v>4.2561035046378697</v>
      </c>
      <c r="AD53" s="3386">
        <f t="shared" si="34"/>
        <v>4.3226515514418269</v>
      </c>
      <c r="AE53" s="3386">
        <f t="shared" si="34"/>
        <v>4.3902401374452182</v>
      </c>
      <c r="AF53" s="3386">
        <f t="shared" si="34"/>
        <v>4.4588855324242056</v>
      </c>
      <c r="AG53" s="3386">
        <f t="shared" si="34"/>
        <v>4.5286042605476897</v>
      </c>
      <c r="AH53" s="3386">
        <f t="shared" si="34"/>
        <v>4.599413104354972</v>
      </c>
      <c r="AI53" s="3386">
        <f t="shared" si="34"/>
        <v>4.6713291087956099</v>
      </c>
      <c r="AJ53" s="3386">
        <f t="shared" si="34"/>
        <v>4.7443695853324392</v>
      </c>
      <c r="AK53" s="3386">
        <f t="shared" si="34"/>
        <v>4.8185521161087532</v>
      </c>
      <c r="AL53" s="3386">
        <f t="shared" si="34"/>
        <v>4.8938945581806355</v>
      </c>
      <c r="AM53" s="3386">
        <f t="shared" si="34"/>
        <v>4.9704150478154734</v>
      </c>
      <c r="AN53" s="3386">
        <f t="shared" si="34"/>
        <v>5.0481320048576785</v>
      </c>
      <c r="AO53" s="3386">
        <f t="shared" si="34"/>
        <v>5.1270641371626722</v>
      </c>
      <c r="AP53" s="3386">
        <f t="shared" si="34"/>
        <v>5.2072304451002012</v>
      </c>
      <c r="AQ53" s="3386">
        <f t="shared" si="34"/>
        <v>5.2886502261280608</v>
      </c>
      <c r="AR53" s="3386">
        <f t="shared" si="34"/>
        <v>5.3713430794373407</v>
      </c>
      <c r="AS53" s="3386">
        <f t="shared" si="34"/>
        <v>5.4553289106702971</v>
      </c>
      <c r="AT53" s="3386">
        <f t="shared" si="34"/>
        <v>5.5406279367119957</v>
      </c>
      <c r="AU53" s="3386"/>
      <c r="AV53" s="3386"/>
      <c r="AW53" s="3386"/>
      <c r="AX53" s="3386"/>
      <c r="AY53" s="3386"/>
      <c r="AZ53" s="3386"/>
      <c r="BA53" s="3386"/>
      <c r="BB53" s="3386"/>
      <c r="BC53" s="3386"/>
      <c r="BD53" s="3386"/>
    </row>
    <row r="54" spans="1:67" s="3382" customFormat="1">
      <c r="A54" s="3381"/>
      <c r="C54" s="3382" t="s">
        <v>248</v>
      </c>
      <c r="D54" s="3383"/>
      <c r="E54" s="3384"/>
      <c r="K54" s="3385"/>
      <c r="X54" s="3388">
        <v>1</v>
      </c>
      <c r="Y54" s="3388">
        <v>1</v>
      </c>
      <c r="Z54" s="3386">
        <f t="shared" ref="Z54:AT54" si="35">MIN(Y54*(1+InflationRate),7.5)</f>
        <v>1.0156359089320643</v>
      </c>
      <c r="AA54" s="3386">
        <f t="shared" si="35"/>
        <v>1.0315162995122604</v>
      </c>
      <c r="AB54" s="3386">
        <f t="shared" si="35"/>
        <v>1.0476449944333741</v>
      </c>
      <c r="AC54" s="3386">
        <f t="shared" si="35"/>
        <v>1.0640258761594674</v>
      </c>
      <c r="AD54" s="3386">
        <f t="shared" si="35"/>
        <v>1.0806628878604567</v>
      </c>
      <c r="AE54" s="3386">
        <f t="shared" si="35"/>
        <v>1.0975600343613046</v>
      </c>
      <c r="AF54" s="3386">
        <f t="shared" si="35"/>
        <v>1.1147213831060514</v>
      </c>
      <c r="AG54" s="3386">
        <f t="shared" si="35"/>
        <v>1.1321510651369224</v>
      </c>
      <c r="AH54" s="3386">
        <f t="shared" si="35"/>
        <v>1.149853276088743</v>
      </c>
      <c r="AI54" s="3386">
        <f t="shared" si="35"/>
        <v>1.1678322771989025</v>
      </c>
      <c r="AJ54" s="3386">
        <f t="shared" si="35"/>
        <v>1.1860923963331098</v>
      </c>
      <c r="AK54" s="3386">
        <f t="shared" si="35"/>
        <v>1.2046380290271883</v>
      </c>
      <c r="AL54" s="3386">
        <f t="shared" si="35"/>
        <v>1.2234736395451589</v>
      </c>
      <c r="AM54" s="3386">
        <f t="shared" si="35"/>
        <v>1.2426037619538683</v>
      </c>
      <c r="AN54" s="3386">
        <f t="shared" si="35"/>
        <v>1.2620330012144196</v>
      </c>
      <c r="AO54" s="3386">
        <f t="shared" si="35"/>
        <v>1.281766034290668</v>
      </c>
      <c r="AP54" s="3386">
        <f t="shared" si="35"/>
        <v>1.3018076112750503</v>
      </c>
      <c r="AQ54" s="3386">
        <f t="shared" si="35"/>
        <v>1.3221625565320152</v>
      </c>
      <c r="AR54" s="3386">
        <f t="shared" si="35"/>
        <v>1.3428357698593352</v>
      </c>
      <c r="AS54" s="3386">
        <f t="shared" si="35"/>
        <v>1.3638322276675743</v>
      </c>
      <c r="AT54" s="3386">
        <f t="shared" si="35"/>
        <v>1.3851569841779989</v>
      </c>
      <c r="AU54" s="3386"/>
      <c r="AV54" s="3386"/>
      <c r="AW54" s="3386"/>
      <c r="AX54" s="3386"/>
      <c r="AY54" s="3386"/>
      <c r="AZ54" s="3386"/>
      <c r="BA54" s="3386"/>
      <c r="BB54" s="3386"/>
      <c r="BC54" s="3386"/>
      <c r="BD54" s="3386"/>
    </row>
    <row r="55" spans="1:67">
      <c r="K55" s="3158"/>
      <c r="Y55" s="3158"/>
    </row>
    <row r="56" spans="1:67">
      <c r="B56" s="3380" t="s">
        <v>1928</v>
      </c>
      <c r="C56" s="3132" t="s">
        <v>1859</v>
      </c>
      <c r="K56" s="3158"/>
      <c r="X56" s="3146">
        <f t="shared" ref="X56:Y59" si="36">Y56/(1+InflationRate)</f>
        <v>38485.703188361927</v>
      </c>
      <c r="Y56" s="3146">
        <f t="shared" si="36"/>
        <v>39087.462138601615</v>
      </c>
      <c r="Z56" s="3148">
        <f>'SCAQMD Fees'!D3</f>
        <v>39698.630136986299</v>
      </c>
      <c r="AA56" s="3146">
        <f t="shared" ref="AA56:AT56" si="37">Z56*(1+InflationRate)</f>
        <v>40319.354302535925</v>
      </c>
      <c r="AB56" s="3146">
        <f t="shared" si="37"/>
        <v>40949.784054610012</v>
      </c>
      <c r="AC56" s="3146">
        <f t="shared" si="37"/>
        <v>41590.071148875599</v>
      </c>
      <c r="AD56" s="3146">
        <f t="shared" si="37"/>
        <v>42240.369713837492</v>
      </c>
      <c r="AE56" s="3146">
        <f t="shared" si="37"/>
        <v>42900.836287939783</v>
      </c>
      <c r="AF56" s="3146">
        <f t="shared" si="37"/>
        <v>43571.629857247412</v>
      </c>
      <c r="AG56" s="3146">
        <f t="shared" si="37"/>
        <v>44252.911893716948</v>
      </c>
      <c r="AH56" s="3146">
        <f t="shared" si="37"/>
        <v>44944.846394065775</v>
      </c>
      <c r="AI56" s="3146">
        <f t="shared" si="37"/>
        <v>45647.599919249005</v>
      </c>
      <c r="AJ56" s="3146">
        <f t="shared" si="37"/>
        <v>46361.34163455369</v>
      </c>
      <c r="AK56" s="3146">
        <f t="shared" si="37"/>
        <v>47086.243350319892</v>
      </c>
      <c r="AL56" s="3146">
        <f t="shared" si="37"/>
        <v>47822.479563298511</v>
      </c>
      <c r="AM56" s="3146">
        <f t="shared" si="37"/>
        <v>48570.227498655753</v>
      </c>
      <c r="AN56" s="3146">
        <f t="shared" si="37"/>
        <v>49329.667152634385</v>
      </c>
      <c r="AO56" s="3146">
        <f t="shared" si="37"/>
        <v>50100.981335882025</v>
      </c>
      <c r="AP56" s="3146">
        <f t="shared" si="37"/>
        <v>50884.355717456929</v>
      </c>
      <c r="AQ56" s="3146">
        <f t="shared" si="37"/>
        <v>51679.978869521852</v>
      </c>
      <c r="AR56" s="3146">
        <f t="shared" si="37"/>
        <v>52488.042312736703</v>
      </c>
      <c r="AS56" s="3146">
        <f t="shared" si="37"/>
        <v>53308.740562360996</v>
      </c>
      <c r="AT56" s="3146">
        <f t="shared" si="37"/>
        <v>54142.27117507712</v>
      </c>
    </row>
    <row r="57" spans="1:67">
      <c r="B57" s="3380" t="s">
        <v>1929</v>
      </c>
      <c r="C57" s="3380" t="s">
        <v>1930</v>
      </c>
      <c r="K57" s="3158"/>
      <c r="X57" s="3389">
        <f t="shared" si="36"/>
        <v>14092.832375255237</v>
      </c>
      <c r="Y57" s="3389">
        <f t="shared" si="36"/>
        <v>14313.186618869577</v>
      </c>
      <c r="Z57" s="3390">
        <f>'SCAQMD Fees'!D4</f>
        <v>14536.986301369863</v>
      </c>
      <c r="AA57" s="3389">
        <f t="shared" ref="AA57:AT57" si="38">Z57*(1+InflationRate)</f>
        <v>14764.285295324749</v>
      </c>
      <c r="AB57" s="3389">
        <f t="shared" si="38"/>
        <v>14995.138315649463</v>
      </c>
      <c r="AC57" s="3389">
        <f t="shared" si="38"/>
        <v>15229.600932776666</v>
      </c>
      <c r="AD57" s="3389">
        <f t="shared" si="38"/>
        <v>15467.729586033243</v>
      </c>
      <c r="AE57" s="3389">
        <f t="shared" si="38"/>
        <v>15709.581597226257</v>
      </c>
      <c r="AF57" s="3389">
        <f t="shared" si="38"/>
        <v>15955.21518444132</v>
      </c>
      <c r="AG57" s="3389">
        <f t="shared" si="38"/>
        <v>16204.689476056736</v>
      </c>
      <c r="AH57" s="3389">
        <f t="shared" si="38"/>
        <v>16458.06452497674</v>
      </c>
      <c r="AI57" s="3389">
        <f t="shared" si="38"/>
        <v>16715.401323087317</v>
      </c>
      <c r="AJ57" s="3389">
        <f t="shared" si="38"/>
        <v>16976.761815938018</v>
      </c>
      <c r="AK57" s="3389">
        <f t="shared" si="38"/>
        <v>17242.208917653374</v>
      </c>
      <c r="AL57" s="3389">
        <f t="shared" si="38"/>
        <v>17511.806526077431</v>
      </c>
      <c r="AM57" s="3389">
        <f t="shared" si="38"/>
        <v>17785.619538155108</v>
      </c>
      <c r="AN57" s="3389">
        <f t="shared" si="38"/>
        <v>18063.713865554044</v>
      </c>
      <c r="AO57" s="3389">
        <f t="shared" si="38"/>
        <v>18346.156450530714</v>
      </c>
      <c r="AP57" s="3389">
        <f t="shared" si="38"/>
        <v>18633.015282044616</v>
      </c>
      <c r="AQ57" s="3389">
        <f t="shared" si="38"/>
        <v>18924.359412124428</v>
      </c>
      <c r="AR57" s="3389">
        <f t="shared" si="38"/>
        <v>19220.258972490061</v>
      </c>
      <c r="AS57" s="3389">
        <f t="shared" si="38"/>
        <v>19520.785191434607</v>
      </c>
      <c r="AT57" s="3389">
        <f t="shared" si="38"/>
        <v>19826.01041097027</v>
      </c>
    </row>
    <row r="58" spans="1:67">
      <c r="C58" s="3132" t="s">
        <v>387</v>
      </c>
      <c r="K58" s="3158"/>
      <c r="X58" s="3146">
        <f t="shared" si="36"/>
        <v>12929.496419665002</v>
      </c>
      <c r="Y58" s="3146">
        <f t="shared" si="36"/>
        <v>13131.660848220336</v>
      </c>
      <c r="Z58" s="3148">
        <f>'SCAQMD Fees'!D5</f>
        <v>13336.986301369863</v>
      </c>
      <c r="AA58" s="3146">
        <f t="shared" ref="AA58:AT58" si="39">Z58*(1+InflationRate)</f>
        <v>13545.522204606272</v>
      </c>
      <c r="AB58" s="3146">
        <f t="shared" si="39"/>
        <v>13757.31875623475</v>
      </c>
      <c r="AC58" s="3146">
        <f t="shared" si="39"/>
        <v>13972.426939456618</v>
      </c>
      <c r="AD58" s="3146">
        <f t="shared" si="39"/>
        <v>14190.898534641885</v>
      </c>
      <c r="AE58" s="3146">
        <f t="shared" si="39"/>
        <v>14412.786131793711</v>
      </c>
      <c r="AF58" s="3146">
        <f t="shared" si="39"/>
        <v>14638.143143207757</v>
      </c>
      <c r="AG58" s="3146">
        <f t="shared" si="39"/>
        <v>14867.023816329476</v>
      </c>
      <c r="AH58" s="3146">
        <f t="shared" si="39"/>
        <v>15099.483246812435</v>
      </c>
      <c r="AI58" s="3146">
        <f t="shared" si="39"/>
        <v>15335.577391780826</v>
      </c>
      <c r="AJ58" s="3146">
        <f t="shared" si="39"/>
        <v>15575.363083299335</v>
      </c>
      <c r="AK58" s="3146">
        <f t="shared" si="39"/>
        <v>15818.898042053641</v>
      </c>
      <c r="AL58" s="3146">
        <f t="shared" si="39"/>
        <v>16066.240891244803</v>
      </c>
      <c r="AM58" s="3146">
        <f t="shared" si="39"/>
        <v>16317.451170700915</v>
      </c>
      <c r="AN58" s="3146">
        <f t="shared" si="39"/>
        <v>16572.589351209401</v>
      </c>
      <c r="AO58" s="3146">
        <f t="shared" si="39"/>
        <v>16831.716849073411</v>
      </c>
      <c r="AP58" s="3146">
        <f t="shared" si="39"/>
        <v>17094.896040895816</v>
      </c>
      <c r="AQ58" s="3146">
        <f t="shared" si="39"/>
        <v>17362.190278594371</v>
      </c>
      <c r="AR58" s="3146">
        <f t="shared" si="39"/>
        <v>17633.663904651647</v>
      </c>
      <c r="AS58" s="3146">
        <f t="shared" si="39"/>
        <v>17909.382267603411</v>
      </c>
      <c r="AT58" s="3146">
        <f t="shared" si="39"/>
        <v>18189.411737769187</v>
      </c>
    </row>
    <row r="59" spans="1:67">
      <c r="C59" s="3132" t="s">
        <v>1578</v>
      </c>
      <c r="K59" s="3158"/>
      <c r="X59" s="3146">
        <f t="shared" si="36"/>
        <v>2316.0478385266806</v>
      </c>
      <c r="Y59" s="3146">
        <f t="shared" si="36"/>
        <v>2352.2613516121883</v>
      </c>
      <c r="Z59" s="3148">
        <f>'SCAQMD Fees'!D6</f>
        <v>2389.0410958904108</v>
      </c>
      <c r="AA59" s="3146">
        <f t="shared" ref="AA59:AT59" si="40">Z59*(1+InflationRate)</f>
        <v>2426.3959249007125</v>
      </c>
      <c r="AB59" s="3146">
        <f t="shared" si="40"/>
        <v>2464.3348306155922</v>
      </c>
      <c r="AC59" s="3146">
        <f t="shared" si="40"/>
        <v>2502.8669456052116</v>
      </c>
      <c r="AD59" s="3146">
        <f t="shared" si="40"/>
        <v>2542.0015452357688</v>
      </c>
      <c r="AE59" s="3146">
        <f t="shared" si="40"/>
        <v>2581.7480499022422</v>
      </c>
      <c r="AF59" s="3146">
        <f t="shared" si="40"/>
        <v>2622.1160272960483</v>
      </c>
      <c r="AG59" s="3146">
        <f t="shared" si="40"/>
        <v>2663.1151947081557</v>
      </c>
      <c r="AH59" s="3146">
        <f t="shared" si="40"/>
        <v>2704.7554213682092</v>
      </c>
      <c r="AI59" s="3146">
        <f t="shared" si="40"/>
        <v>2747.0467308202301</v>
      </c>
      <c r="AJ59" s="3146">
        <f t="shared" si="40"/>
        <v>2789.9993033354604</v>
      </c>
      <c r="AK59" s="3146">
        <f t="shared" si="40"/>
        <v>2833.6234783629366</v>
      </c>
      <c r="AL59" s="3146">
        <f t="shared" si="40"/>
        <v>2877.929757018379</v>
      </c>
      <c r="AM59" s="3146">
        <f t="shared" si="40"/>
        <v>2922.9288046119964</v>
      </c>
      <c r="AN59" s="3146">
        <f t="shared" si="40"/>
        <v>2968.6314532158171</v>
      </c>
      <c r="AO59" s="3146">
        <f t="shared" si="40"/>
        <v>3015.0487042711616</v>
      </c>
      <c r="AP59" s="3146">
        <f t="shared" si="40"/>
        <v>3062.1917312368842</v>
      </c>
      <c r="AQ59" s="3146">
        <f t="shared" si="40"/>
        <v>3110.0718822790245</v>
      </c>
      <c r="AR59" s="3146">
        <f t="shared" si="40"/>
        <v>3158.7006830025134</v>
      </c>
      <c r="AS59" s="3146">
        <f t="shared" si="40"/>
        <v>3208.0898392255904</v>
      </c>
      <c r="AT59" s="3146">
        <f t="shared" si="40"/>
        <v>3258.2512397976025</v>
      </c>
    </row>
    <row r="60" spans="1:67">
      <c r="K60" s="3158"/>
    </row>
    <row r="61" spans="1:67">
      <c r="K61" s="3158"/>
    </row>
    <row r="62" spans="1:67">
      <c r="K62" s="3158"/>
    </row>
    <row r="63" spans="1:67">
      <c r="K63" s="3158"/>
    </row>
    <row r="64" spans="1:67">
      <c r="K64" s="3158"/>
    </row>
    <row r="65" spans="11:59">
      <c r="K65" s="3158"/>
    </row>
    <row r="66" spans="11:59">
      <c r="K66" s="3158"/>
    </row>
    <row r="67" spans="11:59">
      <c r="K67" s="3158"/>
    </row>
    <row r="68" spans="11:59">
      <c r="K68" s="3158"/>
    </row>
    <row r="69" spans="11:59">
      <c r="K69" s="3158"/>
      <c r="X69" s="4005"/>
      <c r="Y69" s="4005"/>
      <c r="Z69" s="4005"/>
      <c r="AA69" s="4005"/>
      <c r="AB69" s="4005"/>
      <c r="AC69" s="4005"/>
      <c r="AD69" s="4005"/>
      <c r="AE69" s="4005"/>
      <c r="AF69" s="4005"/>
      <c r="AG69" s="4005"/>
      <c r="AH69" s="4005"/>
      <c r="AI69" s="4005"/>
      <c r="AJ69" s="4005"/>
      <c r="AK69" s="4005"/>
      <c r="AL69" s="4005"/>
      <c r="AM69" s="4005"/>
      <c r="AN69" s="4005"/>
      <c r="AO69" s="4005"/>
      <c r="AP69" s="4005"/>
      <c r="AQ69" s="4005"/>
      <c r="AR69" s="4005"/>
      <c r="AS69" s="4005"/>
      <c r="AT69" s="4005"/>
      <c r="AU69" s="4005"/>
      <c r="AV69" s="4005"/>
      <c r="AW69" s="4005"/>
      <c r="AX69" s="4005"/>
      <c r="AY69" s="4005"/>
      <c r="AZ69" s="4005"/>
      <c r="BA69" s="4005"/>
      <c r="BB69" s="4005"/>
      <c r="BC69" s="4005"/>
      <c r="BD69" s="4005"/>
      <c r="BE69" s="4005"/>
      <c r="BF69" s="4005"/>
      <c r="BG69" s="4005"/>
    </row>
    <row r="70" spans="11:59">
      <c r="K70" s="3158"/>
      <c r="X70" s="4008"/>
      <c r="Y70" s="4008"/>
      <c r="Z70" s="4008"/>
    </row>
    <row r="71" spans="11:59">
      <c r="K71" s="3158"/>
      <c r="X71" s="4008"/>
      <c r="Z71" s="4008"/>
    </row>
    <row r="72" spans="11:59">
      <c r="K72" s="3158"/>
      <c r="X72" s="4008"/>
    </row>
    <row r="73" spans="11:59">
      <c r="K73" s="3158"/>
    </row>
    <row r="74" spans="11:59">
      <c r="K74" s="3158"/>
    </row>
    <row r="75" spans="11:59">
      <c r="K75" s="3158"/>
    </row>
    <row r="76" spans="11:59">
      <c r="K76" s="3158"/>
    </row>
    <row r="77" spans="11:59">
      <c r="K77" s="3158"/>
    </row>
    <row r="78" spans="11:59">
      <c r="K78" s="3158"/>
    </row>
    <row r="79" spans="11:59">
      <c r="K79" s="3158"/>
    </row>
    <row r="80" spans="11:59">
      <c r="K80" s="3158"/>
    </row>
    <row r="81" spans="11:11">
      <c r="K81" s="3158"/>
    </row>
    <row r="82" spans="11:11">
      <c r="K82" s="3158"/>
    </row>
    <row r="83" spans="11:11">
      <c r="K83" s="3158"/>
    </row>
    <row r="84" spans="11:11">
      <c r="K84" s="3158"/>
    </row>
    <row r="85" spans="11:11">
      <c r="K85" s="3158"/>
    </row>
  </sheetData>
  <pageMargins left="0.7" right="0.7" top="0.75" bottom="0.75" header="0.3" footer="0.3"/>
  <pageSetup orientation="portrait"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rgb="FFFF99CC"/>
  </sheetPr>
  <dimension ref="A1:G24"/>
  <sheetViews>
    <sheetView workbookViewId="0">
      <selection activeCell="K27" sqref="K27"/>
    </sheetView>
  </sheetViews>
  <sheetFormatPr defaultColWidth="9.140625" defaultRowHeight="15"/>
  <cols>
    <col min="1" max="1" width="18.28515625" style="3133" customWidth="1"/>
    <col min="2" max="7" width="16.28515625" style="3133" customWidth="1"/>
    <col min="8" max="16384" width="9.140625" style="3133"/>
  </cols>
  <sheetData>
    <row r="1" spans="1:7">
      <c r="A1" s="2862" t="s">
        <v>1931</v>
      </c>
      <c r="B1" s="2329"/>
      <c r="C1" s="2329"/>
      <c r="D1" s="2329"/>
      <c r="E1" s="2329"/>
    </row>
    <row r="2" spans="1:7">
      <c r="A2" s="2329"/>
      <c r="B2" s="2329" t="s">
        <v>1857</v>
      </c>
      <c r="C2" s="2329" t="s">
        <v>1555</v>
      </c>
      <c r="D2" s="3195" t="s">
        <v>1858</v>
      </c>
      <c r="E2" s="2329" t="s">
        <v>1555</v>
      </c>
    </row>
    <row r="3" spans="1:7">
      <c r="A3" s="869" t="s">
        <v>1859</v>
      </c>
      <c r="B3" s="3379">
        <v>7245</v>
      </c>
      <c r="C3" s="3192" t="s">
        <v>1860</v>
      </c>
      <c r="D3" s="3193">
        <f>B3*2000/365</f>
        <v>39698.630136986299</v>
      </c>
      <c r="E3" s="2330" t="s">
        <v>1932</v>
      </c>
    </row>
    <row r="4" spans="1:7">
      <c r="A4" s="869" t="s">
        <v>1861</v>
      </c>
      <c r="B4" s="3379">
        <v>2653</v>
      </c>
      <c r="C4" s="3192" t="s">
        <v>1860</v>
      </c>
      <c r="D4" s="3193">
        <f>B4*2000/365</f>
        <v>14536.986301369863</v>
      </c>
      <c r="E4" s="2330" t="s">
        <v>1932</v>
      </c>
    </row>
    <row r="5" spans="1:7">
      <c r="A5" s="869" t="s">
        <v>387</v>
      </c>
      <c r="B5" s="3379">
        <v>2434</v>
      </c>
      <c r="C5" s="3192" t="s">
        <v>1860</v>
      </c>
      <c r="D5" s="3193">
        <f>B5*2000/365</f>
        <v>13336.986301369863</v>
      </c>
      <c r="E5" s="2330" t="s">
        <v>1932</v>
      </c>
    </row>
    <row r="6" spans="1:7">
      <c r="A6" s="869" t="s">
        <v>1578</v>
      </c>
      <c r="B6" s="3379">
        <v>436</v>
      </c>
      <c r="C6" s="3192" t="s">
        <v>1860</v>
      </c>
      <c r="D6" s="3193">
        <f>B6*2000/365</f>
        <v>2389.0410958904108</v>
      </c>
      <c r="E6" s="2330" t="s">
        <v>1932</v>
      </c>
    </row>
    <row r="7" spans="1:7">
      <c r="A7" s="3194"/>
      <c r="B7" s="2329"/>
      <c r="C7" s="2329"/>
      <c r="D7" s="2329"/>
      <c r="E7" s="2329"/>
    </row>
    <row r="8" spans="1:7">
      <c r="A8" s="2329" t="s">
        <v>1862</v>
      </c>
      <c r="B8" s="2329"/>
      <c r="C8" s="2329"/>
      <c r="D8" s="2329"/>
      <c r="E8" s="2329"/>
    </row>
    <row r="9" spans="1:7">
      <c r="A9" s="2329" t="s">
        <v>1863</v>
      </c>
      <c r="B9" s="2329"/>
      <c r="C9" s="2329"/>
      <c r="D9" s="2329"/>
      <c r="E9" s="2329"/>
    </row>
    <row r="10" spans="1:7">
      <c r="A10" s="2329"/>
      <c r="B10" s="2329"/>
      <c r="C10" s="2329"/>
      <c r="D10" s="2329"/>
      <c r="E10" s="2329"/>
    </row>
    <row r="11" spans="1:7">
      <c r="A11" s="2329" t="s">
        <v>1864</v>
      </c>
      <c r="B11" s="2329"/>
      <c r="C11" s="2329"/>
      <c r="D11" s="2329"/>
      <c r="E11" s="2329"/>
    </row>
    <row r="12" spans="1:7">
      <c r="A12" s="2329" t="s">
        <v>1865</v>
      </c>
      <c r="B12" s="2329"/>
      <c r="C12" s="2329"/>
      <c r="D12" s="2329"/>
      <c r="E12" s="2329"/>
    </row>
    <row r="14" spans="1:7">
      <c r="A14" s="2862" t="s">
        <v>1835</v>
      </c>
    </row>
    <row r="15" spans="1:7" ht="15.75" thickBot="1">
      <c r="A15" s="2862" t="s">
        <v>1836</v>
      </c>
    </row>
    <row r="16" spans="1:7" ht="15.75" thickTop="1">
      <c r="A16" s="3159" t="s">
        <v>1269</v>
      </c>
      <c r="B16" s="3160" t="s">
        <v>1837</v>
      </c>
      <c r="C16" s="3160" t="s">
        <v>1838</v>
      </c>
      <c r="D16" s="3160" t="s">
        <v>1839</v>
      </c>
      <c r="E16" s="3160" t="s">
        <v>1840</v>
      </c>
      <c r="F16" s="3160" t="s">
        <v>1841</v>
      </c>
      <c r="G16" s="3161" t="s">
        <v>1842</v>
      </c>
    </row>
    <row r="17" spans="1:7">
      <c r="A17" s="3162" t="s">
        <v>517</v>
      </c>
      <c r="B17" s="3163" t="s">
        <v>1843</v>
      </c>
      <c r="C17" s="3163" t="s">
        <v>1844</v>
      </c>
      <c r="D17" s="3163" t="s">
        <v>1845</v>
      </c>
      <c r="E17" s="3163" t="s">
        <v>1846</v>
      </c>
      <c r="F17" s="3163" t="s">
        <v>1847</v>
      </c>
      <c r="G17" s="3164" t="s">
        <v>1848</v>
      </c>
    </row>
    <row r="18" spans="1:7" ht="15.75" thickBot="1">
      <c r="A18" s="3165" t="s">
        <v>1849</v>
      </c>
      <c r="B18" s="3166" t="s">
        <v>1846</v>
      </c>
      <c r="C18" s="3166" t="s">
        <v>1846</v>
      </c>
      <c r="D18" s="3166" t="s">
        <v>1846</v>
      </c>
      <c r="E18" s="3167"/>
      <c r="F18" s="3166" t="s">
        <v>1846</v>
      </c>
      <c r="G18" s="3168" t="s">
        <v>1850</v>
      </c>
    </row>
    <row r="19" spans="1:7" ht="15.75" thickBot="1">
      <c r="A19" s="3169" t="s">
        <v>1851</v>
      </c>
      <c r="B19" s="3170">
        <v>548.17999999999995</v>
      </c>
      <c r="C19" s="3170">
        <v>98.08</v>
      </c>
      <c r="D19" s="3170">
        <v>320.70999999999998</v>
      </c>
      <c r="E19" s="3197">
        <v>380.22</v>
      </c>
      <c r="F19" s="3198" t="s">
        <v>1852</v>
      </c>
      <c r="G19" s="3172">
        <v>419.18</v>
      </c>
    </row>
    <row r="20" spans="1:7" ht="15.75" thickBot="1">
      <c r="A20" s="3169" t="s">
        <v>1853</v>
      </c>
      <c r="B20" s="3170">
        <v>890.02</v>
      </c>
      <c r="C20" s="3170">
        <v>155.4</v>
      </c>
      <c r="D20" s="3170">
        <v>509.43</v>
      </c>
      <c r="E20" s="3170">
        <v>614.65</v>
      </c>
      <c r="F20" s="3171" t="s">
        <v>1852</v>
      </c>
      <c r="G20" s="3199">
        <v>679.23</v>
      </c>
    </row>
    <row r="21" spans="1:7" ht="15.75" thickBot="1">
      <c r="A21" s="3169" t="s">
        <v>1854</v>
      </c>
      <c r="B21" s="3197">
        <v>1332.25</v>
      </c>
      <c r="C21" s="3170">
        <v>233.09</v>
      </c>
      <c r="D21" s="3197">
        <v>767.22</v>
      </c>
      <c r="E21" s="3170">
        <v>922.8</v>
      </c>
      <c r="F21" s="3171" t="s">
        <v>1852</v>
      </c>
      <c r="G21" s="3172">
        <v>1016.97</v>
      </c>
    </row>
    <row r="22" spans="1:7" ht="15.75" thickBot="1">
      <c r="A22" s="3169" t="s">
        <v>1855</v>
      </c>
      <c r="B22" s="3173" t="s">
        <v>1852</v>
      </c>
      <c r="C22" s="3173" t="s">
        <v>1852</v>
      </c>
      <c r="D22" s="3173" t="s">
        <v>1852</v>
      </c>
      <c r="E22" s="3173" t="s">
        <v>1852</v>
      </c>
      <c r="F22" s="3174">
        <v>6.55</v>
      </c>
      <c r="G22" s="3175" t="s">
        <v>1852</v>
      </c>
    </row>
    <row r="24" spans="1:7">
      <c r="A24" s="3176" t="s">
        <v>1856</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enableFormatConditionsCalculation="0">
    <tabColor indexed="15"/>
  </sheetPr>
  <dimension ref="A1:DQ589"/>
  <sheetViews>
    <sheetView zoomScaleNormal="100" workbookViewId="0">
      <pane xSplit="3" ySplit="2" topLeftCell="D3" activePane="bottomRight" state="frozen"/>
      <selection activeCell="D73" sqref="D73"/>
      <selection pane="topRight" activeCell="D73" sqref="D73"/>
      <selection pane="bottomLeft" activeCell="D73" sqref="D73"/>
      <selection pane="bottomRight" activeCell="I3" sqref="I3"/>
    </sheetView>
  </sheetViews>
  <sheetFormatPr defaultRowHeight="12.75"/>
  <cols>
    <col min="1" max="1" width="26.140625" customWidth="1"/>
    <col min="2" max="2" width="10.42578125" hidden="1" customWidth="1"/>
    <col min="3" max="3" width="30.7109375" style="198" customWidth="1"/>
    <col min="4" max="4" width="14.85546875" style="2" customWidth="1"/>
    <col min="5" max="5" width="16" style="2" customWidth="1"/>
    <col min="6" max="6" width="17.140625" style="2" customWidth="1"/>
    <col min="7" max="7" width="21.85546875" style="2" customWidth="1"/>
    <col min="8" max="8" width="20.85546875" style="2" customWidth="1"/>
    <col min="9" max="9" width="12.140625" customWidth="1"/>
    <col min="10" max="10" width="17.42578125" customWidth="1"/>
    <col min="11" max="11" width="15.5703125" customWidth="1"/>
    <col min="12" max="12" width="15" customWidth="1"/>
    <col min="13" max="13" width="17" customWidth="1"/>
    <col min="14" max="14" width="14.42578125" customWidth="1"/>
    <col min="15" max="15" width="15.28515625" customWidth="1"/>
    <col min="16" max="16" width="15.28515625" style="2329" customWidth="1"/>
    <col min="17" max="17" width="13.85546875" customWidth="1"/>
    <col min="18" max="18" width="16.140625" customWidth="1"/>
    <col min="19" max="19" width="13.85546875" style="2329" customWidth="1"/>
    <col min="20" max="20" width="16.140625" style="2329" customWidth="1"/>
    <col min="21" max="23" width="17.5703125" style="89" customWidth="1"/>
    <col min="24" max="24" width="11" customWidth="1"/>
    <col min="26" max="160" width="9.5703125" customWidth="1"/>
  </cols>
  <sheetData>
    <row r="1" spans="1:121" ht="15">
      <c r="A1" s="229" t="s">
        <v>416</v>
      </c>
      <c r="M1" s="89"/>
      <c r="N1" s="89"/>
      <c r="O1" s="89"/>
      <c r="P1" s="89"/>
      <c r="Q1" s="89"/>
      <c r="R1" s="89"/>
      <c r="S1" s="89"/>
      <c r="T1" s="89"/>
    </row>
    <row r="2" spans="1:121" s="214" customFormat="1" ht="78" customHeight="1">
      <c r="A2" s="1336" t="s">
        <v>1396</v>
      </c>
      <c r="B2" s="246" t="s">
        <v>952</v>
      </c>
      <c r="C2" s="276" t="s">
        <v>1397</v>
      </c>
      <c r="D2" s="1528" t="str">
        <f>("Generation Turbine"&amp;" "&amp;TEXT(D7,"0.0")&amp;" MW")</f>
        <v>Generation Turbine 49.9 MW</v>
      </c>
      <c r="E2" s="1528" t="str">
        <f>("Generation Turbine"&amp;" "&amp;TEXT(E7,"0")&amp;" MW")</f>
        <v>Generation Turbine 100 MW</v>
      </c>
      <c r="F2" s="1528" t="str">
        <f>("Generation Turbine - Advanced"&amp;" "&amp;TEXT(F7,"0")&amp;" MW")</f>
        <v>Generation Turbine - Advanced 200 MW</v>
      </c>
      <c r="G2" s="1528" t="str">
        <f>("Combined Cycle - 2 CTs No Duct Firing"&amp;" "&amp;TEXT(G7,"0")&amp;" MW")</f>
        <v>Combined Cycle - 2 CTs No Duct Firing 500 MW</v>
      </c>
      <c r="H2" s="1528" t="str">
        <f>("Combined Cycle - 2 CTs With Duct Firing"&amp;" "&amp;TEXT(H7,"0")&amp;" MW")</f>
        <v>Combined Cycle - 2 CTs With Duct Firing 550 MW</v>
      </c>
      <c r="I2" s="3014" t="str">
        <f>("Biomass Fluidized Bed Boiler"&amp;" "&amp;TEXT(I7,0)&amp;" MW")</f>
        <v>Biomass Fluidized Bed Boiler 50 MW</v>
      </c>
      <c r="J2" s="3011" t="str">
        <f>("Geothermal  Binary"&amp;" "&amp;TEXT(J7,0)&amp;" MW")</f>
        <v>Geothermal  Binary 30 MW</v>
      </c>
      <c r="K2" s="3011" t="str">
        <f>("Geothermal  Flash"&amp;" "&amp;TEXT(K7,0)&amp;" MW")</f>
        <v>Geothermal  Flash 30 MW</v>
      </c>
      <c r="L2" s="3013" t="str">
        <f>("Solar Parabolic Trough W/O Storage"&amp;" "&amp;TEXT(L7,0)&amp;" MW")</f>
        <v>Solar Parabolic Trough W/O Storage 250 MW</v>
      </c>
      <c r="M2" s="3013" t="str">
        <f>("Solar Parabolic Trough With Storage"&amp;" "&amp;TEXT(M7,0)&amp;" MW")</f>
        <v>Solar Parabolic Trough With Storage 250 MW</v>
      </c>
      <c r="N2" s="3013" t="str">
        <f>("Solar Power Tower W/O Storage"&amp;" "&amp;TEXT(N7,0)&amp;" MW")</f>
        <v>Solar Power Tower W/O Storage 100 MW</v>
      </c>
      <c r="O2" s="3013" t="str">
        <f>("Solar Power Tower With Storage"&amp;" "&amp;TEXT(O7,0)&amp;" MW 6 HRs")</f>
        <v>Solar Power Tower With Storage 100 MW 6 HRs</v>
      </c>
      <c r="P2" s="3013" t="str">
        <f>("Solar Power Tower With Storage"&amp;" "&amp;TEXT(P7,0)&amp;" MW 11 HRs")</f>
        <v>Solar Power Tower With Storage 100 MW 11 HRs</v>
      </c>
      <c r="Q2" s="3013" t="str">
        <f>("Solar Photovoltaic (Thin-Film)"&amp;" "&amp;TEXT(Q7,0)&amp;" MW")</f>
        <v>Solar Photovoltaic (Thin-Film) 100 MW</v>
      </c>
      <c r="R2" s="3013" t="str">
        <f>("Solar Photovoltaic (Single Axis)"&amp;" "&amp;TEXT(R7,0)&amp;" MW")</f>
        <v>Solar Photovoltaic (Single Axis) 100 MW</v>
      </c>
      <c r="S2" s="3013" t="str">
        <f>("Solar Photovoltaic (Thin-Film)"&amp;" "&amp;TEXT(S7,0)&amp;" MW")</f>
        <v>Solar Photovoltaic (Thin-Film) 20 MW</v>
      </c>
      <c r="T2" s="3013" t="str">
        <f>("Solar Photovoltaic (Single Axis)"&amp;" "&amp;TEXT(T7,0)&amp;" MW")</f>
        <v>Solar Photovoltaic (Single Axis) 20 MW</v>
      </c>
      <c r="U2" s="3010" t="str">
        <f>("Wind - Class 3"&amp;" "&amp;TEXT(U7,0)&amp;" MW")</f>
        <v>Wind - Class 3 100 MW</v>
      </c>
      <c r="V2" s="3010" t="str">
        <f>("Wind - Class 4"&amp;" "&amp;TEXT(V7,0)&amp;" MW")</f>
        <v>Wind - Class 4 100 MW</v>
      </c>
      <c r="W2" s="2975"/>
      <c r="X2" s="171"/>
    </row>
    <row r="3" spans="1:121" s="490" customFormat="1" ht="39.75" customHeight="1">
      <c r="A3" s="489" t="s">
        <v>297</v>
      </c>
      <c r="B3" s="490" t="s">
        <v>680</v>
      </c>
      <c r="C3" s="491" t="s">
        <v>1152</v>
      </c>
      <c r="D3" s="3252" t="s">
        <v>1909</v>
      </c>
      <c r="E3" s="3252" t="s">
        <v>1910</v>
      </c>
      <c r="F3" s="3252" t="s">
        <v>1911</v>
      </c>
      <c r="G3" s="3252" t="s">
        <v>1912</v>
      </c>
      <c r="H3" s="3252" t="s">
        <v>1913</v>
      </c>
      <c r="I3" s="3252" t="s">
        <v>1713</v>
      </c>
      <c r="J3" s="3252" t="s">
        <v>1782</v>
      </c>
      <c r="K3" s="3252" t="s">
        <v>1782</v>
      </c>
      <c r="L3" s="3253" t="s">
        <v>1784</v>
      </c>
      <c r="M3" s="3253" t="s">
        <v>1783</v>
      </c>
      <c r="N3" s="3253" t="s">
        <v>1783</v>
      </c>
      <c r="O3" s="3253" t="s">
        <v>1882</v>
      </c>
      <c r="P3" s="3253" t="s">
        <v>1882</v>
      </c>
      <c r="Q3" s="3255" t="s">
        <v>2053</v>
      </c>
      <c r="R3" s="3252" t="s">
        <v>2054</v>
      </c>
      <c r="S3" s="3255" t="s">
        <v>2053</v>
      </c>
      <c r="T3" s="3252" t="s">
        <v>2054</v>
      </c>
      <c r="U3" s="3252" t="s">
        <v>2052</v>
      </c>
      <c r="V3" s="3252" t="s">
        <v>2052</v>
      </c>
      <c r="W3" s="3254"/>
      <c r="X3" s="971"/>
    </row>
    <row r="4" spans="1:121" s="28" customFormat="1" ht="13.7" customHeight="1">
      <c r="A4" s="216" t="s">
        <v>1077</v>
      </c>
      <c r="C4" s="70" t="s">
        <v>962</v>
      </c>
      <c r="D4" s="3012">
        <v>2011</v>
      </c>
      <c r="E4" s="3012">
        <v>2011</v>
      </c>
      <c r="F4" s="3012">
        <v>2011</v>
      </c>
      <c r="G4" s="3012">
        <v>2011</v>
      </c>
      <c r="H4" s="3012">
        <v>2011</v>
      </c>
      <c r="I4" s="3012">
        <v>2011</v>
      </c>
      <c r="J4" s="3012">
        <v>2011</v>
      </c>
      <c r="K4" s="3012">
        <v>2011</v>
      </c>
      <c r="L4" s="3012">
        <v>2011</v>
      </c>
      <c r="M4" s="3012">
        <v>2011</v>
      </c>
      <c r="N4" s="3012">
        <v>2011</v>
      </c>
      <c r="O4" s="3012">
        <v>2011</v>
      </c>
      <c r="P4" s="3012">
        <v>2011</v>
      </c>
      <c r="Q4" s="2968">
        <v>2011</v>
      </c>
      <c r="R4" s="2968">
        <v>2011</v>
      </c>
      <c r="S4" s="2968">
        <v>2011</v>
      </c>
      <c r="T4" s="2968">
        <v>2011</v>
      </c>
      <c r="U4" s="3002">
        <v>2011</v>
      </c>
      <c r="V4" s="3002">
        <v>2011</v>
      </c>
      <c r="W4" s="2335"/>
      <c r="X4" s="30"/>
    </row>
    <row r="5" spans="1:121" s="28" customFormat="1" ht="13.7" customHeight="1">
      <c r="A5" s="1007" t="s">
        <v>1140</v>
      </c>
      <c r="B5" s="1008"/>
      <c r="C5" s="1009" t="s">
        <v>157</v>
      </c>
      <c r="D5" s="70" t="s">
        <v>165</v>
      </c>
      <c r="E5" s="70" t="s">
        <v>165</v>
      </c>
      <c r="F5" s="70" t="s">
        <v>165</v>
      </c>
      <c r="G5" s="70" t="s">
        <v>165</v>
      </c>
      <c r="H5" s="70" t="s">
        <v>165</v>
      </c>
      <c r="I5" s="3012" t="s">
        <v>282</v>
      </c>
      <c r="J5" s="3012" t="s">
        <v>551</v>
      </c>
      <c r="K5" s="3012" t="s">
        <v>551</v>
      </c>
      <c r="L5" s="3012" t="s">
        <v>132</v>
      </c>
      <c r="M5" s="3012" t="s">
        <v>132</v>
      </c>
      <c r="N5" s="70" t="s">
        <v>132</v>
      </c>
      <c r="O5" s="70" t="s">
        <v>132</v>
      </c>
      <c r="P5" s="70" t="s">
        <v>132</v>
      </c>
      <c r="Q5" s="3006" t="s">
        <v>132</v>
      </c>
      <c r="R5" s="3006" t="s">
        <v>132</v>
      </c>
      <c r="S5" s="3006" t="s">
        <v>132</v>
      </c>
      <c r="T5" s="3006" t="s">
        <v>132</v>
      </c>
      <c r="U5" s="3003" t="s">
        <v>131</v>
      </c>
      <c r="V5" s="3003" t="s">
        <v>131</v>
      </c>
      <c r="W5" s="70"/>
      <c r="X5" s="30"/>
    </row>
    <row r="6" spans="1:121" s="28" customFormat="1">
      <c r="A6" s="180"/>
      <c r="B6" s="2335"/>
      <c r="C6" s="196" t="s">
        <v>1282</v>
      </c>
      <c r="D6" s="30"/>
      <c r="E6" s="30"/>
      <c r="F6" s="30"/>
      <c r="G6" s="30"/>
      <c r="H6" s="30"/>
      <c r="I6" s="30"/>
      <c r="J6" s="30"/>
      <c r="K6" s="30"/>
      <c r="L6" s="30"/>
      <c r="M6" s="30"/>
      <c r="N6" s="30"/>
      <c r="O6" s="30"/>
      <c r="P6" s="2335"/>
      <c r="Q6" s="30"/>
      <c r="R6" s="30"/>
      <c r="S6" s="2335"/>
      <c r="T6" s="2335"/>
      <c r="U6" s="30"/>
      <c r="V6" s="30"/>
      <c r="W6" s="2335"/>
      <c r="X6" s="30"/>
    </row>
    <row r="7" spans="1:121" s="28" customFormat="1" ht="15">
      <c r="A7" s="902" t="s">
        <v>797</v>
      </c>
      <c r="B7" s="903" t="s">
        <v>681</v>
      </c>
      <c r="C7" s="905" t="s">
        <v>419</v>
      </c>
      <c r="D7" s="30">
        <f>IF(CostScenario="Higher cost",IF(ISBLANK('PTA-Hi'!D7)=FALSE,'PTA-Hi'!D7,""),IF(CostScenario="Lower cost",IF(ISBLANK('PTA-Lo'!D7)=FALSE,'PTA-Lo'!D7,""),IF(ISBLANK('PTA-Mid'!D7)=FALSE,'PTA-Mid'!D7,"")))</f>
        <v>49.9</v>
      </c>
      <c r="E7" s="30">
        <f>IF(CostScenario="Higher cost",IF(ISBLANK('PTA-Hi'!E7)=FALSE,'PTA-Hi'!E7,""),IF(CostScenario="Lower cost",IF(ISBLANK('PTA-Lo'!E7)=FALSE,'PTA-Lo'!E7,""),IF(ISBLANK('PTA-Mid'!E7)=FALSE,'PTA-Mid'!E7,"")))</f>
        <v>100</v>
      </c>
      <c r="F7" s="30">
        <f>IF(CostScenario="Higher cost",IF(ISBLANK('PTA-Hi'!F7)=FALSE,'PTA-Hi'!F7,""),IF(CostScenario="Lower cost",IF(ISBLANK('PTA-Lo'!F7)=FALSE,'PTA-Lo'!F7,""),IF(ISBLANK('PTA-Mid'!F7)=FALSE,'PTA-Mid'!F7,"")))</f>
        <v>200</v>
      </c>
      <c r="G7" s="30">
        <f>IF(CostScenario="Higher cost",IF(ISBLANK('PTA-Hi'!G7)=FALSE,'PTA-Hi'!G7,""),IF(CostScenario="Lower cost",IF(ISBLANK('PTA-Lo'!G7)=FALSE,'PTA-Lo'!G7,""),IF(ISBLANK('PTA-Mid'!G7)=FALSE,'PTA-Mid'!G7,"")))</f>
        <v>500</v>
      </c>
      <c r="H7" s="30">
        <f>IF(CostScenario="Higher cost",IF(ISBLANK('PTA-Hi'!H7)=FALSE,'PTA-Hi'!H7,""),IF(CostScenario="Lower cost",IF(ISBLANK('PTA-Lo'!H7)=FALSE,'PTA-Lo'!H7,""),IF(ISBLANK('PTA-Mid'!H7)=FALSE,'PTA-Mid'!H7,"")))</f>
        <v>550</v>
      </c>
      <c r="I7" s="30">
        <f>IF(CostScenario="Higher cost",IF(ISBLANK('PTA-Hi'!I7)=FALSE,'PTA-Hi'!I7,""),IF(CostScenario="Lower cost",IF(ISBLANK('PTA-Lo'!I7)=FALSE,'PTA-Lo'!I7,""),IF(ISBLANK('PTA-Mid'!I7)=FALSE,'PTA-Mid'!I7,"")))</f>
        <v>50</v>
      </c>
      <c r="J7" s="30">
        <f>IF(CostScenario="Higher cost",IF(ISBLANK('PTA-Hi'!J7)=FALSE,'PTA-Hi'!J7,""),IF(CostScenario="Lower cost",IF(ISBLANK('PTA-Lo'!J7)=FALSE,'PTA-Lo'!J7,""),IF(ISBLANK('PTA-Mid'!J7)=FALSE,'PTA-Mid'!J7,"")))</f>
        <v>30</v>
      </c>
      <c r="K7" s="30">
        <f>IF(CostScenario="Higher cost",IF(ISBLANK('PTA-Hi'!K7)=FALSE,'PTA-Hi'!K7,""),IF(CostScenario="Lower cost",IF(ISBLANK('PTA-Lo'!K7)=FALSE,'PTA-Lo'!K7,""),IF(ISBLANK('PTA-Mid'!K7)=FALSE,'PTA-Mid'!K7,"")))</f>
        <v>30</v>
      </c>
      <c r="L7" s="2778">
        <f>IF(CostScenario="Higher cost",IF(ISBLANK('PTA-Hi'!L7)=FALSE,'PTA-Hi'!L7,""),IF(CostScenario="Lower cost",IF(ISBLANK('PTA-Lo'!L7)=FALSE,'PTA-Lo'!L7,""),IF(ISBLANK('PTA-Mid'!L7)=FALSE,'PTA-Mid'!L7,"")))</f>
        <v>250</v>
      </c>
      <c r="M7" s="2778">
        <f>IF(CostScenario="Higher cost",IF(ISBLANK('PTA-Hi'!M7)=FALSE,'PTA-Hi'!M7,""),IF(CostScenario="Lower cost",IF(ISBLANK('PTA-Lo'!M7)=FALSE,'PTA-Lo'!M7,""),IF(ISBLANK('PTA-Mid'!M7)=FALSE,'PTA-Mid'!M7,"")))</f>
        <v>250</v>
      </c>
      <c r="N7" s="2778">
        <v>100</v>
      </c>
      <c r="O7" s="2778">
        <v>100</v>
      </c>
      <c r="P7" s="2778">
        <v>100</v>
      </c>
      <c r="Q7" s="2335">
        <f>IF(CostScenario="Higher cost",IF(ISBLANK('PTA-Hi'!Q7)=FALSE,'PTA-Hi'!Q7,""),IF(CostScenario="Lower cost",IF(ISBLANK('PTA-Lo'!Q7)=FALSE,'PTA-Lo'!Q7,""),IF(ISBLANK('PTA-Mid'!Q7)=FALSE,'PTA-Mid'!Q7,"")))</f>
        <v>100</v>
      </c>
      <c r="R7" s="30">
        <f>IF(CostScenario="Higher cost",IF(ISBLANK('PTA-Hi'!R7)=FALSE,'PTA-Hi'!R7,""),IF(CostScenario="Lower cost",IF(ISBLANK('PTA-Lo'!R7)=FALSE,'PTA-Lo'!R7,""),IF(ISBLANK('PTA-Mid'!R7)=FALSE,'PTA-Mid'!R7,"")))</f>
        <v>100</v>
      </c>
      <c r="S7" s="2335">
        <f>IF(CostScenario="Higher cost",IF(ISBLANK('PTA-Hi'!S7)=FALSE,'PTA-Hi'!S7,""),IF(CostScenario="Lower cost",IF(ISBLANK('PTA-Lo'!S7)=FALSE,'PTA-Lo'!S7,""),IF(ISBLANK('PTA-Mid'!S7)=FALSE,'PTA-Mid'!S7,"")))</f>
        <v>20</v>
      </c>
      <c r="T7" s="2335">
        <f>IF(CostScenario="Higher cost",IF(ISBLANK('PTA-Hi'!T7)=FALSE,'PTA-Hi'!T7,""),IF(CostScenario="Lower cost",IF(ISBLANK('PTA-Lo'!T7)=FALSE,'PTA-Lo'!T7,""),IF(ISBLANK('PTA-Mid'!T7)=FALSE,'PTA-Mid'!T7,"")))</f>
        <v>20</v>
      </c>
      <c r="U7" s="30">
        <f>IF(CostScenario="Higher cost",IF(ISBLANK('PTA-Hi'!U7)=FALSE,'PTA-Hi'!U7,""),IF(CostScenario="Lower cost",IF(ISBLANK('PTA-Lo'!U7)=FALSE,'PTA-Lo'!U7,""),IF(ISBLANK('PTA-Mid'!U7)=FALSE,'PTA-Mid'!U7,"")))</f>
        <v>100</v>
      </c>
      <c r="V7" s="30">
        <f>IF(CostScenario="Higher cost",IF(ISBLANK('PTA-Hi'!V7)=FALSE,'PTA-Hi'!V7,""),IF(CostScenario="Lower cost",IF(ISBLANK('PTA-Lo'!V7)=FALSE,'PTA-Lo'!V7,""),IF(ISBLANK('PTA-Mid'!V7)=FALSE,'PTA-Mid'!V7,"")))</f>
        <v>100</v>
      </c>
      <c r="W7" s="2335"/>
      <c r="X7" s="30"/>
    </row>
    <row r="8" spans="1:121" s="242" customFormat="1">
      <c r="A8" s="902" t="s">
        <v>1375</v>
      </c>
      <c r="B8" s="903" t="s">
        <v>682</v>
      </c>
      <c r="C8" s="905" t="s">
        <v>1374</v>
      </c>
      <c r="D8" s="343">
        <f>IF(CostScenario="Higher cost",IF(ISBLANK('PTA-Hi'!D8)=FALSE,'PTA-Hi'!D8,""),IF(CostScenario="Lower cost",IF(ISBLANK('PTA-Lo'!D8)=FALSE,'PTA-Lo'!D8,""),IF(ISBLANK('PTA-Mid'!D8)=FALSE,'PTA-Mid'!D8,"")))</f>
        <v>3.4000000000000002E-2</v>
      </c>
      <c r="E8" s="343">
        <f>IF(CostScenario="Higher cost",IF(ISBLANK('PTA-Hi'!E8)=FALSE,'PTA-Hi'!E8,""),IF(CostScenario="Lower cost",IF(ISBLANK('PTA-Lo'!E8)=FALSE,'PTA-Lo'!E8,""),IF(ISBLANK('PTA-Mid'!E8)=FALSE,'PTA-Mid'!E8,"")))</f>
        <v>3.4000000000000002E-2</v>
      </c>
      <c r="F8" s="343">
        <f>IF(CostScenario="Higher cost",IF(ISBLANK('PTA-Hi'!F8)=FALSE,'PTA-Hi'!F8,""),IF(CostScenario="Lower cost",IF(ISBLANK('PTA-Lo'!F8)=FALSE,'PTA-Lo'!F8,""),IF(ISBLANK('PTA-Mid'!F8)=FALSE,'PTA-Mid'!F8,"")))</f>
        <v>3.4000000000000002E-2</v>
      </c>
      <c r="G8" s="48">
        <f>IF(CostScenario="Higher cost",IF(ISBLANK('PTA-Hi'!G8)=FALSE,'PTA-Hi'!G8,""),IF(CostScenario="Lower cost",IF(ISBLANK('PTA-Lo'!G8)=FALSE,'PTA-Lo'!G8,""),IF(ISBLANK('PTA-Mid'!G8)=FALSE,'PTA-Mid'!G8,"")))</f>
        <v>2.9000000000000001E-2</v>
      </c>
      <c r="H8" s="48">
        <f>IF(CostScenario="Higher cost",IF(ISBLANK('PTA-Hi'!H8)=FALSE,'PTA-Hi'!H8,""),IF(CostScenario="Lower cost",IF(ISBLANK('PTA-Lo'!H8)=FALSE,'PTA-Lo'!H8,""),IF(ISBLANK('PTA-Mid'!H8)=FALSE,'PTA-Mid'!H8,"")))</f>
        <v>2.9000000000000001E-2</v>
      </c>
      <c r="I8" s="343">
        <f>IF(CostScenario="Higher cost",IF(ISBLANK('PTA-Hi'!I8)=FALSE,'PTA-Hi'!I8,""),IF(CostScenario="Lower cost",IF(ISBLANK('PTA-Lo'!I8)=FALSE,'PTA-Lo'!I8,""),IF(ISBLANK('PTA-Mid'!I8)=FALSE,'PTA-Mid'!I8,"")))</f>
        <v>0.04</v>
      </c>
      <c r="J8" s="343">
        <f>IF(CostScenario="Higher cost",IF(ISBLANK('PTA-Hi'!J8)=FALSE,'PTA-Hi'!J8,""),IF(CostScenario="Lower cost",IF(ISBLANK('PTA-Lo'!J8)=FALSE,'PTA-Lo'!J8,""),IF(ISBLANK('PTA-Mid'!J8)=FALSE,'PTA-Mid'!J8,"")))</f>
        <v>0.115</v>
      </c>
      <c r="K8" s="343">
        <f>IF(CostScenario="Higher cost",IF(ISBLANK('PTA-Hi'!K8)=FALSE,'PTA-Hi'!K8,""),IF(CostScenario="Lower cost",IF(ISBLANK('PTA-Lo'!K8)=FALSE,'PTA-Lo'!K8,""),IF(ISBLANK('PTA-Mid'!K8)=FALSE,'PTA-Mid'!K8,"")))</f>
        <v>0.17</v>
      </c>
      <c r="L8" s="343">
        <f>IF(CostScenario="Higher cost",IF(ISBLANK('PTA-Hi'!L8)=FALSE,'PTA-Hi'!L8,""),IF(CostScenario="Lower cost",IF(ISBLANK('PTA-Lo'!L8)=FALSE,'PTA-Lo'!L8,""),IF(ISBLANK('PTA-Mid'!L8)=FALSE,'PTA-Mid'!L8,"")))</f>
        <v>0.1071</v>
      </c>
      <c r="M8" s="343">
        <f>IF(CostScenario="Higher cost",IF(ISBLANK('PTA-Hi'!M8)=FALSE,'PTA-Hi'!M8,""),IF(CostScenario="Lower cost",IF(ISBLANK('PTA-Lo'!M8)=FALSE,'PTA-Lo'!M8,""),IF(ISBLANK('PTA-Mid'!M8)=FALSE,'PTA-Mid'!M8,"")))</f>
        <v>0.1071</v>
      </c>
      <c r="N8" s="343">
        <f>IF(CostScenario="Higher cost",IF(ISBLANK('PTA-Hi'!N8)=FALSE,'PTA-Hi'!N8,""),IF(CostScenario="Lower cost",IF(ISBLANK('PTA-Lo'!N8)=FALSE,'PTA-Lo'!N8,""),IF(ISBLANK('PTA-Mid'!N8)=FALSE,'PTA-Mid'!N8,"")))</f>
        <v>0.12</v>
      </c>
      <c r="O8" s="343">
        <f>IF(CostScenario="Higher cost",IF(ISBLANK('PTA-Hi'!O8)=FALSE,'PTA-Hi'!O8,""),IF(CostScenario="Lower cost",IF(ISBLANK('PTA-Lo'!O8)=FALSE,'PTA-Lo'!O8,""),IF(ISBLANK('PTA-Mid'!O8)=FALSE,'PTA-Mid'!O8,"")))</f>
        <v>0.12</v>
      </c>
      <c r="P8" s="343">
        <f>IF(CostScenario="Higher cost",IF(ISBLANK('PTA-Hi'!P8)=FALSE,'PTA-Hi'!P8,""),IF(CostScenario="Lower cost",IF(ISBLANK('PTA-Lo'!P8)=FALSE,'PTA-Lo'!P8,""),IF(ISBLANK('PTA-Mid'!P8)=FALSE,'PTA-Mid'!P8,"")))</f>
        <v>0.125</v>
      </c>
      <c r="Q8" s="343">
        <f>IF(CostScenario="Higher cost",IF(ISBLANK('PTA-Hi'!Q8)=FALSE,'PTA-Hi'!Q8,""),IF(CostScenario="Lower cost",IF(ISBLANK('PTA-Lo'!Q8)=FALSE,'PTA-Lo'!Q8,""),IF(ISBLANK('PTA-Mid'!Q8)=FALSE,'PTA-Mid'!Q8,"")))</f>
        <v>1.4999999999999999E-2</v>
      </c>
      <c r="R8" s="343">
        <f>IF(CostScenario="Higher cost",IF(ISBLANK('PTA-Hi'!R8)=FALSE,'PTA-Hi'!R8,""),IF(CostScenario="Lower cost",IF(ISBLANK('PTA-Lo'!R8)=FALSE,'PTA-Lo'!R8,""),IF(ISBLANK('PTA-Mid'!R8)=FALSE,'PTA-Mid'!R8,"")))</f>
        <v>0.03</v>
      </c>
      <c r="S8" s="343">
        <f>IF(CostScenario="Higher cost",IF(ISBLANK('PTA-Hi'!S8)=FALSE,'PTA-Hi'!S8,""),IF(CostScenario="Lower cost",IF(ISBLANK('PTA-Lo'!S8)=FALSE,'PTA-Lo'!S8,""),IF(ISBLANK('PTA-Mid'!S8)=FALSE,'PTA-Mid'!S8,"")))</f>
        <v>1.4999999999999999E-2</v>
      </c>
      <c r="T8" s="343">
        <f>IF(CostScenario="Higher cost",IF(ISBLANK('PTA-Hi'!T8)=FALSE,'PTA-Hi'!T8,""),IF(CostScenario="Lower cost",IF(ISBLANK('PTA-Lo'!T8)=FALSE,'PTA-Lo'!T8,""),IF(ISBLANK('PTA-Mid'!T8)=FALSE,'PTA-Mid'!T8,"")))</f>
        <v>0.03</v>
      </c>
      <c r="U8" s="343">
        <f>IF(CostScenario="Higher cost",IF(ISBLANK('PTA-Hi'!U8)=FALSE,'PTA-Hi'!U8,""),IF(CostScenario="Lower cost",IF(ISBLANK('PTA-Lo'!U8)=FALSE,'PTA-Lo'!U8,""),IF(ISBLANK('PTA-Mid'!U8)=FALSE,'PTA-Mid'!U8,"")))</f>
        <v>0.02</v>
      </c>
      <c r="V8" s="343">
        <f>IF(CostScenario="Higher cost",IF(ISBLANK('PTA-Hi'!V8)=FALSE,'PTA-Hi'!V8,""),IF(CostScenario="Lower cost",IF(ISBLANK('PTA-Lo'!V8)=FALSE,'PTA-Lo'!V8,""),IF(ISBLANK('PTA-Mid'!V8)=FALSE,'PTA-Mid'!V8,"")))</f>
        <v>0.02</v>
      </c>
      <c r="W8" s="343"/>
      <c r="X8" s="343"/>
      <c r="Z8" s="311"/>
      <c r="AA8" s="311"/>
      <c r="AB8" s="311"/>
      <c r="AC8" s="311"/>
      <c r="AD8" s="311"/>
      <c r="AE8" s="311"/>
      <c r="AF8" s="311"/>
      <c r="AG8" s="311"/>
      <c r="AH8" s="311"/>
      <c r="AI8" s="311"/>
      <c r="AJ8" s="311"/>
      <c r="AK8" s="311"/>
      <c r="AL8" s="311"/>
      <c r="AM8" s="311"/>
      <c r="AN8" s="311"/>
      <c r="AO8" s="311"/>
      <c r="AP8" s="311"/>
      <c r="AQ8" s="311"/>
      <c r="AR8" s="311"/>
      <c r="AS8" s="311"/>
      <c r="AT8" s="311"/>
      <c r="AU8" s="311"/>
      <c r="AV8" s="311"/>
      <c r="AW8" s="311"/>
      <c r="AX8" s="311"/>
      <c r="AY8" s="311"/>
      <c r="AZ8" s="311"/>
      <c r="BA8" s="311"/>
      <c r="BB8" s="311"/>
      <c r="BC8" s="311"/>
      <c r="BD8" s="311"/>
      <c r="BE8" s="311"/>
      <c r="BF8" s="311"/>
      <c r="BG8" s="311"/>
      <c r="BH8" s="311"/>
      <c r="BI8" s="311"/>
      <c r="BJ8" s="311"/>
      <c r="BK8" s="311"/>
      <c r="BL8" s="311"/>
      <c r="BM8" s="311"/>
      <c r="BN8" s="311"/>
      <c r="BO8" s="311"/>
      <c r="BP8" s="311"/>
      <c r="BQ8" s="311"/>
      <c r="BR8" s="311"/>
      <c r="BS8" s="311"/>
      <c r="BT8" s="311"/>
      <c r="BU8" s="311"/>
      <c r="BV8" s="311"/>
      <c r="BW8" s="311"/>
      <c r="BX8" s="311"/>
      <c r="BY8" s="311"/>
      <c r="BZ8" s="311"/>
      <c r="CA8" s="311"/>
      <c r="CB8" s="311"/>
      <c r="CC8" s="311"/>
      <c r="CD8" s="311"/>
      <c r="CE8" s="311"/>
      <c r="CF8" s="311"/>
      <c r="CG8" s="311"/>
      <c r="CH8" s="311"/>
      <c r="CI8" s="311"/>
      <c r="CJ8" s="311"/>
      <c r="CK8" s="311"/>
      <c r="CL8" s="311"/>
      <c r="CM8" s="311"/>
      <c r="CN8" s="311"/>
      <c r="CO8" s="311"/>
      <c r="CP8" s="311"/>
      <c r="CQ8" s="311"/>
      <c r="CR8" s="311"/>
      <c r="CS8" s="311"/>
      <c r="CT8" s="311"/>
      <c r="CU8" s="311"/>
      <c r="CV8" s="311"/>
      <c r="CW8" s="311"/>
      <c r="CX8" s="311"/>
      <c r="CY8" s="311"/>
      <c r="CZ8" s="311"/>
      <c r="DA8" s="311"/>
      <c r="DB8" s="311"/>
      <c r="DC8" s="311"/>
      <c r="DD8" s="311"/>
      <c r="DE8" s="311"/>
      <c r="DF8" s="311"/>
      <c r="DG8" s="311"/>
      <c r="DH8" s="311"/>
      <c r="DI8" s="311"/>
      <c r="DJ8" s="311"/>
      <c r="DK8" s="311"/>
      <c r="DL8" s="311"/>
      <c r="DM8" s="311"/>
      <c r="DN8" s="311"/>
      <c r="DO8" s="311"/>
      <c r="DP8" s="311"/>
      <c r="DQ8" s="311"/>
    </row>
    <row r="9" spans="1:121" s="28" customFormat="1">
      <c r="A9" s="902" t="s">
        <v>798</v>
      </c>
      <c r="B9" s="906" t="s">
        <v>685</v>
      </c>
      <c r="C9" s="905" t="s">
        <v>96</v>
      </c>
      <c r="D9" s="343">
        <f>IF(CostScenario="Higher cost",IF(ISBLANK('PTA-Hi'!D9)=FALSE,'PTA-Hi'!D9,""),IF(CostScenario="Lower cost",IF(ISBLANK('PTA-Lo'!D9)=FALSE,'PTA-Lo'!D9,""),IF(ISBLANK('PTA-Mid'!D9)=FALSE,'PTA-Mid'!D9,"")))</f>
        <v>5.5000000000000003E-4</v>
      </c>
      <c r="E9" s="343">
        <f>IF(CostScenario="Higher cost",IF(ISBLANK('PTA-Hi'!E9)=FALSE,'PTA-Hi'!E9,""),IF(CostScenario="Lower cost",IF(ISBLANK('PTA-Lo'!E9)=FALSE,'PTA-Lo'!E9,""),IF(ISBLANK('PTA-Mid'!E9)=FALSE,'PTA-Mid'!E9,"")))</f>
        <v>5.5000000000000003E-4</v>
      </c>
      <c r="F9" s="343">
        <f>IF(CostScenario="Higher cost",IF(ISBLANK('PTA-Hi'!F9)=FALSE,'PTA-Hi'!F9,""),IF(CostScenario="Lower cost",IF(ISBLANK('PTA-Lo'!F9)=FALSE,'PTA-Lo'!F9,""),IF(ISBLANK('PTA-Mid'!F9)=FALSE,'PTA-Mid'!F9,"")))</f>
        <v>8.1999999999999998E-4</v>
      </c>
      <c r="G9" s="343">
        <f>IF(CostScenario="Higher cost",IF(ISBLANK('PTA-Hi'!G9)=FALSE,'PTA-Hi'!G9,""),IF(CostScenario="Lower cost",IF(ISBLANK('PTA-Lo'!G9)=FALSE,'PTA-Lo'!G9,""),IF(ISBLANK('PTA-Mid'!G9)=FALSE,'PTA-Mid'!G9,"")))</f>
        <v>1.7799999999999999E-3</v>
      </c>
      <c r="H9" s="343">
        <f>IF(CostScenario="Higher cost",IF(ISBLANK('PTA-Hi'!H9)=FALSE,'PTA-Hi'!H9,""),IF(CostScenario="Lower cost",IF(ISBLANK('PTA-Lo'!H9)=FALSE,'PTA-Lo'!H9,""),IF(ISBLANK('PTA-Mid'!H9)=FALSE,'PTA-Mid'!H9,"")))</f>
        <v>1.7799999999999999E-3</v>
      </c>
      <c r="I9" s="142">
        <f>IF(CostScenario="Higher cost",IF(ISBLANK('PTA-Hi'!I9)=FALSE,'PTA-Hi'!I9,""),IF(CostScenario="Lower cost",IF(ISBLANK('PTA-Lo'!I9)=FALSE,'PTA-Lo'!I9,""),IF(ISBLANK('PTA-Mid'!I9)=FALSE,'PTA-Mid'!I9,"")))</f>
        <v>1E-3</v>
      </c>
      <c r="J9" s="142">
        <f>IF(CostScenario="Higher cost",IF(ISBLANK('PTA-Hi'!J9)=FALSE,'PTA-Hi'!J9,""),IF(CostScenario="Lower cost",IF(ISBLANK('PTA-Lo'!J9)=FALSE,'PTA-Lo'!J9,""),IF(ISBLANK('PTA-Mid'!J9)=FALSE,'PTA-Mid'!J9,"")))</f>
        <v>5.0000000000000001E-3</v>
      </c>
      <c r="K9" s="142">
        <f>IF(CostScenario="Higher cost",IF(ISBLANK('PTA-Hi'!K9)=FALSE,'PTA-Hi'!K9,""),IF(CostScenario="Lower cost",IF(ISBLANK('PTA-Lo'!K9)=FALSE,'PTA-Lo'!K9,""),IF(ISBLANK('PTA-Mid'!K9)=FALSE,'PTA-Mid'!K9,"")))</f>
        <v>5.0000000000000001E-3</v>
      </c>
      <c r="L9" s="142">
        <f>IF(CostScenario="Higher cost",IF(ISBLANK('PTA-Hi'!L9)=FALSE,'PTA-Hi'!L9,""),IF(CostScenario="Lower cost",IF(ISBLANK('PTA-Lo'!L9)=FALSE,'PTA-Lo'!L9,""),IF(ISBLANK('PTA-Mid'!L9)=FALSE,'PTA-Mid'!L9,"")))</f>
        <v>5.0000000000000001E-3</v>
      </c>
      <c r="M9" s="142">
        <f>IF(CostScenario="Higher cost",IF(ISBLANK('PTA-Hi'!M9)=FALSE,'PTA-Hi'!M9,""),IF(CostScenario="Lower cost",IF(ISBLANK('PTA-Lo'!M9)=FALSE,'PTA-Lo'!M9,""),IF(ISBLANK('PTA-Mid'!M9)=FALSE,'PTA-Mid'!M9,"")))</f>
        <v>5.0000000000000001E-3</v>
      </c>
      <c r="N9" s="142">
        <f>IF(CostScenario="Higher cost",IF(ISBLANK('PTA-Hi'!N9)=FALSE,'PTA-Hi'!N9,""),IF(CostScenario="Lower cost",IF(ISBLANK('PTA-Lo'!N9)=FALSE,'PTA-Lo'!N9,""),IF(ISBLANK('PTA-Mid'!N9)=FALSE,'PTA-Mid'!N9,"")))</f>
        <v>5.0000000000000001E-3</v>
      </c>
      <c r="O9" s="142">
        <f>IF(CostScenario="Higher cost",IF(ISBLANK('PTA-Hi'!O9)=FALSE,'PTA-Hi'!O9,""),IF(CostScenario="Lower cost",IF(ISBLANK('PTA-Lo'!O9)=FALSE,'PTA-Lo'!O9,""),IF(ISBLANK('PTA-Mid'!O9)=FALSE,'PTA-Mid'!O9,"")))</f>
        <v>5.0000000000000001E-3</v>
      </c>
      <c r="P9" s="142">
        <f>IF(CostScenario="Higher cost",IF(ISBLANK('PTA-Hi'!P9)=FALSE,'PTA-Hi'!P9,""),IF(CostScenario="Lower cost",IF(ISBLANK('PTA-Lo'!P9)=FALSE,'PTA-Lo'!P9,""),IF(ISBLANK('PTA-Mid'!P9)=FALSE,'PTA-Mid'!P9,"")))</f>
        <v>5.0000000000000001E-3</v>
      </c>
      <c r="Q9" s="142">
        <f>IF(CostScenario="Higher cost",IF(ISBLANK('PTA-Hi'!Q9)=FALSE,'PTA-Hi'!Q9,""),IF(CostScenario="Lower cost",IF(ISBLANK('PTA-Lo'!Q9)=FALSE,'PTA-Lo'!Q9,""),IF(ISBLANK('PTA-Mid'!Q9)=FALSE,'PTA-Mid'!Q9,"")))</f>
        <v>9.4999999999999998E-3</v>
      </c>
      <c r="R9" s="142">
        <f>IF(CostScenario="Higher cost",IF(ISBLANK('PTA-Hi'!R9)=FALSE,'PTA-Hi'!R9,""),IF(CostScenario="Lower cost",IF(ISBLANK('PTA-Lo'!R9)=FALSE,'PTA-Lo'!R9,""),IF(ISBLANK('PTA-Mid'!R9)=FALSE,'PTA-Mid'!R9,"")))</f>
        <v>5.4999999999999997E-3</v>
      </c>
      <c r="S9" s="142">
        <f>IF(CostScenario="Higher cost",IF(ISBLANK('PTA-Hi'!S9)=FALSE,'PTA-Hi'!S9,""),IF(CostScenario="Lower cost",IF(ISBLANK('PTA-Lo'!S9)=FALSE,'PTA-Lo'!S9,""),IF(ISBLANK('PTA-Mid'!S9)=FALSE,'PTA-Mid'!S9,"")))</f>
        <v>9.4999999999999998E-3</v>
      </c>
      <c r="T9" s="142">
        <f>IF(CostScenario="Higher cost",IF(ISBLANK('PTA-Hi'!T9)=FALSE,'PTA-Hi'!T9,""),IF(CostScenario="Lower cost",IF(ISBLANK('PTA-Lo'!T9)=FALSE,'PTA-Lo'!T9,""),IF(ISBLANK('PTA-Mid'!T9)=FALSE,'PTA-Mid'!T9,"")))</f>
        <v>5.4999999999999997E-3</v>
      </c>
      <c r="U9" s="142">
        <f>IF(CostScenario="Higher cost",IF(ISBLANK('PTA-Hi'!U9)=FALSE,'PTA-Hi'!U9,""),IF(CostScenario="Lower cost",IF(ISBLANK('PTA-Lo'!U9)=FALSE,'PTA-Lo'!U9,""),IF(ISBLANK('PTA-Mid'!U9)=FALSE,'PTA-Mid'!U9,"")))</f>
        <v>3.0000000000000001E-3</v>
      </c>
      <c r="V9" s="142">
        <f>IF(CostScenario="Higher cost",IF(ISBLANK('PTA-Hi'!V9)=FALSE,'PTA-Hi'!V9,""),IF(CostScenario="Lower cost",IF(ISBLANK('PTA-Lo'!V9)=FALSE,'PTA-Lo'!V9,""),IF(ISBLANK('PTA-Mid'!V9)=FALSE,'PTA-Mid'!V9,"")))</f>
        <v>3.0000000000000001E-3</v>
      </c>
      <c r="W9" s="142"/>
      <c r="X9" s="30"/>
    </row>
    <row r="10" spans="1:121" s="2334" customFormat="1" ht="15">
      <c r="A10" s="2983" t="s">
        <v>1776</v>
      </c>
      <c r="B10" s="2984"/>
      <c r="C10" s="2985" t="s">
        <v>1778</v>
      </c>
      <c r="D10" s="1575">
        <f>IF(CostScenario="Higher cost",IF(ISBLANK('PTA-Hi'!D10)=FALSE,'PTA-Hi'!D10,""),IF(CostScenario="Lower cost",IF(ISBLANK('PTA-Lo'!D10)=FALSE,'PTA-Lo'!D10,""),IF(ISBLANK('PTA-Mid'!D10)=FALSE,'PTA-Mid'!D10,"")))</f>
        <v>0.33</v>
      </c>
      <c r="E10" s="1575">
        <f>IF(CostScenario="Higher cost",IF(ISBLANK('PTA-Hi'!E10)=FALSE,'PTA-Hi'!E10,""),IF(CostScenario="Lower cost",IF(ISBLANK('PTA-Lo'!E10)=FALSE,'PTA-Lo'!E10,""),IF(ISBLANK('PTA-Mid'!E10)=FALSE,'PTA-Mid'!E10,"")))</f>
        <v>0.33</v>
      </c>
      <c r="F10" s="1575">
        <f>IF(CostScenario="Higher cost",IF(ISBLANK('PTA-Hi'!F10)=FALSE,'PTA-Hi'!F10,""),IF(CostScenario="Lower cost",IF(ISBLANK('PTA-Lo'!F10)=FALSE,'PTA-Lo'!F10,""),IF(ISBLANK('PTA-Mid'!F10)=FALSE,'PTA-Mid'!F10,"")))</f>
        <v>0.33</v>
      </c>
      <c r="G10" s="1575">
        <f>IF(CostScenario="Higher cost",IF(ISBLANK('PTA-Hi'!G10)=FALSE,'PTA-Hi'!G10,""),IF(CostScenario="Lower cost",IF(ISBLANK('PTA-Lo'!G10)=FALSE,'PTA-Lo'!G10,""),IF(ISBLANK('PTA-Mid'!G10)=FALSE,'PTA-Mid'!G10,"")))</f>
        <v>0.33</v>
      </c>
      <c r="H10" s="1575">
        <f>IF(CostScenario="Higher cost",IF(ISBLANK('PTA-Hi'!H10)=FALSE,'PTA-Hi'!H10,""),IF(CostScenario="Lower cost",IF(ISBLANK('PTA-Lo'!H10)=FALSE,'PTA-Lo'!H10,""),IF(ISBLANK('PTA-Mid'!H10)=FALSE,'PTA-Mid'!H10,"")))</f>
        <v>0.33</v>
      </c>
      <c r="I10" s="1568">
        <f>IF(CostScenario="Higher cost",IF(ISBLANK('PTA-Hi'!I10)=FALSE,'PTA-Hi'!I10,""),IF(CostScenario="Lower cost",IF(ISBLANK('PTA-Lo'!I10)=FALSE,'PTA-Lo'!I10,""),IF(ISBLANK('PTA-Mid'!I10)=FALSE,'PTA-Mid'!I10,"")))</f>
        <v>0.4</v>
      </c>
      <c r="J10" s="2993">
        <f>IF(CostScenario="Higher cost",IF(ISBLANK('PTA-Hi'!J10)=FALSE,'PTA-Hi'!J10,""),IF(CostScenario="Lower cost",IF(ISBLANK('PTA-Lo'!J10)=FALSE,'PTA-Lo'!J10,""),IF(ISBLANK('PTA-Mid'!J10)=FALSE,'PTA-Mid'!J10,"")))</f>
        <v>0.4</v>
      </c>
      <c r="K10" s="2993">
        <f>IF(CostScenario="Higher cost",IF(ISBLANK('PTA-Hi'!K10)=FALSE,'PTA-Hi'!K10,""),IF(CostScenario="Lower cost",IF(ISBLANK('PTA-Lo'!K10)=FALSE,'PTA-Lo'!K10,""),IF(ISBLANK('PTA-Mid'!K10)=FALSE,'PTA-Mid'!K10,"")))</f>
        <v>0.4</v>
      </c>
      <c r="L10" s="1568">
        <f>IF(CostScenario="Higher cost",IF(ISBLANK('PTA-Hi'!L10)=FALSE,'PTA-Hi'!L10,""),IF(CostScenario="Lower cost",IF(ISBLANK('PTA-Lo'!L10)=FALSE,'PTA-Lo'!L10,""),IF(ISBLANK('PTA-Mid'!L10)=FALSE,'PTA-Mid'!L10,"")))</f>
        <v>0.4</v>
      </c>
      <c r="M10" s="1568">
        <f>IF(CostScenario="Higher cost",IF(ISBLANK('PTA-Hi'!M10)=FALSE,'PTA-Hi'!M10,""),IF(CostScenario="Lower cost",IF(ISBLANK('PTA-Lo'!M10)=FALSE,'PTA-Lo'!M10,""),IF(ISBLANK('PTA-Mid'!M10)=FALSE,'PTA-Mid'!M10,"")))</f>
        <v>0.4</v>
      </c>
      <c r="N10" s="1568">
        <f>IF(CostScenario="Higher cost",IF(ISBLANK('PTA-Hi'!N10)=FALSE,'PTA-Hi'!N10,""),IF(CostScenario="Lower cost",IF(ISBLANK('PTA-Lo'!N10)=FALSE,'PTA-Lo'!N10,""),IF(ISBLANK('PTA-Mid'!N10)=FALSE,'PTA-Mid'!N10,"")))</f>
        <v>0.4</v>
      </c>
      <c r="O10" s="1568">
        <f>IF(CostScenario="Higher cost",IF(ISBLANK('PTA-Hi'!O10)=FALSE,'PTA-Hi'!O10,""),IF(CostScenario="Lower cost",IF(ISBLANK('PTA-Lo'!O10)=FALSE,'PTA-Lo'!O10,""),IF(ISBLANK('PTA-Mid'!O10)=FALSE,'PTA-Mid'!O10,"")))</f>
        <v>0.4</v>
      </c>
      <c r="P10" s="1568">
        <f>IF(CostScenario="Higher cost",IF(ISBLANK('PTA-Hi'!P10)=FALSE,'PTA-Hi'!P10,""),IF(CostScenario="Lower cost",IF(ISBLANK('PTA-Lo'!P10)=FALSE,'PTA-Lo'!P10,""),IF(ISBLANK('PTA-Mid'!P10)=FALSE,'PTA-Mid'!P10,"")))</f>
        <v>0.4</v>
      </c>
      <c r="Q10" s="3007">
        <f>IF(CostScenario="Higher cost",IF(ISBLANK('PTA-Hi'!Q10)=FALSE,'PTA-Hi'!Q10,""),IF(CostScenario="Lower cost",IF(ISBLANK('PTA-Lo'!Q10)=FALSE,'PTA-Lo'!Q10,""),IF(ISBLANK('PTA-Mid'!Q10)=FALSE,'PTA-Mid'!Q10,"")))</f>
        <v>0.4</v>
      </c>
      <c r="R10" s="3007">
        <f>IF(CostScenario="Higher cost",IF(ISBLANK('PTA-Hi'!R10)=FALSE,'PTA-Hi'!R10,""),IF(CostScenario="Lower cost",IF(ISBLANK('PTA-Lo'!R10)=FALSE,'PTA-Lo'!R10,""),IF(ISBLANK('PTA-Mid'!R10)=FALSE,'PTA-Mid'!R10,"")))</f>
        <v>0.4</v>
      </c>
      <c r="S10" s="3007">
        <f>IF(CostScenario="Higher cost",IF(ISBLANK('PTA-Hi'!S10)=FALSE,'PTA-Hi'!S10,""),IF(CostScenario="Lower cost",IF(ISBLANK('PTA-Lo'!S10)=FALSE,'PTA-Lo'!S10,""),IF(ISBLANK('PTA-Mid'!S10)=FALSE,'PTA-Mid'!S10,"")))</f>
        <v>0.4</v>
      </c>
      <c r="T10" s="3007">
        <f>IF(CostScenario="Higher cost",IF(ISBLANK('PTA-Hi'!T10)=FALSE,'PTA-Hi'!T10,""),IF(CostScenario="Lower cost",IF(ISBLANK('PTA-Lo'!T10)=FALSE,'PTA-Lo'!T10,""),IF(ISBLANK('PTA-Mid'!T10)=FALSE,'PTA-Mid'!T10,"")))</f>
        <v>0.4</v>
      </c>
      <c r="U10" s="2994">
        <f>IF(CostScenario="Higher cost",IF(ISBLANK('PTA-Hi'!U10)=FALSE,'PTA-Hi'!U10,""),IF(CostScenario="Lower cost",IF(ISBLANK('PTA-Lo'!U10)=FALSE,'PTA-Lo'!U10,""),IF(ISBLANK('PTA-Mid'!U10)=FALSE,'PTA-Mid'!U10,"")))</f>
        <v>0.4</v>
      </c>
      <c r="V10" s="2994">
        <f>IF(CostScenario="Higher cost",IF(ISBLANK('PTA-Hi'!V10)=FALSE,'PTA-Hi'!V10,""),IF(CostScenario="Lower cost",IF(ISBLANK('PTA-Lo'!V10)=FALSE,'PTA-Lo'!V10,""),IF(ISBLANK('PTA-Mid'!V10)=FALSE,'PTA-Mid'!V10,"")))</f>
        <v>0.4</v>
      </c>
      <c r="W10" s="142"/>
      <c r="X10" s="2335"/>
    </row>
    <row r="11" spans="1:121" s="2334" customFormat="1" ht="15">
      <c r="A11" s="2983" t="s">
        <v>1775</v>
      </c>
      <c r="B11" s="2984"/>
      <c r="C11" s="2985" t="s">
        <v>1878</v>
      </c>
      <c r="D11" s="1549">
        <f>IF(CostScenario="Higher cost",IF(ISBLANK('PTA-Hi'!D11)=FALSE,'PTA-Hi'!D11,""),IF(CostScenario="Lower cost",IF(ISBLANK('PTA-Lo'!D11)=FALSE,'PTA-Lo'!D11,""),IF(ISBLANK('PTA-Mid'!D11)=FALSE,'PTA-Mid'!D11,"")))</f>
        <v>2.8500000000000001E-2</v>
      </c>
      <c r="E11" s="1549">
        <f>IF(CostScenario="Higher cost",IF(ISBLANK('PTA-Hi'!E11)=FALSE,'PTA-Hi'!E11,""),IF(CostScenario="Lower cost",IF(ISBLANK('PTA-Lo'!E11)=FALSE,'PTA-Lo'!E11,""),IF(ISBLANK('PTA-Mid'!E11)=FALSE,'PTA-Mid'!E11,"")))</f>
        <v>2.8500000000000001E-2</v>
      </c>
      <c r="F11" s="1549">
        <f>IF(CostScenario="Higher cost",IF(ISBLANK('PTA-Hi'!F11)=FALSE,'PTA-Hi'!F11,""),IF(CostScenario="Lower cost",IF(ISBLANK('PTA-Lo'!F11)=FALSE,'PTA-Lo'!F11,""),IF(ISBLANK('PTA-Mid'!F11)=FALSE,'PTA-Mid'!F11,"")))</f>
        <v>2.8500000000000001E-2</v>
      </c>
      <c r="G11" s="1549">
        <f>IF(CostScenario="Higher cost",IF(ISBLANK('PTA-Hi'!G11)=FALSE,'PTA-Hi'!G11,""),IF(CostScenario="Lower cost",IF(ISBLANK('PTA-Lo'!G11)=FALSE,'PTA-Lo'!G11,""),IF(ISBLANK('PTA-Mid'!G11)=FALSE,'PTA-Mid'!G11,"")))</f>
        <v>2.8500000000000001E-2</v>
      </c>
      <c r="H11" s="1549">
        <f>IF(CostScenario="Higher cost",IF(ISBLANK('PTA-Hi'!H11)=FALSE,'PTA-Hi'!H11,""),IF(CostScenario="Lower cost",IF(ISBLANK('PTA-Lo'!H11)=FALSE,'PTA-Lo'!H11,""),IF(ISBLANK('PTA-Mid'!H11)=FALSE,'PTA-Mid'!H11,"")))</f>
        <v>2.8500000000000001E-2</v>
      </c>
      <c r="I11" s="1553">
        <f>IF(CostScenario="Higher cost",IF(ISBLANK('PTA-Hi'!I11)=FALSE,'PTA-Hi'!I11,""),IF(CostScenario="Lower cost",IF(ISBLANK('PTA-Lo'!I11)=FALSE,'PTA-Lo'!I11,""),IF(ISBLANK('PTA-Mid'!I11)=FALSE,'PTA-Mid'!I11,"")))</f>
        <v>3.9000000000000007E-2</v>
      </c>
      <c r="J11" s="2780">
        <f>IF(CostScenario="Higher cost",IF(ISBLANK('PTA-Hi'!J11)=FALSE,'PTA-Hi'!J11,""),IF(CostScenario="Lower cost",IF(ISBLANK('PTA-Lo'!J11)=FALSE,'PTA-Lo'!J11,""),IF(ISBLANK('PTA-Mid'!J11)=FALSE,'PTA-Mid'!J11,"")))</f>
        <v>3.9000000000000007E-2</v>
      </c>
      <c r="K11" s="2780">
        <f>IF(CostScenario="Higher cost",IF(ISBLANK('PTA-Hi'!K11)=FALSE,'PTA-Hi'!K11,""),IF(CostScenario="Lower cost",IF(ISBLANK('PTA-Lo'!K11)=FALSE,'PTA-Lo'!K11,""),IF(ISBLANK('PTA-Mid'!K11)=FALSE,'PTA-Mid'!K11,"")))</f>
        <v>3.9000000000000007E-2</v>
      </c>
      <c r="L11" s="1553">
        <f>IF(CostScenario="Higher cost",IF(ISBLANK('PTA-Hi'!L11)=FALSE,'PTA-Hi'!L11,""),IF(CostScenario="Lower cost",IF(ISBLANK('PTA-Lo'!L11)=FALSE,'PTA-Lo'!L11,""),IF(ISBLANK('PTA-Mid'!L11)=FALSE,'PTA-Mid'!L11,"")))</f>
        <v>3.5000000000000003E-2</v>
      </c>
      <c r="M11" s="1553">
        <f>IF(CostScenario="Higher cost",IF(ISBLANK('PTA-Hi'!M11)=FALSE,'PTA-Hi'!M11,""),IF(CostScenario="Lower cost",IF(ISBLANK('PTA-Lo'!M11)=FALSE,'PTA-Lo'!M11,""),IF(ISBLANK('PTA-Mid'!M11)=FALSE,'PTA-Mid'!M11,"")))</f>
        <v>3.5000000000000003E-2</v>
      </c>
      <c r="N11" s="1553">
        <f>IF(CostScenario="Higher cost",IF(ISBLANK('PTA-Hi'!N11)=FALSE,'PTA-Hi'!N11,""),IF(CostScenario="Lower cost",IF(ISBLANK('PTA-Lo'!N11)=FALSE,'PTA-Lo'!N11,""),IF(ISBLANK('PTA-Mid'!N11)=FALSE,'PTA-Mid'!N11,"")))</f>
        <v>3.5000000000000003E-2</v>
      </c>
      <c r="O11" s="1553">
        <f>IF(CostScenario="Higher cost",IF(ISBLANK('PTA-Hi'!O11)=FALSE,'PTA-Hi'!O11,""),IF(CostScenario="Lower cost",IF(ISBLANK('PTA-Lo'!O11)=FALSE,'PTA-Lo'!O11,""),IF(ISBLANK('PTA-Mid'!O11)=FALSE,'PTA-Mid'!O11,"")))</f>
        <v>3.5000000000000003E-2</v>
      </c>
      <c r="P11" s="1553">
        <f>IF(CostScenario="Higher cost",IF(ISBLANK('PTA-Hi'!P11)=FALSE,'PTA-Hi'!P11,""),IF(CostScenario="Lower cost",IF(ISBLANK('PTA-Lo'!P11)=FALSE,'PTA-Lo'!P11,""),IF(ISBLANK('PTA-Mid'!P11)=FALSE,'PTA-Mid'!P11,"")))</f>
        <v>3.5000000000000003E-2</v>
      </c>
      <c r="Q11" s="3005">
        <f>IF(CostScenario="Higher cost",IF(ISBLANK('PTA-Hi'!Q11)=FALSE,'PTA-Hi'!Q11,""),IF(CostScenario="Lower cost",IF(ISBLANK('PTA-Lo'!Q11)=FALSE,'PTA-Lo'!Q11,""),IF(ISBLANK('PTA-Mid'!Q11)=FALSE,'PTA-Mid'!Q11,"")))</f>
        <v>3.5000000000000003E-2</v>
      </c>
      <c r="R11" s="3005">
        <f>IF(CostScenario="Higher cost",IF(ISBLANK('PTA-Hi'!R11)=FALSE,'PTA-Hi'!R11,""),IF(CostScenario="Lower cost",IF(ISBLANK('PTA-Lo'!R11)=FALSE,'PTA-Lo'!R11,""),IF(ISBLANK('PTA-Mid'!R11)=FALSE,'PTA-Mid'!R11,"")))</f>
        <v>3.5000000000000003E-2</v>
      </c>
      <c r="S11" s="3005">
        <f>IF(CostScenario="Higher cost",IF(ISBLANK('PTA-Hi'!S11)=FALSE,'PTA-Hi'!S11,""),IF(CostScenario="Lower cost",IF(ISBLANK('PTA-Lo'!S11)=FALSE,'PTA-Lo'!S11,""),IF(ISBLANK('PTA-Mid'!S11)=FALSE,'PTA-Mid'!S11,"")))</f>
        <v>3.5000000000000003E-2</v>
      </c>
      <c r="T11" s="3005">
        <f>IF(CostScenario="Higher cost",IF(ISBLANK('PTA-Hi'!T11)=FALSE,'PTA-Hi'!T11,""),IF(CostScenario="Lower cost",IF(ISBLANK('PTA-Lo'!T11)=FALSE,'PTA-Lo'!T11,""),IF(ISBLANK('PTA-Mid'!T11)=FALSE,'PTA-Mid'!T11,"")))</f>
        <v>3.5000000000000003E-2</v>
      </c>
      <c r="U11" s="2774">
        <f>IF(CostScenario="Higher cost",IF(ISBLANK('PTA-Hi'!U11)=FALSE,'PTA-Hi'!U11,""),IF(CostScenario="Lower cost",IF(ISBLANK('PTA-Lo'!U11)=FALSE,'PTA-Lo'!U11,""),IF(ISBLANK('PTA-Mid'!U11)=FALSE,'PTA-Mid'!U11,"")))</f>
        <v>3.5000000000000003E-2</v>
      </c>
      <c r="V11" s="2774">
        <f>IF(CostScenario="Higher cost",IF(ISBLANK('PTA-Hi'!V11)=FALSE,'PTA-Hi'!V11,""),IF(CostScenario="Lower cost",IF(ISBLANK('PTA-Lo'!V11)=FALSE,'PTA-Lo'!V11,""),IF(ISBLANK('PTA-Mid'!V11)=FALSE,'PTA-Mid'!V11,"")))</f>
        <v>3.5000000000000003E-2</v>
      </c>
      <c r="W11" s="142"/>
      <c r="X11" s="2335"/>
    </row>
    <row r="12" spans="1:121" s="2334" customFormat="1" ht="15">
      <c r="A12" s="2983" t="s">
        <v>1774</v>
      </c>
      <c r="B12" s="2984"/>
      <c r="C12" s="2985" t="s">
        <v>1770</v>
      </c>
      <c r="D12" s="2995">
        <f>IF(CostScenario="Higher cost",IF(ISBLANK('PTA-Hi'!D12)=FALSE,'PTA-Hi'!D12,""),IF(CostScenario="Lower cost",IF(ISBLANK('PTA-Lo'!D12)=FALSE,'PTA-Lo'!D12,""),IF(ISBLANK('PTA-Mid'!D12)=FALSE,'PTA-Mid'!D12,"")))</f>
        <v>1.37</v>
      </c>
      <c r="E12" s="2995">
        <f>IF(CostScenario="Higher cost",IF(ISBLANK('PTA-Hi'!E12)=FALSE,'PTA-Hi'!E12,""),IF(CostScenario="Lower cost",IF(ISBLANK('PTA-Lo'!E12)=FALSE,'PTA-Lo'!E12,""),IF(ISBLANK('PTA-Mid'!E12)=FALSE,'PTA-Mid'!E12,"")))</f>
        <v>1.37</v>
      </c>
      <c r="F12" s="2995">
        <f>IF(CostScenario="Higher cost",IF(ISBLANK('PTA-Hi'!F12)=FALSE,'PTA-Hi'!F12,""),IF(CostScenario="Lower cost",IF(ISBLANK('PTA-Lo'!F12)=FALSE,'PTA-Lo'!F12,""),IF(ISBLANK('PTA-Mid'!F12)=FALSE,'PTA-Mid'!F12,"")))</f>
        <v>1.37</v>
      </c>
      <c r="G12" s="2995">
        <f>IF(CostScenario="Higher cost",IF(ISBLANK('PTA-Hi'!G12)=FALSE,'PTA-Hi'!G12,""),IF(CostScenario="Lower cost",IF(ISBLANK('PTA-Lo'!G12)=FALSE,'PTA-Lo'!G12,""),IF(ISBLANK('PTA-Mid'!G12)=FALSE,'PTA-Mid'!G12,"")))</f>
        <v>1.37</v>
      </c>
      <c r="H12" s="2995">
        <f>IF(CostScenario="Higher cost",IF(ISBLANK('PTA-Hi'!H12)=FALSE,'PTA-Hi'!H12,""),IF(CostScenario="Lower cost",IF(ISBLANK('PTA-Lo'!H12)=FALSE,'PTA-Lo'!H12,""),IF(ISBLANK('PTA-Mid'!H12)=FALSE,'PTA-Mid'!H12,"")))</f>
        <v>1.37</v>
      </c>
      <c r="I12" s="1924">
        <f>IF(CostScenario="Higher cost",IF(ISBLANK('PTA-Hi'!I12)=FALSE,'PTA-Hi'!I12,""),IF(CostScenario="Lower cost",IF(ISBLANK('PTA-Lo'!I12)=FALSE,'PTA-Lo'!I12,""),IF(ISBLANK('PTA-Mid'!I12)=FALSE,'PTA-Mid'!I12,"")))</f>
        <v>1.7149999999999999</v>
      </c>
      <c r="J12" s="2996">
        <f>IF(CostScenario="Higher cost",IF(ISBLANK('PTA-Hi'!J12)=FALSE,'PTA-Hi'!J12,""),IF(CostScenario="Lower cost",IF(ISBLANK('PTA-Lo'!J12)=FALSE,'PTA-Lo'!J12,""),IF(ISBLANK('PTA-Mid'!J12)=FALSE,'PTA-Mid'!J12,"")))</f>
        <v>1.79</v>
      </c>
      <c r="K12" s="2996">
        <f>IF(CostScenario="Higher cost",IF(ISBLANK('PTA-Hi'!K12)=FALSE,'PTA-Hi'!K12,""),IF(CostScenario="Lower cost",IF(ISBLANK('PTA-Lo'!K12)=FALSE,'PTA-Lo'!K12,""),IF(ISBLANK('PTA-Mid'!K12)=FALSE,'PTA-Mid'!K12,"")))</f>
        <v>1.79</v>
      </c>
      <c r="L12" s="1924">
        <f>IF(CostScenario="Higher cost",IF(ISBLANK('PTA-Hi'!L12)=FALSE,'PTA-Hi'!L12,""),IF(CostScenario="Lower cost",IF(ISBLANK('PTA-Lo'!L12)=FALSE,'PTA-Lo'!L12,""),IF(ISBLANK('PTA-Mid'!L12)=FALSE,'PTA-Mid'!L12,"")))</f>
        <v>1.345</v>
      </c>
      <c r="M12" s="1924">
        <f>IF(CostScenario="Higher cost",IF(ISBLANK('PTA-Hi'!M12)=FALSE,'PTA-Hi'!M12,""),IF(CostScenario="Lower cost",IF(ISBLANK('PTA-Lo'!M12)=FALSE,'PTA-Lo'!M12,""),IF(ISBLANK('PTA-Mid'!M12)=FALSE,'PTA-Mid'!M12,"")))</f>
        <v>1.345</v>
      </c>
      <c r="N12" s="1924">
        <f>IF(CostScenario="Higher cost",IF(ISBLANK('PTA-Hi'!N12)=FALSE,'PTA-Hi'!N12,""),IF(CostScenario="Lower cost",IF(ISBLANK('PTA-Lo'!N12)=FALSE,'PTA-Lo'!N12,""),IF(ISBLANK('PTA-Mid'!N12)=FALSE,'PTA-Mid'!N12,"")))</f>
        <v>1.345</v>
      </c>
      <c r="O12" s="1924">
        <f>IF(CostScenario="Higher cost",IF(ISBLANK('PTA-Hi'!O12)=FALSE,'PTA-Hi'!O12,""),IF(CostScenario="Lower cost",IF(ISBLANK('PTA-Lo'!O12)=FALSE,'PTA-Lo'!O12,""),IF(ISBLANK('PTA-Mid'!O12)=FALSE,'PTA-Mid'!O12,"")))</f>
        <v>1.345</v>
      </c>
      <c r="P12" s="1924">
        <f>IF(CostScenario="Higher cost",IF(ISBLANK('PTA-Hi'!P12)=FALSE,'PTA-Hi'!P12,""),IF(CostScenario="Lower cost",IF(ISBLANK('PTA-Lo'!P12)=FALSE,'PTA-Lo'!P12,""),IF(ISBLANK('PTA-Mid'!P12)=FALSE,'PTA-Mid'!P12,"")))</f>
        <v>1.345</v>
      </c>
      <c r="Q12" s="3008">
        <f>IF(CostScenario="Higher cost",IF(ISBLANK('PTA-Hi'!Q12)=FALSE,'PTA-Hi'!Q12,""),IF(CostScenario="Lower cost",IF(ISBLANK('PTA-Lo'!Q12)=FALSE,'PTA-Lo'!Q12,""),IF(ISBLANK('PTA-Mid'!Q12)=FALSE,'PTA-Mid'!Q12,"")))</f>
        <v>1.345</v>
      </c>
      <c r="R12" s="3008">
        <f>IF(CostScenario="Higher cost",IF(ISBLANK('PTA-Hi'!R12)=FALSE,'PTA-Hi'!R12,""),IF(CostScenario="Lower cost",IF(ISBLANK('PTA-Lo'!R12)=FALSE,'PTA-Lo'!R12,""),IF(ISBLANK('PTA-Mid'!R12)=FALSE,'PTA-Mid'!R12,"")))</f>
        <v>1.345</v>
      </c>
      <c r="S12" s="3008">
        <f>IF(CostScenario="Higher cost",IF(ISBLANK('PTA-Hi'!S12)=FALSE,'PTA-Hi'!S12,""),IF(CostScenario="Lower cost",IF(ISBLANK('PTA-Lo'!S12)=FALSE,'PTA-Lo'!S12,""),IF(ISBLANK('PTA-Mid'!S12)=FALSE,'PTA-Mid'!S12,"")))</f>
        <v>1.345</v>
      </c>
      <c r="T12" s="3008">
        <f>IF(CostScenario="Higher cost",IF(ISBLANK('PTA-Hi'!T12)=FALSE,'PTA-Hi'!T12,""),IF(CostScenario="Lower cost",IF(ISBLANK('PTA-Lo'!T12)=FALSE,'PTA-Lo'!T12,""),IF(ISBLANK('PTA-Mid'!T12)=FALSE,'PTA-Mid'!T12,"")))</f>
        <v>1.345</v>
      </c>
      <c r="U12" s="2997">
        <f>IF(CostScenario="Higher cost",IF(ISBLANK('PTA-Hi'!U12)=FALSE,'PTA-Hi'!U12,""),IF(CostScenario="Lower cost",IF(ISBLANK('PTA-Lo'!U12)=FALSE,'PTA-Lo'!U12,""),IF(ISBLANK('PTA-Mid'!U12)=FALSE,'PTA-Mid'!U12,"")))</f>
        <v>1.345</v>
      </c>
      <c r="V12" s="2997">
        <f>IF(CostScenario="Higher cost",IF(ISBLANK('PTA-Hi'!V12)=FALSE,'PTA-Hi'!V12,""),IF(CostScenario="Lower cost",IF(ISBLANK('PTA-Lo'!V12)=FALSE,'PTA-Lo'!V12,""),IF(ISBLANK('PTA-Mid'!V12)=FALSE,'PTA-Mid'!V12,"")))</f>
        <v>1.345</v>
      </c>
      <c r="W12" s="142"/>
      <c r="X12" s="2335"/>
    </row>
    <row r="13" spans="1:121" s="2334" customFormat="1" ht="15">
      <c r="A13" s="2983" t="s">
        <v>1773</v>
      </c>
      <c r="B13" s="2984"/>
      <c r="C13" s="2985" t="s">
        <v>1771</v>
      </c>
      <c r="D13" s="2995">
        <f>IF(CostScenario="Higher cost",IF(ISBLANK('PTA-Hi'!D13)=FALSE,'PTA-Hi'!D13,""),IF(CostScenario="Lower cost",IF(ISBLANK('PTA-Lo'!D13)=FALSE,'PTA-Lo'!D13,""),IF(ISBLANK('PTA-Mid'!D13)=FALSE,'PTA-Mid'!D13,"")))</f>
        <v>1.37</v>
      </c>
      <c r="E13" s="2995">
        <f>IF(CostScenario="Higher cost",IF(ISBLANK('PTA-Hi'!E13)=FALSE,'PTA-Hi'!E13,""),IF(CostScenario="Lower cost",IF(ISBLANK('PTA-Lo'!E13)=FALSE,'PTA-Lo'!E13,""),IF(ISBLANK('PTA-Mid'!E13)=FALSE,'PTA-Mid'!E13,"")))</f>
        <v>1.37</v>
      </c>
      <c r="F13" s="2995">
        <f>IF(CostScenario="Higher cost",IF(ISBLANK('PTA-Hi'!F13)=FALSE,'PTA-Hi'!F13,""),IF(CostScenario="Lower cost",IF(ISBLANK('PTA-Lo'!F13)=FALSE,'PTA-Lo'!F13,""),IF(ISBLANK('PTA-Mid'!F13)=FALSE,'PTA-Mid'!F13,"")))</f>
        <v>1.37</v>
      </c>
      <c r="G13" s="2995">
        <f>IF(CostScenario="Higher cost",IF(ISBLANK('PTA-Hi'!G13)=FALSE,'PTA-Hi'!G13,""),IF(CostScenario="Lower cost",IF(ISBLANK('PTA-Lo'!G13)=FALSE,'PTA-Lo'!G13,""),IF(ISBLANK('PTA-Mid'!G13)=FALSE,'PTA-Mid'!G13,"")))</f>
        <v>1.37</v>
      </c>
      <c r="H13" s="2995">
        <f>IF(CostScenario="Higher cost",IF(ISBLANK('PTA-Hi'!H13)=FALSE,'PTA-Hi'!H13,""),IF(CostScenario="Lower cost",IF(ISBLANK('PTA-Lo'!H13)=FALSE,'PTA-Lo'!H13,""),IF(ISBLANK('PTA-Mid'!H13)=FALSE,'PTA-Mid'!H13,"")))</f>
        <v>1.37</v>
      </c>
      <c r="I13" s="1924">
        <f>IF(CostScenario="Higher cost",IF(ISBLANK('PTA-Hi'!I13)=FALSE,'PTA-Hi'!I13,""),IF(CostScenario="Lower cost",IF(ISBLANK('PTA-Lo'!I13)=FALSE,'PTA-Lo'!I13,""),IF(ISBLANK('PTA-Mid'!I13)=FALSE,'PTA-Mid'!I13,"")))</f>
        <v>1.7149999999999999</v>
      </c>
      <c r="J13" s="2996">
        <f>IF(CostScenario="Higher cost",IF(ISBLANK('PTA-Hi'!J13)=FALSE,'PTA-Hi'!J13,""),IF(CostScenario="Lower cost",IF(ISBLANK('PTA-Lo'!J13)=FALSE,'PTA-Lo'!J13,""),IF(ISBLANK('PTA-Mid'!J13)=FALSE,'PTA-Mid'!J13,"")))</f>
        <v>1.79</v>
      </c>
      <c r="K13" s="2996">
        <f>IF(CostScenario="Higher cost",IF(ISBLANK('PTA-Hi'!K13)=FALSE,'PTA-Hi'!K13,""),IF(CostScenario="Lower cost",IF(ISBLANK('PTA-Lo'!K13)=FALSE,'PTA-Lo'!K13,""),IF(ISBLANK('PTA-Mid'!K13)=FALSE,'PTA-Mid'!K13,"")))</f>
        <v>1.79</v>
      </c>
      <c r="L13" s="1924">
        <f>IF(CostScenario="Higher cost",IF(ISBLANK('PTA-Hi'!L13)=FALSE,'PTA-Hi'!L13,""),IF(CostScenario="Lower cost",IF(ISBLANK('PTA-Lo'!L13)=FALSE,'PTA-Lo'!L13,""),IF(ISBLANK('PTA-Mid'!L13)=FALSE,'PTA-Mid'!L13,"")))</f>
        <v>1.27</v>
      </c>
      <c r="M13" s="1924">
        <f>IF(CostScenario="Higher cost",IF(ISBLANK('PTA-Hi'!M13)=FALSE,'PTA-Hi'!M13,""),IF(CostScenario="Lower cost",IF(ISBLANK('PTA-Lo'!M13)=FALSE,'PTA-Lo'!M13,""),IF(ISBLANK('PTA-Mid'!M13)=FALSE,'PTA-Mid'!M13,"")))</f>
        <v>1.27</v>
      </c>
      <c r="N13" s="1924">
        <f>IF(CostScenario="Higher cost",IF(ISBLANK('PTA-Hi'!N13)=FALSE,'PTA-Hi'!N13,""),IF(CostScenario="Lower cost",IF(ISBLANK('PTA-Lo'!N13)=FALSE,'PTA-Lo'!N13,""),IF(ISBLANK('PTA-Mid'!N13)=FALSE,'PTA-Mid'!N13,"")))</f>
        <v>1.27</v>
      </c>
      <c r="O13" s="1924">
        <f>IF(CostScenario="Higher cost",IF(ISBLANK('PTA-Hi'!O13)=FALSE,'PTA-Hi'!O13,""),IF(CostScenario="Lower cost",IF(ISBLANK('PTA-Lo'!O13)=FALSE,'PTA-Lo'!O13,""),IF(ISBLANK('PTA-Mid'!O13)=FALSE,'PTA-Mid'!O13,"")))</f>
        <v>1.27</v>
      </c>
      <c r="P13" s="1924">
        <f>IF(CostScenario="Higher cost",IF(ISBLANK('PTA-Hi'!P13)=FALSE,'PTA-Hi'!P13,""),IF(CostScenario="Lower cost",IF(ISBLANK('PTA-Lo'!P13)=FALSE,'PTA-Lo'!P13,""),IF(ISBLANK('PTA-Mid'!P13)=FALSE,'PTA-Mid'!P13,"")))</f>
        <v>1.27</v>
      </c>
      <c r="Q13" s="3008">
        <f>IF(CostScenario="Higher cost",IF(ISBLANK('PTA-Hi'!Q13)=FALSE,'PTA-Hi'!Q13,""),IF(CostScenario="Lower cost",IF(ISBLANK('PTA-Lo'!Q13)=FALSE,'PTA-Lo'!Q13,""),IF(ISBLANK('PTA-Mid'!Q13)=FALSE,'PTA-Mid'!Q13,"")))</f>
        <v>1.27</v>
      </c>
      <c r="R13" s="3008">
        <f>IF(CostScenario="Higher cost",IF(ISBLANK('PTA-Hi'!R13)=FALSE,'PTA-Hi'!R13,""),IF(CostScenario="Lower cost",IF(ISBLANK('PTA-Lo'!R13)=FALSE,'PTA-Lo'!R13,""),IF(ISBLANK('PTA-Mid'!R13)=FALSE,'PTA-Mid'!R13,"")))</f>
        <v>1.27</v>
      </c>
      <c r="S13" s="3008">
        <f>IF(CostScenario="Higher cost",IF(ISBLANK('PTA-Hi'!S13)=FALSE,'PTA-Hi'!S13,""),IF(CostScenario="Lower cost",IF(ISBLANK('PTA-Lo'!S13)=FALSE,'PTA-Lo'!S13,""),IF(ISBLANK('PTA-Mid'!S13)=FALSE,'PTA-Mid'!S13,"")))</f>
        <v>1.27</v>
      </c>
      <c r="T13" s="3008">
        <f>IF(CostScenario="Higher cost",IF(ISBLANK('PTA-Hi'!T13)=FALSE,'PTA-Hi'!T13,""),IF(CostScenario="Lower cost",IF(ISBLANK('PTA-Lo'!T13)=FALSE,'PTA-Lo'!T13,""),IF(ISBLANK('PTA-Mid'!T13)=FALSE,'PTA-Mid'!T13,"")))</f>
        <v>1.27</v>
      </c>
      <c r="U13" s="2997">
        <f>IF(CostScenario="Higher cost",IF(ISBLANK('PTA-Hi'!U13)=FALSE,'PTA-Hi'!U13,""),IF(CostScenario="Lower cost",IF(ISBLANK('PTA-Lo'!U13)=FALSE,'PTA-Lo'!U13,""),IF(ISBLANK('PTA-Mid'!U13)=FALSE,'PTA-Mid'!U13,"")))</f>
        <v>1.27</v>
      </c>
      <c r="V13" s="2997">
        <f>IF(CostScenario="Higher cost",IF(ISBLANK('PTA-Hi'!V13)=FALSE,'PTA-Hi'!V13,""),IF(CostScenario="Lower cost",IF(ISBLANK('PTA-Lo'!V13)=FALSE,'PTA-Lo'!V13,""),IF(ISBLANK('PTA-Mid'!V13)=FALSE,'PTA-Mid'!V13,"")))</f>
        <v>1.27</v>
      </c>
      <c r="W13" s="142"/>
      <c r="X13" s="2335"/>
    </row>
    <row r="14" spans="1:121" s="28" customFormat="1">
      <c r="A14" s="2989" t="s">
        <v>799</v>
      </c>
      <c r="B14" s="2990" t="s">
        <v>686</v>
      </c>
      <c r="C14" s="2991" t="s">
        <v>1772</v>
      </c>
      <c r="D14" s="1538">
        <f>IF(CostScenario="Higher cost",IF(ISBLANK('PTA-Hi'!D14)=FALSE,'PTA-Hi'!D14,""),IF(CostScenario="Lower cost",IF(ISBLANK('PTA-Lo'!D14)=FALSE,'PTA-Lo'!D14,""),IF(ISBLANK('PTA-Mid'!D14)=FALSE,'PTA-Mid'!D14,"")))</f>
        <v>10</v>
      </c>
      <c r="E14" s="1538">
        <f>IF(CostScenario="Higher cost",IF(ISBLANK('PTA-Hi'!E14)=FALSE,'PTA-Hi'!E14,""),IF(CostScenario="Lower cost",IF(ISBLANK('PTA-Lo'!E14)=FALSE,'PTA-Lo'!E14,""),IF(ISBLANK('PTA-Mid'!E14)=FALSE,'PTA-Mid'!E14,"")))</f>
        <v>10</v>
      </c>
      <c r="F14" s="1538">
        <f>IF(CostScenario="Higher cost",IF(ISBLANK('PTA-Hi'!F14)=FALSE,'PTA-Hi'!F14,""),IF(CostScenario="Lower cost",IF(ISBLANK('PTA-Lo'!F14)=FALSE,'PTA-Lo'!F14,""),IF(ISBLANK('PTA-Mid'!F14)=FALSE,'PTA-Mid'!F14,"")))</f>
        <v>10</v>
      </c>
      <c r="G14" s="1538">
        <f>IF(CostScenario="Higher cost",IF(ISBLANK('PTA-Hi'!G14)=FALSE,'PTA-Hi'!G14,""),IF(CostScenario="Lower cost",IF(ISBLANK('PTA-Lo'!G14)=FALSE,'PTA-Lo'!G14,""),IF(ISBLANK('PTA-Mid'!G14)=FALSE,'PTA-Mid'!G14,"")))</f>
        <v>10</v>
      </c>
      <c r="H14" s="1538">
        <f>IF(CostScenario="Higher cost",IF(ISBLANK('PTA-Hi'!H14)=FALSE,'PTA-Hi'!H14,""),IF(CostScenario="Lower cost",IF(ISBLANK('PTA-Lo'!H14)=FALSE,'PTA-Lo'!H14,""),IF(ISBLANK('PTA-Mid'!H14)=FALSE,'PTA-Mid'!H14,"")))</f>
        <v>10</v>
      </c>
      <c r="I14" s="1538">
        <f>IF(CostScenario="Higher cost",IF(ISBLANK('PTA-Hi'!I14)=FALSE,'PTA-Hi'!I14,""),IF(CostScenario="Lower cost",IF(ISBLANK('PTA-Lo'!I14)=FALSE,'PTA-Lo'!I14,""),IF(ISBLANK('PTA-Mid'!I14)=FALSE,'PTA-Mid'!I14,"")))</f>
        <v>20</v>
      </c>
      <c r="J14" s="1538">
        <f>IF(CostScenario="Higher cost",IF(ISBLANK('PTA-Hi'!J14)=FALSE,'PTA-Hi'!J14,""),IF(CostScenario="Lower cost",IF(ISBLANK('PTA-Lo'!J14)=FALSE,'PTA-Lo'!J14,""),IF(ISBLANK('PTA-Mid'!J14)=FALSE,'PTA-Mid'!J14,"")))</f>
        <v>20</v>
      </c>
      <c r="K14" s="1538">
        <f>IF(CostScenario="Higher cost",IF(ISBLANK('PTA-Hi'!K14)=FALSE,'PTA-Hi'!K14,""),IF(CostScenario="Lower cost",IF(ISBLANK('PTA-Lo'!K14)=FALSE,'PTA-Lo'!K14,""),IF(ISBLANK('PTA-Mid'!K14)=FALSE,'PTA-Mid'!K14,"")))</f>
        <v>20</v>
      </c>
      <c r="L14" s="1538">
        <f>IF(CostScenario="Higher cost",IF(ISBLANK('PTA-Hi'!L14)=FALSE,'PTA-Hi'!L14,""),IF(CostScenario="Lower cost",IF(ISBLANK('PTA-Lo'!L14)=FALSE,'PTA-Lo'!L14,""),IF(ISBLANK('PTA-Mid'!L14)=FALSE,'PTA-Mid'!L14,"")))</f>
        <v>20</v>
      </c>
      <c r="M14" s="1538">
        <f>IF(CostScenario="Higher cost",IF(ISBLANK('PTA-Hi'!M14)=FALSE,'PTA-Hi'!M14,""),IF(CostScenario="Lower cost",IF(ISBLANK('PTA-Lo'!M14)=FALSE,'PTA-Lo'!M14,""),IF(ISBLANK('PTA-Mid'!M14)=FALSE,'PTA-Mid'!M14,"")))</f>
        <v>20</v>
      </c>
      <c r="N14" s="1538">
        <f>IF(CostScenario="Higher cost",IF(ISBLANK('PTA-Hi'!N14)=FALSE,'PTA-Hi'!N14,""),IF(CostScenario="Lower cost",IF(ISBLANK('PTA-Lo'!N14)=FALSE,'PTA-Lo'!N14,""),IF(ISBLANK('PTA-Mid'!N14)=FALSE,'PTA-Mid'!N14,"")))</f>
        <v>20</v>
      </c>
      <c r="O14" s="1538">
        <f>IF(CostScenario="Higher cost",IF(ISBLANK('PTA-Hi'!O14)=FALSE,'PTA-Hi'!O14,""),IF(CostScenario="Lower cost",IF(ISBLANK('PTA-Lo'!O14)=FALSE,'PTA-Lo'!O14,""),IF(ISBLANK('PTA-Mid'!O14)=FALSE,'PTA-Mid'!O14,"")))</f>
        <v>20</v>
      </c>
      <c r="P14" s="1538">
        <f>IF(CostScenario="Higher cost",IF(ISBLANK('PTA-Hi'!P14)=FALSE,'PTA-Hi'!P14,""),IF(CostScenario="Lower cost",IF(ISBLANK('PTA-Lo'!P14)=FALSE,'PTA-Lo'!P14,""),IF(ISBLANK('PTA-Mid'!P14)=FALSE,'PTA-Mid'!P14,"")))</f>
        <v>20</v>
      </c>
      <c r="Q14" s="1538">
        <f>IF(CostScenario="Higher cost",IF(ISBLANK('PTA-Hi'!Q14)=FALSE,'PTA-Hi'!Q14,""),IF(CostScenario="Lower cost",IF(ISBLANK('PTA-Lo'!Q14)=FALSE,'PTA-Lo'!Q14,""),IF(ISBLANK('PTA-Mid'!Q14)=FALSE,'PTA-Mid'!Q14,"")))</f>
        <v>20</v>
      </c>
      <c r="R14" s="1538">
        <f>IF(CostScenario="Higher cost",IF(ISBLANK('PTA-Hi'!R14)=FALSE,'PTA-Hi'!R14,""),IF(CostScenario="Lower cost",IF(ISBLANK('PTA-Lo'!R14)=FALSE,'PTA-Lo'!R14,""),IF(ISBLANK('PTA-Mid'!R14)=FALSE,'PTA-Mid'!R14,"")))</f>
        <v>20</v>
      </c>
      <c r="S14" s="1538">
        <f>IF(CostScenario="Higher cost",IF(ISBLANK('PTA-Hi'!S14)=FALSE,'PTA-Hi'!S14,""),IF(CostScenario="Lower cost",IF(ISBLANK('PTA-Lo'!S14)=FALSE,'PTA-Lo'!S14,""),IF(ISBLANK('PTA-Mid'!S14)=FALSE,'PTA-Mid'!S14,"")))</f>
        <v>20</v>
      </c>
      <c r="T14" s="1538">
        <f>IF(CostScenario="Higher cost",IF(ISBLANK('PTA-Hi'!T14)=FALSE,'PTA-Hi'!T14,""),IF(CostScenario="Lower cost",IF(ISBLANK('PTA-Lo'!T14)=FALSE,'PTA-Lo'!T14,""),IF(ISBLANK('PTA-Mid'!T14)=FALSE,'PTA-Mid'!T14,"")))</f>
        <v>20</v>
      </c>
      <c r="U14" s="1538">
        <f>IF(CostScenario="Higher cost",IF(ISBLANK('PTA-Hi'!U14)=FALSE,'PTA-Hi'!U14,""),IF(CostScenario="Lower cost",IF(ISBLANK('PTA-Lo'!U14)=FALSE,'PTA-Lo'!U14,""),IF(ISBLANK('PTA-Mid'!U14)=FALSE,'PTA-Mid'!U14,"")))</f>
        <v>20</v>
      </c>
      <c r="V14" s="1538">
        <f>IF(CostScenario="Higher cost",IF(ISBLANK('PTA-Hi'!V14)=FALSE,'PTA-Hi'!V14,""),IF(CostScenario="Lower cost",IF(ISBLANK('PTA-Lo'!V14)=FALSE,'PTA-Lo'!V14,""),IF(ISBLANK('PTA-Mid'!V14)=FALSE,'PTA-Mid'!V14,"")))</f>
        <v>20</v>
      </c>
      <c r="W14" s="2335"/>
      <c r="X14" s="30"/>
    </row>
    <row r="15" spans="1:121" s="28" customFormat="1">
      <c r="A15" s="2986" t="s">
        <v>800</v>
      </c>
      <c r="B15" s="2987" t="s">
        <v>687</v>
      </c>
      <c r="C15" s="2988" t="s">
        <v>115</v>
      </c>
      <c r="D15" s="30">
        <f>IF(CostScenario="Higher cost",IF(ISBLANK('PTA-Hi'!D15)=FALSE,'PTA-Hi'!D15,""),IF(CostScenario="Lower cost",IF(ISBLANK('PTA-Lo'!D15)=FALSE,'PTA-Lo'!D15,""),IF(ISBLANK('PTA-Mid'!D15)=FALSE,'PTA-Mid'!D15,"")))</f>
        <v>30</v>
      </c>
      <c r="E15" s="30">
        <f>IF(CostScenario="Higher cost",IF(ISBLANK('PTA-Hi'!E15)=FALSE,'PTA-Hi'!E15,""),IF(CostScenario="Lower cost",IF(ISBLANK('PTA-Lo'!E15)=FALSE,'PTA-Lo'!E15,""),IF(ISBLANK('PTA-Mid'!E15)=FALSE,'PTA-Mid'!E15,"")))</f>
        <v>30</v>
      </c>
      <c r="F15" s="30">
        <f>IF(CostScenario="Higher cost",IF(ISBLANK('PTA-Hi'!F15)=FALSE,'PTA-Hi'!F15,""),IF(CostScenario="Lower cost",IF(ISBLANK('PTA-Lo'!F15)=FALSE,'PTA-Lo'!F15,""),IF(ISBLANK('PTA-Mid'!F15)=FALSE,'PTA-Mid'!F15,"")))</f>
        <v>30</v>
      </c>
      <c r="G15" s="30">
        <f>IF(CostScenario="Higher cost",IF(ISBLANK('PTA-Hi'!G15)=FALSE,'PTA-Hi'!G15,""),IF(CostScenario="Lower cost",IF(ISBLANK('PTA-Lo'!G15)=FALSE,'PTA-Lo'!G15,""),IF(ISBLANK('PTA-Mid'!G15)=FALSE,'PTA-Mid'!G15,"")))</f>
        <v>30</v>
      </c>
      <c r="H15" s="30">
        <f>IF(CostScenario="Higher cost",IF(ISBLANK('PTA-Hi'!H15)=FALSE,'PTA-Hi'!H15,""),IF(CostScenario="Lower cost",IF(ISBLANK('PTA-Lo'!H15)=FALSE,'PTA-Lo'!H15,""),IF(ISBLANK('PTA-Mid'!H15)=FALSE,'PTA-Mid'!H15,"")))</f>
        <v>30</v>
      </c>
      <c r="I15" s="30">
        <f>IF(CostScenario="Higher cost",IF(ISBLANK('PTA-Hi'!I15)=FALSE,'PTA-Hi'!I15,""),IF(CostScenario="Lower cost",IF(ISBLANK('PTA-Lo'!I15)=FALSE,'PTA-Lo'!I15,""),IF(ISBLANK('PTA-Mid'!I15)=FALSE,'PTA-Mid'!I15,"")))</f>
        <v>30</v>
      </c>
      <c r="J15" s="30">
        <f>IF(CostScenario="Higher cost",IF(ISBLANK('PTA-Hi'!J15)=FALSE,'PTA-Hi'!J15,""),IF(CostScenario="Lower cost",IF(ISBLANK('PTA-Lo'!J15)=FALSE,'PTA-Lo'!J15,""),IF(ISBLANK('PTA-Mid'!J15)=FALSE,'PTA-Mid'!J15,"")))</f>
        <v>30</v>
      </c>
      <c r="K15" s="30">
        <f>IF(CostScenario="Higher cost",IF(ISBLANK('PTA-Hi'!K15)=FALSE,'PTA-Hi'!K15,""),IF(CostScenario="Lower cost",IF(ISBLANK('PTA-Lo'!K15)=FALSE,'PTA-Lo'!K15,""),IF(ISBLANK('PTA-Mid'!K15)=FALSE,'PTA-Mid'!K15,"")))</f>
        <v>30</v>
      </c>
      <c r="L15" s="30">
        <f>IF(CostScenario="Higher cost",IF(ISBLANK('PTA-Hi'!L15)=FALSE,'PTA-Hi'!L15,""),IF(CostScenario="Lower cost",IF(ISBLANK('PTA-Lo'!L15)=FALSE,'PTA-Lo'!L15,""),IF(ISBLANK('PTA-Mid'!L15)=FALSE,'PTA-Mid'!L15,"")))</f>
        <v>30</v>
      </c>
      <c r="M15" s="30">
        <f>IF(CostScenario="Higher cost",IF(ISBLANK('PTA-Hi'!M15)=FALSE,'PTA-Hi'!M15,""),IF(CostScenario="Lower cost",IF(ISBLANK('PTA-Lo'!M15)=FALSE,'PTA-Lo'!M15,""),IF(ISBLANK('PTA-Mid'!M15)=FALSE,'PTA-Mid'!M15,"")))</f>
        <v>30</v>
      </c>
      <c r="N15" s="2335">
        <f>IF(CostScenario="Higher cost",IF(ISBLANK('PTA-Hi'!N15)=FALSE,'PTA-Hi'!N15,""),IF(CostScenario="Lower cost",IF(ISBLANK('PTA-Lo'!N15)=FALSE,'PTA-Lo'!N15,""),IF(ISBLANK('PTA-Mid'!N15)=FALSE,'PTA-Mid'!N15,"")))</f>
        <v>30</v>
      </c>
      <c r="O15" s="2335">
        <f>IF(CostScenario="Higher cost",IF(ISBLANK('PTA-Hi'!O15)=FALSE,'PTA-Hi'!O15,""),IF(CostScenario="Lower cost",IF(ISBLANK('PTA-Lo'!O15)=FALSE,'PTA-Lo'!O15,""),IF(ISBLANK('PTA-Mid'!O15)=FALSE,'PTA-Mid'!O15,"")))</f>
        <v>30</v>
      </c>
      <c r="P15" s="2335">
        <f>IF(CostScenario="Higher cost",IF(ISBLANK('PTA-Hi'!P15)=FALSE,'PTA-Hi'!P15,""),IF(CostScenario="Lower cost",IF(ISBLANK('PTA-Lo'!P15)=FALSE,'PTA-Lo'!P15,""),IF(ISBLANK('PTA-Mid'!P15)=FALSE,'PTA-Mid'!P15,"")))</f>
        <v>30</v>
      </c>
      <c r="Q15" s="2335">
        <f>IF(CostScenario="Higher cost",IF(ISBLANK('PTA-Hi'!Q15)=FALSE,'PTA-Hi'!Q15,""),IF(CostScenario="Lower cost",IF(ISBLANK('PTA-Lo'!Q15)=FALSE,'PTA-Lo'!Q15,""),IF(ISBLANK('PTA-Mid'!Q15)=FALSE,'PTA-Mid'!Q15,"")))</f>
        <v>30</v>
      </c>
      <c r="R15" s="30">
        <f>IF(CostScenario="Higher cost",IF(ISBLANK('PTA-Hi'!R15)=FALSE,'PTA-Hi'!R15,""),IF(CostScenario="Lower cost",IF(ISBLANK('PTA-Lo'!R15)=FALSE,'PTA-Lo'!R15,""),IF(ISBLANK('PTA-Mid'!R15)=FALSE,'PTA-Mid'!R15,"")))</f>
        <v>30</v>
      </c>
      <c r="S15" s="2335">
        <f>IF(CostScenario="Higher cost",IF(ISBLANK('PTA-Hi'!S15)=FALSE,'PTA-Hi'!S15,""),IF(CostScenario="Lower cost",IF(ISBLANK('PTA-Lo'!S15)=FALSE,'PTA-Lo'!S15,""),IF(ISBLANK('PTA-Mid'!S15)=FALSE,'PTA-Mid'!S15,"")))</f>
        <v>30</v>
      </c>
      <c r="T15" s="2335">
        <f>IF(CostScenario="Higher cost",IF(ISBLANK('PTA-Hi'!T15)=FALSE,'PTA-Hi'!T15,""),IF(CostScenario="Lower cost",IF(ISBLANK('PTA-Lo'!T15)=FALSE,'PTA-Lo'!T15,""),IF(ISBLANK('PTA-Mid'!T15)=FALSE,'PTA-Mid'!T15,"")))</f>
        <v>30</v>
      </c>
      <c r="U15" s="30">
        <f>IF(CostScenario="Higher cost",IF(ISBLANK('PTA-Hi'!U15)=FALSE,'PTA-Hi'!U15,""),IF(CostScenario="Lower cost",IF(ISBLANK('PTA-Lo'!U15)=FALSE,'PTA-Lo'!U15,""),IF(ISBLANK('PTA-Mid'!U15)=FALSE,'PTA-Mid'!U15,"")))</f>
        <v>30</v>
      </c>
      <c r="V15" s="30">
        <f>IF(CostScenario="Higher cost",IF(ISBLANK('PTA-Hi'!V15)=FALSE,'PTA-Hi'!V15,""),IF(CostScenario="Lower cost",IF(ISBLANK('PTA-Lo'!V15)=FALSE,'PTA-Lo'!V15,""),IF(ISBLANK('PTA-Mid'!V15)=FALSE,'PTA-Mid'!V15,"")))</f>
        <v>30</v>
      </c>
      <c r="W15" s="2335"/>
      <c r="X15" s="30"/>
    </row>
    <row r="16" spans="1:121" s="28" customFormat="1">
      <c r="A16" s="2986" t="s">
        <v>801</v>
      </c>
      <c r="B16" s="2987" t="s">
        <v>688</v>
      </c>
      <c r="C16" s="2988" t="s">
        <v>1287</v>
      </c>
      <c r="D16" s="30">
        <f>IF(CostScenario="Higher cost",IF(ISBLANK('PTA-Hi'!D16)=FALSE,'PTA-Hi'!D16,""),IF(CostScenario="Lower cost",IF(ISBLANK('PTA-Lo'!D16)=FALSE,'PTA-Lo'!D16,""),IF(ISBLANK('PTA-Mid'!D16)=FALSE,'PTA-Mid'!D16,"")))</f>
        <v>15</v>
      </c>
      <c r="E16" s="30">
        <f>IF(CostScenario="Higher cost",IF(ISBLANK('PTA-Hi'!E16)=FALSE,'PTA-Hi'!E16,""),IF(CostScenario="Lower cost",IF(ISBLANK('PTA-Lo'!E16)=FALSE,'PTA-Lo'!E16,""),IF(ISBLANK('PTA-Mid'!E16)=FALSE,'PTA-Mid'!E16,"")))</f>
        <v>15</v>
      </c>
      <c r="F16" s="30">
        <f>IF(CostScenario="Higher cost",IF(ISBLANK('PTA-Hi'!F16)=FALSE,'PTA-Hi'!F16,""),IF(CostScenario="Lower cost",IF(ISBLANK('PTA-Lo'!F16)=FALSE,'PTA-Lo'!F16,""),IF(ISBLANK('PTA-Mid'!F16)=FALSE,'PTA-Mid'!F16,"")))</f>
        <v>15</v>
      </c>
      <c r="G16" s="30">
        <f>IF(CostScenario="Higher cost",IF(ISBLANK('PTA-Hi'!G16)=FALSE,'PTA-Hi'!G16,""),IF(CostScenario="Lower cost",IF(ISBLANK('PTA-Lo'!G16)=FALSE,'PTA-Lo'!G16,""),IF(ISBLANK('PTA-Mid'!G16)=FALSE,'PTA-Mid'!G16,"")))</f>
        <v>20</v>
      </c>
      <c r="H16" s="30">
        <f>IF(CostScenario="Higher cost",IF(ISBLANK('PTA-Hi'!H16)=FALSE,'PTA-Hi'!H16,""),IF(CostScenario="Lower cost",IF(ISBLANK('PTA-Lo'!H16)=FALSE,'PTA-Lo'!H16,""),IF(ISBLANK('PTA-Mid'!H16)=FALSE,'PTA-Mid'!H16,"")))</f>
        <v>20</v>
      </c>
      <c r="I16" s="30">
        <f>IF(CostScenario="Higher cost",IF(ISBLANK('PTA-Hi'!I16)=FALSE,'PTA-Hi'!I16,""),IF(CostScenario="Lower cost",IF(ISBLANK('PTA-Lo'!I16)=FALSE,'PTA-Lo'!I16,""),IF(ISBLANK('PTA-Mid'!I16)=FALSE,'PTA-Mid'!I16,"")))</f>
        <v>5</v>
      </c>
      <c r="J16" s="30">
        <f>IF(CostScenario="Higher cost",IF(ISBLANK('PTA-Hi'!J16)=FALSE,'PTA-Hi'!J16,""),IF(CostScenario="Lower cost",IF(ISBLANK('PTA-Lo'!J16)=FALSE,'PTA-Lo'!J16,""),IF(ISBLANK('PTA-Mid'!J16)=FALSE,'PTA-Mid'!J16,"")))</f>
        <v>5</v>
      </c>
      <c r="K16" s="30">
        <f>IF(CostScenario="Higher cost",IF(ISBLANK('PTA-Hi'!K16)=FALSE,'PTA-Hi'!K16,""),IF(CostScenario="Lower cost",IF(ISBLANK('PTA-Lo'!K16)=FALSE,'PTA-Lo'!K16,""),IF(ISBLANK('PTA-Mid'!K16)=FALSE,'PTA-Mid'!K16,"")))</f>
        <v>5</v>
      </c>
      <c r="L16" s="30">
        <f>IF(CostScenario="Higher cost",IF(ISBLANK('PTA-Hi'!L16)=FALSE,'PTA-Hi'!L16,""),IF(CostScenario="Lower cost",IF(ISBLANK('PTA-Lo'!L16)=FALSE,'PTA-Lo'!L16,""),IF(ISBLANK('PTA-Mid'!L16)=FALSE,'PTA-Mid'!L16,"")))</f>
        <v>5</v>
      </c>
      <c r="M16" s="30">
        <f>IF(CostScenario="Higher cost",IF(ISBLANK('PTA-Hi'!M16)=FALSE,'PTA-Hi'!M16,""),IF(CostScenario="Lower cost",IF(ISBLANK('PTA-Lo'!M16)=FALSE,'PTA-Lo'!M16,""),IF(ISBLANK('PTA-Mid'!M16)=FALSE,'PTA-Mid'!M16,"")))</f>
        <v>5</v>
      </c>
      <c r="N16" s="2335">
        <f>IF(CostScenario="Higher cost",IF(ISBLANK('PTA-Hi'!N16)=FALSE,'PTA-Hi'!N16,""),IF(CostScenario="Lower cost",IF(ISBLANK('PTA-Lo'!N16)=FALSE,'PTA-Lo'!N16,""),IF(ISBLANK('PTA-Mid'!N16)=FALSE,'PTA-Mid'!N16,"")))</f>
        <v>5</v>
      </c>
      <c r="O16" s="2335">
        <f>IF(CostScenario="Higher cost",IF(ISBLANK('PTA-Hi'!O16)=FALSE,'PTA-Hi'!O16,""),IF(CostScenario="Lower cost",IF(ISBLANK('PTA-Lo'!O16)=FALSE,'PTA-Lo'!O16,""),IF(ISBLANK('PTA-Mid'!O16)=FALSE,'PTA-Mid'!O16,"")))</f>
        <v>5</v>
      </c>
      <c r="P16" s="2335">
        <f>IF(CostScenario="Higher cost",IF(ISBLANK('PTA-Hi'!P16)=FALSE,'PTA-Hi'!P16,""),IF(CostScenario="Lower cost",IF(ISBLANK('PTA-Lo'!P16)=FALSE,'PTA-Lo'!P16,""),IF(ISBLANK('PTA-Mid'!P16)=FALSE,'PTA-Mid'!P16,"")))</f>
        <v>5</v>
      </c>
      <c r="Q16" s="2335">
        <f>IF(CostScenario="Higher cost",IF(ISBLANK('PTA-Hi'!Q16)=FALSE,'PTA-Hi'!Q16,""),IF(CostScenario="Lower cost",IF(ISBLANK('PTA-Lo'!Q16)=FALSE,'PTA-Lo'!Q16,""),IF(ISBLANK('PTA-Mid'!Q16)=FALSE,'PTA-Mid'!Q16,"")))</f>
        <v>5</v>
      </c>
      <c r="R16" s="30">
        <f>IF(CostScenario="Higher cost",IF(ISBLANK('PTA-Hi'!R16)=FALSE,'PTA-Hi'!R16,""),IF(CostScenario="Lower cost",IF(ISBLANK('PTA-Lo'!R16)=FALSE,'PTA-Lo'!R16,""),IF(ISBLANK('PTA-Mid'!R16)=FALSE,'PTA-Mid'!R16,"")))</f>
        <v>5</v>
      </c>
      <c r="S16" s="2335">
        <f>IF(CostScenario="Higher cost",IF(ISBLANK('PTA-Hi'!S16)=FALSE,'PTA-Hi'!S16,""),IF(CostScenario="Lower cost",IF(ISBLANK('PTA-Lo'!S16)=FALSE,'PTA-Lo'!S16,""),IF(ISBLANK('PTA-Mid'!S16)=FALSE,'PTA-Mid'!S16,"")))</f>
        <v>5</v>
      </c>
      <c r="T16" s="2335">
        <f>IF(CostScenario="Higher cost",IF(ISBLANK('PTA-Hi'!T16)=FALSE,'PTA-Hi'!T16,""),IF(CostScenario="Lower cost",IF(ISBLANK('PTA-Lo'!T16)=FALSE,'PTA-Lo'!T16,""),IF(ISBLANK('PTA-Mid'!T16)=FALSE,'PTA-Mid'!T16,"")))</f>
        <v>5</v>
      </c>
      <c r="U16" s="30">
        <f>IF(CostScenario="Higher cost",IF(ISBLANK('PTA-Hi'!U16)=FALSE,'PTA-Hi'!U16,""),IF(CostScenario="Lower cost",IF(ISBLANK('PTA-Lo'!U16)=FALSE,'PTA-Lo'!U16,""),IF(ISBLANK('PTA-Mid'!U16)=FALSE,'PTA-Mid'!U16,"")))</f>
        <v>5</v>
      </c>
      <c r="V16" s="30">
        <f>IF(CostScenario="Higher cost",IF(ISBLANK('PTA-Hi'!V16)=FALSE,'PTA-Hi'!V16,""),IF(CostScenario="Lower cost",IF(ISBLANK('PTA-Lo'!V16)=FALSE,'PTA-Lo'!V16,""),IF(ISBLANK('PTA-Mid'!V16)=FALSE,'PTA-Mid'!V16,"")))</f>
        <v>5</v>
      </c>
      <c r="W16" s="2335"/>
      <c r="X16" s="30"/>
    </row>
    <row r="17" spans="1:27" s="28" customFormat="1">
      <c r="A17" s="2986" t="s">
        <v>802</v>
      </c>
      <c r="B17" s="2987" t="s">
        <v>689</v>
      </c>
      <c r="C17" s="2988" t="s">
        <v>1288</v>
      </c>
      <c r="D17" s="30">
        <f>IF(CostScenario="Higher cost",IF(ISBLANK('PTA-Hi'!D17)=FALSE,'PTA-Hi'!D17,""),IF(CostScenario="Lower cost",IF(ISBLANK('PTA-Lo'!D17)=FALSE,'PTA-Lo'!D17,""),IF(ISBLANK('PTA-Mid'!D17)=FALSE,'PTA-Mid'!D17,"")))</f>
        <v>15</v>
      </c>
      <c r="E17" s="30">
        <f>IF(CostScenario="Higher cost",IF(ISBLANK('PTA-Hi'!E17)=FALSE,'PTA-Hi'!E17,""),IF(CostScenario="Lower cost",IF(ISBLANK('PTA-Lo'!E17)=FALSE,'PTA-Lo'!E17,""),IF(ISBLANK('PTA-Mid'!E17)=FALSE,'PTA-Mid'!E17,"")))</f>
        <v>15</v>
      </c>
      <c r="F17" s="30">
        <f>IF(CostScenario="Higher cost",IF(ISBLANK('PTA-Hi'!F17)=FALSE,'PTA-Hi'!F17,""),IF(CostScenario="Lower cost",IF(ISBLANK('PTA-Lo'!F17)=FALSE,'PTA-Lo'!F17,""),IF(ISBLANK('PTA-Mid'!F17)=FALSE,'PTA-Mid'!F17,"")))</f>
        <v>15</v>
      </c>
      <c r="G17" s="30">
        <f>IF(CostScenario="Higher cost",IF(ISBLANK('PTA-Hi'!G17)=FALSE,'PTA-Hi'!G17,""),IF(CostScenario="Lower cost",IF(ISBLANK('PTA-Lo'!G17)=FALSE,'PTA-Lo'!G17,""),IF(ISBLANK('PTA-Mid'!G17)=FALSE,'PTA-Mid'!G17,"")))</f>
        <v>20</v>
      </c>
      <c r="H17" s="30">
        <f>IF(CostScenario="Higher cost",IF(ISBLANK('PTA-Hi'!H17)=FALSE,'PTA-Hi'!H17,""),IF(CostScenario="Lower cost",IF(ISBLANK('PTA-Lo'!H17)=FALSE,'PTA-Lo'!H17,""),IF(ISBLANK('PTA-Mid'!H17)=FALSE,'PTA-Mid'!H17,"")))</f>
        <v>20</v>
      </c>
      <c r="I17" s="30">
        <f>IF(CostScenario="Higher cost",IF(ISBLANK('PTA-Hi'!I17)=FALSE,'PTA-Hi'!I17,""),IF(CostScenario="Lower cost",IF(ISBLANK('PTA-Lo'!I17)=FALSE,'PTA-Lo'!I17,""),IF(ISBLANK('PTA-Mid'!I17)=FALSE,'PTA-Mid'!I17,"")))</f>
        <v>20</v>
      </c>
      <c r="J17" s="30">
        <f>IF(CostScenario="Higher cost",IF(ISBLANK('PTA-Hi'!J17)=FALSE,'PTA-Hi'!J17,""),IF(CostScenario="Lower cost",IF(ISBLANK('PTA-Lo'!J17)=FALSE,'PTA-Lo'!J17,""),IF(ISBLANK('PTA-Mid'!J17)=FALSE,'PTA-Mid'!J17,"")))</f>
        <v>20</v>
      </c>
      <c r="K17" s="30">
        <f>IF(CostScenario="Higher cost",IF(ISBLANK('PTA-Hi'!K17)=FALSE,'PTA-Hi'!K17,""),IF(CostScenario="Lower cost",IF(ISBLANK('PTA-Lo'!K17)=FALSE,'PTA-Lo'!K17,""),IF(ISBLANK('PTA-Mid'!K17)=FALSE,'PTA-Mid'!K17,"")))</f>
        <v>20</v>
      </c>
      <c r="L17" s="30">
        <f>IF(CostScenario="Higher cost",IF(ISBLANK('PTA-Hi'!L17)=FALSE,'PTA-Hi'!L17,""),IF(CostScenario="Lower cost",IF(ISBLANK('PTA-Lo'!L17)=FALSE,'PTA-Lo'!L17,""),IF(ISBLANK('PTA-Mid'!L17)=FALSE,'PTA-Mid'!L17,"")))</f>
        <v>20</v>
      </c>
      <c r="M17" s="30">
        <f>IF(CostScenario="Higher cost",IF(ISBLANK('PTA-Hi'!M17)=FALSE,'PTA-Hi'!M17,""),IF(CostScenario="Lower cost",IF(ISBLANK('PTA-Lo'!M17)=FALSE,'PTA-Lo'!M17,""),IF(ISBLANK('PTA-Mid'!M17)=FALSE,'PTA-Mid'!M17,"")))</f>
        <v>20</v>
      </c>
      <c r="N17" s="2335">
        <f>IF(CostScenario="Higher cost",IF(ISBLANK('PTA-Hi'!N17)=FALSE,'PTA-Hi'!N17,""),IF(CostScenario="Lower cost",IF(ISBLANK('PTA-Lo'!N17)=FALSE,'PTA-Lo'!N17,""),IF(ISBLANK('PTA-Mid'!N17)=FALSE,'PTA-Mid'!N17,"")))</f>
        <v>20</v>
      </c>
      <c r="O17" s="2335">
        <f>IF(CostScenario="Higher cost",IF(ISBLANK('PTA-Hi'!O17)=FALSE,'PTA-Hi'!O17,""),IF(CostScenario="Lower cost",IF(ISBLANK('PTA-Lo'!O17)=FALSE,'PTA-Lo'!O17,""),IF(ISBLANK('PTA-Mid'!O17)=FALSE,'PTA-Mid'!O17,"")))</f>
        <v>20</v>
      </c>
      <c r="P17" s="2335">
        <f>IF(CostScenario="Higher cost",IF(ISBLANK('PTA-Hi'!P17)=FALSE,'PTA-Hi'!P17,""),IF(CostScenario="Lower cost",IF(ISBLANK('PTA-Lo'!P17)=FALSE,'PTA-Lo'!P17,""),IF(ISBLANK('PTA-Mid'!P17)=FALSE,'PTA-Mid'!P17,"")))</f>
        <v>20</v>
      </c>
      <c r="Q17" s="2335">
        <f>IF(CostScenario="Higher cost",IF(ISBLANK('PTA-Hi'!Q17)=FALSE,'PTA-Hi'!Q17,""),IF(CostScenario="Lower cost",IF(ISBLANK('PTA-Lo'!Q17)=FALSE,'PTA-Lo'!Q17,""),IF(ISBLANK('PTA-Mid'!Q17)=FALSE,'PTA-Mid'!Q17,"")))</f>
        <v>20</v>
      </c>
      <c r="R17" s="30">
        <f>IF(CostScenario="Higher cost",IF(ISBLANK('PTA-Hi'!R17)=FALSE,'PTA-Hi'!R17,""),IF(CostScenario="Lower cost",IF(ISBLANK('PTA-Lo'!R17)=FALSE,'PTA-Lo'!R17,""),IF(ISBLANK('PTA-Mid'!R17)=FALSE,'PTA-Mid'!R17,"")))</f>
        <v>20</v>
      </c>
      <c r="S17" s="2335">
        <f>IF(CostScenario="Higher cost",IF(ISBLANK('PTA-Hi'!S17)=FALSE,'PTA-Hi'!S17,""),IF(CostScenario="Lower cost",IF(ISBLANK('PTA-Lo'!S17)=FALSE,'PTA-Lo'!S17,""),IF(ISBLANK('PTA-Mid'!S17)=FALSE,'PTA-Mid'!S17,"")))</f>
        <v>20</v>
      </c>
      <c r="T17" s="2335">
        <f>IF(CostScenario="Higher cost",IF(ISBLANK('PTA-Hi'!T17)=FALSE,'PTA-Hi'!T17,""),IF(CostScenario="Lower cost",IF(ISBLANK('PTA-Lo'!T17)=FALSE,'PTA-Lo'!T17,""),IF(ISBLANK('PTA-Mid'!T17)=FALSE,'PTA-Mid'!T17,"")))</f>
        <v>20</v>
      </c>
      <c r="U17" s="30">
        <f>IF(CostScenario="Higher cost",IF(ISBLANK('PTA-Hi'!U17)=FALSE,'PTA-Hi'!U17,""),IF(CostScenario="Lower cost",IF(ISBLANK('PTA-Lo'!U17)=FALSE,'PTA-Lo'!U17,""),IF(ISBLANK('PTA-Mid'!U17)=FALSE,'PTA-Mid'!U17,"")))</f>
        <v>30</v>
      </c>
      <c r="V17" s="30">
        <f>IF(CostScenario="Higher cost",IF(ISBLANK('PTA-Hi'!V17)=FALSE,'PTA-Hi'!V17,""),IF(CostScenario="Lower cost",IF(ISBLANK('PTA-Lo'!V17)=FALSE,'PTA-Lo'!V17,""),IF(ISBLANK('PTA-Mid'!V17)=FALSE,'PTA-Mid'!V17,"")))</f>
        <v>30</v>
      </c>
      <c r="W17" s="2335"/>
      <c r="X17" s="30"/>
    </row>
    <row r="18" spans="1:27" s="28" customFormat="1">
      <c r="A18" s="216"/>
      <c r="C18" s="86" t="s">
        <v>1284</v>
      </c>
      <c r="D18" s="30"/>
      <c r="E18" s="30"/>
      <c r="F18" s="30"/>
      <c r="G18" s="201"/>
      <c r="H18" s="245"/>
      <c r="I18" s="30"/>
      <c r="J18" s="30"/>
      <c r="K18" s="30"/>
      <c r="L18" s="30"/>
      <c r="M18" s="30"/>
      <c r="N18" s="2335"/>
      <c r="O18" s="2335"/>
      <c r="P18" s="2335"/>
      <c r="Q18" s="2335"/>
      <c r="R18" s="30"/>
      <c r="S18" s="2335"/>
      <c r="T18" s="2335"/>
      <c r="U18" s="30"/>
      <c r="V18" s="30"/>
      <c r="W18" s="2335"/>
      <c r="X18" s="30"/>
    </row>
    <row r="19" spans="1:27" s="28" customFormat="1">
      <c r="A19" s="1010" t="s">
        <v>391</v>
      </c>
      <c r="B19" s="1008" t="s">
        <v>690</v>
      </c>
      <c r="C19" s="1011" t="s">
        <v>1271</v>
      </c>
      <c r="D19" s="30">
        <f>IF(CostScenario="Higher cost",IF(ISBLANK('PTA-Hi'!D19)=FALSE,'PTA-Hi'!D19,""),IF(CostScenario="Lower cost",IF(ISBLANK('PTA-Lo'!D19)=FALSE,'PTA-Lo'!D19,""),IF(ISBLANK('PTA-Mid'!D19)=FALSE,'PTA-Mid'!D19,"")))</f>
        <v>10585</v>
      </c>
      <c r="E19" s="30">
        <f>IF(CostScenario="Higher cost",IF(ISBLANK('PTA-Hi'!E19)=FALSE,'PTA-Hi'!E19,""),IF(CostScenario="Lower cost",IF(ISBLANK('PTA-Lo'!E19)=FALSE,'PTA-Lo'!E19,""),IF(ISBLANK('PTA-Mid'!E19)=FALSE,'PTA-Mid'!E19,"")))</f>
        <v>10585</v>
      </c>
      <c r="F19" s="30">
        <f>IF(CostScenario="Higher cost",IF(ISBLANK('PTA-Hi'!F19)=FALSE,'PTA-Hi'!F19,""),IF(CostScenario="Lower cost",IF(ISBLANK('PTA-Lo'!F19)=FALSE,'PTA-Lo'!F19,""),IF(ISBLANK('PTA-Mid'!F19)=FALSE,'PTA-Mid'!F19,"")))</f>
        <v>9880</v>
      </c>
      <c r="G19" s="30">
        <f>IF(CostScenario="Higher cost",IF(ISBLANK('PTA-Hi'!G19)=FALSE,'PTA-Hi'!G19,""),IF(CostScenario="Lower cost",IF(ISBLANK('PTA-Lo'!G19)=FALSE,'PTA-Lo'!G19,""),IF(ISBLANK('PTA-Mid'!G19)=FALSE,'PTA-Mid'!G19,"")))</f>
        <v>7250</v>
      </c>
      <c r="H19" s="30">
        <f>IF(CostScenario="Higher cost",IF(ISBLANK('PTA-Hi'!H19)=FALSE,'PTA-Hi'!H19,""),IF(CostScenario="Lower cost",IF(ISBLANK('PTA-Lo'!H19)=FALSE,'PTA-Lo'!H19,""),IF(ISBLANK('PTA-Mid'!H19)=FALSE,'PTA-Mid'!H19,"")))</f>
        <v>7250</v>
      </c>
      <c r="I19" s="1914">
        <f>IF(CostScenario="Higher cost",IF(ISBLANK('PTA-Hi'!I19)=FALSE,'PTA-Hi'!I19,""),IF(CostScenario="Lower cost",IF(ISBLANK('PTA-Lo'!I19)=FALSE,'PTA-Lo'!I19,""),IF(ISBLANK('PTA-Mid'!I19)=FALSE,'PTA-Mid'!I19,"")))</f>
        <v>14500</v>
      </c>
      <c r="J19" s="30">
        <f>IF(CostScenario="Higher cost",IF(ISBLANK('PTA-Hi'!J19)=FALSE,'PTA-Hi'!J19,""),IF(CostScenario="Lower cost",IF(ISBLANK('PTA-Lo'!J19)=FALSE,'PTA-Lo'!J19,""),IF(ISBLANK('PTA-Mid'!J19)=FALSE,'PTA-Mid'!J19,"")))</f>
        <v>34376.5</v>
      </c>
      <c r="K19" s="30">
        <f>IF(CostScenario="Higher cost",IF(ISBLANK('PTA-Hi'!K19)=FALSE,'PTA-Hi'!K19,""),IF(CostScenario="Lower cost",IF(ISBLANK('PTA-Lo'!K19)=FALSE,'PTA-Lo'!K19,""),IF(ISBLANK('PTA-Mid'!K19)=FALSE,'PTA-Mid'!K19,"")))</f>
        <v>34376.5</v>
      </c>
      <c r="L19" s="30" t="str">
        <f>IF(CostScenario="Higher cost",IF(ISBLANK('PTA-Hi'!L19)=FALSE,'PTA-Hi'!L19,""),IF(CostScenario="Lower cost",IF(ISBLANK('PTA-Lo'!L19)=FALSE,'PTA-Lo'!L19,""),IF(ISBLANK('PTA-Mid'!L19)=FALSE,'PTA-Mid'!L19,"")))</f>
        <v/>
      </c>
      <c r="M19" s="30" t="str">
        <f>IF(CostScenario="Higher cost",IF(ISBLANK('PTA-Hi'!M19)=FALSE,'PTA-Hi'!M19,""),IF(CostScenario="Lower cost",IF(ISBLANK('PTA-Lo'!M19)=FALSE,'PTA-Lo'!M19,""),IF(ISBLANK('PTA-Mid'!M19)=FALSE,'PTA-Mid'!M19,"")))</f>
        <v/>
      </c>
      <c r="N19" s="2335" t="str">
        <f>IF(CostScenario="Higher cost",IF(ISBLANK('PTA-Hi'!N19)=FALSE,'PTA-Hi'!N19,""),IF(CostScenario="Lower cost",IF(ISBLANK('PTA-Lo'!N19)=FALSE,'PTA-Lo'!N19,""),IF(ISBLANK('PTA-Mid'!N19)=FALSE,'PTA-Mid'!N19,"")))</f>
        <v/>
      </c>
      <c r="O19" s="2335" t="str">
        <f>IF(CostScenario="Higher cost",IF(ISBLANK('PTA-Hi'!O19)=FALSE,'PTA-Hi'!O19,""),IF(CostScenario="Lower cost",IF(ISBLANK('PTA-Lo'!O19)=FALSE,'PTA-Lo'!O19,""),IF(ISBLANK('PTA-Mid'!O19)=FALSE,'PTA-Mid'!O19,"")))</f>
        <v/>
      </c>
      <c r="P19" s="2335" t="str">
        <f>IF(CostScenario="Higher cost",IF(ISBLANK('PTA-Hi'!Q19)=FALSE,'PTA-Hi'!Q19,""),IF(CostScenario="Lower cost",IF(ISBLANK('PTA-Lo'!Q19)=FALSE,'PTA-Lo'!Q19,""),IF(ISBLANK('PTA-Mid'!Q19)=FALSE,'PTA-Mid'!Q19,"")))</f>
        <v/>
      </c>
      <c r="Q19" s="2335" t="str">
        <f>IF(CostScenario="Higher cost",IF(ISBLANK('PTA-Hi'!Q19)=FALSE,'PTA-Hi'!Q19,""),IF(CostScenario="Lower cost",IF(ISBLANK('PTA-Lo'!Q19)=FALSE,'PTA-Lo'!Q19,""),IF(ISBLANK('PTA-Mid'!Q19)=FALSE,'PTA-Mid'!Q19,"")))</f>
        <v/>
      </c>
      <c r="R19" s="30" t="str">
        <f>IF(CostScenario="Higher cost",IF(ISBLANK('PTA-Hi'!R19)=FALSE,'PTA-Hi'!R19,""),IF(CostScenario="Lower cost",IF(ISBLANK('PTA-Lo'!R19)=FALSE,'PTA-Lo'!R19,""),IF(ISBLANK('PTA-Mid'!R19)=FALSE,'PTA-Mid'!R19,"")))</f>
        <v/>
      </c>
      <c r="S19" s="2335" t="str">
        <f>IF(CostScenario="Higher cost",IF(ISBLANK('PTA-Hi'!S19)=FALSE,'PTA-Hi'!S19,""),IF(CostScenario="Lower cost",IF(ISBLANK('PTA-Lo'!S19)=FALSE,'PTA-Lo'!S19,""),IF(ISBLANK('PTA-Mid'!S19)=FALSE,'PTA-Mid'!S19,"")))</f>
        <v/>
      </c>
      <c r="T19" s="2335" t="str">
        <f>IF(CostScenario="Higher cost",IF(ISBLANK('PTA-Hi'!T19)=FALSE,'PTA-Hi'!T19,""),IF(CostScenario="Lower cost",IF(ISBLANK('PTA-Lo'!T19)=FALSE,'PTA-Lo'!T19,""),IF(ISBLANK('PTA-Mid'!T19)=FALSE,'PTA-Mid'!T19,"")))</f>
        <v/>
      </c>
      <c r="U19" s="30" t="str">
        <f>IF(CostScenario="Higher cost",IF(ISBLANK('PTA-Hi'!U19)=FALSE,'PTA-Hi'!U19,""),IF(CostScenario="Lower cost",IF(ISBLANK('PTA-Lo'!U19)=FALSE,'PTA-Lo'!U19,""),IF(ISBLANK('PTA-Mid'!U19)=FALSE,'PTA-Mid'!U19,"")))</f>
        <v/>
      </c>
      <c r="V19" s="30" t="str">
        <f>IF(CostScenario="Higher cost",IF(ISBLANK('PTA-Hi'!V19)=FALSE,'PTA-Hi'!V19,""),IF(CostScenario="Lower cost",IF(ISBLANK('PTA-Lo'!V19)=FALSE,'PTA-Lo'!V19,""),IF(ISBLANK('PTA-Mid'!V19)=FALSE,'PTA-Mid'!V19,"")))</f>
        <v/>
      </c>
      <c r="W19" s="2335"/>
      <c r="X19" s="30"/>
      <c r="Z19" s="30"/>
      <c r="AA19" s="30"/>
    </row>
    <row r="20" spans="1:27" s="28" customFormat="1">
      <c r="A20" s="1007" t="s">
        <v>803</v>
      </c>
      <c r="B20" s="1008" t="s">
        <v>691</v>
      </c>
      <c r="C20" s="1011" t="s">
        <v>1369</v>
      </c>
      <c r="D20" s="2225">
        <f>IF(CostScenario="Higher cost",IF(ISBLANK('PTA-Hi'!D20)=FALSE,'PTA-Hi'!D20,""),IF(CostScenario="Lower cost",IF(ISBLANK('PTA-Lo'!D20)=FALSE,'PTA-Lo'!D20,""),IF(ISBLANK('PTA-Mid'!D20)=FALSE,'PTA-Mid'!D20,"")))</f>
        <v>139.72</v>
      </c>
      <c r="E20" s="2225">
        <f>IF(CostScenario="Higher cost",IF(ISBLANK('PTA-Hi'!E20)=FALSE,'PTA-Hi'!E20,""),IF(CostScenario="Lower cost",IF(ISBLANK('PTA-Lo'!E20)=FALSE,'PTA-Lo'!E20,""),IF(ISBLANK('PTA-Mid'!E20)=FALSE,'PTA-Mid'!E20,"")))</f>
        <v>280</v>
      </c>
      <c r="F20" s="2225">
        <f>IF(CostScenario="Higher cost",IF(ISBLANK('PTA-Hi'!F20)=FALSE,'PTA-Hi'!F20,""),IF(CostScenario="Lower cost",IF(ISBLANK('PTA-Lo'!F20)=FALSE,'PTA-Lo'!F20,""),IF(ISBLANK('PTA-Mid'!F20)=FALSE,'PTA-Mid'!F20,"")))</f>
        <v>560</v>
      </c>
      <c r="G20" s="2225">
        <f>IF(CostScenario="Higher cost",IF(ISBLANK('PTA-Hi'!G20)=FALSE,'PTA-Hi'!G20,""),IF(CostScenario="Lower cost",IF(ISBLANK('PTA-Lo'!G20)=FALSE,'PTA-Lo'!G20,""),IF(ISBLANK('PTA-Mid'!G20)=FALSE,'PTA-Mid'!G20,"")))</f>
        <v>1400</v>
      </c>
      <c r="H20" s="2225">
        <f>IF(CostScenario="Higher cost",IF(ISBLANK('PTA-Hi'!H20)=FALSE,'PTA-Hi'!H20,""),IF(CostScenario="Lower cost",IF(ISBLANK('PTA-Lo'!H20)=FALSE,'PTA-Lo'!H20,""),IF(ISBLANK('PTA-Mid'!H20)=FALSE,'PTA-Mid'!H20,"")))</f>
        <v>1540</v>
      </c>
      <c r="I20" s="30" t="str">
        <f>IF(CostScenario="Higher cost",IF(ISBLANK('PTA-Hi'!I20)=FALSE,'PTA-Hi'!I20,""),IF(CostScenario="Lower cost",IF(ISBLANK('PTA-Lo'!I20)=FALSE,'PTA-Lo'!I20,""),IF(ISBLANK('PTA-Mid'!I20)=FALSE,'PTA-Mid'!I20,"")))</f>
        <v/>
      </c>
      <c r="J20" s="30" t="str">
        <f>IF(CostScenario="Higher cost",IF(ISBLANK('PTA-Hi'!J20)=FALSE,'PTA-Hi'!J20,""),IF(CostScenario="Lower cost",IF(ISBLANK('PTA-Lo'!J20)=FALSE,'PTA-Lo'!J20,""),IF(ISBLANK('PTA-Mid'!J20)=FALSE,'PTA-Mid'!J20,"")))</f>
        <v/>
      </c>
      <c r="K20" s="30" t="str">
        <f>IF(CostScenario="Higher cost",IF(ISBLANK('PTA-Hi'!K20)=FALSE,'PTA-Hi'!K20,""),IF(CostScenario="Lower cost",IF(ISBLANK('PTA-Lo'!K20)=FALSE,'PTA-Lo'!K20,""),IF(ISBLANK('PTA-Mid'!K20)=FALSE,'PTA-Mid'!K20,"")))</f>
        <v/>
      </c>
      <c r="L20" s="30" t="str">
        <f>IF(CostScenario="Higher cost",IF(ISBLANK('PTA-Hi'!L20)=FALSE,'PTA-Hi'!L20,""),IF(CostScenario="Lower cost",IF(ISBLANK('PTA-Lo'!L20)=FALSE,'PTA-Lo'!L20,""),IF(ISBLANK('PTA-Mid'!L20)=FALSE,'PTA-Mid'!L20,"")))</f>
        <v/>
      </c>
      <c r="M20" s="30" t="str">
        <f>IF(CostScenario="Higher cost",IF(ISBLANK('PTA-Hi'!M20)=FALSE,'PTA-Hi'!M20,""),IF(CostScenario="Lower cost",IF(ISBLANK('PTA-Lo'!M20)=FALSE,'PTA-Lo'!M20,""),IF(ISBLANK('PTA-Mid'!M20)=FALSE,'PTA-Mid'!M20,"")))</f>
        <v/>
      </c>
      <c r="N20" s="2335" t="str">
        <f>IF(CostScenario="Higher cost",IF(ISBLANK('PTA-Hi'!N20)=FALSE,'PTA-Hi'!N20,""),IF(CostScenario="Lower cost",IF(ISBLANK('PTA-Lo'!N20)=FALSE,'PTA-Lo'!N20,""),IF(ISBLANK('PTA-Mid'!N20)=FALSE,'PTA-Mid'!N20,"")))</f>
        <v/>
      </c>
      <c r="O20" s="2335" t="str">
        <f>IF(CostScenario="Higher cost",IF(ISBLANK('PTA-Hi'!O20)=FALSE,'PTA-Hi'!O20,""),IF(CostScenario="Lower cost",IF(ISBLANK('PTA-Lo'!O20)=FALSE,'PTA-Lo'!O20,""),IF(ISBLANK('PTA-Mid'!O20)=FALSE,'PTA-Mid'!O20,"")))</f>
        <v/>
      </c>
      <c r="P20" s="2335" t="str">
        <f>IF(CostScenario="Higher cost",IF(ISBLANK('PTA-Hi'!Q20)=FALSE,'PTA-Hi'!Q20,""),IF(CostScenario="Lower cost",IF(ISBLANK('PTA-Lo'!Q20)=FALSE,'PTA-Lo'!Q20,""),IF(ISBLANK('PTA-Mid'!Q20)=FALSE,'PTA-Mid'!Q20,"")))</f>
        <v/>
      </c>
      <c r="Q20" s="2335" t="str">
        <f>IF(CostScenario="Higher cost",IF(ISBLANK('PTA-Hi'!Q20)=FALSE,'PTA-Hi'!Q20,""),IF(CostScenario="Lower cost",IF(ISBLANK('PTA-Lo'!Q20)=FALSE,'PTA-Lo'!Q20,""),IF(ISBLANK('PTA-Mid'!Q20)=FALSE,'PTA-Mid'!Q20,"")))</f>
        <v/>
      </c>
      <c r="R20" s="30" t="str">
        <f>IF(CostScenario="Higher cost",IF(ISBLANK('PTA-Hi'!R20)=FALSE,'PTA-Hi'!R20,""),IF(CostScenario="Lower cost",IF(ISBLANK('PTA-Lo'!R20)=FALSE,'PTA-Lo'!R20,""),IF(ISBLANK('PTA-Mid'!R20)=FALSE,'PTA-Mid'!R20,"")))</f>
        <v/>
      </c>
      <c r="S20" s="2335" t="str">
        <f>IF(CostScenario="Higher cost",IF(ISBLANK('PTA-Hi'!S20)=FALSE,'PTA-Hi'!S20,""),IF(CostScenario="Lower cost",IF(ISBLANK('PTA-Lo'!S20)=FALSE,'PTA-Lo'!S20,""),IF(ISBLANK('PTA-Mid'!S20)=FALSE,'PTA-Mid'!S20,"")))</f>
        <v/>
      </c>
      <c r="T20" s="2335" t="str">
        <f>IF(CostScenario="Higher cost",IF(ISBLANK('PTA-Hi'!T20)=FALSE,'PTA-Hi'!T20,""),IF(CostScenario="Lower cost",IF(ISBLANK('PTA-Lo'!T20)=FALSE,'PTA-Lo'!T20,""),IF(ISBLANK('PTA-Mid'!T20)=FALSE,'PTA-Mid'!T20,"")))</f>
        <v/>
      </c>
      <c r="U20" s="30" t="str">
        <f>IF(CostScenario="Higher cost",IF(ISBLANK('PTA-Hi'!U20)=FALSE,'PTA-Hi'!U20,""),IF(CostScenario="Lower cost",IF(ISBLANK('PTA-Lo'!U20)=FALSE,'PTA-Lo'!U20,""),IF(ISBLANK('PTA-Mid'!U20)=FALSE,'PTA-Mid'!U20,"")))</f>
        <v/>
      </c>
      <c r="V20" s="30" t="str">
        <f>IF(CostScenario="Higher cost",IF(ISBLANK('PTA-Hi'!V20)=FALSE,'PTA-Hi'!V20,""),IF(CostScenario="Lower cost",IF(ISBLANK('PTA-Lo'!V20)=FALSE,'PTA-Lo'!V20,""),IF(ISBLANK('PTA-Mid'!V20)=FALSE,'PTA-Mid'!V20,"")))</f>
        <v/>
      </c>
      <c r="W20" s="2335"/>
      <c r="X20" s="30"/>
      <c r="Z20" s="30"/>
      <c r="AA20" s="30"/>
    </row>
    <row r="21" spans="1:27" s="7" customFormat="1">
      <c r="A21" s="1007" t="s">
        <v>804</v>
      </c>
      <c r="B21" s="1012" t="s">
        <v>692</v>
      </c>
      <c r="C21" s="1011" t="s">
        <v>1371</v>
      </c>
      <c r="D21" s="2225">
        <f>IF(CostScenario="Higher cost",IF(ISBLANK('PTA-Hi'!D21)=FALSE,'PTA-Hi'!D21,""),IF(CostScenario="Lower cost",IF(ISBLANK('PTA-Lo'!D21)=FALSE,'PTA-Lo'!D21,""),IF(ISBLANK('PTA-Mid'!D21)=FALSE,'PTA-Mid'!D21,"")))</f>
        <v>120</v>
      </c>
      <c r="E21" s="2225">
        <f>IF(CostScenario="Higher cost",IF(ISBLANK('PTA-Hi'!E21)=FALSE,'PTA-Hi'!E21,""),IF(CostScenario="Lower cost",IF(ISBLANK('PTA-Lo'!E21)=FALSE,'PTA-Lo'!E21,""),IF(ISBLANK('PTA-Mid'!E21)=FALSE,'PTA-Mid'!E21,"")))</f>
        <v>120</v>
      </c>
      <c r="F21" s="2225">
        <f>IF(CostScenario="Higher cost",IF(ISBLANK('PTA-Hi'!F21)=FALSE,'PTA-Hi'!F21,""),IF(CostScenario="Lower cost",IF(ISBLANK('PTA-Lo'!F21)=FALSE,'PTA-Lo'!F21,""),IF(ISBLANK('PTA-Mid'!F21)=FALSE,'PTA-Mid'!F21,"")))</f>
        <v>120</v>
      </c>
      <c r="G21" s="2225">
        <f>IF(CostScenario="Higher cost",IF(ISBLANK('PTA-Hi'!G21)=FALSE,'PTA-Hi'!G21,""),IF(CostScenario="Lower cost",IF(ISBLANK('PTA-Lo'!G21)=FALSE,'PTA-Lo'!G21,""),IF(ISBLANK('PTA-Mid'!G21)=FALSE,'PTA-Mid'!G21,"")))</f>
        <v>25</v>
      </c>
      <c r="H21" s="2225">
        <f>IF(CostScenario="Higher cost",IF(ISBLANK('PTA-Hi'!H21)=FALSE,'PTA-Hi'!H21,""),IF(CostScenario="Lower cost",IF(ISBLANK('PTA-Lo'!H21)=FALSE,'PTA-Lo'!H21,""),IF(ISBLANK('PTA-Mid'!H21)=FALSE,'PTA-Mid'!H21,"")))</f>
        <v>25</v>
      </c>
      <c r="I21" s="30" t="str">
        <f>IF(CostScenario="Higher cost",IF(ISBLANK('PTA-Hi'!I21)=FALSE,'PTA-Hi'!I21,""),IF(CostScenario="Lower cost",IF(ISBLANK('PTA-Lo'!I21)=FALSE,'PTA-Lo'!I21,""),IF(ISBLANK('PTA-Mid'!I21)=FALSE,'PTA-Mid'!I21,"")))</f>
        <v/>
      </c>
      <c r="J21" s="30" t="str">
        <f>IF(CostScenario="Higher cost",IF(ISBLANK('PTA-Hi'!J21)=FALSE,'PTA-Hi'!J21,""),IF(CostScenario="Lower cost",IF(ISBLANK('PTA-Lo'!J21)=FALSE,'PTA-Lo'!J21,""),IF(ISBLANK('PTA-Mid'!J21)=FALSE,'PTA-Mid'!J21,"")))</f>
        <v/>
      </c>
      <c r="K21" s="30" t="str">
        <f>IF(CostScenario="Higher cost",IF(ISBLANK('PTA-Hi'!K21)=FALSE,'PTA-Hi'!K21,""),IF(CostScenario="Lower cost",IF(ISBLANK('PTA-Lo'!K21)=FALSE,'PTA-Lo'!K21,""),IF(ISBLANK('PTA-Mid'!K21)=FALSE,'PTA-Mid'!K21,"")))</f>
        <v/>
      </c>
      <c r="L21" s="30" t="str">
        <f>IF(CostScenario="Higher cost",IF(ISBLANK('PTA-Hi'!L21)=FALSE,'PTA-Hi'!L21,""),IF(CostScenario="Lower cost",IF(ISBLANK('PTA-Lo'!L21)=FALSE,'PTA-Lo'!L21,""),IF(ISBLANK('PTA-Mid'!L21)=FALSE,'PTA-Mid'!L21,"")))</f>
        <v/>
      </c>
      <c r="M21" s="30" t="str">
        <f>IF(CostScenario="Higher cost",IF(ISBLANK('PTA-Hi'!M21)=FALSE,'PTA-Hi'!M21,""),IF(CostScenario="Lower cost",IF(ISBLANK('PTA-Lo'!M21)=FALSE,'PTA-Lo'!M21,""),IF(ISBLANK('PTA-Mid'!M21)=FALSE,'PTA-Mid'!M21,"")))</f>
        <v/>
      </c>
      <c r="N21" s="2335" t="str">
        <f>IF(CostScenario="Higher cost",IF(ISBLANK('PTA-Hi'!N21)=FALSE,'PTA-Hi'!N21,""),IF(CostScenario="Lower cost",IF(ISBLANK('PTA-Lo'!N21)=FALSE,'PTA-Lo'!N21,""),IF(ISBLANK('PTA-Mid'!N21)=FALSE,'PTA-Mid'!N21,"")))</f>
        <v/>
      </c>
      <c r="O21" s="2335" t="str">
        <f>IF(CostScenario="Higher cost",IF(ISBLANK('PTA-Hi'!O21)=FALSE,'PTA-Hi'!O21,""),IF(CostScenario="Lower cost",IF(ISBLANK('PTA-Lo'!O21)=FALSE,'PTA-Lo'!O21,""),IF(ISBLANK('PTA-Mid'!O21)=FALSE,'PTA-Mid'!O21,"")))</f>
        <v/>
      </c>
      <c r="P21" s="2335" t="str">
        <f>IF(CostScenario="Higher cost",IF(ISBLANK('PTA-Hi'!Q21)=FALSE,'PTA-Hi'!Q21,""),IF(CostScenario="Lower cost",IF(ISBLANK('PTA-Lo'!Q21)=FALSE,'PTA-Lo'!Q21,""),IF(ISBLANK('PTA-Mid'!Q21)=FALSE,'PTA-Mid'!Q21,"")))</f>
        <v/>
      </c>
      <c r="Q21" s="2335" t="str">
        <f>IF(CostScenario="Higher cost",IF(ISBLANK('PTA-Hi'!Q21)=FALSE,'PTA-Hi'!Q21,""),IF(CostScenario="Lower cost",IF(ISBLANK('PTA-Lo'!Q21)=FALSE,'PTA-Lo'!Q21,""),IF(ISBLANK('PTA-Mid'!Q21)=FALSE,'PTA-Mid'!Q21,"")))</f>
        <v/>
      </c>
      <c r="R21" s="30" t="str">
        <f>IF(CostScenario="Higher cost",IF(ISBLANK('PTA-Hi'!R21)=FALSE,'PTA-Hi'!R21,""),IF(CostScenario="Lower cost",IF(ISBLANK('PTA-Lo'!R21)=FALSE,'PTA-Lo'!R21,""),IF(ISBLANK('PTA-Mid'!R21)=FALSE,'PTA-Mid'!R21,"")))</f>
        <v/>
      </c>
      <c r="S21" s="2335" t="str">
        <f>IF(CostScenario="Higher cost",IF(ISBLANK('PTA-Hi'!S21)=FALSE,'PTA-Hi'!S21,""),IF(CostScenario="Lower cost",IF(ISBLANK('PTA-Lo'!S21)=FALSE,'PTA-Lo'!S21,""),IF(ISBLANK('PTA-Mid'!S21)=FALSE,'PTA-Mid'!S21,"")))</f>
        <v/>
      </c>
      <c r="T21" s="2335" t="str">
        <f>IF(CostScenario="Higher cost",IF(ISBLANK('PTA-Hi'!T21)=FALSE,'PTA-Hi'!T21,""),IF(CostScenario="Lower cost",IF(ISBLANK('PTA-Lo'!T21)=FALSE,'PTA-Lo'!T21,""),IF(ISBLANK('PTA-Mid'!T21)=FALSE,'PTA-Mid'!T21,"")))</f>
        <v/>
      </c>
      <c r="U21" s="30" t="str">
        <f>IF(CostScenario="Higher cost",IF(ISBLANK('PTA-Hi'!U21)=FALSE,'PTA-Hi'!U21,""),IF(CostScenario="Lower cost",IF(ISBLANK('PTA-Lo'!U21)=FALSE,'PTA-Lo'!U21,""),IF(ISBLANK('PTA-Mid'!U21)=FALSE,'PTA-Mid'!U21,"")))</f>
        <v/>
      </c>
      <c r="V21" s="30" t="str">
        <f>IF(CostScenario="Higher cost",IF(ISBLANK('PTA-Hi'!V21)=FALSE,'PTA-Hi'!V21,""),IF(CostScenario="Lower cost",IF(ISBLANK('PTA-Lo'!V21)=FALSE,'PTA-Lo'!V21,""),IF(ISBLANK('PTA-Mid'!V21)=FALSE,'PTA-Mid'!V21,"")))</f>
        <v/>
      </c>
      <c r="W21" s="2335"/>
      <c r="X21" s="30"/>
      <c r="Z21" s="30"/>
      <c r="AA21" s="30"/>
    </row>
    <row r="22" spans="1:27" s="7" customFormat="1">
      <c r="A22" s="1007" t="s">
        <v>1008</v>
      </c>
      <c r="B22" s="1012"/>
      <c r="C22" s="1011" t="s">
        <v>1331</v>
      </c>
      <c r="D22" s="142">
        <f>IF(CostScenario="Higher cost",IF(ISBLANK('PTA-Hi'!D22)=FALSE,'PTA-Hi'!D22,""),IF(CostScenario="Lower cost",IF(ISBLANK('PTA-Lo'!D22)=FALSE,'PTA-Lo'!D22,""),IF(ISBLANK('PTA-Mid'!D22)=FALSE,'PTA-Mid'!D22,"")))</f>
        <v>5.5000000000000003E-4</v>
      </c>
      <c r="E22" s="142">
        <f>IF(CostScenario="Higher cost",IF(ISBLANK('PTA-Hi'!E22)=FALSE,'PTA-Hi'!E22,""),IF(CostScenario="Lower cost",IF(ISBLANK('PTA-Lo'!E22)=FALSE,'PTA-Lo'!E22,""),IF(ISBLANK('PTA-Mid'!E22)=FALSE,'PTA-Mid'!E22,"")))</f>
        <v>5.5000000000000003E-4</v>
      </c>
      <c r="F22" s="142">
        <f>IF(CostScenario="Higher cost",IF(ISBLANK('PTA-Hi'!F22)=FALSE,'PTA-Hi'!F22,""),IF(CostScenario="Lower cost",IF(ISBLANK('PTA-Lo'!F22)=FALSE,'PTA-Lo'!F22,""),IF(ISBLANK('PTA-Mid'!F22)=FALSE,'PTA-Mid'!F22,"")))</f>
        <v>8.1999999999999998E-4</v>
      </c>
      <c r="G22" s="142">
        <f>IF(CostScenario="Higher cost",IF(ISBLANK('PTA-Hi'!G22)=FALSE,'PTA-Hi'!G22,""),IF(CostScenario="Lower cost",IF(ISBLANK('PTA-Lo'!G22)=FALSE,'PTA-Lo'!G22,""),IF(ISBLANK('PTA-Mid'!G22)=FALSE,'PTA-Mid'!G22,"")))</f>
        <v>1.7799999999999999E-3</v>
      </c>
      <c r="H22" s="142">
        <f>IF(CostScenario="Higher cost",IF(ISBLANK('PTA-Hi'!H22)=FALSE,'PTA-Hi'!H22,""),IF(CostScenario="Lower cost",IF(ISBLANK('PTA-Lo'!H22)=FALSE,'PTA-Lo'!H22,""),IF(ISBLANK('PTA-Mid'!H22)=FALSE,'PTA-Mid'!H22,"")))</f>
        <v>1.7799999999999999E-3</v>
      </c>
      <c r="I22" s="142">
        <f>IF(CostScenario="Higher cost",IF(ISBLANK('PTA-Hi'!I22)=FALSE,'PTA-Hi'!I22,""),IF(CostScenario="Lower cost",IF(ISBLANK('PTA-Lo'!I22)=FALSE,'PTA-Lo'!I22,""),IF(ISBLANK('PTA-Mid'!I22)=FALSE,'PTA-Mid'!I22,"")))</f>
        <v>1.5E-3</v>
      </c>
      <c r="J22" s="91">
        <f>IF(CostScenario="Higher cost",IF(ISBLANK('PTA-Hi'!J22)=FALSE,'PTA-Hi'!J22,""),IF(CostScenario="Lower cost",IF(ISBLANK('PTA-Lo'!J22)=FALSE,'PTA-Lo'!J22,""),IF(ISBLANK('PTA-Mid'!J22)=FALSE,'PTA-Mid'!J22,"")))</f>
        <v>0.03</v>
      </c>
      <c r="K22" s="91">
        <f>IF(CostScenario="Higher cost",IF(ISBLANK('PTA-Hi'!K22)=FALSE,'PTA-Hi'!K22,""),IF(CostScenario="Lower cost",IF(ISBLANK('PTA-Lo'!K22)=FALSE,'PTA-Lo'!K22,""),IF(ISBLANK('PTA-Mid'!K22)=FALSE,'PTA-Mid'!K22,"")))</f>
        <v>0.03</v>
      </c>
      <c r="L22" s="91">
        <f>IF(CostScenario="Higher cost",IF(ISBLANK('PTA-Hi'!L22)=FALSE,'PTA-Hi'!L22,""),IF(CostScenario="Lower cost",IF(ISBLANK('PTA-Lo'!L22)=FALSE,'PTA-Lo'!L22,""),IF(ISBLANK('PTA-Mid'!L22)=FALSE,'PTA-Mid'!L22,"")))</f>
        <v>0</v>
      </c>
      <c r="M22" s="91">
        <f>IF(CostScenario="Higher cost",IF(ISBLANK('PTA-Hi'!M22)=FALSE,'PTA-Hi'!M22,""),IF(CostScenario="Lower cost",IF(ISBLANK('PTA-Lo'!M22)=FALSE,'PTA-Lo'!M22,""),IF(ISBLANK('PTA-Mid'!M22)=FALSE,'PTA-Mid'!M22,"")))</f>
        <v>0</v>
      </c>
      <c r="N22" s="91">
        <f>IF(CostScenario="Higher cost",IF(ISBLANK('PTA-Hi'!N22)=FALSE,'PTA-Hi'!N22,""),IF(CostScenario="Lower cost",IF(ISBLANK('PTA-Lo'!N22)=FALSE,'PTA-Lo'!N22,""),IF(ISBLANK('PTA-Mid'!N22)=FALSE,'PTA-Mid'!N22,"")))</f>
        <v>0</v>
      </c>
      <c r="O22" s="91">
        <f>IF(CostScenario="Higher cost",IF(ISBLANK('PTA-Hi'!O22)=FALSE,'PTA-Hi'!O22,""),IF(CostScenario="Lower cost",IF(ISBLANK('PTA-Lo'!O22)=FALSE,'PTA-Lo'!O22,""),IF(ISBLANK('PTA-Mid'!O22)=FALSE,'PTA-Mid'!O22,"")))</f>
        <v>0</v>
      </c>
      <c r="P22" s="91">
        <f>IF(CostScenario="Higher cost",IF(ISBLANK('PTA-Hi'!P22)=FALSE,'PTA-Hi'!P22,""),IF(CostScenario="Lower cost",IF(ISBLANK('PTA-Lo'!P22)=FALSE,'PTA-Lo'!P22,""),IF(ISBLANK('PTA-Mid'!P22)=FALSE,'PTA-Mid'!P22,"")))</f>
        <v>0</v>
      </c>
      <c r="Q22" s="91">
        <f>IF(CostScenario="Higher cost",IF(ISBLANK('PTA-Hi'!Q22)=FALSE,'PTA-Hi'!Q22,""),IF(CostScenario="Lower cost",IF(ISBLANK('PTA-Lo'!Q22)=FALSE,'PTA-Lo'!Q22,""),IF(ISBLANK('PTA-Mid'!Q22)=FALSE,'PTA-Mid'!Q22,"")))</f>
        <v>0</v>
      </c>
      <c r="R22" s="91">
        <f>IF(CostScenario="Higher cost",IF(ISBLANK('PTA-Hi'!R22)=FALSE,'PTA-Hi'!R22,""),IF(CostScenario="Lower cost",IF(ISBLANK('PTA-Lo'!R22)=FALSE,'PTA-Lo'!R22,""),IF(ISBLANK('PTA-Mid'!R22)=FALSE,'PTA-Mid'!R22,"")))</f>
        <v>0</v>
      </c>
      <c r="S22" s="91">
        <f>IF(CostScenario="Higher cost",IF(ISBLANK('PTA-Hi'!S22)=FALSE,'PTA-Hi'!S22,""),IF(CostScenario="Lower cost",IF(ISBLANK('PTA-Lo'!S22)=FALSE,'PTA-Lo'!S22,""),IF(ISBLANK('PTA-Mid'!S22)=FALSE,'PTA-Mid'!S22,"")))</f>
        <v>0</v>
      </c>
      <c r="T22" s="91">
        <f>IF(CostScenario="Higher cost",IF(ISBLANK('PTA-Hi'!T22)=FALSE,'PTA-Hi'!T22,""),IF(CostScenario="Lower cost",IF(ISBLANK('PTA-Lo'!T22)=FALSE,'PTA-Lo'!T22,""),IF(ISBLANK('PTA-Mid'!T22)=FALSE,'PTA-Mid'!T22,"")))</f>
        <v>0</v>
      </c>
      <c r="U22" s="91">
        <f>IF(CostScenario="Higher cost",IF(ISBLANK('PTA-Hi'!U22)=FALSE,'PTA-Hi'!U22,""),IF(CostScenario="Lower cost",IF(ISBLANK('PTA-Lo'!U22)=FALSE,'PTA-Lo'!U22,""),IF(ISBLANK('PTA-Mid'!U22)=FALSE,'PTA-Mid'!U22,"")))</f>
        <v>0</v>
      </c>
      <c r="V22" s="91">
        <f>IF(CostScenario="Higher cost",IF(ISBLANK('PTA-Hi'!V22)=FALSE,'PTA-Hi'!V22,""),IF(CostScenario="Lower cost",IF(ISBLANK('PTA-Lo'!V22)=FALSE,'PTA-Lo'!V22,""),IF(ISBLANK('PTA-Mid'!V22)=FALSE,'PTA-Mid'!V22,"")))</f>
        <v>0</v>
      </c>
      <c r="W22" s="91"/>
      <c r="X22" s="142"/>
      <c r="Z22" s="30"/>
      <c r="AA22" s="30"/>
    </row>
    <row r="23" spans="1:27" s="7" customFormat="1">
      <c r="A23" s="216"/>
      <c r="B23" s="28"/>
      <c r="C23" s="86" t="s">
        <v>1291</v>
      </c>
      <c r="D23" s="30"/>
      <c r="E23" s="30"/>
      <c r="F23" s="30"/>
      <c r="G23" s="30"/>
      <c r="H23" s="30"/>
      <c r="I23" s="30"/>
      <c r="J23" s="30"/>
      <c r="K23" s="30"/>
      <c r="L23" s="30"/>
      <c r="M23" s="30"/>
      <c r="N23" s="2335"/>
      <c r="O23" s="2335"/>
      <c r="P23" s="2335"/>
      <c r="Q23" s="2335"/>
      <c r="R23" s="30"/>
      <c r="S23" s="2335"/>
      <c r="T23" s="2335"/>
      <c r="U23" s="30"/>
      <c r="V23" s="30"/>
      <c r="W23" s="2335"/>
      <c r="X23" s="30"/>
      <c r="Z23" s="30"/>
      <c r="AA23" s="30"/>
    </row>
    <row r="24" spans="1:27" s="7" customFormat="1">
      <c r="A24" s="907"/>
      <c r="B24" s="908"/>
      <c r="C24" s="904" t="s">
        <v>123</v>
      </c>
      <c r="D24" s="30"/>
      <c r="E24" s="30"/>
      <c r="F24" s="30"/>
      <c r="G24" s="30"/>
      <c r="H24" s="30"/>
      <c r="I24" s="30"/>
      <c r="J24" s="30"/>
      <c r="K24" s="30"/>
      <c r="L24" s="30"/>
      <c r="M24" s="30"/>
      <c r="N24" s="2335"/>
      <c r="O24" s="2335"/>
      <c r="P24" s="2335"/>
      <c r="Q24" s="2335"/>
      <c r="R24" s="30"/>
      <c r="S24" s="2335"/>
      <c r="T24" s="2335"/>
      <c r="U24" s="30"/>
      <c r="V24" s="30"/>
      <c r="W24" s="2335"/>
      <c r="X24" s="30"/>
      <c r="Z24" s="30"/>
      <c r="AA24" s="30"/>
    </row>
    <row r="25" spans="1:27" s="7" customFormat="1">
      <c r="A25" s="907" t="s">
        <v>805</v>
      </c>
      <c r="B25" s="909" t="s">
        <v>693</v>
      </c>
      <c r="C25" s="910" t="s">
        <v>423</v>
      </c>
      <c r="D25" s="48">
        <f>IF(CostScenario="Higher cost",IF(ISBLANK('PTA-Hi'!D25)=FALSE,'PTA-Hi'!D25,""),IF(CostScenario="Lower cost",IF(ISBLANK('PTA-Lo'!D25)=FALSE,'PTA-Lo'!D25,""),IF(ISBLANK('PTA-Mid'!D25)=FALSE,'PTA-Mid'!D25,"")))</f>
        <v>1</v>
      </c>
      <c r="E25" s="48">
        <f>IF(CostScenario="Higher cost",IF(ISBLANK('PTA-Hi'!E25)=FALSE,'PTA-Hi'!E25,""),IF(CostScenario="Lower cost",IF(ISBLANK('PTA-Lo'!E25)=FALSE,'PTA-Lo'!E25,""),IF(ISBLANK('PTA-Mid'!E25)=FALSE,'PTA-Mid'!E25,"")))</f>
        <v>1</v>
      </c>
      <c r="F25" s="48">
        <f>IF(CostScenario="Higher cost",IF(ISBLANK('PTA-Hi'!F25)=FALSE,'PTA-Hi'!F25,""),IF(CostScenario="Lower cost",IF(ISBLANK('PTA-Lo'!F25)=FALSE,'PTA-Lo'!F25,""),IF(ISBLANK('PTA-Mid'!F25)=FALSE,'PTA-Mid'!F25,"")))</f>
        <v>0.75</v>
      </c>
      <c r="G25" s="989">
        <f>IF(CostScenario="Higher cost",IF(ISBLANK('PTA-Hi'!G25)=FALSE,'PTA-Hi'!G25,""),IF(CostScenario="Lower cost",IF(ISBLANK('PTA-Lo'!G25)=FALSE,'PTA-Lo'!G25,""),IF(ISBLANK('PTA-Mid'!G25)=FALSE,'PTA-Mid'!G25,"")))</f>
        <v>0.75</v>
      </c>
      <c r="H25" s="989">
        <f>IF(CostScenario="Higher cost",IF(ISBLANK('PTA-Hi'!H25)=FALSE,'PTA-Hi'!H25,""),IF(CostScenario="Lower cost",IF(ISBLANK('PTA-Lo'!H25)=FALSE,'PTA-Lo'!H25,""),IF(ISBLANK('PTA-Mid'!H25)=FALSE,'PTA-Mid'!H25,"")))</f>
        <v>0.75</v>
      </c>
      <c r="I25" s="989">
        <f>IF(CostScenario="Higher cost",IF(ISBLANK('PTA-Hi'!I25)=FALSE,'PTA-Hi'!I25,""),IF(CostScenario="Lower cost",IF(ISBLANK('PTA-Lo'!I25)=FALSE,'PTA-Lo'!I25,""),IF(ISBLANK('PTA-Mid'!I25)=FALSE,'PTA-Mid'!I25,"")))</f>
        <v>0.5</v>
      </c>
      <c r="J25" s="989">
        <f>IF(CostScenario="Higher cost",IF(ISBLANK('PTA-Hi'!J25)=FALSE,'PTA-Hi'!J25,""),IF(CostScenario="Lower cost",IF(ISBLANK('PTA-Lo'!J25)=FALSE,'PTA-Lo'!J25,""),IF(ISBLANK('PTA-Mid'!J25)=FALSE,'PTA-Mid'!J25,"")))</f>
        <v>0.20406260907892176</v>
      </c>
      <c r="K25" s="989">
        <f>IF(CostScenario="Higher cost",IF(ISBLANK('PTA-Hi'!K25)=FALSE,'PTA-Hi'!K25,""),IF(CostScenario="Lower cost",IF(ISBLANK('PTA-Lo'!K25)=FALSE,'PTA-Lo'!K25,""),IF(ISBLANK('PTA-Mid'!K25)=FALSE,'PTA-Mid'!K25,"")))</f>
        <v>0.24265601841198373</v>
      </c>
      <c r="L25" s="989">
        <f>IF(CostScenario="Higher cost",IF(ISBLANK('PTA-Hi'!L25)=FALSE,'PTA-Hi'!L25,""),IF(CostScenario="Lower cost",IF(ISBLANK('PTA-Lo'!L25)=FALSE,'PTA-Lo'!L25,""),IF(ISBLANK('PTA-Mid'!L25)=FALSE,'PTA-Mid'!L25,"")))</f>
        <v>0.5</v>
      </c>
      <c r="M25" s="989">
        <f>IF(CostScenario="Higher cost",IF(ISBLANK('PTA-Hi'!M25)=FALSE,'PTA-Hi'!M25,""),IF(CostScenario="Lower cost",IF(ISBLANK('PTA-Lo'!M25)=FALSE,'PTA-Lo'!M25,""),IF(ISBLANK('PTA-Mid'!M25)=FALSE,'PTA-Mid'!M25,"")))</f>
        <v>0.5</v>
      </c>
      <c r="N25" s="989">
        <f>IF(CostScenario="Higher cost",IF(ISBLANK('PTA-Hi'!N25)=FALSE,'PTA-Hi'!N25,""),IF(CostScenario="Lower cost",IF(ISBLANK('PTA-Lo'!N25)=FALSE,'PTA-Lo'!N25,""),IF(ISBLANK('PTA-Mid'!N25)=FALSE,'PTA-Mid'!N25,"")))</f>
        <v>0.5</v>
      </c>
      <c r="O25" s="989">
        <f>IF(CostScenario="Higher cost",IF(ISBLANK('PTA-Hi'!O25)=FALSE,'PTA-Hi'!O25,""),IF(CostScenario="Lower cost",IF(ISBLANK('PTA-Lo'!O25)=FALSE,'PTA-Lo'!O25,""),IF(ISBLANK('PTA-Mid'!O25)=FALSE,'PTA-Mid'!O25,"")))</f>
        <v>0.5</v>
      </c>
      <c r="P25" s="989">
        <f>IF(CostScenario="Higher cost",IF(ISBLANK('PTA-Hi'!P25)=FALSE,'PTA-Hi'!P25,""),IF(CostScenario="Lower cost",IF(ISBLANK('PTA-Lo'!P25)=FALSE,'PTA-Lo'!P25,""),IF(ISBLANK('PTA-Mid'!P25)=FALSE,'PTA-Mid'!P25,"")))</f>
        <v>0.5</v>
      </c>
      <c r="Q25" s="989">
        <f>IF(CostScenario="Higher cost",IF(ISBLANK('PTA-Hi'!Q25)=FALSE,'PTA-Hi'!Q25,""),IF(CostScenario="Lower cost",IF(ISBLANK('PTA-Lo'!Q25)=FALSE,'PTA-Lo'!Q25,""),IF(ISBLANK('PTA-Mid'!Q25)=FALSE,'PTA-Mid'!Q25,"")))</f>
        <v>1</v>
      </c>
      <c r="R25" s="989">
        <f>IF(CostScenario="Higher cost",IF(ISBLANK('PTA-Hi'!R25)=FALSE,'PTA-Hi'!R25,""),IF(CostScenario="Lower cost",IF(ISBLANK('PTA-Lo'!R25)=FALSE,'PTA-Lo'!R25,""),IF(ISBLANK('PTA-Mid'!R25)=FALSE,'PTA-Mid'!R25,"")))</f>
        <v>1</v>
      </c>
      <c r="S25" s="989">
        <f>IF(CostScenario="Higher cost",IF(ISBLANK('PTA-Hi'!S25)=FALSE,'PTA-Hi'!S25,""),IF(CostScenario="Lower cost",IF(ISBLANK('PTA-Lo'!S25)=FALSE,'PTA-Lo'!S25,""),IF(ISBLANK('PTA-Mid'!S25)=FALSE,'PTA-Mid'!S25,"")))</f>
        <v>1</v>
      </c>
      <c r="T25" s="989">
        <f>IF(CostScenario="Higher cost",IF(ISBLANK('PTA-Hi'!T25)=FALSE,'PTA-Hi'!T25,""),IF(CostScenario="Lower cost",IF(ISBLANK('PTA-Lo'!T25)=FALSE,'PTA-Lo'!T25,""),IF(ISBLANK('PTA-Mid'!T25)=FALSE,'PTA-Mid'!T25,"")))</f>
        <v>1</v>
      </c>
      <c r="U25" s="1917">
        <f>IF(CostScenario="Higher cost",IF(ISBLANK('PTA-Hi'!U25)=FALSE,'PTA-Hi'!U25,""),IF(CostScenario="Lower cost",IF(ISBLANK('PTA-Lo'!U25)=FALSE,'PTA-Lo'!U25,""),IF(ISBLANK('PTA-Mid'!U25)=FALSE,'PTA-Mid'!U25,"")))</f>
        <v>0.95</v>
      </c>
      <c r="V25" s="1917">
        <f>IF(CostScenario="Higher cost",IF(ISBLANK('PTA-Hi'!V25)=FALSE,'PTA-Hi'!V25,""),IF(CostScenario="Lower cost",IF(ISBLANK('PTA-Lo'!V25)=FALSE,'PTA-Lo'!V25,""),IF(ISBLANK('PTA-Mid'!V25)=FALSE,'PTA-Mid'!V25,"")))</f>
        <v>0.95</v>
      </c>
      <c r="W25" s="1917"/>
      <c r="X25" s="989"/>
      <c r="Z25" s="30"/>
      <c r="AA25" s="30"/>
    </row>
    <row r="26" spans="1:27" s="7" customFormat="1">
      <c r="A26" s="907" t="s">
        <v>806</v>
      </c>
      <c r="B26" s="909" t="s">
        <v>694</v>
      </c>
      <c r="C26" s="910" t="s">
        <v>252</v>
      </c>
      <c r="D26" s="48">
        <f>IF(CostScenario="Higher cost",IF(ISBLANK('PTA-Hi'!D26)=FALSE,'PTA-Hi'!D26,""),IF(CostScenario="Lower cost",IF(ISBLANK('PTA-Lo'!D26)=FALSE,'PTA-Lo'!D26,""),IF(ISBLANK('PTA-Mid'!D26)=FALSE,'PTA-Mid'!D26,"")))</f>
        <v>0</v>
      </c>
      <c r="E26" s="48">
        <f>IF(CostScenario="Higher cost",IF(ISBLANK('PTA-Hi'!E26)=FALSE,'PTA-Hi'!E26,""),IF(CostScenario="Lower cost",IF(ISBLANK('PTA-Lo'!E26)=FALSE,'PTA-Lo'!E26,""),IF(ISBLANK('PTA-Mid'!E26)=FALSE,'PTA-Mid'!E26,"")))</f>
        <v>0</v>
      </c>
      <c r="F26" s="48">
        <f>IF(CostScenario="Higher cost",IF(ISBLANK('PTA-Hi'!F26)=FALSE,'PTA-Hi'!F26,""),IF(CostScenario="Lower cost",IF(ISBLANK('PTA-Lo'!F26)=FALSE,'PTA-Lo'!F26,""),IF(ISBLANK('PTA-Mid'!F26)=FALSE,'PTA-Mid'!F26,"")))</f>
        <v>0.25</v>
      </c>
      <c r="G26" s="989">
        <f>IF(CostScenario="Higher cost",IF(ISBLANK('PTA-Hi'!G26)=FALSE,'PTA-Hi'!G26,""),IF(CostScenario="Lower cost",IF(ISBLANK('PTA-Lo'!G26)=FALSE,'PTA-Lo'!G26,""),IF(ISBLANK('PTA-Mid'!G26)=FALSE,'PTA-Mid'!G26,"")))</f>
        <v>0.25</v>
      </c>
      <c r="H26" s="989">
        <f>IF(CostScenario="Higher cost",IF(ISBLANK('PTA-Hi'!H26)=FALSE,'PTA-Hi'!H26,""),IF(CostScenario="Lower cost",IF(ISBLANK('PTA-Lo'!H26)=FALSE,'PTA-Lo'!H26,""),IF(ISBLANK('PTA-Mid'!H26)=FALSE,'PTA-Mid'!H26,"")))</f>
        <v>0.25</v>
      </c>
      <c r="I26" s="989">
        <f>IF(CostScenario="Higher cost",IF(ISBLANK('PTA-Hi'!I26)=FALSE,'PTA-Hi'!I26,""),IF(CostScenario="Lower cost",IF(ISBLANK('PTA-Lo'!I26)=FALSE,'PTA-Lo'!I26,""),IF(ISBLANK('PTA-Mid'!I26)=FALSE,'PTA-Mid'!I26,"")))</f>
        <v>0.4</v>
      </c>
      <c r="J26" s="989">
        <f>IF(CostScenario="Higher cost",IF(ISBLANK('PTA-Hi'!J26)=FALSE,'PTA-Hi'!J26,""),IF(CostScenario="Lower cost",IF(ISBLANK('PTA-Lo'!J26)=FALSE,'PTA-Lo'!J26,""),IF(ISBLANK('PTA-Mid'!J26)=FALSE,'PTA-Mid'!J26,"")))</f>
        <v>0.20406260907892176</v>
      </c>
      <c r="K26" s="989">
        <f>IF(CostScenario="Higher cost",IF(ISBLANK('PTA-Hi'!K26)=FALSE,'PTA-Hi'!K26,""),IF(CostScenario="Lower cost",IF(ISBLANK('PTA-Lo'!K26)=FALSE,'PTA-Lo'!K26,""),IF(ISBLANK('PTA-Mid'!K26)=FALSE,'PTA-Mid'!K26,"")))</f>
        <v>0.24082161296497639</v>
      </c>
      <c r="L26" s="989">
        <f>IF(CostScenario="Higher cost",IF(ISBLANK('PTA-Hi'!L26)=FALSE,'PTA-Hi'!L26,""),IF(CostScenario="Lower cost",IF(ISBLANK('PTA-Lo'!L26)=FALSE,'PTA-Lo'!L26,""),IF(ISBLANK('PTA-Mid'!L26)=FALSE,'PTA-Mid'!L26,"")))</f>
        <v>0.5</v>
      </c>
      <c r="M26" s="989">
        <f>IF(CostScenario="Higher cost",IF(ISBLANK('PTA-Hi'!M26)=FALSE,'PTA-Hi'!M26,""),IF(CostScenario="Lower cost",IF(ISBLANK('PTA-Lo'!M26)=FALSE,'PTA-Lo'!M26,""),IF(ISBLANK('PTA-Mid'!M26)=FALSE,'PTA-Mid'!M26,"")))</f>
        <v>0.5</v>
      </c>
      <c r="N26" s="989">
        <f>IF(CostScenario="Higher cost",IF(ISBLANK('PTA-Hi'!N26)=FALSE,'PTA-Hi'!N26,""),IF(CostScenario="Lower cost",IF(ISBLANK('PTA-Lo'!N26)=FALSE,'PTA-Lo'!N26,""),IF(ISBLANK('PTA-Mid'!N26)=FALSE,'PTA-Mid'!N26,"")))</f>
        <v>0.5</v>
      </c>
      <c r="O26" s="989">
        <f>IF(CostScenario="Higher cost",IF(ISBLANK('PTA-Hi'!O26)=FALSE,'PTA-Hi'!O26,""),IF(CostScenario="Lower cost",IF(ISBLANK('PTA-Lo'!O26)=FALSE,'PTA-Lo'!O26,""),IF(ISBLANK('PTA-Mid'!O26)=FALSE,'PTA-Mid'!O26,"")))</f>
        <v>0.5</v>
      </c>
      <c r="P26" s="989">
        <f>IF(CostScenario="Higher cost",IF(ISBLANK('PTA-Hi'!P26)=FALSE,'PTA-Hi'!P26,""),IF(CostScenario="Lower cost",IF(ISBLANK('PTA-Lo'!P26)=FALSE,'PTA-Lo'!P26,""),IF(ISBLANK('PTA-Mid'!P26)=FALSE,'PTA-Mid'!P26,"")))</f>
        <v>0.5</v>
      </c>
      <c r="Q26" s="989">
        <f>IF(CostScenario="Higher cost",IF(ISBLANK('PTA-Hi'!Q26)=FALSE,'PTA-Hi'!Q26,""),IF(CostScenario="Lower cost",IF(ISBLANK('PTA-Lo'!Q26)=FALSE,'PTA-Lo'!Q26,""),IF(ISBLANK('PTA-Mid'!Q26)=FALSE,'PTA-Mid'!Q26,"")))</f>
        <v>0</v>
      </c>
      <c r="R26" s="989">
        <f>IF(CostScenario="Higher cost",IF(ISBLANK('PTA-Hi'!R26)=FALSE,'PTA-Hi'!R26,""),IF(CostScenario="Lower cost",IF(ISBLANK('PTA-Lo'!R26)=FALSE,'PTA-Lo'!R26,""),IF(ISBLANK('PTA-Mid'!R26)=FALSE,'PTA-Mid'!R26,"")))</f>
        <v>0</v>
      </c>
      <c r="S26" s="989">
        <f>IF(CostScenario="Higher cost",IF(ISBLANK('PTA-Hi'!S26)=FALSE,'PTA-Hi'!S26,""),IF(CostScenario="Lower cost",IF(ISBLANK('PTA-Lo'!S26)=FALSE,'PTA-Lo'!S26,""),IF(ISBLANK('PTA-Mid'!S26)=FALSE,'PTA-Mid'!S26,"")))</f>
        <v>0</v>
      </c>
      <c r="T26" s="989">
        <f>IF(CostScenario="Higher cost",IF(ISBLANK('PTA-Hi'!T26)=FALSE,'PTA-Hi'!T26,""),IF(CostScenario="Lower cost",IF(ISBLANK('PTA-Lo'!T26)=FALSE,'PTA-Lo'!T26,""),IF(ISBLANK('PTA-Mid'!T26)=FALSE,'PTA-Mid'!T26,"")))</f>
        <v>0</v>
      </c>
      <c r="U26" s="1917">
        <f>IF(CostScenario="Higher cost",IF(ISBLANK('PTA-Hi'!U26)=FALSE,'PTA-Hi'!U26,""),IF(CostScenario="Lower cost",IF(ISBLANK('PTA-Lo'!U26)=FALSE,'PTA-Lo'!U26,""),IF(ISBLANK('PTA-Mid'!U26)=FALSE,'PTA-Mid'!U26,"")))</f>
        <v>0.05</v>
      </c>
      <c r="V26" s="1917">
        <f>IF(CostScenario="Higher cost",IF(ISBLANK('PTA-Hi'!V26)=FALSE,'PTA-Hi'!V26,""),IF(CostScenario="Lower cost",IF(ISBLANK('PTA-Lo'!V26)=FALSE,'PTA-Lo'!V26,""),IF(ISBLANK('PTA-Mid'!V26)=FALSE,'PTA-Mid'!V26,"")))</f>
        <v>0.05</v>
      </c>
      <c r="W26" s="1917"/>
      <c r="X26" s="989"/>
      <c r="Z26" s="30"/>
      <c r="AA26" s="30"/>
    </row>
    <row r="27" spans="1:27" s="7" customFormat="1">
      <c r="A27" s="907" t="s">
        <v>807</v>
      </c>
      <c r="B27" s="909" t="s">
        <v>695</v>
      </c>
      <c r="C27" s="910" t="s">
        <v>253</v>
      </c>
      <c r="D27" s="989">
        <f>IF(CostScenario="Higher cost",IF(ISBLANK('PTA-Hi'!D27)=FALSE,'PTA-Hi'!D27,""),IF(CostScenario="Lower cost",IF(ISBLANK('PTA-Lo'!D27)=FALSE,'PTA-Lo'!D27,""),IF(ISBLANK('PTA-Mid'!D27)=FALSE,'PTA-Mid'!D27,"")))</f>
        <v>0</v>
      </c>
      <c r="E27" s="989">
        <f>IF(CostScenario="Higher cost",IF(ISBLANK('PTA-Hi'!E27)=FALSE,'PTA-Hi'!E27,""),IF(CostScenario="Lower cost",IF(ISBLANK('PTA-Lo'!E27)=FALSE,'PTA-Lo'!E27,""),IF(ISBLANK('PTA-Mid'!E27)=FALSE,'PTA-Mid'!E27,"")))</f>
        <v>0</v>
      </c>
      <c r="F27" s="989">
        <f>IF(CostScenario="Higher cost",IF(ISBLANK('PTA-Hi'!F27)=FALSE,'PTA-Hi'!F27,""),IF(CostScenario="Lower cost",IF(ISBLANK('PTA-Lo'!F27)=FALSE,'PTA-Lo'!F27,""),IF(ISBLANK('PTA-Mid'!F27)=FALSE,'PTA-Mid'!F27,"")))</f>
        <v>0</v>
      </c>
      <c r="G27" s="989">
        <f>IF(CostScenario="Higher cost",IF(ISBLANK('PTA-Hi'!G27)=FALSE,'PTA-Hi'!G27,""),IF(CostScenario="Lower cost",IF(ISBLANK('PTA-Lo'!G27)=FALSE,'PTA-Lo'!G27,""),IF(ISBLANK('PTA-Mid'!G27)=FALSE,'PTA-Mid'!G27,"")))</f>
        <v>0</v>
      </c>
      <c r="H27" s="989">
        <f>IF(CostScenario="Higher cost",IF(ISBLANK('PTA-Hi'!H27)=FALSE,'PTA-Hi'!H27,""),IF(CostScenario="Lower cost",IF(ISBLANK('PTA-Lo'!H27)=FALSE,'PTA-Lo'!H27,""),IF(ISBLANK('PTA-Mid'!H27)=FALSE,'PTA-Mid'!H27,"")))</f>
        <v>0</v>
      </c>
      <c r="I27" s="989">
        <f>IF(CostScenario="Higher cost",IF(ISBLANK('PTA-Hi'!I27)=FALSE,'PTA-Hi'!I27,""),IF(CostScenario="Lower cost",IF(ISBLANK('PTA-Lo'!I27)=FALSE,'PTA-Lo'!I27,""),IF(ISBLANK('PTA-Mid'!I27)=FALSE,'PTA-Mid'!I27,"")))</f>
        <v>0.1</v>
      </c>
      <c r="J27" s="989">
        <f>IF(CostScenario="Higher cost",IF(ISBLANK('PTA-Hi'!J27)=FALSE,'PTA-Hi'!J27,""),IF(CostScenario="Lower cost",IF(ISBLANK('PTA-Lo'!J27)=FALSE,'PTA-Lo'!J27,""),IF(ISBLANK('PTA-Mid'!J27)=FALSE,'PTA-Mid'!J27,"")))</f>
        <v>0.17704708409707434</v>
      </c>
      <c r="K27" s="989">
        <f>IF(CostScenario="Higher cost",IF(ISBLANK('PTA-Hi'!K27)=FALSE,'PTA-Hi'!K27,""),IF(CostScenario="Lower cost",IF(ISBLANK('PTA-Lo'!K27)=FALSE,'PTA-Lo'!K27,""),IF(ISBLANK('PTA-Mid'!K27)=FALSE,'PTA-Mid'!K27,"")))</f>
        <v>0.23898720751796906</v>
      </c>
      <c r="L27" s="989">
        <f>IF(CostScenario="Higher cost",IF(ISBLANK('PTA-Hi'!L27)=FALSE,'PTA-Hi'!L27,""),IF(CostScenario="Lower cost",IF(ISBLANK('PTA-Lo'!L27)=FALSE,'PTA-Lo'!L27,""),IF(ISBLANK('PTA-Mid'!L27)=FALSE,'PTA-Mid'!L27,"")))</f>
        <v>0</v>
      </c>
      <c r="M27" s="989">
        <f>IF(CostScenario="Higher cost",IF(ISBLANK('PTA-Hi'!M27)=FALSE,'PTA-Hi'!M27,""),IF(CostScenario="Lower cost",IF(ISBLANK('PTA-Lo'!M27)=FALSE,'PTA-Lo'!M27,""),IF(ISBLANK('PTA-Mid'!M27)=FALSE,'PTA-Mid'!M27,"")))</f>
        <v>0</v>
      </c>
      <c r="N27" s="989">
        <f>IF(CostScenario="Higher cost",IF(ISBLANK('PTA-Hi'!N27)=FALSE,'PTA-Hi'!N27,""),IF(CostScenario="Lower cost",IF(ISBLANK('PTA-Lo'!N27)=FALSE,'PTA-Lo'!N27,""),IF(ISBLANK('PTA-Mid'!N27)=FALSE,'PTA-Mid'!N27,"")))</f>
        <v>0</v>
      </c>
      <c r="O27" s="989">
        <f>IF(CostScenario="Higher cost",IF(ISBLANK('PTA-Hi'!O27)=FALSE,'PTA-Hi'!O27,""),IF(CostScenario="Lower cost",IF(ISBLANK('PTA-Lo'!O27)=FALSE,'PTA-Lo'!O27,""),IF(ISBLANK('PTA-Mid'!O27)=FALSE,'PTA-Mid'!O27,"")))</f>
        <v>0</v>
      </c>
      <c r="P27" s="989">
        <f>IF(CostScenario="Higher cost",IF(ISBLANK('PTA-Hi'!P27)=FALSE,'PTA-Hi'!P27,""),IF(CostScenario="Lower cost",IF(ISBLANK('PTA-Lo'!P27)=FALSE,'PTA-Lo'!P27,""),IF(ISBLANK('PTA-Mid'!P27)=FALSE,'PTA-Mid'!P27,"")))</f>
        <v>0</v>
      </c>
      <c r="Q27" s="989">
        <f>IF(CostScenario="Higher cost",IF(ISBLANK('PTA-Hi'!Q27)=FALSE,'PTA-Hi'!Q27,""),IF(CostScenario="Lower cost",IF(ISBLANK('PTA-Lo'!Q27)=FALSE,'PTA-Lo'!Q27,""),IF(ISBLANK('PTA-Mid'!Q27)=FALSE,'PTA-Mid'!Q27,"")))</f>
        <v>0</v>
      </c>
      <c r="R27" s="989">
        <f>IF(CostScenario="Higher cost",IF(ISBLANK('PTA-Hi'!R27)=FALSE,'PTA-Hi'!R27,""),IF(CostScenario="Lower cost",IF(ISBLANK('PTA-Lo'!R27)=FALSE,'PTA-Lo'!R27,""),IF(ISBLANK('PTA-Mid'!R27)=FALSE,'PTA-Mid'!R27,"")))</f>
        <v>0</v>
      </c>
      <c r="S27" s="989">
        <f>IF(CostScenario="Higher cost",IF(ISBLANK('PTA-Hi'!S27)=FALSE,'PTA-Hi'!S27,""),IF(CostScenario="Lower cost",IF(ISBLANK('PTA-Lo'!S27)=FALSE,'PTA-Lo'!S27,""),IF(ISBLANK('PTA-Mid'!S27)=FALSE,'PTA-Mid'!S27,"")))</f>
        <v>0</v>
      </c>
      <c r="T27" s="989">
        <f>IF(CostScenario="Higher cost",IF(ISBLANK('PTA-Hi'!T27)=FALSE,'PTA-Hi'!T27,""),IF(CostScenario="Lower cost",IF(ISBLANK('PTA-Lo'!T27)=FALSE,'PTA-Lo'!T27,""),IF(ISBLANK('PTA-Mid'!T27)=FALSE,'PTA-Mid'!T27,"")))</f>
        <v>0</v>
      </c>
      <c r="U27" s="989">
        <f>IF(CostScenario="Higher cost",IF(ISBLANK('PTA-Hi'!U27)=FALSE,'PTA-Hi'!U27,""),IF(CostScenario="Lower cost",IF(ISBLANK('PTA-Lo'!U27)=FALSE,'PTA-Lo'!U27,""),IF(ISBLANK('PTA-Mid'!U27)=FALSE,'PTA-Mid'!U27,"")))</f>
        <v>0</v>
      </c>
      <c r="V27" s="989">
        <f>IF(CostScenario="Higher cost",IF(ISBLANK('PTA-Hi'!V27)=FALSE,'PTA-Hi'!V27,""),IF(CostScenario="Lower cost",IF(ISBLANK('PTA-Lo'!V27)=FALSE,'PTA-Lo'!V27,""),IF(ISBLANK('PTA-Mid'!V27)=FALSE,'PTA-Mid'!V27,"")))</f>
        <v>0</v>
      </c>
      <c r="W27" s="989"/>
      <c r="X27" s="30"/>
      <c r="Z27" s="30"/>
      <c r="AA27" s="30"/>
    </row>
    <row r="28" spans="1:27" s="7" customFormat="1">
      <c r="A28" s="907" t="s">
        <v>808</v>
      </c>
      <c r="B28" s="909" t="s">
        <v>696</v>
      </c>
      <c r="C28" s="910" t="s">
        <v>254</v>
      </c>
      <c r="D28" s="989">
        <f>IF(CostScenario="Higher cost",IF(ISBLANK('PTA-Hi'!D28)=FALSE,'PTA-Hi'!D28,""),IF(CostScenario="Lower cost",IF(ISBLANK('PTA-Lo'!D28)=FALSE,'PTA-Lo'!D28,""),IF(ISBLANK('PTA-Mid'!D28)=FALSE,'PTA-Mid'!D28,"")))</f>
        <v>0</v>
      </c>
      <c r="E28" s="989">
        <f>IF(CostScenario="Higher cost",IF(ISBLANK('PTA-Hi'!E28)=FALSE,'PTA-Hi'!E28,""),IF(CostScenario="Lower cost",IF(ISBLANK('PTA-Lo'!E28)=FALSE,'PTA-Lo'!E28,""),IF(ISBLANK('PTA-Mid'!E28)=FALSE,'PTA-Mid'!E28,"")))</f>
        <v>0</v>
      </c>
      <c r="F28" s="989">
        <f>IF(CostScenario="Higher cost",IF(ISBLANK('PTA-Hi'!F28)=FALSE,'PTA-Hi'!F28,""),IF(CostScenario="Lower cost",IF(ISBLANK('PTA-Lo'!F28)=FALSE,'PTA-Lo'!F28,""),IF(ISBLANK('PTA-Mid'!F28)=FALSE,'PTA-Mid'!F28,"")))</f>
        <v>0</v>
      </c>
      <c r="G28" s="989">
        <f>IF(CostScenario="Higher cost",IF(ISBLANK('PTA-Hi'!G28)=FALSE,'PTA-Hi'!G28,""),IF(CostScenario="Lower cost",IF(ISBLANK('PTA-Lo'!G28)=FALSE,'PTA-Lo'!G28,""),IF(ISBLANK('PTA-Mid'!G28)=FALSE,'PTA-Mid'!G28,"")))</f>
        <v>0</v>
      </c>
      <c r="H28" s="989">
        <f>IF(CostScenario="Higher cost",IF(ISBLANK('PTA-Hi'!H28)=FALSE,'PTA-Hi'!H28,""),IF(CostScenario="Lower cost",IF(ISBLANK('PTA-Lo'!H28)=FALSE,'PTA-Lo'!H28,""),IF(ISBLANK('PTA-Mid'!H28)=FALSE,'PTA-Mid'!H28,"")))</f>
        <v>0</v>
      </c>
      <c r="I28" s="989">
        <f>IF(CostScenario="Higher cost",IF(ISBLANK('PTA-Hi'!I28)=FALSE,'PTA-Hi'!I28,""),IF(CostScenario="Lower cost",IF(ISBLANK('PTA-Lo'!I28)=FALSE,'PTA-Lo'!I28,""),IF(ISBLANK('PTA-Mid'!I28)=FALSE,'PTA-Mid'!I28,"")))</f>
        <v>0</v>
      </c>
      <c r="J28" s="989">
        <f>IF(CostScenario="Higher cost",IF(ISBLANK('PTA-Hi'!J28)=FALSE,'PTA-Hi'!J28,""),IF(CostScenario="Lower cost",IF(ISBLANK('PTA-Lo'!J28)=FALSE,'PTA-Lo'!J28,""),IF(ISBLANK('PTA-Mid'!J28)=FALSE,'PTA-Mid'!J28,"")))</f>
        <v>0.16457730770429585</v>
      </c>
      <c r="K28" s="989">
        <f>IF(CostScenario="Higher cost",IF(ISBLANK('PTA-Hi'!K28)=FALSE,'PTA-Hi'!K28,""),IF(CostScenario="Lower cost",IF(ISBLANK('PTA-Lo'!K28)=FALSE,'PTA-Lo'!K28,""),IF(ISBLANK('PTA-Mid'!K28)=FALSE,'PTA-Mid'!K28,"")))</f>
        <v>0.12930043034025682</v>
      </c>
      <c r="L28" s="989">
        <f>IF(CostScenario="Higher cost",IF(ISBLANK('PTA-Hi'!L28)=FALSE,'PTA-Hi'!L28,""),IF(CostScenario="Lower cost",IF(ISBLANK('PTA-Lo'!L28)=FALSE,'PTA-Lo'!L28,""),IF(ISBLANK('PTA-Mid'!L28)=FALSE,'PTA-Mid'!L28,"")))</f>
        <v>0</v>
      </c>
      <c r="M28" s="989">
        <f>IF(CostScenario="Higher cost",IF(ISBLANK('PTA-Hi'!M28)=FALSE,'PTA-Hi'!M28,""),IF(CostScenario="Lower cost",IF(ISBLANK('PTA-Lo'!M28)=FALSE,'PTA-Lo'!M28,""),IF(ISBLANK('PTA-Mid'!M28)=FALSE,'PTA-Mid'!M28,"")))</f>
        <v>0</v>
      </c>
      <c r="N28" s="989">
        <f>IF(CostScenario="Higher cost",IF(ISBLANK('PTA-Hi'!N28)=FALSE,'PTA-Hi'!N28,""),IF(CostScenario="Lower cost",IF(ISBLANK('PTA-Lo'!N28)=FALSE,'PTA-Lo'!N28,""),IF(ISBLANK('PTA-Mid'!N28)=FALSE,'PTA-Mid'!N28,"")))</f>
        <v>0</v>
      </c>
      <c r="O28" s="989">
        <f>IF(CostScenario="Higher cost",IF(ISBLANK('PTA-Hi'!O28)=FALSE,'PTA-Hi'!O28,""),IF(CostScenario="Lower cost",IF(ISBLANK('PTA-Lo'!O28)=FALSE,'PTA-Lo'!O28,""),IF(ISBLANK('PTA-Mid'!O28)=FALSE,'PTA-Mid'!O28,"")))</f>
        <v>0</v>
      </c>
      <c r="P28" s="989">
        <f>IF(CostScenario="Higher cost",IF(ISBLANK('PTA-Hi'!P28)=FALSE,'PTA-Hi'!P28,""),IF(CostScenario="Lower cost",IF(ISBLANK('PTA-Lo'!P28)=FALSE,'PTA-Lo'!P28,""),IF(ISBLANK('PTA-Mid'!P28)=FALSE,'PTA-Mid'!P28,"")))</f>
        <v>0</v>
      </c>
      <c r="Q28" s="989">
        <f>IF(CostScenario="Higher cost",IF(ISBLANK('PTA-Hi'!Q28)=FALSE,'PTA-Hi'!Q28,""),IF(CostScenario="Lower cost",IF(ISBLANK('PTA-Lo'!Q28)=FALSE,'PTA-Lo'!Q28,""),IF(ISBLANK('PTA-Mid'!Q28)=FALSE,'PTA-Mid'!Q28,"")))</f>
        <v>0</v>
      </c>
      <c r="R28" s="989">
        <f>IF(CostScenario="Higher cost",IF(ISBLANK('PTA-Hi'!R28)=FALSE,'PTA-Hi'!R28,""),IF(CostScenario="Lower cost",IF(ISBLANK('PTA-Lo'!R28)=FALSE,'PTA-Lo'!R28,""),IF(ISBLANK('PTA-Mid'!R28)=FALSE,'PTA-Mid'!R28,"")))</f>
        <v>0</v>
      </c>
      <c r="S28" s="989">
        <f>IF(CostScenario="Higher cost",IF(ISBLANK('PTA-Hi'!S28)=FALSE,'PTA-Hi'!S28,""),IF(CostScenario="Lower cost",IF(ISBLANK('PTA-Lo'!S28)=FALSE,'PTA-Lo'!S28,""),IF(ISBLANK('PTA-Mid'!S28)=FALSE,'PTA-Mid'!S28,"")))</f>
        <v>0</v>
      </c>
      <c r="T28" s="989">
        <f>IF(CostScenario="Higher cost",IF(ISBLANK('PTA-Hi'!T28)=FALSE,'PTA-Hi'!T28,""),IF(CostScenario="Lower cost",IF(ISBLANK('PTA-Lo'!T28)=FALSE,'PTA-Lo'!T28,""),IF(ISBLANK('PTA-Mid'!T28)=FALSE,'PTA-Mid'!T28,"")))</f>
        <v>0</v>
      </c>
      <c r="U28" s="989">
        <f>IF(CostScenario="Higher cost",IF(ISBLANK('PTA-Hi'!U28)=FALSE,'PTA-Hi'!U28,""),IF(CostScenario="Lower cost",IF(ISBLANK('PTA-Lo'!U28)=FALSE,'PTA-Lo'!U28,""),IF(ISBLANK('PTA-Mid'!U28)=FALSE,'PTA-Mid'!U28,"")))</f>
        <v>0</v>
      </c>
      <c r="V28" s="989">
        <f>IF(CostScenario="Higher cost",IF(ISBLANK('PTA-Hi'!V28)=FALSE,'PTA-Hi'!V28,""),IF(CostScenario="Lower cost",IF(ISBLANK('PTA-Lo'!V28)=FALSE,'PTA-Lo'!V28,""),IF(ISBLANK('PTA-Mid'!V28)=FALSE,'PTA-Mid'!V28,"")))</f>
        <v>0</v>
      </c>
      <c r="W28" s="989"/>
      <c r="X28" s="30"/>
      <c r="Z28" s="30"/>
      <c r="AA28" s="30"/>
    </row>
    <row r="29" spans="1:27" s="7" customFormat="1">
      <c r="A29" s="907" t="s">
        <v>809</v>
      </c>
      <c r="B29" s="909" t="s">
        <v>697</v>
      </c>
      <c r="C29" s="910" t="s">
        <v>255</v>
      </c>
      <c r="D29" s="989">
        <f>IF(CostScenario="Higher cost",IF(ISBLANK('PTA-Hi'!D29)=FALSE,'PTA-Hi'!D29,""),IF(CostScenario="Lower cost",IF(ISBLANK('PTA-Lo'!D29)=FALSE,'PTA-Lo'!D29,""),IF(ISBLANK('PTA-Mid'!D29)=FALSE,'PTA-Mid'!D29,"")))</f>
        <v>0</v>
      </c>
      <c r="E29" s="989">
        <f>IF(CostScenario="Higher cost",IF(ISBLANK('PTA-Hi'!E29)=FALSE,'PTA-Hi'!E29,""),IF(CostScenario="Lower cost",IF(ISBLANK('PTA-Lo'!E29)=FALSE,'PTA-Lo'!E29,""),IF(ISBLANK('PTA-Mid'!E29)=FALSE,'PTA-Mid'!E29,"")))</f>
        <v>0</v>
      </c>
      <c r="F29" s="989">
        <f>IF(CostScenario="Higher cost",IF(ISBLANK('PTA-Hi'!F29)=FALSE,'PTA-Hi'!F29,""),IF(CostScenario="Lower cost",IF(ISBLANK('PTA-Lo'!F29)=FALSE,'PTA-Lo'!F29,""),IF(ISBLANK('PTA-Mid'!F29)=FALSE,'PTA-Mid'!F29,"")))</f>
        <v>0</v>
      </c>
      <c r="G29" s="989">
        <f>IF(CostScenario="Higher cost",IF(ISBLANK('PTA-Hi'!G29)=FALSE,'PTA-Hi'!G29,""),IF(CostScenario="Lower cost",IF(ISBLANK('PTA-Lo'!G29)=FALSE,'PTA-Lo'!G29,""),IF(ISBLANK('PTA-Mid'!G29)=FALSE,'PTA-Mid'!G29,"")))</f>
        <v>0</v>
      </c>
      <c r="H29" s="989">
        <f>IF(CostScenario="Higher cost",IF(ISBLANK('PTA-Hi'!H29)=FALSE,'PTA-Hi'!H29,""),IF(CostScenario="Lower cost",IF(ISBLANK('PTA-Lo'!H29)=FALSE,'PTA-Lo'!H29,""),IF(ISBLANK('PTA-Mid'!H29)=FALSE,'PTA-Mid'!H29,"")))</f>
        <v>0</v>
      </c>
      <c r="I29" s="989">
        <f>IF(CostScenario="Higher cost",IF(ISBLANK('PTA-Hi'!I29)=FALSE,'PTA-Hi'!I29,""),IF(CostScenario="Lower cost",IF(ISBLANK('PTA-Lo'!I29)=FALSE,'PTA-Lo'!I29,""),IF(ISBLANK('PTA-Mid'!I29)=FALSE,'PTA-Mid'!I29,"")))</f>
        <v>0</v>
      </c>
      <c r="J29" s="989">
        <f>IF(CostScenario="Higher cost",IF(ISBLANK('PTA-Hi'!J29)=FALSE,'PTA-Hi'!J29,""),IF(CostScenario="Lower cost",IF(ISBLANK('PTA-Lo'!J29)=FALSE,'PTA-Lo'!J29,""),IF(ISBLANK('PTA-Mid'!J29)=FALSE,'PTA-Mid'!J29,"")))</f>
        <v>4.9071429364634378E-2</v>
      </c>
      <c r="K29" s="989">
        <f>IF(CostScenario="Higher cost",IF(ISBLANK('PTA-Hi'!K29)=FALSE,'PTA-Hi'!K29,""),IF(CostScenario="Lower cost",IF(ISBLANK('PTA-Lo'!K29)=FALSE,'PTA-Lo'!K29,""),IF(ISBLANK('PTA-Mid'!K29)=FALSE,'PTA-Mid'!K29,"")))</f>
        <v>2.0896128898671401E-2</v>
      </c>
      <c r="L29" s="989">
        <f>IF(CostScenario="Higher cost",IF(ISBLANK('PTA-Hi'!L29)=FALSE,'PTA-Hi'!L29,""),IF(CostScenario="Lower cost",IF(ISBLANK('PTA-Lo'!L29)=FALSE,'PTA-Lo'!L29,""),IF(ISBLANK('PTA-Mid'!L29)=FALSE,'PTA-Mid'!L29,"")))</f>
        <v>0</v>
      </c>
      <c r="M29" s="989">
        <f>IF(CostScenario="Higher cost",IF(ISBLANK('PTA-Hi'!M29)=FALSE,'PTA-Hi'!M29,""),IF(CostScenario="Lower cost",IF(ISBLANK('PTA-Lo'!M29)=FALSE,'PTA-Lo'!M29,""),IF(ISBLANK('PTA-Mid'!M29)=FALSE,'PTA-Mid'!M29,"")))</f>
        <v>0</v>
      </c>
      <c r="N29" s="989">
        <f>IF(CostScenario="Higher cost",IF(ISBLANK('PTA-Hi'!N29)=FALSE,'PTA-Hi'!N29,""),IF(CostScenario="Lower cost",IF(ISBLANK('PTA-Lo'!N29)=FALSE,'PTA-Lo'!N29,""),IF(ISBLANK('PTA-Mid'!N29)=FALSE,'PTA-Mid'!N29,"")))</f>
        <v>0</v>
      </c>
      <c r="O29" s="989">
        <f>IF(CostScenario="Higher cost",IF(ISBLANK('PTA-Hi'!O29)=FALSE,'PTA-Hi'!O29,""),IF(CostScenario="Lower cost",IF(ISBLANK('PTA-Lo'!O29)=FALSE,'PTA-Lo'!O29,""),IF(ISBLANK('PTA-Mid'!O29)=FALSE,'PTA-Mid'!O29,"")))</f>
        <v>0</v>
      </c>
      <c r="P29" s="989">
        <f>IF(CostScenario="Higher cost",IF(ISBLANK('PTA-Hi'!P29)=FALSE,'PTA-Hi'!P29,""),IF(CostScenario="Lower cost",IF(ISBLANK('PTA-Lo'!P29)=FALSE,'PTA-Lo'!P29,""),IF(ISBLANK('PTA-Mid'!P29)=FALSE,'PTA-Mid'!P29,"")))</f>
        <v>0</v>
      </c>
      <c r="Q29" s="989">
        <f>IF(CostScenario="Higher cost",IF(ISBLANK('PTA-Hi'!Q29)=FALSE,'PTA-Hi'!Q29,""),IF(CostScenario="Lower cost",IF(ISBLANK('PTA-Lo'!Q29)=FALSE,'PTA-Lo'!Q29,""),IF(ISBLANK('PTA-Mid'!Q29)=FALSE,'PTA-Mid'!Q29,"")))</f>
        <v>0</v>
      </c>
      <c r="R29" s="989">
        <f>IF(CostScenario="Higher cost",IF(ISBLANK('PTA-Hi'!R29)=FALSE,'PTA-Hi'!R29,""),IF(CostScenario="Lower cost",IF(ISBLANK('PTA-Lo'!R29)=FALSE,'PTA-Lo'!R29,""),IF(ISBLANK('PTA-Mid'!R29)=FALSE,'PTA-Mid'!R29,"")))</f>
        <v>0</v>
      </c>
      <c r="S29" s="989">
        <f>IF(CostScenario="Higher cost",IF(ISBLANK('PTA-Hi'!S29)=FALSE,'PTA-Hi'!S29,""),IF(CostScenario="Lower cost",IF(ISBLANK('PTA-Lo'!S29)=FALSE,'PTA-Lo'!S29,""),IF(ISBLANK('PTA-Mid'!S29)=FALSE,'PTA-Mid'!S29,"")))</f>
        <v>0</v>
      </c>
      <c r="T29" s="989">
        <f>IF(CostScenario="Higher cost",IF(ISBLANK('PTA-Hi'!T29)=FALSE,'PTA-Hi'!T29,""),IF(CostScenario="Lower cost",IF(ISBLANK('PTA-Lo'!T29)=FALSE,'PTA-Lo'!T29,""),IF(ISBLANK('PTA-Mid'!T29)=FALSE,'PTA-Mid'!T29,"")))</f>
        <v>0</v>
      </c>
      <c r="U29" s="989">
        <f>IF(CostScenario="Higher cost",IF(ISBLANK('PTA-Hi'!U29)=FALSE,'PTA-Hi'!U29,""),IF(CostScenario="Lower cost",IF(ISBLANK('PTA-Lo'!U29)=FALSE,'PTA-Lo'!U29,""),IF(ISBLANK('PTA-Mid'!U29)=FALSE,'PTA-Mid'!U29,"")))</f>
        <v>0</v>
      </c>
      <c r="V29" s="989">
        <f>IF(CostScenario="Higher cost",IF(ISBLANK('PTA-Hi'!V29)=FALSE,'PTA-Hi'!V29,""),IF(CostScenario="Lower cost",IF(ISBLANK('PTA-Lo'!V29)=FALSE,'PTA-Lo'!V29,""),IF(ISBLANK('PTA-Mid'!V29)=FALSE,'PTA-Mid'!V29,"")))</f>
        <v>0</v>
      </c>
      <c r="W29" s="989"/>
      <c r="X29" s="30"/>
      <c r="Z29" s="30"/>
      <c r="AA29" s="30"/>
    </row>
    <row r="30" spans="1:27" s="7" customFormat="1">
      <c r="A30" s="907" t="s">
        <v>609</v>
      </c>
      <c r="B30" s="909" t="s">
        <v>697</v>
      </c>
      <c r="C30" s="910" t="s">
        <v>256</v>
      </c>
      <c r="D30" s="989">
        <f>IF(CostScenario="Higher cost",IF(ISBLANK('PTA-Hi'!D30)=FALSE,'PTA-Hi'!D30,""),IF(CostScenario="Lower cost",IF(ISBLANK('PTA-Lo'!D30)=FALSE,'PTA-Lo'!D30,""),IF(ISBLANK('PTA-Mid'!D30)=FALSE,'PTA-Mid'!D30,"")))</f>
        <v>0</v>
      </c>
      <c r="E30" s="989">
        <f>IF(CostScenario="Higher cost",IF(ISBLANK('PTA-Hi'!E30)=FALSE,'PTA-Hi'!E30,""),IF(CostScenario="Lower cost",IF(ISBLANK('PTA-Lo'!E30)=FALSE,'PTA-Lo'!E30,""),IF(ISBLANK('PTA-Mid'!E30)=FALSE,'PTA-Mid'!E30,"")))</f>
        <v>0</v>
      </c>
      <c r="F30" s="989">
        <f>IF(CostScenario="Higher cost",IF(ISBLANK('PTA-Hi'!F30)=FALSE,'PTA-Hi'!F30,""),IF(CostScenario="Lower cost",IF(ISBLANK('PTA-Lo'!F30)=FALSE,'PTA-Lo'!F30,""),IF(ISBLANK('PTA-Mid'!F30)=FALSE,'PTA-Mid'!F30,"")))</f>
        <v>0</v>
      </c>
      <c r="G30" s="989">
        <f>IF(CostScenario="Higher cost",IF(ISBLANK('PTA-Hi'!G30)=FALSE,'PTA-Hi'!G30,""),IF(CostScenario="Lower cost",IF(ISBLANK('PTA-Lo'!G30)=FALSE,'PTA-Lo'!G30,""),IF(ISBLANK('PTA-Mid'!G30)=FALSE,'PTA-Mid'!G30,"")))</f>
        <v>0</v>
      </c>
      <c r="H30" s="989">
        <f>IF(CostScenario="Higher cost",IF(ISBLANK('PTA-Hi'!H30)=FALSE,'PTA-Hi'!H30,""),IF(CostScenario="Lower cost",IF(ISBLANK('PTA-Lo'!H30)=FALSE,'PTA-Lo'!H30,""),IF(ISBLANK('PTA-Mid'!H30)=FALSE,'PTA-Mid'!H30,"")))</f>
        <v>0</v>
      </c>
      <c r="I30" s="989">
        <f>IF(CostScenario="Higher cost",IF(ISBLANK('PTA-Hi'!I30)=FALSE,'PTA-Hi'!I30,""),IF(CostScenario="Lower cost",IF(ISBLANK('PTA-Lo'!I30)=FALSE,'PTA-Lo'!I30,""),IF(ISBLANK('PTA-Mid'!I30)=FALSE,'PTA-Mid'!I30,"")))</f>
        <v>0</v>
      </c>
      <c r="J30" s="989">
        <f>IF(CostScenario="Higher cost",IF(ISBLANK('PTA-Hi'!J30)=FALSE,'PTA-Hi'!J30,""),IF(CostScenario="Lower cost",IF(ISBLANK('PTA-Lo'!J30)=FALSE,'PTA-Lo'!J30,""),IF(ISBLANK('PTA-Mid'!J30)=FALSE,'PTA-Mid'!J30,"")))</f>
        <v>0.20117896067615176</v>
      </c>
      <c r="K30" s="989">
        <f>IF(CostScenario="Higher cost",IF(ISBLANK('PTA-Hi'!K30)=FALSE,'PTA-Hi'!K30,""),IF(CostScenario="Lower cost",IF(ISBLANK('PTA-Lo'!K30)=FALSE,'PTA-Lo'!K30,""),IF(ISBLANK('PTA-Mid'!K30)=FALSE,'PTA-Mid'!K30,"")))</f>
        <v>0.1273386018661426</v>
      </c>
      <c r="L30" s="989">
        <f>IF(CostScenario="Higher cost",IF(ISBLANK('PTA-Hi'!L30)=FALSE,'PTA-Hi'!L30,""),IF(CostScenario="Lower cost",IF(ISBLANK('PTA-Lo'!L30)=FALSE,'PTA-Lo'!L30,""),IF(ISBLANK('PTA-Mid'!L30)=FALSE,'PTA-Mid'!L30,"")))</f>
        <v>0</v>
      </c>
      <c r="M30" s="989">
        <f>IF(CostScenario="Higher cost",IF(ISBLANK('PTA-Hi'!M30)=FALSE,'PTA-Hi'!M30,""),IF(CostScenario="Lower cost",IF(ISBLANK('PTA-Lo'!M30)=FALSE,'PTA-Lo'!M30,""),IF(ISBLANK('PTA-Mid'!M30)=FALSE,'PTA-Mid'!M30,"")))</f>
        <v>0</v>
      </c>
      <c r="N30" s="989">
        <f>IF(CostScenario="Higher cost",IF(ISBLANK('PTA-Hi'!N30)=FALSE,'PTA-Hi'!N30,""),IF(CostScenario="Lower cost",IF(ISBLANK('PTA-Lo'!N30)=FALSE,'PTA-Lo'!N30,""),IF(ISBLANK('PTA-Mid'!N30)=FALSE,'PTA-Mid'!N30,"")))</f>
        <v>0</v>
      </c>
      <c r="O30" s="989">
        <f>IF(CostScenario="Higher cost",IF(ISBLANK('PTA-Hi'!O30)=FALSE,'PTA-Hi'!O30,""),IF(CostScenario="Lower cost",IF(ISBLANK('PTA-Lo'!O30)=FALSE,'PTA-Lo'!O30,""),IF(ISBLANK('PTA-Mid'!O30)=FALSE,'PTA-Mid'!O30,"")))</f>
        <v>0</v>
      </c>
      <c r="P30" s="989">
        <f>IF(CostScenario="Higher cost",IF(ISBLANK('PTA-Hi'!P30)=FALSE,'PTA-Hi'!P30,""),IF(CostScenario="Lower cost",IF(ISBLANK('PTA-Lo'!P30)=FALSE,'PTA-Lo'!P30,""),IF(ISBLANK('PTA-Mid'!P30)=FALSE,'PTA-Mid'!P30,"")))</f>
        <v>0</v>
      </c>
      <c r="Q30" s="989">
        <f>IF(CostScenario="Higher cost",IF(ISBLANK('PTA-Hi'!Q30)=FALSE,'PTA-Hi'!Q30,""),IF(CostScenario="Lower cost",IF(ISBLANK('PTA-Lo'!Q30)=FALSE,'PTA-Lo'!Q30,""),IF(ISBLANK('PTA-Mid'!Q30)=FALSE,'PTA-Mid'!Q30,"")))</f>
        <v>0</v>
      </c>
      <c r="R30" s="989">
        <f>IF(CostScenario="Higher cost",IF(ISBLANK('PTA-Hi'!R30)=FALSE,'PTA-Hi'!R30,""),IF(CostScenario="Lower cost",IF(ISBLANK('PTA-Lo'!R30)=FALSE,'PTA-Lo'!R30,""),IF(ISBLANK('PTA-Mid'!R30)=FALSE,'PTA-Mid'!R30,"")))</f>
        <v>0</v>
      </c>
      <c r="S30" s="989">
        <f>IF(CostScenario="Higher cost",IF(ISBLANK('PTA-Hi'!S30)=FALSE,'PTA-Hi'!S30,""),IF(CostScenario="Lower cost",IF(ISBLANK('PTA-Lo'!S30)=FALSE,'PTA-Lo'!S30,""),IF(ISBLANK('PTA-Mid'!S30)=FALSE,'PTA-Mid'!S30,"")))</f>
        <v>0</v>
      </c>
      <c r="T30" s="989">
        <f>IF(CostScenario="Higher cost",IF(ISBLANK('PTA-Hi'!T30)=FALSE,'PTA-Hi'!T30,""),IF(CostScenario="Lower cost",IF(ISBLANK('PTA-Lo'!T30)=FALSE,'PTA-Lo'!T30,""),IF(ISBLANK('PTA-Mid'!T30)=FALSE,'PTA-Mid'!T30,"")))</f>
        <v>0</v>
      </c>
      <c r="U30" s="989">
        <f>IF(CostScenario="Higher cost",IF(ISBLANK('PTA-Hi'!U30)=FALSE,'PTA-Hi'!U30,""),IF(CostScenario="Lower cost",IF(ISBLANK('PTA-Lo'!U30)=FALSE,'PTA-Lo'!U30,""),IF(ISBLANK('PTA-Mid'!U30)=FALSE,'PTA-Mid'!U30,"")))</f>
        <v>0</v>
      </c>
      <c r="V30" s="989">
        <f>IF(CostScenario="Higher cost",IF(ISBLANK('PTA-Hi'!V30)=FALSE,'PTA-Hi'!V30,""),IF(CostScenario="Lower cost",IF(ISBLANK('PTA-Lo'!V30)=FALSE,'PTA-Lo'!V30,""),IF(ISBLANK('PTA-Mid'!V30)=FALSE,'PTA-Mid'!V30,"")))</f>
        <v>0</v>
      </c>
      <c r="W30" s="989"/>
      <c r="X30" s="30"/>
      <c r="Z30" s="30"/>
      <c r="AA30" s="30"/>
    </row>
    <row r="31" spans="1:27" s="7" customFormat="1">
      <c r="A31" s="907"/>
      <c r="B31" s="908"/>
      <c r="C31" s="904" t="s">
        <v>123</v>
      </c>
      <c r="D31" s="91">
        <f>IF(CostScenario="Higher cost",IF(ISBLANK('PTA-Hi'!D31)=FALSE,'PTA-Hi'!D31,""),IF(CostScenario="Lower cost",IF(ISBLANK('PTA-Lo'!D31)=FALSE,'PTA-Lo'!D31,""),IF(ISBLANK('PTA-Mid'!D31)=FALSE,'PTA-Mid'!D31,"")))</f>
        <v>1</v>
      </c>
      <c r="E31" s="91">
        <f>IF(CostScenario="Higher cost",IF(ISBLANK('PTA-Hi'!E31)=FALSE,'PTA-Hi'!E31,""),IF(CostScenario="Lower cost",IF(ISBLANK('PTA-Lo'!E31)=FALSE,'PTA-Lo'!E31,""),IF(ISBLANK('PTA-Mid'!E31)=FALSE,'PTA-Mid'!E31,"")))</f>
        <v>1</v>
      </c>
      <c r="F31" s="91">
        <f>IF(CostScenario="Higher cost",IF(ISBLANK('PTA-Hi'!F31)=FALSE,'PTA-Hi'!F31,""),IF(CostScenario="Lower cost",IF(ISBLANK('PTA-Lo'!F31)=FALSE,'PTA-Lo'!F31,""),IF(ISBLANK('PTA-Mid'!F31)=FALSE,'PTA-Mid'!F31,"")))</f>
        <v>1</v>
      </c>
      <c r="G31" s="91">
        <f>IF(CostScenario="Higher cost",IF(ISBLANK('PTA-Hi'!G31)=FALSE,'PTA-Hi'!G31,""),IF(CostScenario="Lower cost",IF(ISBLANK('PTA-Lo'!G31)=FALSE,'PTA-Lo'!G31,""),IF(ISBLANK('PTA-Mid'!G31)=FALSE,'PTA-Mid'!G31,"")))</f>
        <v>1</v>
      </c>
      <c r="H31" s="91">
        <f>IF(CostScenario="Higher cost",IF(ISBLANK('PTA-Hi'!H31)=FALSE,'PTA-Hi'!H31,""),IF(CostScenario="Lower cost",IF(ISBLANK('PTA-Lo'!H31)=FALSE,'PTA-Lo'!H31,""),IF(ISBLANK('PTA-Mid'!H31)=FALSE,'PTA-Mid'!H31,"")))</f>
        <v>1</v>
      </c>
      <c r="I31" s="91">
        <f>IF(CostScenario="Higher cost",IF(ISBLANK('PTA-Hi'!I31)=FALSE,'PTA-Hi'!I31,""),IF(CostScenario="Lower cost",IF(ISBLANK('PTA-Lo'!I31)=FALSE,'PTA-Lo'!I31,""),IF(ISBLANK('PTA-Mid'!I31)=FALSE,'PTA-Mid'!I31,"")))</f>
        <v>1</v>
      </c>
      <c r="J31" s="91">
        <f>IF(CostScenario="Higher cost",IF(ISBLANK('PTA-Hi'!J31)=FALSE,'PTA-Hi'!J31,""),IF(CostScenario="Lower cost",IF(ISBLANK('PTA-Lo'!J31)=FALSE,'PTA-Lo'!J31,""),IF(ISBLANK('PTA-Mid'!J31)=FALSE,'PTA-Mid'!J31,"")))</f>
        <v>1</v>
      </c>
      <c r="K31" s="91">
        <f>IF(CostScenario="Higher cost",IF(ISBLANK('PTA-Hi'!K31)=FALSE,'PTA-Hi'!K31,""),IF(CostScenario="Lower cost",IF(ISBLANK('PTA-Lo'!K31)=FALSE,'PTA-Lo'!K31,""),IF(ISBLANK('PTA-Mid'!K31)=FALSE,'PTA-Mid'!K31,"")))</f>
        <v>1</v>
      </c>
      <c r="L31" s="91">
        <f>IF(CostScenario="Higher cost",IF(ISBLANK('PTA-Hi'!L31)=FALSE,'PTA-Hi'!L31,""),IF(CostScenario="Lower cost",IF(ISBLANK('PTA-Lo'!L31)=FALSE,'PTA-Lo'!L31,""),IF(ISBLANK('PTA-Mid'!L31)=FALSE,'PTA-Mid'!L31,"")))</f>
        <v>1</v>
      </c>
      <c r="M31" s="91">
        <f>IF(CostScenario="Higher cost",IF(ISBLANK('PTA-Hi'!M31)=FALSE,'PTA-Hi'!M31,""),IF(CostScenario="Lower cost",IF(ISBLANK('PTA-Lo'!M31)=FALSE,'PTA-Lo'!M31,""),IF(ISBLANK('PTA-Mid'!M31)=FALSE,'PTA-Mid'!M31,"")))</f>
        <v>1</v>
      </c>
      <c r="N31" s="91">
        <f>IF(CostScenario="Higher cost",IF(ISBLANK('PTA-Hi'!N31)=FALSE,'PTA-Hi'!N31,""),IF(CostScenario="Lower cost",IF(ISBLANK('PTA-Lo'!N31)=FALSE,'PTA-Lo'!N31,""),IF(ISBLANK('PTA-Mid'!N31)=FALSE,'PTA-Mid'!N31,"")))</f>
        <v>1</v>
      </c>
      <c r="O31" s="91">
        <f>IF(CostScenario="Higher cost",IF(ISBLANK('PTA-Hi'!O31)=FALSE,'PTA-Hi'!O31,""),IF(CostScenario="Lower cost",IF(ISBLANK('PTA-Lo'!O31)=FALSE,'PTA-Lo'!O31,""),IF(ISBLANK('PTA-Mid'!O31)=FALSE,'PTA-Mid'!O31,"")))</f>
        <v>1</v>
      </c>
      <c r="P31" s="91">
        <f>IF(CostScenario="Higher cost",IF(ISBLANK('PTA-Hi'!P31)=FALSE,'PTA-Hi'!P31,""),IF(CostScenario="Lower cost",IF(ISBLANK('PTA-Lo'!P31)=FALSE,'PTA-Lo'!P31,""),IF(ISBLANK('PTA-Mid'!P31)=FALSE,'PTA-Mid'!P31,"")))</f>
        <v>1</v>
      </c>
      <c r="Q31" s="91">
        <f>IF(CostScenario="Higher cost",IF(ISBLANK('PTA-Hi'!Q31)=FALSE,'PTA-Hi'!Q31,""),IF(CostScenario="Lower cost",IF(ISBLANK('PTA-Lo'!Q31)=FALSE,'PTA-Lo'!Q31,""),IF(ISBLANK('PTA-Mid'!Q31)=FALSE,'PTA-Mid'!Q31,"")))</f>
        <v>1</v>
      </c>
      <c r="R31" s="91">
        <f>IF(CostScenario="Higher cost",IF(ISBLANK('PTA-Hi'!R31)=FALSE,'PTA-Hi'!R31,""),IF(CostScenario="Lower cost",IF(ISBLANK('PTA-Lo'!R31)=FALSE,'PTA-Lo'!R31,""),IF(ISBLANK('PTA-Mid'!R31)=FALSE,'PTA-Mid'!R31,"")))</f>
        <v>1</v>
      </c>
      <c r="S31" s="91">
        <f>IF(CostScenario="Higher cost",IF(ISBLANK('PTA-Hi'!S31)=FALSE,'PTA-Hi'!S31,""),IF(CostScenario="Lower cost",IF(ISBLANK('PTA-Lo'!S31)=FALSE,'PTA-Lo'!S31,""),IF(ISBLANK('PTA-Mid'!S31)=FALSE,'PTA-Mid'!S31,"")))</f>
        <v>1</v>
      </c>
      <c r="T31" s="91">
        <f>IF(CostScenario="Higher cost",IF(ISBLANK('PTA-Hi'!T31)=FALSE,'PTA-Hi'!T31,""),IF(CostScenario="Lower cost",IF(ISBLANK('PTA-Lo'!T31)=FALSE,'PTA-Lo'!T31,""),IF(ISBLANK('PTA-Mid'!T31)=FALSE,'PTA-Mid'!T31,"")))</f>
        <v>1</v>
      </c>
      <c r="U31" s="91">
        <f>IF(CostScenario="Higher cost",IF(ISBLANK('PTA-Hi'!U31)=FALSE,'PTA-Hi'!U31,""),IF(CostScenario="Lower cost",IF(ISBLANK('PTA-Lo'!U31)=FALSE,'PTA-Lo'!U31,""),IF(ISBLANK('PTA-Mid'!U31)=FALSE,'PTA-Mid'!U31,"")))</f>
        <v>1</v>
      </c>
      <c r="V31" s="91">
        <f>IF(CostScenario="Higher cost",IF(ISBLANK('PTA-Hi'!V31)=FALSE,'PTA-Hi'!V31,""),IF(CostScenario="Lower cost",IF(ISBLANK('PTA-Lo'!V31)=FALSE,'PTA-Lo'!V31,""),IF(ISBLANK('PTA-Mid'!V31)=FALSE,'PTA-Mid'!V31,"")))</f>
        <v>1</v>
      </c>
      <c r="W31" s="91"/>
      <c r="X31" s="30"/>
      <c r="Z31" s="30"/>
      <c r="AA31" s="30"/>
    </row>
    <row r="32" spans="1:27" s="218" customFormat="1">
      <c r="A32" s="911" t="s">
        <v>1190</v>
      </c>
      <c r="B32" s="912" t="s">
        <v>693</v>
      </c>
      <c r="C32" s="913" t="s">
        <v>1332</v>
      </c>
      <c r="D32" s="857">
        <f>IF(CostScenario="Higher cost",IF(ISBLANK('PTA-Hi'!D32)=FALSE,'PTA-Hi'!D32,""),IF(CostScenario="Lower cost",IF(ISBLANK('PTA-Lo'!D32)=FALSE,'PTA-Lo'!D32,""),IF(ISBLANK('PTA-Mid'!D32)=FALSE,'PTA-Mid'!D32,"")))</f>
        <v>9</v>
      </c>
      <c r="E32" s="857">
        <f>IF(CostScenario="Higher cost",IF(ISBLANK('PTA-Hi'!E32)=FALSE,'PTA-Hi'!E32,""),IF(CostScenario="Lower cost",IF(ISBLANK('PTA-Lo'!E32)=FALSE,'PTA-Lo'!E32,""),IF(ISBLANK('PTA-Mid'!E32)=FALSE,'PTA-Mid'!E32,"")))</f>
        <v>9</v>
      </c>
      <c r="F32" s="857">
        <f>IF(CostScenario="Higher cost",IF(ISBLANK('PTA-Hi'!F32)=FALSE,'PTA-Hi'!F32,""),IF(CostScenario="Lower cost",IF(ISBLANK('PTA-Lo'!F32)=FALSE,'PTA-Lo'!F32,""),IF(ISBLANK('PTA-Mid'!F32)=FALSE,'PTA-Mid'!F32,"")))</f>
        <v>12</v>
      </c>
      <c r="G32" s="857">
        <f>IF(CostScenario="Higher cost",IF(ISBLANK('PTA-Hi'!G32)=FALSE,'PTA-Hi'!G32,""),IF(CostScenario="Lower cost",IF(ISBLANK('PTA-Lo'!G32)=FALSE,'PTA-Lo'!G32,""),IF(ISBLANK('PTA-Mid'!G32)=FALSE,'PTA-Mid'!G32,"")))</f>
        <v>12</v>
      </c>
      <c r="H32" s="857">
        <f>IF(CostScenario="Higher cost",IF(ISBLANK('PTA-Hi'!H32)=FALSE,'PTA-Hi'!H32,""),IF(CostScenario="Lower cost",IF(ISBLANK('PTA-Lo'!H32)=FALSE,'PTA-Lo'!H32,""),IF(ISBLANK('PTA-Mid'!H32)=FALSE,'PTA-Mid'!H32,"")))</f>
        <v>12</v>
      </c>
      <c r="I32" s="857">
        <f>IF(CostScenario="Higher cost",IF(ISBLANK('PTA-Hi'!I32)=FALSE,'PTA-Hi'!I32,""),IF(CostScenario="Lower cost",IF(ISBLANK('PTA-Lo'!I32)=FALSE,'PTA-Lo'!I32,""),IF(ISBLANK('PTA-Mid'!I32)=FALSE,'PTA-Mid'!I32,"")))</f>
        <v>12</v>
      </c>
      <c r="J32" s="857">
        <f>IF(CostScenario="Higher cost",IF(ISBLANK('PTA-Hi'!J32)=FALSE,'PTA-Hi'!J32,""),IF(CostScenario="Lower cost",IF(ISBLANK('PTA-Lo'!J32)=FALSE,'PTA-Lo'!J32,""),IF(ISBLANK('PTA-Mid'!J32)=FALSE,'PTA-Mid'!J32,"")))</f>
        <v>12</v>
      </c>
      <c r="K32" s="857">
        <f>IF(CostScenario="Higher cost",IF(ISBLANK('PTA-Hi'!K32)=FALSE,'PTA-Hi'!K32,""),IF(CostScenario="Lower cost",IF(ISBLANK('PTA-Lo'!K32)=FALSE,'PTA-Lo'!K32,""),IF(ISBLANK('PTA-Mid'!K32)=FALSE,'PTA-Mid'!K32,"")))</f>
        <v>12</v>
      </c>
      <c r="L32" s="857">
        <f>IF(CostScenario="Higher cost",IF(ISBLANK('PTA-Hi'!L32)=FALSE,'PTA-Hi'!L32,""),IF(CostScenario="Lower cost",IF(ISBLANK('PTA-Lo'!L32)=FALSE,'PTA-Lo'!L32,""),IF(ISBLANK('PTA-Mid'!L32)=FALSE,'PTA-Mid'!L32,"")))</f>
        <v>12</v>
      </c>
      <c r="M32" s="857">
        <f>IF(CostScenario="Higher cost",IF(ISBLANK('PTA-Hi'!M32)=FALSE,'PTA-Hi'!M32,""),IF(CostScenario="Lower cost",IF(ISBLANK('PTA-Lo'!M32)=FALSE,'PTA-Lo'!M32,""),IF(ISBLANK('PTA-Mid'!M32)=FALSE,'PTA-Mid'!M32,"")))</f>
        <v>12</v>
      </c>
      <c r="N32" s="857">
        <f>IF(CostScenario="Higher cost",IF(ISBLANK('PTA-Hi'!N32)=FALSE,'PTA-Hi'!N32,""),IF(CostScenario="Lower cost",IF(ISBLANK('PTA-Lo'!N32)=FALSE,'PTA-Lo'!N32,""),IF(ISBLANK('PTA-Mid'!N32)=FALSE,'PTA-Mid'!N32,"")))</f>
        <v>12</v>
      </c>
      <c r="O32" s="857">
        <f>IF(CostScenario="Higher cost",IF(ISBLANK('PTA-Hi'!O32)=FALSE,'PTA-Hi'!O32,""),IF(CostScenario="Lower cost",IF(ISBLANK('PTA-Lo'!O32)=FALSE,'PTA-Lo'!O32,""),IF(ISBLANK('PTA-Mid'!O32)=FALSE,'PTA-Mid'!O32,"")))</f>
        <v>12</v>
      </c>
      <c r="P32" s="857">
        <f>IF(CostScenario="Higher cost",IF(ISBLANK('PTA-Hi'!P32)=FALSE,'PTA-Hi'!P32,""),IF(CostScenario="Lower cost",IF(ISBLANK('PTA-Lo'!P32)=FALSE,'PTA-Lo'!P32,""),IF(ISBLANK('PTA-Mid'!P32)=FALSE,'PTA-Mid'!P32,"")))</f>
        <v>12</v>
      </c>
      <c r="Q32" s="857">
        <f>IF(CostScenario="Higher cost",IF(ISBLANK('PTA-Hi'!Q32)=FALSE,'PTA-Hi'!Q32,""),IF(CostScenario="Lower cost",IF(ISBLANK('PTA-Lo'!Q32)=FALSE,'PTA-Lo'!Q32,""),IF(ISBLANK('PTA-Mid'!Q32)=FALSE,'PTA-Mid'!Q32,"")))</f>
        <v>12</v>
      </c>
      <c r="R32" s="857">
        <f>IF(CostScenario="Higher cost",IF(ISBLANK('PTA-Hi'!R32)=FALSE,'PTA-Hi'!R32,""),IF(CostScenario="Lower cost",IF(ISBLANK('PTA-Lo'!R32)=FALSE,'PTA-Lo'!R32,""),IF(ISBLANK('PTA-Mid'!R32)=FALSE,'PTA-Mid'!R32,"")))</f>
        <v>12</v>
      </c>
      <c r="S32" s="857">
        <f>IF(CostScenario="Higher cost",IF(ISBLANK('PTA-Hi'!S32)=FALSE,'PTA-Hi'!S32,""),IF(CostScenario="Lower cost",IF(ISBLANK('PTA-Lo'!S32)=FALSE,'PTA-Lo'!S32,""),IF(ISBLANK('PTA-Mid'!S32)=FALSE,'PTA-Mid'!S32,"")))</f>
        <v>12</v>
      </c>
      <c r="T32" s="857">
        <f>IF(CostScenario="Higher cost",IF(ISBLANK('PTA-Hi'!T32)=FALSE,'PTA-Hi'!T32,""),IF(CostScenario="Lower cost",IF(ISBLANK('PTA-Lo'!T32)=FALSE,'PTA-Lo'!T32,""),IF(ISBLANK('PTA-Mid'!T32)=FALSE,'PTA-Mid'!T32,"")))</f>
        <v>12</v>
      </c>
      <c r="U32" s="857">
        <f>IF(CostScenario="Higher cost",IF(ISBLANK('PTA-Hi'!U32)=FALSE,'PTA-Hi'!U32,""),IF(CostScenario="Lower cost",IF(ISBLANK('PTA-Lo'!U32)=FALSE,'PTA-Lo'!U32,""),IF(ISBLANK('PTA-Mid'!U32)=FALSE,'PTA-Mid'!U32,"")))</f>
        <v>12</v>
      </c>
      <c r="V32" s="857">
        <f>IF(CostScenario="Higher cost",IF(ISBLANK('PTA-Hi'!V32)=FALSE,'PTA-Hi'!V32,""),IF(CostScenario="Lower cost",IF(ISBLANK('PTA-Lo'!V32)=FALSE,'PTA-Lo'!V32,""),IF(ISBLANK('PTA-Mid'!V32)=FALSE,'PTA-Mid'!V32,"")))</f>
        <v>12</v>
      </c>
      <c r="W32" s="857"/>
      <c r="X32" s="857"/>
      <c r="Z32" s="279"/>
      <c r="AA32" s="279"/>
    </row>
    <row r="33" spans="1:36" s="218" customFormat="1">
      <c r="A33" s="911" t="s">
        <v>1191</v>
      </c>
      <c r="B33" s="912" t="s">
        <v>694</v>
      </c>
      <c r="C33" s="913" t="s">
        <v>1333</v>
      </c>
      <c r="D33" s="857">
        <f>IF(CostScenario="Higher cost",IF(ISBLANK('PTA-Hi'!D33)=FALSE,'PTA-Hi'!D33,""),IF(CostScenario="Lower cost",IF(ISBLANK('PTA-Lo'!D33)=FALSE,'PTA-Lo'!D33,""),IF(ISBLANK('PTA-Mid'!D33)=FALSE,'PTA-Mid'!D33,"")))</f>
        <v>0</v>
      </c>
      <c r="E33" s="857">
        <f>IF(CostScenario="Higher cost",IF(ISBLANK('PTA-Hi'!E33)=FALSE,'PTA-Hi'!E33,""),IF(CostScenario="Lower cost",IF(ISBLANK('PTA-Lo'!E33)=FALSE,'PTA-Lo'!E33,""),IF(ISBLANK('PTA-Mid'!E33)=FALSE,'PTA-Mid'!E33,"")))</f>
        <v>0</v>
      </c>
      <c r="F33" s="857">
        <f>IF(CostScenario="Higher cost",IF(ISBLANK('PTA-Hi'!F33)=FALSE,'PTA-Hi'!F33,""),IF(CostScenario="Lower cost",IF(ISBLANK('PTA-Lo'!F33)=FALSE,'PTA-Lo'!F33,""),IF(ISBLANK('PTA-Mid'!F33)=FALSE,'PTA-Mid'!F33,"")))</f>
        <v>3</v>
      </c>
      <c r="G33" s="857">
        <f>IF(CostScenario="Higher cost",IF(ISBLANK('PTA-Hi'!G33)=FALSE,'PTA-Hi'!G33,""),IF(CostScenario="Lower cost",IF(ISBLANK('PTA-Lo'!G33)=FALSE,'PTA-Lo'!G33,""),IF(ISBLANK('PTA-Mid'!G33)=FALSE,'PTA-Mid'!G33,"")))</f>
        <v>12</v>
      </c>
      <c r="H33" s="857">
        <f>IF(CostScenario="Higher cost",IF(ISBLANK('PTA-Hi'!H33)=FALSE,'PTA-Hi'!H33,""),IF(CostScenario="Lower cost",IF(ISBLANK('PTA-Lo'!H33)=FALSE,'PTA-Lo'!H33,""),IF(ISBLANK('PTA-Mid'!H33)=FALSE,'PTA-Mid'!H33,"")))</f>
        <v>12</v>
      </c>
      <c r="I33" s="857">
        <f>IF(CostScenario="Higher cost",IF(ISBLANK('PTA-Hi'!I33)=FALSE,'PTA-Hi'!I33,""),IF(CostScenario="Lower cost",IF(ISBLANK('PTA-Lo'!I33)=FALSE,'PTA-Lo'!I33,""),IF(ISBLANK('PTA-Mid'!I33)=FALSE,'PTA-Mid'!I33,"")))</f>
        <v>12</v>
      </c>
      <c r="J33" s="857">
        <f>IF(CostScenario="Higher cost",IF(ISBLANK('PTA-Hi'!J33)=FALSE,'PTA-Hi'!J33,""),IF(CostScenario="Lower cost",IF(ISBLANK('PTA-Lo'!J33)=FALSE,'PTA-Lo'!J33,""),IF(ISBLANK('PTA-Mid'!J33)=FALSE,'PTA-Mid'!J33,"")))</f>
        <v>12</v>
      </c>
      <c r="K33" s="857">
        <f>IF(CostScenario="Higher cost",IF(ISBLANK('PTA-Hi'!K33)=FALSE,'PTA-Hi'!K33,""),IF(CostScenario="Lower cost",IF(ISBLANK('PTA-Lo'!K33)=FALSE,'PTA-Lo'!K33,""),IF(ISBLANK('PTA-Mid'!K33)=FALSE,'PTA-Mid'!K33,"")))</f>
        <v>12</v>
      </c>
      <c r="L33" s="857">
        <f>IF(CostScenario="Higher cost",IF(ISBLANK('PTA-Hi'!L33)=FALSE,'PTA-Hi'!L33,""),IF(CostScenario="Lower cost",IF(ISBLANK('PTA-Lo'!L33)=FALSE,'PTA-Lo'!L33,""),IF(ISBLANK('PTA-Mid'!L33)=FALSE,'PTA-Mid'!L33,"")))</f>
        <v>12</v>
      </c>
      <c r="M33" s="857">
        <f>IF(CostScenario="Higher cost",IF(ISBLANK('PTA-Hi'!M33)=FALSE,'PTA-Hi'!M33,""),IF(CostScenario="Lower cost",IF(ISBLANK('PTA-Lo'!M33)=FALSE,'PTA-Lo'!M33,""),IF(ISBLANK('PTA-Mid'!M33)=FALSE,'PTA-Mid'!M33,"")))</f>
        <v>12</v>
      </c>
      <c r="N33" s="857">
        <f>IF(CostScenario="Higher cost",IF(ISBLANK('PTA-Hi'!N33)=FALSE,'PTA-Hi'!N33,""),IF(CostScenario="Lower cost",IF(ISBLANK('PTA-Lo'!N33)=FALSE,'PTA-Lo'!N33,""),IF(ISBLANK('PTA-Mid'!N33)=FALSE,'PTA-Mid'!N33,"")))</f>
        <v>12</v>
      </c>
      <c r="O33" s="857">
        <f>IF(CostScenario="Higher cost",IF(ISBLANK('PTA-Hi'!O33)=FALSE,'PTA-Hi'!O33,""),IF(CostScenario="Lower cost",IF(ISBLANK('PTA-Lo'!O33)=FALSE,'PTA-Lo'!O33,""),IF(ISBLANK('PTA-Mid'!O33)=FALSE,'PTA-Mid'!O33,"")))</f>
        <v>12</v>
      </c>
      <c r="P33" s="857">
        <f>IF(CostScenario="Higher cost",IF(ISBLANK('PTA-Hi'!P33)=FALSE,'PTA-Hi'!P33,""),IF(CostScenario="Lower cost",IF(ISBLANK('PTA-Lo'!P33)=FALSE,'PTA-Lo'!P33,""),IF(ISBLANK('PTA-Mid'!P33)=FALSE,'PTA-Mid'!P33,"")))</f>
        <v>12</v>
      </c>
      <c r="Q33" s="857">
        <f>IF(CostScenario="Higher cost",IF(ISBLANK('PTA-Hi'!Q33)=FALSE,'PTA-Hi'!Q33,""),IF(CostScenario="Lower cost",IF(ISBLANK('PTA-Lo'!Q33)=FALSE,'PTA-Lo'!Q33,""),IF(ISBLANK('PTA-Mid'!Q33)=FALSE,'PTA-Mid'!Q33,"")))</f>
        <v>0</v>
      </c>
      <c r="R33" s="857">
        <f>IF(CostScenario="Higher cost",IF(ISBLANK('PTA-Hi'!R33)=FALSE,'PTA-Hi'!R33,""),IF(CostScenario="Lower cost",IF(ISBLANK('PTA-Lo'!R33)=FALSE,'PTA-Lo'!R33,""),IF(ISBLANK('PTA-Mid'!R33)=FALSE,'PTA-Mid'!R33,"")))</f>
        <v>0</v>
      </c>
      <c r="S33" s="857">
        <f>IF(CostScenario="Higher cost",IF(ISBLANK('PTA-Hi'!S33)=FALSE,'PTA-Hi'!S33,""),IF(CostScenario="Lower cost",IF(ISBLANK('PTA-Lo'!S33)=FALSE,'PTA-Lo'!S33,""),IF(ISBLANK('PTA-Mid'!S33)=FALSE,'PTA-Mid'!S33,"")))</f>
        <v>0</v>
      </c>
      <c r="T33" s="857">
        <f>IF(CostScenario="Higher cost",IF(ISBLANK('PTA-Hi'!T33)=FALSE,'PTA-Hi'!T33,""),IF(CostScenario="Lower cost",IF(ISBLANK('PTA-Lo'!T33)=FALSE,'PTA-Lo'!T33,""),IF(ISBLANK('PTA-Mid'!T33)=FALSE,'PTA-Mid'!T33,"")))</f>
        <v>0</v>
      </c>
      <c r="U33" s="857">
        <f>IF(CostScenario="Higher cost",IF(ISBLANK('PTA-Hi'!U33)=FALSE,'PTA-Hi'!U33,""),IF(CostScenario="Lower cost",IF(ISBLANK('PTA-Lo'!U33)=FALSE,'PTA-Lo'!U33,""),IF(ISBLANK('PTA-Mid'!U33)=FALSE,'PTA-Mid'!U33,"")))</f>
        <v>6</v>
      </c>
      <c r="V33" s="857">
        <f>IF(CostScenario="Higher cost",IF(ISBLANK('PTA-Hi'!V33)=FALSE,'PTA-Hi'!V33,""),IF(CostScenario="Lower cost",IF(ISBLANK('PTA-Lo'!V33)=FALSE,'PTA-Lo'!V33,""),IF(ISBLANK('PTA-Mid'!V33)=FALSE,'PTA-Mid'!V33,"")))</f>
        <v>6</v>
      </c>
      <c r="W33" s="857"/>
      <c r="X33" s="857"/>
      <c r="Z33" s="279"/>
      <c r="AA33" s="279"/>
    </row>
    <row r="34" spans="1:36" s="218" customFormat="1">
      <c r="A34" s="911" t="s">
        <v>1192</v>
      </c>
      <c r="B34" s="912" t="s">
        <v>695</v>
      </c>
      <c r="C34" s="913" t="s">
        <v>1334</v>
      </c>
      <c r="D34" s="857">
        <f>IF(CostScenario="Higher cost",IF(ISBLANK('PTA-Hi'!D34)=FALSE,'PTA-Hi'!D34,""),IF(CostScenario="Lower cost",IF(ISBLANK('PTA-Lo'!D34)=FALSE,'PTA-Lo'!D34,""),IF(ISBLANK('PTA-Mid'!D34)=FALSE,'PTA-Mid'!D34,"")))</f>
        <v>0</v>
      </c>
      <c r="E34" s="857">
        <f>IF(CostScenario="Higher cost",IF(ISBLANK('PTA-Hi'!E34)=FALSE,'PTA-Hi'!E34,""),IF(CostScenario="Lower cost",IF(ISBLANK('PTA-Lo'!E34)=FALSE,'PTA-Lo'!E34,""),IF(ISBLANK('PTA-Mid'!E34)=FALSE,'PTA-Mid'!E34,"")))</f>
        <v>0</v>
      </c>
      <c r="F34" s="857">
        <f>IF(CostScenario="Higher cost",IF(ISBLANK('PTA-Hi'!F34)=FALSE,'PTA-Hi'!F34,""),IF(CostScenario="Lower cost",IF(ISBLANK('PTA-Lo'!F34)=FALSE,'PTA-Lo'!F34,""),IF(ISBLANK('PTA-Mid'!F34)=FALSE,'PTA-Mid'!F34,"")))</f>
        <v>0</v>
      </c>
      <c r="G34" s="857">
        <f>IF(CostScenario="Higher cost",IF(ISBLANK('PTA-Hi'!G34)=FALSE,'PTA-Hi'!G34,""),IF(CostScenario="Lower cost",IF(ISBLANK('PTA-Lo'!G34)=FALSE,'PTA-Lo'!G34,""),IF(ISBLANK('PTA-Mid'!G34)=FALSE,'PTA-Mid'!G34,"")))</f>
        <v>0</v>
      </c>
      <c r="H34" s="857">
        <f>IF(CostScenario="Higher cost",IF(ISBLANK('PTA-Hi'!H34)=FALSE,'PTA-Hi'!H34,""),IF(CostScenario="Lower cost",IF(ISBLANK('PTA-Lo'!H34)=FALSE,'PTA-Lo'!H34,""),IF(ISBLANK('PTA-Mid'!H34)=FALSE,'PTA-Mid'!H34,"")))</f>
        <v>0</v>
      </c>
      <c r="I34" s="857">
        <f>IF(CostScenario="Higher cost",IF(ISBLANK('PTA-Hi'!I34)=FALSE,'PTA-Hi'!I34,""),IF(CostScenario="Lower cost",IF(ISBLANK('PTA-Lo'!I34)=FALSE,'PTA-Lo'!I34,""),IF(ISBLANK('PTA-Mid'!I34)=FALSE,'PTA-Mid'!I34,"")))</f>
        <v>12</v>
      </c>
      <c r="J34" s="857">
        <f>IF(CostScenario="Higher cost",IF(ISBLANK('PTA-Hi'!J34)=FALSE,'PTA-Hi'!J34,""),IF(CostScenario="Lower cost",IF(ISBLANK('PTA-Lo'!J34)=FALSE,'PTA-Lo'!J34,""),IF(ISBLANK('PTA-Mid'!J34)=FALSE,'PTA-Mid'!J34,"")))</f>
        <v>12</v>
      </c>
      <c r="K34" s="857">
        <f>IF(CostScenario="Higher cost",IF(ISBLANK('PTA-Hi'!K34)=FALSE,'PTA-Hi'!K34,""),IF(CostScenario="Lower cost",IF(ISBLANK('PTA-Lo'!K34)=FALSE,'PTA-Lo'!K34,""),IF(ISBLANK('PTA-Mid'!K34)=FALSE,'PTA-Mid'!K34,"")))</f>
        <v>12</v>
      </c>
      <c r="L34" s="857">
        <f>IF(CostScenario="Higher cost",IF(ISBLANK('PTA-Hi'!L34)=FALSE,'PTA-Hi'!L34,""),IF(CostScenario="Lower cost",IF(ISBLANK('PTA-Lo'!L34)=FALSE,'PTA-Lo'!L34,""),IF(ISBLANK('PTA-Mid'!L34)=FALSE,'PTA-Mid'!L34,"")))</f>
        <v>0</v>
      </c>
      <c r="M34" s="857">
        <f>IF(CostScenario="Higher cost",IF(ISBLANK('PTA-Hi'!M34)=FALSE,'PTA-Hi'!M34,""),IF(CostScenario="Lower cost",IF(ISBLANK('PTA-Lo'!M34)=FALSE,'PTA-Lo'!M34,""),IF(ISBLANK('PTA-Mid'!M34)=FALSE,'PTA-Mid'!M34,"")))</f>
        <v>0</v>
      </c>
      <c r="N34" s="857">
        <f>IF(CostScenario="Higher cost",IF(ISBLANK('PTA-Hi'!N34)=FALSE,'PTA-Hi'!N34,""),IF(CostScenario="Lower cost",IF(ISBLANK('PTA-Lo'!N34)=FALSE,'PTA-Lo'!N34,""),IF(ISBLANK('PTA-Mid'!N34)=FALSE,'PTA-Mid'!N34,"")))</f>
        <v>0</v>
      </c>
      <c r="O34" s="857">
        <f>IF(CostScenario="Higher cost",IF(ISBLANK('PTA-Hi'!O34)=FALSE,'PTA-Hi'!O34,""),IF(CostScenario="Lower cost",IF(ISBLANK('PTA-Lo'!O34)=FALSE,'PTA-Lo'!O34,""),IF(ISBLANK('PTA-Mid'!O34)=FALSE,'PTA-Mid'!O34,"")))</f>
        <v>0</v>
      </c>
      <c r="P34" s="857">
        <f>IF(CostScenario="Higher cost",IF(ISBLANK('PTA-Hi'!P34)=FALSE,'PTA-Hi'!P34,""),IF(CostScenario="Lower cost",IF(ISBLANK('PTA-Lo'!P34)=FALSE,'PTA-Lo'!P34,""),IF(ISBLANK('PTA-Mid'!P34)=FALSE,'PTA-Mid'!P34,"")))</f>
        <v>0</v>
      </c>
      <c r="Q34" s="857">
        <f>IF(CostScenario="Higher cost",IF(ISBLANK('PTA-Hi'!Q34)=FALSE,'PTA-Hi'!Q34,""),IF(CostScenario="Lower cost",IF(ISBLANK('PTA-Lo'!Q34)=FALSE,'PTA-Lo'!Q34,""),IF(ISBLANK('PTA-Mid'!Q34)=FALSE,'PTA-Mid'!Q34,"")))</f>
        <v>0</v>
      </c>
      <c r="R34" s="857">
        <f>IF(CostScenario="Higher cost",IF(ISBLANK('PTA-Hi'!R34)=FALSE,'PTA-Hi'!R34,""),IF(CostScenario="Lower cost",IF(ISBLANK('PTA-Lo'!R34)=FALSE,'PTA-Lo'!R34,""),IF(ISBLANK('PTA-Mid'!R34)=FALSE,'PTA-Mid'!R34,"")))</f>
        <v>0</v>
      </c>
      <c r="S34" s="857">
        <f>IF(CostScenario="Higher cost",IF(ISBLANK('PTA-Hi'!S34)=FALSE,'PTA-Hi'!S34,""),IF(CostScenario="Lower cost",IF(ISBLANK('PTA-Lo'!S34)=FALSE,'PTA-Lo'!S34,""),IF(ISBLANK('PTA-Mid'!S34)=FALSE,'PTA-Mid'!S34,"")))</f>
        <v>0</v>
      </c>
      <c r="T34" s="857">
        <f>IF(CostScenario="Higher cost",IF(ISBLANK('PTA-Hi'!T34)=FALSE,'PTA-Hi'!T34,""),IF(CostScenario="Lower cost",IF(ISBLANK('PTA-Lo'!T34)=FALSE,'PTA-Lo'!T34,""),IF(ISBLANK('PTA-Mid'!T34)=FALSE,'PTA-Mid'!T34,"")))</f>
        <v>0</v>
      </c>
      <c r="U34" s="857">
        <f>IF(CostScenario="Higher cost",IF(ISBLANK('PTA-Hi'!U34)=FALSE,'PTA-Hi'!U34,""),IF(CostScenario="Lower cost",IF(ISBLANK('PTA-Lo'!U34)=FALSE,'PTA-Lo'!U34,""),IF(ISBLANK('PTA-Mid'!U34)=FALSE,'PTA-Mid'!U34,"")))</f>
        <v>0</v>
      </c>
      <c r="V34" s="857">
        <f>IF(CostScenario="Higher cost",IF(ISBLANK('PTA-Hi'!V34)=FALSE,'PTA-Hi'!V34,""),IF(CostScenario="Lower cost",IF(ISBLANK('PTA-Lo'!V34)=FALSE,'PTA-Lo'!V34,""),IF(ISBLANK('PTA-Mid'!V34)=FALSE,'PTA-Mid'!V34,"")))</f>
        <v>0</v>
      </c>
      <c r="W34" s="857"/>
      <c r="X34" s="857"/>
      <c r="Z34" s="279"/>
      <c r="AA34" s="279"/>
    </row>
    <row r="35" spans="1:36" s="218" customFormat="1">
      <c r="A35" s="911" t="s">
        <v>1193</v>
      </c>
      <c r="B35" s="912" t="s">
        <v>696</v>
      </c>
      <c r="C35" s="913" t="s">
        <v>1335</v>
      </c>
      <c r="D35" s="857">
        <f>IF(CostScenario="Higher cost",IF(ISBLANK('PTA-Hi'!D35)=FALSE,'PTA-Hi'!D35,""),IF(CostScenario="Lower cost",IF(ISBLANK('PTA-Lo'!D35)=FALSE,'PTA-Lo'!D35,""),IF(ISBLANK('PTA-Mid'!D35)=FALSE,'PTA-Mid'!D35,"")))</f>
        <v>0</v>
      </c>
      <c r="E35" s="857">
        <f>IF(CostScenario="Higher cost",IF(ISBLANK('PTA-Hi'!E35)=FALSE,'PTA-Hi'!E35,""),IF(CostScenario="Lower cost",IF(ISBLANK('PTA-Lo'!E35)=FALSE,'PTA-Lo'!E35,""),IF(ISBLANK('PTA-Mid'!E35)=FALSE,'PTA-Mid'!E35,"")))</f>
        <v>0</v>
      </c>
      <c r="F35" s="857">
        <f>IF(CostScenario="Higher cost",IF(ISBLANK('PTA-Hi'!F35)=FALSE,'PTA-Hi'!F35,""),IF(CostScenario="Lower cost",IF(ISBLANK('PTA-Lo'!F35)=FALSE,'PTA-Lo'!F35,""),IF(ISBLANK('PTA-Mid'!F35)=FALSE,'PTA-Mid'!F35,"")))</f>
        <v>0</v>
      </c>
      <c r="G35" s="857">
        <f>IF(CostScenario="Higher cost",IF(ISBLANK('PTA-Hi'!G35)=FALSE,'PTA-Hi'!G35,""),IF(CostScenario="Lower cost",IF(ISBLANK('PTA-Lo'!G35)=FALSE,'PTA-Lo'!G35,""),IF(ISBLANK('PTA-Mid'!G35)=FALSE,'PTA-Mid'!G35,"")))</f>
        <v>0</v>
      </c>
      <c r="H35" s="857">
        <f>IF(CostScenario="Higher cost",IF(ISBLANK('PTA-Hi'!H35)=FALSE,'PTA-Hi'!H35,""),IF(CostScenario="Lower cost",IF(ISBLANK('PTA-Lo'!H35)=FALSE,'PTA-Lo'!H35,""),IF(ISBLANK('PTA-Mid'!H35)=FALSE,'PTA-Mid'!H35,"")))</f>
        <v>0</v>
      </c>
      <c r="I35" s="857">
        <f>IF(CostScenario="Higher cost",IF(ISBLANK('PTA-Hi'!I35)=FALSE,'PTA-Hi'!I35,""),IF(CostScenario="Lower cost",IF(ISBLANK('PTA-Lo'!I35)=FALSE,'PTA-Lo'!I35,""),IF(ISBLANK('PTA-Mid'!I35)=FALSE,'PTA-Mid'!I35,"")))</f>
        <v>0</v>
      </c>
      <c r="J35" s="857">
        <f>IF(CostScenario="Higher cost",IF(ISBLANK('PTA-Hi'!J35)=FALSE,'PTA-Hi'!J35,""),IF(CostScenario="Lower cost",IF(ISBLANK('PTA-Lo'!J35)=FALSE,'PTA-Lo'!J35,""),IF(ISBLANK('PTA-Mid'!J35)=FALSE,'PTA-Mid'!J35,"")))</f>
        <v>12</v>
      </c>
      <c r="K35" s="857">
        <f>IF(CostScenario="Higher cost",IF(ISBLANK('PTA-Hi'!K35)=FALSE,'PTA-Hi'!K35,""),IF(CostScenario="Lower cost",IF(ISBLANK('PTA-Lo'!K35)=FALSE,'PTA-Lo'!K35,""),IF(ISBLANK('PTA-Mid'!K35)=FALSE,'PTA-Mid'!K35,"")))</f>
        <v>12</v>
      </c>
      <c r="L35" s="857">
        <f>IF(CostScenario="Higher cost",IF(ISBLANK('PTA-Hi'!L35)=FALSE,'PTA-Hi'!L35,""),IF(CostScenario="Lower cost",IF(ISBLANK('PTA-Lo'!L35)=FALSE,'PTA-Lo'!L35,""),IF(ISBLANK('PTA-Mid'!L35)=FALSE,'PTA-Mid'!L35,"")))</f>
        <v>0</v>
      </c>
      <c r="M35" s="857">
        <f>IF(CostScenario="Higher cost",IF(ISBLANK('PTA-Hi'!M35)=FALSE,'PTA-Hi'!M35,""),IF(CostScenario="Lower cost",IF(ISBLANK('PTA-Lo'!M35)=FALSE,'PTA-Lo'!M35,""),IF(ISBLANK('PTA-Mid'!M35)=FALSE,'PTA-Mid'!M35,"")))</f>
        <v>0</v>
      </c>
      <c r="N35" s="857">
        <f>IF(CostScenario="Higher cost",IF(ISBLANK('PTA-Hi'!N35)=FALSE,'PTA-Hi'!N35,""),IF(CostScenario="Lower cost",IF(ISBLANK('PTA-Lo'!N35)=FALSE,'PTA-Lo'!N35,""),IF(ISBLANK('PTA-Mid'!N35)=FALSE,'PTA-Mid'!N35,"")))</f>
        <v>0</v>
      </c>
      <c r="O35" s="857">
        <f>IF(CostScenario="Higher cost",IF(ISBLANK('PTA-Hi'!O35)=FALSE,'PTA-Hi'!O35,""),IF(CostScenario="Lower cost",IF(ISBLANK('PTA-Lo'!O35)=FALSE,'PTA-Lo'!O35,""),IF(ISBLANK('PTA-Mid'!O35)=FALSE,'PTA-Mid'!O35,"")))</f>
        <v>0</v>
      </c>
      <c r="P35" s="857">
        <f>IF(CostScenario="Higher cost",IF(ISBLANK('PTA-Hi'!P35)=FALSE,'PTA-Hi'!P35,""),IF(CostScenario="Lower cost",IF(ISBLANK('PTA-Lo'!P35)=FALSE,'PTA-Lo'!P35,""),IF(ISBLANK('PTA-Mid'!P35)=FALSE,'PTA-Mid'!P35,"")))</f>
        <v>0</v>
      </c>
      <c r="Q35" s="857">
        <f>IF(CostScenario="Higher cost",IF(ISBLANK('PTA-Hi'!Q35)=FALSE,'PTA-Hi'!Q35,""),IF(CostScenario="Lower cost",IF(ISBLANK('PTA-Lo'!Q35)=FALSE,'PTA-Lo'!Q35,""),IF(ISBLANK('PTA-Mid'!Q35)=FALSE,'PTA-Mid'!Q35,"")))</f>
        <v>0</v>
      </c>
      <c r="R35" s="857">
        <f>IF(CostScenario="Higher cost",IF(ISBLANK('PTA-Hi'!R35)=FALSE,'PTA-Hi'!R35,""),IF(CostScenario="Lower cost",IF(ISBLANK('PTA-Lo'!R35)=FALSE,'PTA-Lo'!R35,""),IF(ISBLANK('PTA-Mid'!R35)=FALSE,'PTA-Mid'!R35,"")))</f>
        <v>0</v>
      </c>
      <c r="S35" s="857">
        <f>IF(CostScenario="Higher cost",IF(ISBLANK('PTA-Hi'!S35)=FALSE,'PTA-Hi'!S35,""),IF(CostScenario="Lower cost",IF(ISBLANK('PTA-Lo'!S35)=FALSE,'PTA-Lo'!S35,""),IF(ISBLANK('PTA-Mid'!S35)=FALSE,'PTA-Mid'!S35,"")))</f>
        <v>0</v>
      </c>
      <c r="T35" s="857">
        <f>IF(CostScenario="Higher cost",IF(ISBLANK('PTA-Hi'!T35)=FALSE,'PTA-Hi'!T35,""),IF(CostScenario="Lower cost",IF(ISBLANK('PTA-Lo'!T35)=FALSE,'PTA-Lo'!T35,""),IF(ISBLANK('PTA-Mid'!T35)=FALSE,'PTA-Mid'!T35,"")))</f>
        <v>0</v>
      </c>
      <c r="U35" s="857">
        <f>IF(CostScenario="Higher cost",IF(ISBLANK('PTA-Hi'!U35)=FALSE,'PTA-Hi'!U35,""),IF(CostScenario="Lower cost",IF(ISBLANK('PTA-Lo'!U35)=FALSE,'PTA-Lo'!U35,""),IF(ISBLANK('PTA-Mid'!U35)=FALSE,'PTA-Mid'!U35,"")))</f>
        <v>0</v>
      </c>
      <c r="V35" s="857">
        <f>IF(CostScenario="Higher cost",IF(ISBLANK('PTA-Hi'!V35)=FALSE,'PTA-Hi'!V35,""),IF(CostScenario="Lower cost",IF(ISBLANK('PTA-Lo'!V35)=FALSE,'PTA-Lo'!V35,""),IF(ISBLANK('PTA-Mid'!V35)=FALSE,'PTA-Mid'!V35,"")))</f>
        <v>0</v>
      </c>
      <c r="W35" s="857"/>
      <c r="X35" s="857"/>
      <c r="Z35" s="279"/>
      <c r="AA35" s="279"/>
    </row>
    <row r="36" spans="1:36" s="218" customFormat="1">
      <c r="A36" s="911" t="s">
        <v>1194</v>
      </c>
      <c r="B36" s="912" t="s">
        <v>697</v>
      </c>
      <c r="C36" s="913" t="s">
        <v>1336</v>
      </c>
      <c r="D36" s="857">
        <f>IF(CostScenario="Higher cost",IF(ISBLANK('PTA-Hi'!D36)=FALSE,'PTA-Hi'!D36,""),IF(CostScenario="Lower cost",IF(ISBLANK('PTA-Lo'!D36)=FALSE,'PTA-Lo'!D36,""),IF(ISBLANK('PTA-Mid'!D36)=FALSE,'PTA-Mid'!D36,"")))</f>
        <v>0</v>
      </c>
      <c r="E36" s="857">
        <f>IF(CostScenario="Higher cost",IF(ISBLANK('PTA-Hi'!E36)=FALSE,'PTA-Hi'!E36,""),IF(CostScenario="Lower cost",IF(ISBLANK('PTA-Lo'!E36)=FALSE,'PTA-Lo'!E36,""),IF(ISBLANK('PTA-Mid'!E36)=FALSE,'PTA-Mid'!E36,"")))</f>
        <v>0</v>
      </c>
      <c r="F36" s="857">
        <f>IF(CostScenario="Higher cost",IF(ISBLANK('PTA-Hi'!F36)=FALSE,'PTA-Hi'!F36,""),IF(CostScenario="Lower cost",IF(ISBLANK('PTA-Lo'!F36)=FALSE,'PTA-Lo'!F36,""),IF(ISBLANK('PTA-Mid'!F36)=FALSE,'PTA-Mid'!F36,"")))</f>
        <v>0</v>
      </c>
      <c r="G36" s="857">
        <f>IF(CostScenario="Higher cost",IF(ISBLANK('PTA-Hi'!G36)=FALSE,'PTA-Hi'!G36,""),IF(CostScenario="Lower cost",IF(ISBLANK('PTA-Lo'!G36)=FALSE,'PTA-Lo'!G36,""),IF(ISBLANK('PTA-Mid'!G36)=FALSE,'PTA-Mid'!G36,"")))</f>
        <v>0</v>
      </c>
      <c r="H36" s="857">
        <f>IF(CostScenario="Higher cost",IF(ISBLANK('PTA-Hi'!H36)=FALSE,'PTA-Hi'!H36,""),IF(CostScenario="Lower cost",IF(ISBLANK('PTA-Lo'!H36)=FALSE,'PTA-Lo'!H36,""),IF(ISBLANK('PTA-Mid'!H36)=FALSE,'PTA-Mid'!H36,"")))</f>
        <v>0</v>
      </c>
      <c r="I36" s="857">
        <f>IF(CostScenario="Higher cost",IF(ISBLANK('PTA-Hi'!I36)=FALSE,'PTA-Hi'!I36,""),IF(CostScenario="Lower cost",IF(ISBLANK('PTA-Lo'!I36)=FALSE,'PTA-Lo'!I36,""),IF(ISBLANK('PTA-Mid'!I36)=FALSE,'PTA-Mid'!I36,"")))</f>
        <v>0</v>
      </c>
      <c r="J36" s="857">
        <f>IF(CostScenario="Higher cost",IF(ISBLANK('PTA-Hi'!J36)=FALSE,'PTA-Hi'!J36,""),IF(CostScenario="Lower cost",IF(ISBLANK('PTA-Lo'!J36)=FALSE,'PTA-Lo'!J36,""),IF(ISBLANK('PTA-Mid'!J36)=FALSE,'PTA-Mid'!J36,"")))</f>
        <v>12</v>
      </c>
      <c r="K36" s="857">
        <f>IF(CostScenario="Higher cost",IF(ISBLANK('PTA-Hi'!K36)=FALSE,'PTA-Hi'!K36,""),IF(CostScenario="Lower cost",IF(ISBLANK('PTA-Lo'!K36)=FALSE,'PTA-Lo'!K36,""),IF(ISBLANK('PTA-Mid'!K36)=FALSE,'PTA-Mid'!K36,"")))</f>
        <v>12</v>
      </c>
      <c r="L36" s="857">
        <f>IF(CostScenario="Higher cost",IF(ISBLANK('PTA-Hi'!L36)=FALSE,'PTA-Hi'!L36,""),IF(CostScenario="Lower cost",IF(ISBLANK('PTA-Lo'!L36)=FALSE,'PTA-Lo'!L36,""),IF(ISBLANK('PTA-Mid'!L36)=FALSE,'PTA-Mid'!L36,"")))</f>
        <v>0</v>
      </c>
      <c r="M36" s="857">
        <f>IF(CostScenario="Higher cost",IF(ISBLANK('PTA-Hi'!M36)=FALSE,'PTA-Hi'!M36,""),IF(CostScenario="Lower cost",IF(ISBLANK('PTA-Lo'!M36)=FALSE,'PTA-Lo'!M36,""),IF(ISBLANK('PTA-Mid'!M36)=FALSE,'PTA-Mid'!M36,"")))</f>
        <v>0</v>
      </c>
      <c r="N36" s="857">
        <f>IF(CostScenario="Higher cost",IF(ISBLANK('PTA-Hi'!N36)=FALSE,'PTA-Hi'!N36,""),IF(CostScenario="Lower cost",IF(ISBLANK('PTA-Lo'!N36)=FALSE,'PTA-Lo'!N36,""),IF(ISBLANK('PTA-Mid'!N36)=FALSE,'PTA-Mid'!N36,"")))</f>
        <v>0</v>
      </c>
      <c r="O36" s="857">
        <f>IF(CostScenario="Higher cost",IF(ISBLANK('PTA-Hi'!O36)=FALSE,'PTA-Hi'!O36,""),IF(CostScenario="Lower cost",IF(ISBLANK('PTA-Lo'!O36)=FALSE,'PTA-Lo'!O36,""),IF(ISBLANK('PTA-Mid'!O36)=FALSE,'PTA-Mid'!O36,"")))</f>
        <v>0</v>
      </c>
      <c r="P36" s="857">
        <f>IF(CostScenario="Higher cost",IF(ISBLANK('PTA-Hi'!P36)=FALSE,'PTA-Hi'!P36,""),IF(CostScenario="Lower cost",IF(ISBLANK('PTA-Lo'!P36)=FALSE,'PTA-Lo'!P36,""),IF(ISBLANK('PTA-Mid'!P36)=FALSE,'PTA-Mid'!P36,"")))</f>
        <v>0</v>
      </c>
      <c r="Q36" s="857">
        <f>IF(CostScenario="Higher cost",IF(ISBLANK('PTA-Hi'!Q36)=FALSE,'PTA-Hi'!Q36,""),IF(CostScenario="Lower cost",IF(ISBLANK('PTA-Lo'!Q36)=FALSE,'PTA-Lo'!Q36,""),IF(ISBLANK('PTA-Mid'!Q36)=FALSE,'PTA-Mid'!Q36,"")))</f>
        <v>0</v>
      </c>
      <c r="R36" s="857">
        <f>IF(CostScenario="Higher cost",IF(ISBLANK('PTA-Hi'!R36)=FALSE,'PTA-Hi'!R36,""),IF(CostScenario="Lower cost",IF(ISBLANK('PTA-Lo'!R36)=FALSE,'PTA-Lo'!R36,""),IF(ISBLANK('PTA-Mid'!R36)=FALSE,'PTA-Mid'!R36,"")))</f>
        <v>0</v>
      </c>
      <c r="S36" s="857">
        <f>IF(CostScenario="Higher cost",IF(ISBLANK('PTA-Hi'!S36)=FALSE,'PTA-Hi'!S36,""),IF(CostScenario="Lower cost",IF(ISBLANK('PTA-Lo'!S36)=FALSE,'PTA-Lo'!S36,""),IF(ISBLANK('PTA-Mid'!S36)=FALSE,'PTA-Mid'!S36,"")))</f>
        <v>0</v>
      </c>
      <c r="T36" s="857">
        <f>IF(CostScenario="Higher cost",IF(ISBLANK('PTA-Hi'!T36)=FALSE,'PTA-Hi'!T36,""),IF(CostScenario="Lower cost",IF(ISBLANK('PTA-Lo'!T36)=FALSE,'PTA-Lo'!T36,""),IF(ISBLANK('PTA-Mid'!T36)=FALSE,'PTA-Mid'!T36,"")))</f>
        <v>0</v>
      </c>
      <c r="U36" s="857">
        <f>IF(CostScenario="Higher cost",IF(ISBLANK('PTA-Hi'!U36)=FALSE,'PTA-Hi'!U36,""),IF(CostScenario="Lower cost",IF(ISBLANK('PTA-Lo'!U36)=FALSE,'PTA-Lo'!U36,""),IF(ISBLANK('PTA-Mid'!U36)=FALSE,'PTA-Mid'!U36,"")))</f>
        <v>0</v>
      </c>
      <c r="V36" s="857">
        <f>IF(CostScenario="Higher cost",IF(ISBLANK('PTA-Hi'!V36)=FALSE,'PTA-Hi'!V36,""),IF(CostScenario="Lower cost",IF(ISBLANK('PTA-Lo'!V36)=FALSE,'PTA-Lo'!V36,""),IF(ISBLANK('PTA-Mid'!V36)=FALSE,'PTA-Mid'!V36,"")))</f>
        <v>0</v>
      </c>
      <c r="W36" s="857"/>
      <c r="X36" s="857"/>
      <c r="Z36" s="279"/>
      <c r="AA36" s="279"/>
    </row>
    <row r="37" spans="1:36" s="218" customFormat="1">
      <c r="A37" s="911" t="s">
        <v>608</v>
      </c>
      <c r="B37" s="912" t="s">
        <v>697</v>
      </c>
      <c r="C37" s="913" t="s">
        <v>251</v>
      </c>
      <c r="D37" s="857">
        <f>IF(CostScenario="Higher cost",IF(ISBLANK('PTA-Hi'!D37)=FALSE,'PTA-Hi'!D37,""),IF(CostScenario="Lower cost",IF(ISBLANK('PTA-Lo'!D37)=FALSE,'PTA-Lo'!D37,""),IF(ISBLANK('PTA-Mid'!D37)=FALSE,'PTA-Mid'!D37,"")))</f>
        <v>0</v>
      </c>
      <c r="E37" s="857">
        <f>IF(CostScenario="Higher cost",IF(ISBLANK('PTA-Hi'!E37)=FALSE,'PTA-Hi'!E37,""),IF(CostScenario="Lower cost",IF(ISBLANK('PTA-Lo'!E37)=FALSE,'PTA-Lo'!E37,""),IF(ISBLANK('PTA-Mid'!E37)=FALSE,'PTA-Mid'!E37,"")))</f>
        <v>0</v>
      </c>
      <c r="F37" s="857">
        <f>IF(CostScenario="Higher cost",IF(ISBLANK('PTA-Hi'!F37)=FALSE,'PTA-Hi'!F37,""),IF(CostScenario="Lower cost",IF(ISBLANK('PTA-Lo'!F37)=FALSE,'PTA-Lo'!F37,""),IF(ISBLANK('PTA-Mid'!F37)=FALSE,'PTA-Mid'!F37,"")))</f>
        <v>0</v>
      </c>
      <c r="G37" s="857">
        <f>IF(CostScenario="Higher cost",IF(ISBLANK('PTA-Hi'!G37)=FALSE,'PTA-Hi'!G37,""),IF(CostScenario="Lower cost",IF(ISBLANK('PTA-Lo'!G37)=FALSE,'PTA-Lo'!G37,""),IF(ISBLANK('PTA-Mid'!G37)=FALSE,'PTA-Mid'!G37,"")))</f>
        <v>0</v>
      </c>
      <c r="H37" s="857">
        <f>IF(CostScenario="Higher cost",IF(ISBLANK('PTA-Hi'!H37)=FALSE,'PTA-Hi'!H37,""),IF(CostScenario="Lower cost",IF(ISBLANK('PTA-Lo'!H37)=FALSE,'PTA-Lo'!H37,""),IF(ISBLANK('PTA-Mid'!H37)=FALSE,'PTA-Mid'!H37,"")))</f>
        <v>0</v>
      </c>
      <c r="I37" s="857">
        <f>IF(CostScenario="Higher cost",IF(ISBLANK('PTA-Hi'!I37)=FALSE,'PTA-Hi'!I37,""),IF(CostScenario="Lower cost",IF(ISBLANK('PTA-Lo'!I37)=FALSE,'PTA-Lo'!I37,""),IF(ISBLANK('PTA-Mid'!I37)=FALSE,'PTA-Mid'!I37,"")))</f>
        <v>0</v>
      </c>
      <c r="J37" s="857">
        <f>IF(CostScenario="Higher cost",IF(ISBLANK('PTA-Hi'!J37)=FALSE,'PTA-Hi'!J37,""),IF(CostScenario="Lower cost",IF(ISBLANK('PTA-Lo'!J37)=FALSE,'PTA-Lo'!J37,""),IF(ISBLANK('PTA-Mid'!J37)=FALSE,'PTA-Mid'!J37,"")))</f>
        <v>24</v>
      </c>
      <c r="K37" s="857">
        <f>IF(CostScenario="Higher cost",IF(ISBLANK('PTA-Hi'!K37)=FALSE,'PTA-Hi'!K37,""),IF(CostScenario="Lower cost",IF(ISBLANK('PTA-Lo'!K37)=FALSE,'PTA-Lo'!K37,""),IF(ISBLANK('PTA-Mid'!K37)=FALSE,'PTA-Mid'!K37,"")))</f>
        <v>18</v>
      </c>
      <c r="L37" s="857">
        <f>IF(CostScenario="Higher cost",IF(ISBLANK('PTA-Hi'!L37)=FALSE,'PTA-Hi'!L37,""),IF(CostScenario="Lower cost",IF(ISBLANK('PTA-Lo'!L37)=FALSE,'PTA-Lo'!L37,""),IF(ISBLANK('PTA-Mid'!L37)=FALSE,'PTA-Mid'!L37,"")))</f>
        <v>0</v>
      </c>
      <c r="M37" s="857">
        <f>IF(CostScenario="Higher cost",IF(ISBLANK('PTA-Hi'!M37)=FALSE,'PTA-Hi'!M37,""),IF(CostScenario="Lower cost",IF(ISBLANK('PTA-Lo'!M37)=FALSE,'PTA-Lo'!M37,""),IF(ISBLANK('PTA-Mid'!M37)=FALSE,'PTA-Mid'!M37,"")))</f>
        <v>0</v>
      </c>
      <c r="N37" s="857">
        <f>IF(CostScenario="Higher cost",IF(ISBLANK('PTA-Hi'!N37)=FALSE,'PTA-Hi'!N37,""),IF(CostScenario="Lower cost",IF(ISBLANK('PTA-Lo'!N37)=FALSE,'PTA-Lo'!N37,""),IF(ISBLANK('PTA-Mid'!N37)=FALSE,'PTA-Mid'!N37,"")))</f>
        <v>0</v>
      </c>
      <c r="O37" s="857">
        <f>IF(CostScenario="Higher cost",IF(ISBLANK('PTA-Hi'!O37)=FALSE,'PTA-Hi'!O37,""),IF(CostScenario="Lower cost",IF(ISBLANK('PTA-Lo'!O37)=FALSE,'PTA-Lo'!O37,""),IF(ISBLANK('PTA-Mid'!O37)=FALSE,'PTA-Mid'!O37,"")))</f>
        <v>0</v>
      </c>
      <c r="P37" s="857">
        <f>IF(CostScenario="Higher cost",IF(ISBLANK('PTA-Hi'!P37)=FALSE,'PTA-Hi'!P37,""),IF(CostScenario="Lower cost",IF(ISBLANK('PTA-Lo'!P37)=FALSE,'PTA-Lo'!P37,""),IF(ISBLANK('PTA-Mid'!P37)=FALSE,'PTA-Mid'!P37,"")))</f>
        <v>0</v>
      </c>
      <c r="Q37" s="857">
        <f>IF(CostScenario="Higher cost",IF(ISBLANK('PTA-Hi'!Q37)=FALSE,'PTA-Hi'!Q37,""),IF(CostScenario="Lower cost",IF(ISBLANK('PTA-Lo'!Q37)=FALSE,'PTA-Lo'!Q37,""),IF(ISBLANK('PTA-Mid'!Q37)=FALSE,'PTA-Mid'!Q37,"")))</f>
        <v>0</v>
      </c>
      <c r="R37" s="857">
        <f>IF(CostScenario="Higher cost",IF(ISBLANK('PTA-Hi'!R37)=FALSE,'PTA-Hi'!R37,""),IF(CostScenario="Lower cost",IF(ISBLANK('PTA-Lo'!R37)=FALSE,'PTA-Lo'!R37,""),IF(ISBLANK('PTA-Mid'!R37)=FALSE,'PTA-Mid'!R37,"")))</f>
        <v>0</v>
      </c>
      <c r="S37" s="857">
        <f>IF(CostScenario="Higher cost",IF(ISBLANK('PTA-Hi'!S37)=FALSE,'PTA-Hi'!S37,""),IF(CostScenario="Lower cost",IF(ISBLANK('PTA-Lo'!S37)=FALSE,'PTA-Lo'!S37,""),IF(ISBLANK('PTA-Mid'!S37)=FALSE,'PTA-Mid'!S37,"")))</f>
        <v>0</v>
      </c>
      <c r="T37" s="857">
        <f>IF(CostScenario="Higher cost",IF(ISBLANK('PTA-Hi'!T37)=FALSE,'PTA-Hi'!T37,""),IF(CostScenario="Lower cost",IF(ISBLANK('PTA-Lo'!T37)=FALSE,'PTA-Lo'!T37,""),IF(ISBLANK('PTA-Mid'!T37)=FALSE,'PTA-Mid'!T37,"")))</f>
        <v>0</v>
      </c>
      <c r="U37" s="857">
        <f>IF(CostScenario="Higher cost",IF(ISBLANK('PTA-Hi'!U37)=FALSE,'PTA-Hi'!U37,""),IF(CostScenario="Lower cost",IF(ISBLANK('PTA-Lo'!U37)=FALSE,'PTA-Lo'!U37,""),IF(ISBLANK('PTA-Mid'!U37)=FALSE,'PTA-Mid'!U37,"")))</f>
        <v>0</v>
      </c>
      <c r="V37" s="857">
        <f>IF(CostScenario="Higher cost",IF(ISBLANK('PTA-Hi'!V37)=FALSE,'PTA-Hi'!V37,""),IF(CostScenario="Lower cost",IF(ISBLANK('PTA-Lo'!V37)=FALSE,'PTA-Lo'!V37,""),IF(ISBLANK('PTA-Mid'!V37)=FALSE,'PTA-Mid'!V37,"")))</f>
        <v>0</v>
      </c>
      <c r="W37" s="857"/>
      <c r="X37" s="857"/>
      <c r="Z37" s="279"/>
      <c r="AA37" s="279"/>
    </row>
    <row r="38" spans="1:36" s="218" customFormat="1">
      <c r="A38" s="856"/>
      <c r="B38" s="279"/>
      <c r="C38" s="86" t="s">
        <v>1290</v>
      </c>
      <c r="D38" s="857">
        <f>SUM(D32:D37)</f>
        <v>9</v>
      </c>
      <c r="E38" s="857">
        <f t="shared" ref="E38:V38" si="0">SUM(E32:E37)</f>
        <v>9</v>
      </c>
      <c r="F38" s="857">
        <f t="shared" si="0"/>
        <v>15</v>
      </c>
      <c r="G38" s="857">
        <f t="shared" si="0"/>
        <v>24</v>
      </c>
      <c r="H38" s="857">
        <f t="shared" si="0"/>
        <v>24</v>
      </c>
      <c r="I38" s="857">
        <f t="shared" si="0"/>
        <v>36</v>
      </c>
      <c r="J38" s="857">
        <f t="shared" si="0"/>
        <v>84</v>
      </c>
      <c r="K38" s="857">
        <f t="shared" si="0"/>
        <v>78</v>
      </c>
      <c r="L38" s="857">
        <f t="shared" si="0"/>
        <v>24</v>
      </c>
      <c r="M38" s="857">
        <f t="shared" si="0"/>
        <v>24</v>
      </c>
      <c r="N38" s="857">
        <f t="shared" si="0"/>
        <v>24</v>
      </c>
      <c r="O38" s="857">
        <f t="shared" si="0"/>
        <v>24</v>
      </c>
      <c r="P38" s="857">
        <f t="shared" si="0"/>
        <v>24</v>
      </c>
      <c r="Q38" s="857">
        <f t="shared" si="0"/>
        <v>12</v>
      </c>
      <c r="R38" s="857">
        <f t="shared" si="0"/>
        <v>12</v>
      </c>
      <c r="S38" s="857">
        <f t="shared" si="0"/>
        <v>12</v>
      </c>
      <c r="T38" s="857">
        <f t="shared" si="0"/>
        <v>12</v>
      </c>
      <c r="U38" s="857">
        <f t="shared" si="0"/>
        <v>18</v>
      </c>
      <c r="V38" s="857">
        <f t="shared" si="0"/>
        <v>18</v>
      </c>
      <c r="W38" s="857"/>
      <c r="X38" s="857"/>
      <c r="Z38" s="279"/>
      <c r="AA38" s="279"/>
    </row>
    <row r="39" spans="1:36" s="217" customFormat="1">
      <c r="A39" s="914"/>
      <c r="B39" s="914" t="s">
        <v>698</v>
      </c>
      <c r="C39" s="918" t="s">
        <v>1890</v>
      </c>
      <c r="D39" s="1512">
        <f>IF(CostScenario="Higher cost",IF(ISBLANK('PTA-Hi'!D39)=FALSE,'PTA-Hi'!D39,""),IF(CostScenario="Lower cost",IF(ISBLANK('PTA-Lo'!D39)=FALSE,'PTA-Lo'!D39,""),IF(ISBLANK('PTA-Mid'!D39)=FALSE,'PTA-Mid'!D39,"")))</f>
        <v>5.2943667937314698E-2</v>
      </c>
      <c r="E39" s="1512">
        <f>IF(CostScenario="Higher cost",IF(ISBLANK('PTA-Hi'!E39)=FALSE,'PTA-Hi'!E39,""),IF(CostScenario="Lower cost",IF(ISBLANK('PTA-Lo'!E39)=FALSE,'PTA-Lo'!E39,""),IF(ISBLANK('PTA-Mid'!E39)=FALSE,'PTA-Mid'!E39,"")))</f>
        <v>5.2153958485449049E-2</v>
      </c>
      <c r="F39" s="1512">
        <f>IF(CostScenario="Higher cost",IF(ISBLANK('PTA-Hi'!F39)=FALSE,'PTA-Hi'!F39,""),IF(CostScenario="Lower cost",IF(ISBLANK('PTA-Lo'!F39)=FALSE,'PTA-Lo'!F39,""),IF(ISBLANK('PTA-Mid'!F39)=FALSE,'PTA-Mid'!F39,"")))</f>
        <v>7.8230937728173577E-2</v>
      </c>
      <c r="G39" s="1512">
        <f>IF(CostScenario="Higher cost",IF(ISBLANK('PTA-Hi'!G39)=FALSE,'PTA-Hi'!G39,""),IF(CostScenario="Lower cost",IF(ISBLANK('PTA-Lo'!G39)=FALSE,'PTA-Lo'!G39,""),IF(ISBLANK('PTA-Mid'!G39)=FALSE,'PTA-Mid'!G39,"")))</f>
        <v>0.5830605564648117</v>
      </c>
      <c r="H39" s="1512">
        <f>IF(CostScenario="Higher cost",IF(ISBLANK('PTA-Hi'!H39)=FALSE,'PTA-Hi'!H39,""),IF(CostScenario="Lower cost",IF(ISBLANK('PTA-Lo'!H39)=FALSE,'PTA-Lo'!H39,""),IF(ISBLANK('PTA-Mid'!H39)=FALSE,'PTA-Mid'!H39,"")))</f>
        <v>0.5830605564648117</v>
      </c>
      <c r="I39" s="1512">
        <f>IF(CostScenario="Higher cost",IF(ISBLANK('PTA-Hi'!I39)=FALSE,'PTA-Hi'!I39,""),IF(CostScenario="Lower cost",IF(ISBLANK('PTA-Lo'!I39)=FALSE,'PTA-Lo'!I39,""),IF(ISBLANK('PTA-Mid'!I39)=FALSE,'PTA-Mid'!I39,"")))</f>
        <v>0.88681318681318688</v>
      </c>
      <c r="J39" s="1512">
        <f>IF(CostScenario="Higher cost",IF(ISBLANK('PTA-Hi'!J39)=FALSE,'PTA-Hi'!J39,""),IF(CostScenario="Lower cost",IF(ISBLANK('PTA-Lo'!J39)=FALSE,'PTA-Lo'!J39,""),IF(ISBLANK('PTA-Mid'!J39)=FALSE,'PTA-Mid'!J39,"")))</f>
        <v>0.87179487179487181</v>
      </c>
      <c r="K39" s="1512">
        <f>IF(CostScenario="Higher cost",IF(ISBLANK('PTA-Hi'!K39)=FALSE,'PTA-Hi'!K39,""),IF(CostScenario="Lower cost",IF(ISBLANK('PTA-Lo'!K39)=FALSE,'PTA-Lo'!K39,""),IF(ISBLANK('PTA-Mid'!K39)=FALSE,'PTA-Mid'!K39,"")))</f>
        <v>0.87179487179487181</v>
      </c>
      <c r="L39" s="988">
        <f>IF(CostScenario="Higher cost",IF(ISBLANK('PTA-Hi'!L39)=FALSE,'PTA-Hi'!L39,""),IF(CostScenario="Lower cost",IF(ISBLANK('PTA-Lo'!L39)=FALSE,'PTA-Lo'!L39,""),IF(ISBLANK('PTA-Mid'!L39)=FALSE,'PTA-Mid'!L39,"")))</f>
        <v>0.33166458072590743</v>
      </c>
      <c r="M39" s="988">
        <f>IF(CostScenario="Higher cost",IF(ISBLANK('PTA-Hi'!M39)=FALSE,'PTA-Hi'!M39,""),IF(CostScenario="Lower cost",IF(ISBLANK('PTA-Lo'!M39)=FALSE,'PTA-Lo'!M39,""),IF(ISBLANK('PTA-Mid'!M39)=FALSE,'PTA-Mid'!M39,"")))</f>
        <v>0.53817271589486859</v>
      </c>
      <c r="N39" s="988">
        <f>IF(CostScenario="Higher cost",IF(ISBLANK('PTA-Hi'!N39)=FALSE,'PTA-Hi'!N39,""),IF(CostScenario="Lower cost",IF(ISBLANK('PTA-Lo'!N39)=FALSE,'PTA-Lo'!N39,""),IF(ISBLANK('PTA-Mid'!N39)=FALSE,'PTA-Mid'!N39,"")))</f>
        <v>0.38798498122653319</v>
      </c>
      <c r="O39" s="988">
        <f>IF(CostScenario="Higher cost",IF(ISBLANK('PTA-Hi'!O39)=FALSE,'PTA-Hi'!O39,""),IF(CostScenario="Lower cost",IF(ISBLANK('PTA-Lo'!O39)=FALSE,'PTA-Lo'!O39,""),IF(ISBLANK('PTA-Mid'!O39)=FALSE,'PTA-Mid'!O39,"")))</f>
        <v>0.50062578222778487</v>
      </c>
      <c r="P39" s="988">
        <f>IF(CostScenario="Higher cost",IF(ISBLANK('PTA-Hi'!P39)=FALSE,'PTA-Hi'!P39,""),IF(CostScenario="Lower cost",IF(ISBLANK('PTA-Lo'!P39)=FALSE,'PTA-Lo'!P39,""),IF(ISBLANK('PTA-Mid'!P39)=FALSE,'PTA-Mid'!P39,"")))</f>
        <v>0.70087609511889881</v>
      </c>
      <c r="Q39" s="988">
        <f>IF(CostScenario="Higher cost",IF(ISBLANK('PTA-Hi'!Q39)=FALSE,'PTA-Hi'!Q39,""),IF(CostScenario="Lower cost",IF(ISBLANK('PTA-Lo'!Q39)=FALSE,'PTA-Lo'!Q39,""),IF(ISBLANK('PTA-Mid'!Q39)=FALSE,'PTA-Mid'!Q39,"")))</f>
        <v>0.28235294117647058</v>
      </c>
      <c r="R39" s="988">
        <f>IF(CostScenario="Higher cost",IF(ISBLANK('PTA-Hi'!R39)=FALSE,'PTA-Hi'!R39,""),IF(CostScenario="Lower cost",IF(ISBLANK('PTA-Lo'!R39)=FALSE,'PTA-Lo'!R39,""),IF(ISBLANK('PTA-Mid'!R39)=FALSE,'PTA-Mid'!R39,"")))</f>
        <v>0.3294117647058824</v>
      </c>
      <c r="S39" s="988">
        <f>IF(CostScenario="Higher cost",IF(ISBLANK('PTA-Hi'!S39)=FALSE,'PTA-Hi'!S39,""),IF(CostScenario="Lower cost",IF(ISBLANK('PTA-Lo'!S39)=FALSE,'PTA-Lo'!S39,""),IF(ISBLANK('PTA-Mid'!S39)=FALSE,'PTA-Mid'!S39,"")))</f>
        <v>0.28235294117647058</v>
      </c>
      <c r="T39" s="988">
        <f>IF(CostScenario="Higher cost",IF(ISBLANK('PTA-Hi'!T39)=FALSE,'PTA-Hi'!T39,""),IF(CostScenario="Lower cost",IF(ISBLANK('PTA-Lo'!T39)=FALSE,'PTA-Lo'!T39,""),IF(ISBLANK('PTA-Mid'!T39)=FALSE,'PTA-Mid'!T39,"")))</f>
        <v>0.3294117647058824</v>
      </c>
      <c r="U39" s="3262">
        <f>IF(CostScenario="Higher cost",IF(ISBLANK('PTA-Hi'!U39)=FALSE,'PTA-Hi'!U39,""),IF(CostScenario="Lower cost",IF(ISBLANK('PTA-Lo'!U39)=FALSE,'PTA-Lo'!U39,""),IF(ISBLANK('PTA-Mid'!U39)=FALSE,'PTA-Mid'!U39,"")))</f>
        <v>0.26262626262626265</v>
      </c>
      <c r="V39" s="3262">
        <f>IF(CostScenario="Higher cost",IF(ISBLANK('PTA-Hi'!V39)=FALSE,'PTA-Hi'!V39,""),IF(CostScenario="Lower cost",IF(ISBLANK('PTA-Lo'!V39)=FALSE,'PTA-Lo'!V39,""),IF(ISBLANK('PTA-Mid'!V39)=FALSE,'PTA-Mid'!V39,"")))</f>
        <v>0.25252525252525254</v>
      </c>
      <c r="W39" s="91"/>
      <c r="X39" s="48"/>
      <c r="Z39" s="988"/>
      <c r="AA39" s="988"/>
      <c r="AB39" s="988"/>
      <c r="AC39" s="988"/>
      <c r="AD39" s="988"/>
      <c r="AE39" s="988"/>
      <c r="AF39" s="988"/>
      <c r="AG39" s="988"/>
      <c r="AH39" s="988"/>
      <c r="AI39" s="988"/>
      <c r="AJ39" s="988"/>
    </row>
    <row r="40" spans="1:36" s="7" customFormat="1">
      <c r="A40" s="1594" t="s">
        <v>1888</v>
      </c>
      <c r="B40" s="1904"/>
      <c r="C40" s="3259" t="s">
        <v>1889</v>
      </c>
      <c r="D40" s="48">
        <f>IF(CostScenario="Higher cost",IF(ISBLANK('PTA-Hi'!D40)=FALSE,'PTA-Hi'!D40,""),IF(CostScenario="Lower cost",IF(ISBLANK('PTA-Lo'!D40)=FALSE,'PTA-Lo'!D40,""),IF(ISBLANK('PTA-Mid'!D40)=FALSE,'PTA-Mid'!D40,"")))</f>
        <v>0.05</v>
      </c>
      <c r="E40" s="48">
        <f>IF(CostScenario="Higher cost",IF(ISBLANK('PTA-Hi'!E40)=FALSE,'PTA-Hi'!E40,""),IF(CostScenario="Lower cost",IF(ISBLANK('PTA-Lo'!E40)=FALSE,'PTA-Lo'!E40,""),IF(ISBLANK('PTA-Mid'!E40)=FALSE,'PTA-Mid'!E40,"")))</f>
        <v>0.05</v>
      </c>
      <c r="F40" s="48">
        <f>IF(CostScenario="Higher cost",IF(ISBLANK('PTA-Hi'!F40)=FALSE,'PTA-Hi'!F40,""),IF(CostScenario="Lower cost",IF(ISBLANK('PTA-Lo'!F40)=FALSE,'PTA-Lo'!F40,""),IF(ISBLANK('PTA-Mid'!F40)=FALSE,'PTA-Mid'!F40,"")))</f>
        <v>7.5000000000000011E-2</v>
      </c>
      <c r="G40" s="48">
        <f>IF(CostScenario="Higher cost",IF(ISBLANK('PTA-Hi'!G40)=FALSE,'PTA-Hi'!G40,""),IF(CostScenario="Lower cost",IF(ISBLANK('PTA-Lo'!G40)=FALSE,'PTA-Lo'!G40,""),IF(ISBLANK('PTA-Mid'!G40)=FALSE,'PTA-Mid'!G40,"")))</f>
        <v>0.56999999999999995</v>
      </c>
      <c r="H40" s="48">
        <f>IF(CostScenario="Higher cost",IF(ISBLANK('PTA-Hi'!H40)=FALSE,'PTA-Hi'!H40,""),IF(CostScenario="Lower cost",IF(ISBLANK('PTA-Lo'!H40)=FALSE,'PTA-Lo'!H40,""),IF(ISBLANK('PTA-Mid'!H40)=FALSE,'PTA-Mid'!H40,"")))</f>
        <v>0.56999999999999995</v>
      </c>
      <c r="I40" s="48">
        <f>IF(CostScenario="Higher cost",IF(ISBLANK('PTA-Hi'!I40)=FALSE,'PTA-Hi'!I40,""),IF(CostScenario="Lower cost",IF(ISBLANK('PTA-Lo'!I40)=FALSE,'PTA-Lo'!I40,""),IF(ISBLANK('PTA-Mid'!I40)=FALSE,'PTA-Mid'!I40,"")))</f>
        <v>0.80700000000000005</v>
      </c>
      <c r="J40" s="48">
        <f>IF(CostScenario="Higher cost",IF(ISBLANK('PTA-Hi'!J40)=FALSE,'PTA-Hi'!J40,""),IF(CostScenario="Lower cost",IF(ISBLANK('PTA-Lo'!J40)=FALSE,'PTA-Lo'!J40,""),IF(ISBLANK('PTA-Mid'!J40)=FALSE,'PTA-Mid'!J40,"")))</f>
        <v>0.85</v>
      </c>
      <c r="K40" s="48">
        <f>IF(CostScenario="Higher cost",IF(ISBLANK('PTA-Hi'!K40)=FALSE,'PTA-Hi'!K40,""),IF(CostScenario="Lower cost",IF(ISBLANK('PTA-Lo'!K40)=FALSE,'PTA-Lo'!K40,""),IF(ISBLANK('PTA-Mid'!K40)=FALSE,'PTA-Mid'!K40,"")))</f>
        <v>0.85</v>
      </c>
      <c r="L40" s="48">
        <f>IF(CostScenario="Higher cost",IF(ISBLANK('PTA-Hi'!L40)=FALSE,'PTA-Hi'!L40,""),IF(CostScenario="Lower cost",IF(ISBLANK('PTA-Lo'!L40)=FALSE,'PTA-Lo'!L40,""),IF(ISBLANK('PTA-Mid'!L40)=FALSE,'PTA-Mid'!L40,"")))</f>
        <v>0.26500000000000001</v>
      </c>
      <c r="M40" s="48">
        <f>IF(CostScenario="Higher cost",IF(ISBLANK('PTA-Hi'!M40)=FALSE,'PTA-Hi'!M40,""),IF(CostScenario="Lower cost",IF(ISBLANK('PTA-Lo'!M40)=FALSE,'PTA-Lo'!M40,""),IF(ISBLANK('PTA-Mid'!M40)=FALSE,'PTA-Mid'!M40,"")))</f>
        <v>0.43</v>
      </c>
      <c r="N40" s="48">
        <f>IF(CostScenario="Higher cost",IF(ISBLANK('PTA-Hi'!N40)=FALSE,'PTA-Hi'!N40,""),IF(CostScenario="Lower cost",IF(ISBLANK('PTA-Lo'!N40)=FALSE,'PTA-Lo'!N40,""),IF(ISBLANK('PTA-Mid'!N40)=FALSE,'PTA-Mid'!N40,"")))</f>
        <v>0.31</v>
      </c>
      <c r="O40" s="48">
        <f>IF(CostScenario="Higher cost",IF(ISBLANK('PTA-Hi'!O40)=FALSE,'PTA-Hi'!O40,""),IF(CostScenario="Lower cost",IF(ISBLANK('PTA-Lo'!O40)=FALSE,'PTA-Lo'!O40,""),IF(ISBLANK('PTA-Mid'!O40)=FALSE,'PTA-Mid'!O40,"")))</f>
        <v>0.4</v>
      </c>
      <c r="P40" s="48">
        <f>IF(CostScenario="Higher cost",IF(ISBLANK('PTA-Hi'!P40)=FALSE,'PTA-Hi'!P40,""),IF(CostScenario="Lower cost",IF(ISBLANK('PTA-Lo'!P40)=FALSE,'PTA-Lo'!P40,""),IF(ISBLANK('PTA-Mid'!P40)=FALSE,'PTA-Mid'!P40,"")))</f>
        <v>0.56000000000000005</v>
      </c>
      <c r="Q40" s="48">
        <f>IF(CostScenario="Higher cost",IF(ISBLANK('PTA-Hi'!Q40)=FALSE,'PTA-Hi'!Q40,""),IF(CostScenario="Lower cost",IF(ISBLANK('PTA-Lo'!Q40)=FALSE,'PTA-Lo'!Q40,""),IF(ISBLANK('PTA-Mid'!Q40)=FALSE,'PTA-Mid'!Q40,"")))</f>
        <v>0.24</v>
      </c>
      <c r="R40" s="48">
        <f>IF(CostScenario="Higher cost",IF(ISBLANK('PTA-Hi'!R40)=FALSE,'PTA-Hi'!R40,""),IF(CostScenario="Lower cost",IF(ISBLANK('PTA-Lo'!R40)=FALSE,'PTA-Lo'!R40,""),IF(ISBLANK('PTA-Mid'!R40)=FALSE,'PTA-Mid'!R40,"")))</f>
        <v>0.28000000000000003</v>
      </c>
      <c r="S40" s="48">
        <f>IF(CostScenario="Higher cost",IF(ISBLANK('PTA-Hi'!S40)=FALSE,'PTA-Hi'!S40,""),IF(CostScenario="Lower cost",IF(ISBLANK('PTA-Lo'!S40)=FALSE,'PTA-Lo'!S40,""),IF(ISBLANK('PTA-Mid'!S40)=FALSE,'PTA-Mid'!S40,"")))</f>
        <v>0.24</v>
      </c>
      <c r="T40" s="48">
        <f>IF(CostScenario="Higher cost",IF(ISBLANK('PTA-Hi'!T40)=FALSE,'PTA-Hi'!T40,""),IF(CostScenario="Lower cost",IF(ISBLANK('PTA-Lo'!T40)=FALSE,'PTA-Lo'!T40,""),IF(ISBLANK('PTA-Mid'!T40)=FALSE,'PTA-Mid'!T40,"")))</f>
        <v>0.28000000000000003</v>
      </c>
      <c r="U40" s="48">
        <f>IF(CostScenario="Higher cost",IF(ISBLANK('PTA-Hi'!U40)=FALSE,'PTA-Hi'!U40,""),IF(CostScenario="Lower cost",IF(ISBLANK('PTA-Lo'!U40)=FALSE,'PTA-Lo'!U40,""),IF(ISBLANK('PTA-Mid'!U40)=FALSE,'PTA-Mid'!U40,"")))</f>
        <v>0.26</v>
      </c>
      <c r="V40" s="48">
        <f>IF(CostScenario="Higher cost",IF(ISBLANK('PTA-Hi'!V40)=FALSE,'PTA-Hi'!V40,""),IF(CostScenario="Lower cost",IF(ISBLANK('PTA-Lo'!V40)=FALSE,'PTA-Lo'!V40,""),IF(ISBLANK('PTA-Mid'!V40)=FALSE,'PTA-Mid'!V40,"")))</f>
        <v>0.25</v>
      </c>
      <c r="W40" s="1512"/>
      <c r="X40" s="48"/>
      <c r="Z40" s="30"/>
      <c r="AA40" s="30"/>
      <c r="AB40" s="9"/>
      <c r="AC40" s="9"/>
      <c r="AD40" s="9"/>
      <c r="AE40" s="9"/>
      <c r="AF40" s="9"/>
      <c r="AG40" s="9"/>
      <c r="AH40" s="9"/>
      <c r="AI40" s="9"/>
      <c r="AJ40" s="9"/>
    </row>
    <row r="41" spans="1:36" s="172" customFormat="1">
      <c r="A41" s="1359" t="s">
        <v>1012</v>
      </c>
      <c r="B41" s="917" t="s">
        <v>684</v>
      </c>
      <c r="C41" s="918" t="s">
        <v>971</v>
      </c>
      <c r="D41" s="989">
        <f>IF(CostScenario="Higher cost",IF(ISBLANK('PTA-Hi'!D41)=FALSE,'PTA-Hi'!D41,""),IF(CostScenario="Lower cost",IF(ISBLANK('PTA-Lo'!D41)=FALSE,'PTA-Lo'!D41,""),IF(ISBLANK('PTA-Mid'!D41)=FALSE,'PTA-Mid'!D41,"")))</f>
        <v>1</v>
      </c>
      <c r="E41" s="989">
        <f>IF(CostScenario="Higher cost",IF(ISBLANK('PTA-Hi'!E41)=FALSE,'PTA-Hi'!E41,""),IF(CostScenario="Lower cost",IF(ISBLANK('PTA-Lo'!E41)=FALSE,'PTA-Lo'!E41,""),IF(ISBLANK('PTA-Mid'!E41)=FALSE,'PTA-Mid'!E41,"")))</f>
        <v>1</v>
      </c>
      <c r="F41" s="989">
        <f>IF(CostScenario="Higher cost",IF(ISBLANK('PTA-Hi'!F41)=FALSE,'PTA-Hi'!F41,""),IF(CostScenario="Lower cost",IF(ISBLANK('PTA-Lo'!F41)=FALSE,'PTA-Lo'!F41,""),IF(ISBLANK('PTA-Mid'!F41)=FALSE,'PTA-Mid'!F41,"")))</f>
        <v>1</v>
      </c>
      <c r="G41" s="989">
        <f>IF(CostScenario="Higher cost",IF(ISBLANK('PTA-Hi'!G41)=FALSE,'PTA-Hi'!G41,""),IF(CostScenario="Lower cost",IF(ISBLANK('PTA-Lo'!G41)=FALSE,'PTA-Lo'!G41,""),IF(ISBLANK('PTA-Mid'!G41)=FALSE,'PTA-Mid'!G41,"")))</f>
        <v>1</v>
      </c>
      <c r="H41" s="989">
        <f>IF(CostScenario="Higher cost",IF(ISBLANK('PTA-Hi'!H41)=FALSE,'PTA-Hi'!H41,""),IF(CostScenario="Lower cost",IF(ISBLANK('PTA-Lo'!H41)=FALSE,'PTA-Lo'!H41,""),IF(ISBLANK('PTA-Mid'!H41)=FALSE,'PTA-Mid'!H41,"")))</f>
        <v>1</v>
      </c>
      <c r="I41" s="26">
        <f>IF(CostScenario="Higher cost",IF(ISBLANK('PTA-Hi'!I41)=FALSE,'PTA-Hi'!I41,""),IF(CostScenario="Lower cost",IF(ISBLANK('PTA-Lo'!I41)=FALSE,'PTA-Lo'!I41,""),IF(ISBLANK('PTA-Mid'!I41)=FALSE,'PTA-Mid'!I41,"")))</f>
        <v>1</v>
      </c>
      <c r="J41" s="48">
        <f>IF(CostScenario="Higher cost",IF(ISBLANK('PTA-Hi'!J41)=FALSE,'PTA-Hi'!J41,""),IF(CostScenario="Lower cost",IF(ISBLANK('PTA-Lo'!J41)=FALSE,'PTA-Lo'!J41,""),IF(ISBLANK('PTA-Mid'!J41)=FALSE,'PTA-Mid'!J41,"")))</f>
        <v>1</v>
      </c>
      <c r="K41" s="48">
        <f>IF(CostScenario="Higher cost",IF(ISBLANK('PTA-Hi'!K41)=FALSE,'PTA-Hi'!K41,""),IF(CostScenario="Lower cost",IF(ISBLANK('PTA-Lo'!K41)=FALSE,'PTA-Lo'!K41,""),IF(ISBLANK('PTA-Mid'!K41)=FALSE,'PTA-Mid'!K41,"")))</f>
        <v>1</v>
      </c>
      <c r="L41" s="48">
        <f>IF(CostScenario="Higher cost",IF(ISBLANK('PTA-Hi'!L41)=FALSE,'PTA-Hi'!L41,""),IF(CostScenario="Lower cost",IF(ISBLANK('PTA-Lo'!L41)=FALSE,'PTA-Lo'!L41,""),IF(ISBLANK('PTA-Mid'!L41)=FALSE,'PTA-Mid'!L41,"")))</f>
        <v>0.85</v>
      </c>
      <c r="M41" s="48">
        <f>IF(CostScenario="Higher cost",IF(ISBLANK('PTA-Hi'!M41)=FALSE,'PTA-Hi'!M41,""),IF(CostScenario="Lower cost",IF(ISBLANK('PTA-Lo'!M41)=FALSE,'PTA-Lo'!M41,""),IF(ISBLANK('PTA-Mid'!M41)=FALSE,'PTA-Mid'!M41,"")))</f>
        <v>0.85</v>
      </c>
      <c r="N41" s="48">
        <f>IF(CostScenario="Higher cost",IF(ISBLANK('PTA-Hi'!N41)=FALSE,'PTA-Hi'!N41,""),IF(CostScenario="Lower cost",IF(ISBLANK('PTA-Lo'!N41)=FALSE,'PTA-Lo'!N41,""),IF(ISBLANK('PTA-Mid'!N41)=FALSE,'PTA-Mid'!N41,"")))</f>
        <v>0.85</v>
      </c>
      <c r="O41" s="48">
        <f>IF(CostScenario="Higher cost",IF(ISBLANK('PTA-Hi'!O41)=FALSE,'PTA-Hi'!O41,""),IF(CostScenario="Lower cost",IF(ISBLANK('PTA-Lo'!O41)=FALSE,'PTA-Lo'!O41,""),IF(ISBLANK('PTA-Mid'!O41)=FALSE,'PTA-Mid'!O41,"")))</f>
        <v>0.85</v>
      </c>
      <c r="P41" s="48">
        <f>IF(CostScenario="Higher cost",IF(ISBLANK('PTA-Hi'!P41)=FALSE,'PTA-Hi'!P41,""),IF(CostScenario="Lower cost",IF(ISBLANK('PTA-Lo'!P41)=FALSE,'PTA-Lo'!P41,""),IF(ISBLANK('PTA-Mid'!P41)=FALSE,'PTA-Mid'!P41,"")))</f>
        <v>0.85</v>
      </c>
      <c r="Q41" s="48">
        <f>IF(CostScenario="Higher cost",IF(ISBLANK('PTA-Hi'!Q41)=FALSE,'PTA-Hi'!Q41,""),IF(CostScenario="Lower cost",IF(ISBLANK('PTA-Lo'!Q41)=FALSE,'PTA-Lo'!Q41,""),IF(ISBLANK('PTA-Mid'!Q41)=FALSE,'PTA-Mid'!Q41,"")))</f>
        <v>0.85</v>
      </c>
      <c r="R41" s="48">
        <f>IF(CostScenario="Higher cost",IF(ISBLANK('PTA-Hi'!R41)=FALSE,'PTA-Hi'!R41,""),IF(CostScenario="Lower cost",IF(ISBLANK('PTA-Lo'!R41)=FALSE,'PTA-Lo'!R41,""),IF(ISBLANK('PTA-Mid'!R41)=FALSE,'PTA-Mid'!R41,"")))</f>
        <v>0.85</v>
      </c>
      <c r="S41" s="48">
        <f>IF(CostScenario="Higher cost",IF(ISBLANK('PTA-Hi'!S41)=FALSE,'PTA-Hi'!S41,""),IF(CostScenario="Lower cost",IF(ISBLANK('PTA-Lo'!S41)=FALSE,'PTA-Lo'!S41,""),IF(ISBLANK('PTA-Mid'!S41)=FALSE,'PTA-Mid'!S41,"")))</f>
        <v>0.85</v>
      </c>
      <c r="T41" s="48">
        <f>IF(CostScenario="Higher cost",IF(ISBLANK('PTA-Hi'!T41)=FALSE,'PTA-Hi'!T41,""),IF(CostScenario="Lower cost",IF(ISBLANK('PTA-Lo'!T41)=FALSE,'PTA-Lo'!T41,""),IF(ISBLANK('PTA-Mid'!T41)=FALSE,'PTA-Mid'!T41,"")))</f>
        <v>0.85</v>
      </c>
      <c r="U41" s="26">
        <f>IF(CostScenario="Higher cost",IF(ISBLANK('PTA-Hi'!U41)=FALSE,'PTA-Hi'!U41,""),IF(CostScenario="Lower cost",IF(ISBLANK('PTA-Lo'!U41)=FALSE,'PTA-Lo'!U41,""),IF(ISBLANK('PTA-Mid'!U41)=FALSE,'PTA-Mid'!U41,"")))</f>
        <v>1</v>
      </c>
      <c r="V41" s="26">
        <f>IF(CostScenario="Higher cost",IF(ISBLANK('PTA-Hi'!V41)=FALSE,'PTA-Hi'!V41,""),IF(CostScenario="Lower cost",IF(ISBLANK('PTA-Lo'!V41)=FALSE,'PTA-Lo'!V41,""),IF(ISBLANK('PTA-Mid'!V41)=FALSE,'PTA-Mid'!V41,"")))</f>
        <v>1</v>
      </c>
      <c r="W41" s="26"/>
      <c r="X41" s="48"/>
      <c r="Z41" s="989"/>
      <c r="AA41" s="989"/>
      <c r="AB41" s="972"/>
      <c r="AC41" s="972"/>
      <c r="AD41" s="972"/>
      <c r="AE41" s="972"/>
      <c r="AF41" s="972"/>
      <c r="AG41" s="972"/>
      <c r="AH41" s="972"/>
      <c r="AI41" s="972"/>
      <c r="AJ41" s="972"/>
    </row>
    <row r="42" spans="1:36" s="7" customFormat="1">
      <c r="A42" s="915" t="s">
        <v>810</v>
      </c>
      <c r="B42" s="916"/>
      <c r="C42" s="919" t="s">
        <v>1013</v>
      </c>
      <c r="D42" s="30">
        <f>IF(CostScenario="Higher cost",IF(ISBLANK('PTA-Hi'!D42)=FALSE,'PTA-Hi'!D42,""),IF(CostScenario="Lower cost",IF(ISBLANK('PTA-Lo'!D42)=FALSE,'PTA-Lo'!D42,""),IF(ISBLANK('PTA-Mid'!D42)=FALSE,'PTA-Mid'!D42,"")))</f>
        <v>30</v>
      </c>
      <c r="E42" s="30">
        <f>IF(CostScenario="Higher cost",IF(ISBLANK('PTA-Hi'!E42)=FALSE,'PTA-Hi'!E42,""),IF(CostScenario="Lower cost",IF(ISBLANK('PTA-Lo'!E42)=FALSE,'PTA-Lo'!E42,""),IF(ISBLANK('PTA-Mid'!E42)=FALSE,'PTA-Mid'!E42,"")))</f>
        <v>30</v>
      </c>
      <c r="F42" s="30">
        <f>IF(CostScenario="Higher cost",IF(ISBLANK('PTA-Hi'!F42)=FALSE,'PTA-Hi'!F42,""),IF(CostScenario="Lower cost",IF(ISBLANK('PTA-Lo'!F42)=FALSE,'PTA-Lo'!F42,""),IF(ISBLANK('PTA-Mid'!F42)=FALSE,'PTA-Mid'!F42,"")))</f>
        <v>30</v>
      </c>
      <c r="G42" s="30">
        <f>IF(CostScenario="Higher cost",IF(ISBLANK('PTA-Hi'!G42)=FALSE,'PTA-Hi'!G42,""),IF(CostScenario="Lower cost",IF(ISBLANK('PTA-Lo'!G42)=FALSE,'PTA-Lo'!G42,""),IF(ISBLANK('PTA-Mid'!G42)=FALSE,'PTA-Mid'!G42,"")))</f>
        <v>30</v>
      </c>
      <c r="H42" s="30">
        <f>IF(CostScenario="Higher cost",IF(ISBLANK('PTA-Hi'!H42)=FALSE,'PTA-Hi'!H42,""),IF(CostScenario="Lower cost",IF(ISBLANK('PTA-Lo'!H42)=FALSE,'PTA-Lo'!H42,""),IF(ISBLANK('PTA-Mid'!H42)=FALSE,'PTA-Mid'!H42,"")))</f>
        <v>30</v>
      </c>
      <c r="I42" s="30">
        <f>IF(CostScenario="Higher cost",IF(ISBLANK('PTA-Hi'!I42)=FALSE,'PTA-Hi'!I42,""),IF(CostScenario="Lower cost",IF(ISBLANK('PTA-Lo'!I42)=FALSE,'PTA-Lo'!I42,""),IF(ISBLANK('PTA-Mid'!I42)=FALSE,'PTA-Mid'!I42,"")))</f>
        <v>20</v>
      </c>
      <c r="J42" s="30">
        <f>IF(CostScenario="Higher cost",IF(ISBLANK('PTA-Hi'!J42)=FALSE,'PTA-Hi'!J42,""),IF(CostScenario="Lower cost",IF(ISBLANK('PTA-Lo'!J42)=FALSE,'PTA-Lo'!J42,""),IF(ISBLANK('PTA-Mid'!J42)=FALSE,'PTA-Mid'!J42,"")))</f>
        <v>30</v>
      </c>
      <c r="K42" s="30">
        <f>IF(CostScenario="Higher cost",IF(ISBLANK('PTA-Hi'!K42)=FALSE,'PTA-Hi'!K42,""),IF(CostScenario="Lower cost",IF(ISBLANK('PTA-Lo'!K42)=FALSE,'PTA-Lo'!K42,""),IF(ISBLANK('PTA-Mid'!K42)=FALSE,'PTA-Mid'!K42,"")))</f>
        <v>30</v>
      </c>
      <c r="L42" s="30">
        <f>IF(CostScenario="Higher cost",IF(ISBLANK('PTA-Hi'!L42)=FALSE,'PTA-Hi'!L42,""),IF(CostScenario="Lower cost",IF(ISBLANK('PTA-Lo'!L42)=FALSE,'PTA-Lo'!L42,""),IF(ISBLANK('PTA-Mid'!L42)=FALSE,'PTA-Mid'!L42,"")))</f>
        <v>20</v>
      </c>
      <c r="M42" s="30">
        <f>IF(CostScenario="Higher cost",IF(ISBLANK('PTA-Hi'!M42)=FALSE,'PTA-Hi'!M42,""),IF(CostScenario="Lower cost",IF(ISBLANK('PTA-Lo'!M42)=FALSE,'PTA-Lo'!M42,""),IF(ISBLANK('PTA-Mid'!M42)=FALSE,'PTA-Mid'!M42,"")))</f>
        <v>20</v>
      </c>
      <c r="N42" s="2335">
        <f>IF(CostScenario="Higher cost",IF(ISBLANK('PTA-Hi'!N42)=FALSE,'PTA-Hi'!N42,""),IF(CostScenario="Lower cost",IF(ISBLANK('PTA-Lo'!N42)=FALSE,'PTA-Lo'!N42,""),IF(ISBLANK('PTA-Mid'!N42)=FALSE,'PTA-Mid'!N42,"")))</f>
        <v>20</v>
      </c>
      <c r="O42" s="2335">
        <f>IF(CostScenario="Higher cost",IF(ISBLANK('PTA-Hi'!O42)=FALSE,'PTA-Hi'!O42,""),IF(CostScenario="Lower cost",IF(ISBLANK('PTA-Lo'!O42)=FALSE,'PTA-Lo'!O42,""),IF(ISBLANK('PTA-Mid'!O42)=FALSE,'PTA-Mid'!O42,"")))</f>
        <v>20</v>
      </c>
      <c r="P42" s="2335">
        <f>IF(CostScenario="Higher cost",IF(ISBLANK('PTA-Hi'!P42)=FALSE,'PTA-Hi'!P42,""),IF(CostScenario="Lower cost",IF(ISBLANK('PTA-Lo'!P42)=FALSE,'PTA-Lo'!P42,""),IF(ISBLANK('PTA-Mid'!P42)=FALSE,'PTA-Mid'!P42,"")))</f>
        <v>20</v>
      </c>
      <c r="Q42" s="2335">
        <f>IF(CostScenario="Higher cost",IF(ISBLANK('PTA-Hi'!Q42)=FALSE,'PTA-Hi'!Q42,""),IF(CostScenario="Lower cost",IF(ISBLANK('PTA-Lo'!Q42)=FALSE,'PTA-Lo'!Q42,""),IF(ISBLANK('PTA-Mid'!Q42)=FALSE,'PTA-Mid'!Q42,"")))</f>
        <v>20</v>
      </c>
      <c r="R42" s="30">
        <f>IF(CostScenario="Higher cost",IF(ISBLANK('PTA-Hi'!R42)=FALSE,'PTA-Hi'!R42,""),IF(CostScenario="Lower cost",IF(ISBLANK('PTA-Lo'!R42)=FALSE,'PTA-Lo'!R42,""),IF(ISBLANK('PTA-Mid'!R42)=FALSE,'PTA-Mid'!R42,"")))</f>
        <v>20</v>
      </c>
      <c r="S42" s="2335">
        <f>IF(CostScenario="Higher cost",IF(ISBLANK('PTA-Hi'!S42)=FALSE,'PTA-Hi'!S42,""),IF(CostScenario="Lower cost",IF(ISBLANK('PTA-Lo'!S42)=FALSE,'PTA-Lo'!S42,""),IF(ISBLANK('PTA-Mid'!S42)=FALSE,'PTA-Mid'!S42,"")))</f>
        <v>20</v>
      </c>
      <c r="T42" s="2335">
        <f>IF(CostScenario="Higher cost",IF(ISBLANK('PTA-Hi'!T42)=FALSE,'PTA-Hi'!T42,""),IF(CostScenario="Lower cost",IF(ISBLANK('PTA-Lo'!T42)=FALSE,'PTA-Lo'!T42,""),IF(ISBLANK('PTA-Mid'!T42)=FALSE,'PTA-Mid'!T42,"")))</f>
        <v>20</v>
      </c>
      <c r="U42" s="30">
        <f>IF(CostScenario="Higher cost",IF(ISBLANK('PTA-Hi'!U42)=FALSE,'PTA-Hi'!U42,""),IF(CostScenario="Lower cost",IF(ISBLANK('PTA-Lo'!U42)=FALSE,'PTA-Lo'!U42,""),IF(ISBLANK('PTA-Mid'!U42)=FALSE,'PTA-Mid'!U42,"")))</f>
        <v>30</v>
      </c>
      <c r="V42" s="30">
        <f>IF(CostScenario="Higher cost",IF(ISBLANK('PTA-Hi'!V42)=FALSE,'PTA-Hi'!V42,""),IF(CostScenario="Lower cost",IF(ISBLANK('PTA-Lo'!V42)=FALSE,'PTA-Lo'!V42,""),IF(ISBLANK('PTA-Mid'!V42)=FALSE,'PTA-Mid'!V42,"")))</f>
        <v>30</v>
      </c>
      <c r="W42" s="2335"/>
      <c r="X42" s="30"/>
      <c r="Z42" s="30"/>
      <c r="AA42" s="30"/>
      <c r="AB42" s="9"/>
      <c r="AC42" s="9"/>
      <c r="AD42" s="9"/>
      <c r="AE42" s="9"/>
      <c r="AF42" s="9"/>
      <c r="AG42" s="9"/>
      <c r="AH42" s="9"/>
      <c r="AI42" s="9"/>
      <c r="AJ42" s="9"/>
    </row>
    <row r="43" spans="1:36" s="7" customFormat="1">
      <c r="A43" s="915" t="s">
        <v>811</v>
      </c>
      <c r="B43" s="916" t="s">
        <v>700</v>
      </c>
      <c r="C43" s="919" t="s">
        <v>100</v>
      </c>
      <c r="D43" s="30">
        <f>IF(CostScenario="Higher cost",IF(ISBLANK('PTA-Hi'!D43)=FALSE,'PTA-Hi'!D43,""),IF(CostScenario="Lower cost",IF(ISBLANK('PTA-Lo'!D43)=FALSE,'PTA-Lo'!D43,""),IF(ISBLANK('PTA-Mid'!D43)=FALSE,'PTA-Mid'!D43,"")))</f>
        <v>876</v>
      </c>
      <c r="E43" s="30">
        <f>IF(CostScenario="Higher cost",IF(ISBLANK('PTA-Hi'!E43)=FALSE,'PTA-Hi'!E43,""),IF(CostScenario="Lower cost",IF(ISBLANK('PTA-Lo'!E43)=FALSE,'PTA-Lo'!E43,""),IF(ISBLANK('PTA-Mid'!E43)=FALSE,'PTA-Mid'!E43,"")))</f>
        <v>876</v>
      </c>
      <c r="F43" s="30">
        <f>IF(CostScenario="Higher cost",IF(ISBLANK('PTA-Hi'!F43)=FALSE,'PTA-Hi'!F43,""),IF(CostScenario="Lower cost",IF(ISBLANK('PTA-Lo'!F43)=FALSE,'PTA-Lo'!F43,""),IF(ISBLANK('PTA-Mid'!F43)=FALSE,'PTA-Mid'!F43,"")))</f>
        <v>876</v>
      </c>
      <c r="G43" s="279">
        <f>IF(CostScenario="Higher cost",IF(ISBLANK('PTA-Hi'!G43)=FALSE,'PTA-Hi'!G43,""),IF(CostScenario="Lower cost",IF(ISBLANK('PTA-Lo'!G43)=FALSE,'PTA-Lo'!G43,""),IF(ISBLANK('PTA-Mid'!G43)=FALSE,'PTA-Mid'!G43,"")))</f>
        <v>14839.44</v>
      </c>
      <c r="H43" s="279">
        <f>IF(CostScenario="Higher cost",IF(ISBLANK('PTA-Hi'!H43)=FALSE,'PTA-Hi'!H43,""),IF(CostScenario="Lower cost",IF(ISBLANK('PTA-Lo'!H43)=FALSE,'PTA-Lo'!H43,""),IF(ISBLANK('PTA-Mid'!H43)=FALSE,'PTA-Mid'!H43,"")))</f>
        <v>14839.44</v>
      </c>
      <c r="I43" s="30">
        <f>IF(CostScenario="Higher cost",IF(ISBLANK('PTA-Hi'!I43)=FALSE,'PTA-Hi'!I43,""),IF(CostScenario="Lower cost",IF(ISBLANK('PTA-Lo'!I43)=FALSE,'PTA-Lo'!I43,""),IF(ISBLANK('PTA-Mid'!I43)=FALSE,'PTA-Mid'!I43,"")))</f>
        <v>0</v>
      </c>
      <c r="J43" s="30">
        <f>IF(CostScenario="Higher cost",IF(ISBLANK('PTA-Hi'!J43)=FALSE,'PTA-Hi'!J43,""),IF(CostScenario="Lower cost",IF(ISBLANK('PTA-Lo'!J43)=FALSE,'PTA-Lo'!J43,""),IF(ISBLANK('PTA-Mid'!J43)=FALSE,'PTA-Mid'!J43,"")))</f>
        <v>0</v>
      </c>
      <c r="K43" s="30">
        <f>IF(CostScenario="Higher cost",IF(ISBLANK('PTA-Hi'!K43)=FALSE,'PTA-Hi'!K43,""),IF(CostScenario="Lower cost",IF(ISBLANK('PTA-Lo'!K43)=FALSE,'PTA-Lo'!K43,""),IF(ISBLANK('PTA-Mid'!K43)=FALSE,'PTA-Mid'!K43,"")))</f>
        <v>0</v>
      </c>
      <c r="L43" s="30" t="str">
        <f>IF(CostScenario="Higher cost",IF(ISBLANK('PTA-Hi'!L43)=FALSE,'PTA-Hi'!L43,""),IF(CostScenario="Lower cost",IF(ISBLANK('PTA-Lo'!L43)=FALSE,'PTA-Lo'!L43,""),IF(ISBLANK('PTA-Mid'!L43)=FALSE,'PTA-Mid'!L43,"")))</f>
        <v/>
      </c>
      <c r="M43" s="30" t="str">
        <f>IF(CostScenario="Higher cost",IF(ISBLANK('PTA-Hi'!M43)=FALSE,'PTA-Hi'!M43,""),IF(CostScenario="Lower cost",IF(ISBLANK('PTA-Lo'!M43)=FALSE,'PTA-Lo'!M43,""),IF(ISBLANK('PTA-Mid'!M43)=FALSE,'PTA-Mid'!M43,"")))</f>
        <v/>
      </c>
      <c r="N43" s="2335" t="str">
        <f>IF(CostScenario="Higher cost",IF(ISBLANK('PTA-Hi'!N43)=FALSE,'PTA-Hi'!N43,""),IF(CostScenario="Lower cost",IF(ISBLANK('PTA-Lo'!N43)=FALSE,'PTA-Lo'!N43,""),IF(ISBLANK('PTA-Mid'!N43)=FALSE,'PTA-Mid'!N43,"")))</f>
        <v/>
      </c>
      <c r="O43" s="2335" t="str">
        <f>IF(CostScenario="Higher cost",IF(ISBLANK('PTA-Hi'!O43)=FALSE,'PTA-Hi'!O43,""),IF(CostScenario="Lower cost",IF(ISBLANK('PTA-Lo'!O43)=FALSE,'PTA-Lo'!O43,""),IF(ISBLANK('PTA-Mid'!O43)=FALSE,'PTA-Mid'!O43,"")))</f>
        <v/>
      </c>
      <c r="P43" s="2335" t="str">
        <f>IF(CostScenario="Higher cost",IF(ISBLANK('PTA-Hi'!P43)=FALSE,'PTA-Hi'!P43,""),IF(CostScenario="Lower cost",IF(ISBLANK('PTA-Lo'!P43)=FALSE,'PTA-Lo'!P43,""),IF(ISBLANK('PTA-Mid'!P43)=FALSE,'PTA-Mid'!P43,"")))</f>
        <v/>
      </c>
      <c r="Q43" s="2335" t="str">
        <f>IF(CostScenario="Higher cost",IF(ISBLANK('PTA-Hi'!Q43)=FALSE,'PTA-Hi'!Q43,""),IF(CostScenario="Lower cost",IF(ISBLANK('PTA-Lo'!Q43)=FALSE,'PTA-Lo'!Q43,""),IF(ISBLANK('PTA-Mid'!Q43)=FALSE,'PTA-Mid'!Q43,"")))</f>
        <v/>
      </c>
      <c r="R43" s="30" t="str">
        <f>IF(CostScenario="Higher cost",IF(ISBLANK('PTA-Hi'!R43)=FALSE,'PTA-Hi'!R43,""),IF(CostScenario="Lower cost",IF(ISBLANK('PTA-Lo'!R43)=FALSE,'PTA-Lo'!R43,""),IF(ISBLANK('PTA-Mid'!R43)=FALSE,'PTA-Mid'!R43,"")))</f>
        <v/>
      </c>
      <c r="S43" s="2335" t="str">
        <f>IF(CostScenario="Higher cost",IF(ISBLANK('PTA-Hi'!S43)=FALSE,'PTA-Hi'!S43,""),IF(CostScenario="Lower cost",IF(ISBLANK('PTA-Lo'!S43)=FALSE,'PTA-Lo'!S43,""),IF(ISBLANK('PTA-Mid'!S43)=FALSE,'PTA-Mid'!S43,"")))</f>
        <v/>
      </c>
      <c r="T43" s="2335" t="str">
        <f>IF(CostScenario="Higher cost",IF(ISBLANK('PTA-Hi'!T43)=FALSE,'PTA-Hi'!T43,""),IF(CostScenario="Lower cost",IF(ISBLANK('PTA-Lo'!T43)=FALSE,'PTA-Lo'!T43,""),IF(ISBLANK('PTA-Mid'!T43)=FALSE,'PTA-Mid'!T43,"")))</f>
        <v/>
      </c>
      <c r="U43" s="279" t="str">
        <f>IF(CostScenario="Higher cost",IF(ISBLANK('PTA-Hi'!U43)=FALSE,'PTA-Hi'!U43,""),IF(CostScenario="Lower cost",IF(ISBLANK('PTA-Lo'!U43)=FALSE,'PTA-Lo'!U43,""),IF(ISBLANK('PTA-Mid'!U43)=FALSE,'PTA-Mid'!U43,"")))</f>
        <v/>
      </c>
      <c r="V43" s="279" t="str">
        <f>IF(CostScenario="Higher cost",IF(ISBLANK('PTA-Hi'!V43)=FALSE,'PTA-Hi'!V43,""),IF(CostScenario="Lower cost",IF(ISBLANK('PTA-Lo'!V43)=FALSE,'PTA-Lo'!V43,""),IF(ISBLANK('PTA-Mid'!V43)=FALSE,'PTA-Mid'!V43,"")))</f>
        <v/>
      </c>
      <c r="W43" s="279"/>
      <c r="X43" s="30"/>
      <c r="Z43" s="30"/>
      <c r="AA43" s="30"/>
      <c r="AB43" s="9"/>
      <c r="AC43" s="9"/>
      <c r="AD43" s="9"/>
      <c r="AE43" s="9"/>
      <c r="AF43" s="9"/>
      <c r="AG43" s="9"/>
      <c r="AH43" s="9"/>
      <c r="AI43" s="9"/>
      <c r="AJ43" s="9"/>
    </row>
    <row r="44" spans="1:36" s="7" customFormat="1">
      <c r="A44" s="915" t="s">
        <v>1014</v>
      </c>
      <c r="B44" s="916"/>
      <c r="C44" s="920" t="s">
        <v>1016</v>
      </c>
      <c r="D44" s="30">
        <f>IF(CostScenario="Higher cost",IF(ISBLANK('PTA-Hi'!D44)=FALSE,'PTA-Hi'!D44,""),IF(CostScenario="Lower cost",IF(ISBLANK('PTA-Lo'!D44)=FALSE,'PTA-Lo'!D44,""),IF(ISBLANK('PTA-Mid'!D44)=FALSE,'PTA-Mid'!D44,"")))</f>
        <v>238.27199999999999</v>
      </c>
      <c r="E44" s="30">
        <f>IF(CostScenario="Higher cost",IF(ISBLANK('PTA-Hi'!E44)=FALSE,'PTA-Hi'!E44,""),IF(CostScenario="Lower cost",IF(ISBLANK('PTA-Lo'!E44)=FALSE,'PTA-Lo'!E44,""),IF(ISBLANK('PTA-Mid'!E44)=FALSE,'PTA-Mid'!E44,"")))</f>
        <v>278.56800000000004</v>
      </c>
      <c r="F44" s="30">
        <f>IF(CostScenario="Higher cost",IF(ISBLANK('PTA-Hi'!F44)=FALSE,'PTA-Hi'!F44,""),IF(CostScenario="Lower cost",IF(ISBLANK('PTA-Lo'!F44)=FALSE,'PTA-Lo'!F44,""),IF(ISBLANK('PTA-Mid'!F44)=FALSE,'PTA-Mid'!F44,"")))</f>
        <v>278.56800000000004</v>
      </c>
      <c r="G44" s="30">
        <f>IF(CostScenario="Higher cost",IF(ISBLANK('PTA-Hi'!G44)=FALSE,'PTA-Hi'!G44,""),IF(CostScenario="Lower cost",IF(ISBLANK('PTA-Lo'!G44)=FALSE,'PTA-Lo'!G44,""),IF(ISBLANK('PTA-Mid'!G44)=FALSE,'PTA-Mid'!G44,"")))</f>
        <v>527.35199999999998</v>
      </c>
      <c r="H44" s="30">
        <f>IF(CostScenario="Higher cost",IF(ISBLANK('PTA-Hi'!H44)=FALSE,'PTA-Hi'!H44,""),IF(CostScenario="Lower cost",IF(ISBLANK('PTA-Lo'!H44)=FALSE,'PTA-Lo'!H44,""),IF(ISBLANK('PTA-Mid'!H44)=FALSE,'PTA-Mid'!H44,"")))</f>
        <v>527.35199999999998</v>
      </c>
      <c r="I44" s="30">
        <f>IF(CostScenario="Higher cost",IF(ISBLANK('PTA-Hi'!I44)=FALSE,'PTA-Hi'!I44,""),IF(CostScenario="Lower cost",IF(ISBLANK('PTA-Lo'!I44)=FALSE,'PTA-Lo'!I44,""),IF(ISBLANK('PTA-Mid'!I44)=FALSE,'PTA-Mid'!I44,"")))</f>
        <v>665.76</v>
      </c>
      <c r="J44" s="30">
        <f>IF(CostScenario="Higher cost",IF(ISBLANK('PTA-Hi'!J44)=FALSE,'PTA-Hi'!J44,""),IF(CostScenario="Lower cost",IF(ISBLANK('PTA-Lo'!J44)=FALSE,'PTA-Lo'!J44,""),IF(ISBLANK('PTA-Mid'!J44)=FALSE,'PTA-Mid'!J44,"")))</f>
        <v>350.40000000000003</v>
      </c>
      <c r="K44" s="30">
        <f>IF(CostScenario="Higher cost",IF(ISBLANK('PTA-Hi'!K44)=FALSE,'PTA-Hi'!K44,""),IF(CostScenario="Lower cost",IF(ISBLANK('PTA-Lo'!K44)=FALSE,'PTA-Lo'!K44,""),IF(ISBLANK('PTA-Mid'!K44)=FALSE,'PTA-Mid'!K44,"")))</f>
        <v>350.40000000000003</v>
      </c>
      <c r="L44" s="30">
        <f>IF(CostScenario="Higher cost",IF(ISBLANK('PTA-Hi'!L44)=FALSE,'PTA-Hi'!L44,""),IF(CostScenario="Lower cost",IF(ISBLANK('PTA-Lo'!L44)=FALSE,'PTA-Lo'!L44,""),IF(ISBLANK('PTA-Mid'!L44)=FALSE,'PTA-Mid'!L44,"")))</f>
        <v>175.20000000000002</v>
      </c>
      <c r="M44" s="30">
        <f>IF(CostScenario="Higher cost",IF(ISBLANK('PTA-Hi'!M44)=FALSE,'PTA-Hi'!M44,""),IF(CostScenario="Lower cost",IF(ISBLANK('PTA-Lo'!M44)=FALSE,'PTA-Lo'!M44,""),IF(ISBLANK('PTA-Mid'!M44)=FALSE,'PTA-Mid'!M44,"")))</f>
        <v>175.20000000000002</v>
      </c>
      <c r="N44" s="2335">
        <f>IF(CostScenario="Higher cost",IF(ISBLANK('PTA-Hi'!N44)=FALSE,'PTA-Hi'!N44,""),IF(CostScenario="Lower cost",IF(ISBLANK('PTA-Lo'!N44)=FALSE,'PTA-Lo'!N44,""),IF(ISBLANK('PTA-Mid'!N44)=FALSE,'PTA-Mid'!N44,"")))</f>
        <v>175.20000000000002</v>
      </c>
      <c r="O44" s="2335">
        <f>IF(CostScenario="Higher cost",IF(ISBLANK('PTA-Hi'!O44)=FALSE,'PTA-Hi'!O44,""),IF(CostScenario="Lower cost",IF(ISBLANK('PTA-Lo'!O44)=FALSE,'PTA-Lo'!O44,""),IF(ISBLANK('PTA-Mid'!O44)=FALSE,'PTA-Mid'!O44,"")))</f>
        <v>175.20000000000002</v>
      </c>
      <c r="P44" s="2335">
        <f>IF(CostScenario="Higher cost",IF(ISBLANK('PTA-Hi'!P44)=FALSE,'PTA-Hi'!P44,""),IF(CostScenario="Lower cost",IF(ISBLANK('PTA-Lo'!P44)=FALSE,'PTA-Lo'!P44,""),IF(ISBLANK('PTA-Mid'!P44)=FALSE,'PTA-Mid'!P44,"")))</f>
        <v>175.20000000000002</v>
      </c>
      <c r="Q44" s="2335">
        <f>IF(CostScenario="Higher cost",IF(ISBLANK('PTA-Hi'!Q44)=FALSE,'PTA-Hi'!Q44,""),IF(CostScenario="Lower cost",IF(ISBLANK('PTA-Lo'!Q44)=FALSE,'PTA-Lo'!Q44,""),IF(ISBLANK('PTA-Mid'!Q44)=FALSE,'PTA-Mid'!Q44,"")))</f>
        <v>131.4</v>
      </c>
      <c r="R44" s="30">
        <f>IF(CostScenario="Higher cost",IF(ISBLANK('PTA-Hi'!R44)=FALSE,'PTA-Hi'!R44,""),IF(CostScenario="Lower cost",IF(ISBLANK('PTA-Lo'!R44)=FALSE,'PTA-Lo'!R44,""),IF(ISBLANK('PTA-Mid'!R44)=FALSE,'PTA-Mid'!R44,"")))</f>
        <v>131.4</v>
      </c>
      <c r="S44" s="2335">
        <f>IF(CostScenario="Higher cost",IF(ISBLANK('PTA-Hi'!S44)=FALSE,'PTA-Hi'!S44,""),IF(CostScenario="Lower cost",IF(ISBLANK('PTA-Lo'!S44)=FALSE,'PTA-Lo'!S44,""),IF(ISBLANK('PTA-Mid'!S44)=FALSE,'PTA-Mid'!S44,"")))</f>
        <v>131.4</v>
      </c>
      <c r="T44" s="2335">
        <f>IF(CostScenario="Higher cost",IF(ISBLANK('PTA-Hi'!T44)=FALSE,'PTA-Hi'!T44,""),IF(CostScenario="Lower cost",IF(ISBLANK('PTA-Lo'!T44)=FALSE,'PTA-Lo'!T44,""),IF(ISBLANK('PTA-Mid'!T44)=FALSE,'PTA-Mid'!T44,"")))</f>
        <v>131.4</v>
      </c>
      <c r="U44" s="30">
        <f>IF(CostScenario="Higher cost",IF(ISBLANK('PTA-Hi'!U44)=FALSE,'PTA-Hi'!U44,""),IF(CostScenario="Lower cost",IF(ISBLANK('PTA-Lo'!U44)=FALSE,'PTA-Lo'!U44,""),IF(ISBLANK('PTA-Mid'!U44)=FALSE,'PTA-Mid'!U44,"")))</f>
        <v>0</v>
      </c>
      <c r="V44" s="30">
        <f>IF(CostScenario="Higher cost",IF(ISBLANK('PTA-Hi'!V44)=FALSE,'PTA-Hi'!V44,""),IF(CostScenario="Lower cost",IF(ISBLANK('PTA-Lo'!V44)=FALSE,'PTA-Lo'!V44,""),IF(ISBLANK('PTA-Mid'!V44)=FALSE,'PTA-Mid'!V44,"")))</f>
        <v>0</v>
      </c>
      <c r="W44" s="2335"/>
      <c r="X44" s="30"/>
      <c r="Z44" s="30"/>
      <c r="AA44" s="30"/>
    </row>
    <row r="45" spans="1:36" s="7" customFormat="1">
      <c r="A45" s="915" t="s">
        <v>1218</v>
      </c>
      <c r="B45" s="916" t="s">
        <v>701</v>
      </c>
      <c r="C45" s="920" t="s">
        <v>1296</v>
      </c>
      <c r="D45" s="343">
        <f>IF(CostScenario="Higher cost",IF(ISBLANK('PTA-Hi'!D45)=FALSE,'PTA-Hi'!D45,""),IF(CostScenario="Lower cost",IF(ISBLANK('PTA-Lo'!D45)=FALSE,'PTA-Lo'!D45,""),IF(ISBLANK('PTA-Mid'!D45)=FALSE,'PTA-Mid'!D45,"")))</f>
        <v>2.7199999999999998E-2</v>
      </c>
      <c r="E45" s="343">
        <f>IF(CostScenario="Higher cost",IF(ISBLANK('PTA-Hi'!E45)=FALSE,'PTA-Hi'!E45,""),IF(CostScenario="Lower cost",IF(ISBLANK('PTA-Lo'!E45)=FALSE,'PTA-Lo'!E45,""),IF(ISBLANK('PTA-Mid'!E45)=FALSE,'PTA-Mid'!E45,"")))</f>
        <v>3.1800000000000002E-2</v>
      </c>
      <c r="F45" s="343">
        <f>IF(CostScenario="Higher cost",IF(ISBLANK('PTA-Hi'!F45)=FALSE,'PTA-Hi'!F45,""),IF(CostScenario="Lower cost",IF(ISBLANK('PTA-Lo'!F45)=FALSE,'PTA-Lo'!F45,""),IF(ISBLANK('PTA-Mid'!F45)=FALSE,'PTA-Mid'!F45,"")))</f>
        <v>3.1800000000000002E-2</v>
      </c>
      <c r="G45" s="343">
        <f>IF(CostScenario="Higher cost",IF(ISBLANK('PTA-Hi'!G45)=FALSE,'PTA-Hi'!G45,""),IF(CostScenario="Lower cost",IF(ISBLANK('PTA-Lo'!G45)=FALSE,'PTA-Lo'!G45,""),IF(ISBLANK('PTA-Mid'!G45)=FALSE,'PTA-Mid'!G45,"")))</f>
        <v>6.0199999999999997E-2</v>
      </c>
      <c r="H45" s="343">
        <f>IF(CostScenario="Higher cost",IF(ISBLANK('PTA-Hi'!H45)=FALSE,'PTA-Hi'!H45,""),IF(CostScenario="Lower cost",IF(ISBLANK('PTA-Lo'!H45)=FALSE,'PTA-Lo'!H45,""),IF(ISBLANK('PTA-Mid'!H45)=FALSE,'PTA-Mid'!H45,"")))</f>
        <v>6.0199999999999997E-2</v>
      </c>
      <c r="I45" s="142">
        <f>IF(CostScenario="Higher cost",IF(ISBLANK('PTA-Hi'!I45)=FALSE,'PTA-Hi'!I45,""),IF(CostScenario="Lower cost",IF(ISBLANK('PTA-Lo'!I45)=FALSE,'PTA-Lo'!I45,""),IF(ISBLANK('PTA-Mid'!I45)=FALSE,'PTA-Mid'!I45,"")))</f>
        <v>7.5999999999999998E-2</v>
      </c>
      <c r="J45" s="343">
        <f>IF(CostScenario="Higher cost",IF(ISBLANK('PTA-Hi'!J45)=FALSE,'PTA-Hi'!J45,""),IF(CostScenario="Lower cost",IF(ISBLANK('PTA-Lo'!J45)=FALSE,'PTA-Lo'!J45,""),IF(ISBLANK('PTA-Mid'!J45)=FALSE,'PTA-Mid'!J45,"")))</f>
        <v>0.04</v>
      </c>
      <c r="K45" s="343">
        <f>IF(CostScenario="Higher cost",IF(ISBLANK('PTA-Hi'!K45)=FALSE,'PTA-Hi'!K45,""),IF(CostScenario="Lower cost",IF(ISBLANK('PTA-Lo'!K45)=FALSE,'PTA-Lo'!K45,""),IF(ISBLANK('PTA-Mid'!K45)=FALSE,'PTA-Mid'!K45,"")))</f>
        <v>0.04</v>
      </c>
      <c r="L45" s="343">
        <f>IF(CostScenario="Higher cost",IF(ISBLANK('PTA-Hi'!L45)=FALSE,'PTA-Hi'!L45,""),IF(CostScenario="Lower cost",IF(ISBLANK('PTA-Lo'!L45)=FALSE,'PTA-Lo'!L45,""),IF(ISBLANK('PTA-Mid'!L45)=FALSE,'PTA-Mid'!L45,"")))</f>
        <v>0.02</v>
      </c>
      <c r="M45" s="343">
        <f>IF(CostScenario="Higher cost",IF(ISBLANK('PTA-Hi'!M45)=FALSE,'PTA-Hi'!M45,""),IF(CostScenario="Lower cost",IF(ISBLANK('PTA-Lo'!M45)=FALSE,'PTA-Lo'!M45,""),IF(ISBLANK('PTA-Mid'!M45)=FALSE,'PTA-Mid'!M45,"")))</f>
        <v>0.02</v>
      </c>
      <c r="N45" s="343">
        <f>IF(CostScenario="Higher cost",IF(ISBLANK('PTA-Hi'!N45)=FALSE,'PTA-Hi'!N45,""),IF(CostScenario="Lower cost",IF(ISBLANK('PTA-Lo'!N45)=FALSE,'PTA-Lo'!N45,""),IF(ISBLANK('PTA-Mid'!N45)=FALSE,'PTA-Mid'!N45,"")))</f>
        <v>0.02</v>
      </c>
      <c r="O45" s="343">
        <f>IF(CostScenario="Higher cost",IF(ISBLANK('PTA-Hi'!O45)=FALSE,'PTA-Hi'!O45,""),IF(CostScenario="Lower cost",IF(ISBLANK('PTA-Lo'!O45)=FALSE,'PTA-Lo'!O45,""),IF(ISBLANK('PTA-Mid'!O45)=FALSE,'PTA-Mid'!O45,"")))</f>
        <v>0.02</v>
      </c>
      <c r="P45" s="343">
        <f>IF(CostScenario="Higher cost",IF(ISBLANK('PTA-Hi'!P45)=FALSE,'PTA-Hi'!P45,""),IF(CostScenario="Lower cost",IF(ISBLANK('PTA-Lo'!P45)=FALSE,'PTA-Lo'!P45,""),IF(ISBLANK('PTA-Mid'!P45)=FALSE,'PTA-Mid'!P45,"")))</f>
        <v>0.02</v>
      </c>
      <c r="Q45" s="343">
        <f>IF(CostScenario="Higher cost",IF(ISBLANK('PTA-Hi'!Q45)=FALSE,'PTA-Hi'!Q45,""),IF(CostScenario="Lower cost",IF(ISBLANK('PTA-Lo'!Q45)=FALSE,'PTA-Lo'!Q45,""),IF(ISBLANK('PTA-Mid'!Q45)=FALSE,'PTA-Mid'!Q45,"")))</f>
        <v>1.4999999999999999E-2</v>
      </c>
      <c r="R45" s="343">
        <f>IF(CostScenario="Higher cost",IF(ISBLANK('PTA-Hi'!R45)=FALSE,'PTA-Hi'!R45,""),IF(CostScenario="Lower cost",IF(ISBLANK('PTA-Lo'!R45)=FALSE,'PTA-Lo'!R45,""),IF(ISBLANK('PTA-Mid'!R45)=FALSE,'PTA-Mid'!R45,"")))</f>
        <v>1.4999999999999999E-2</v>
      </c>
      <c r="S45" s="343">
        <f>IF(CostScenario="Higher cost",IF(ISBLANK('PTA-Hi'!S45)=FALSE,'PTA-Hi'!S45,""),IF(CostScenario="Lower cost",IF(ISBLANK('PTA-Lo'!S45)=FALSE,'PTA-Lo'!S45,""),IF(ISBLANK('PTA-Mid'!S45)=FALSE,'PTA-Mid'!S45,"")))</f>
        <v>1.4999999999999999E-2</v>
      </c>
      <c r="T45" s="343">
        <f>IF(CostScenario="Higher cost",IF(ISBLANK('PTA-Hi'!T45)=FALSE,'PTA-Hi'!T45,""),IF(CostScenario="Lower cost",IF(ISBLANK('PTA-Lo'!T45)=FALSE,'PTA-Lo'!T45,""),IF(ISBLANK('PTA-Mid'!T45)=FALSE,'PTA-Mid'!T45,"")))</f>
        <v>1.4999999999999999E-2</v>
      </c>
      <c r="U45" s="343">
        <f>IF(CostScenario="Higher cost",IF(ISBLANK('PTA-Hi'!U45)=FALSE,'PTA-Hi'!U45,""),IF(CostScenario="Lower cost",IF(ISBLANK('PTA-Lo'!U45)=FALSE,'PTA-Lo'!U45,""),IF(ISBLANK('PTA-Mid'!U45)=FALSE,'PTA-Mid'!U45,"")))</f>
        <v>0</v>
      </c>
      <c r="V45" s="343">
        <f>IF(CostScenario="Higher cost",IF(ISBLANK('PTA-Hi'!V45)=FALSE,'PTA-Hi'!V45,""),IF(CostScenario="Lower cost",IF(ISBLANK('PTA-Lo'!V45)=FALSE,'PTA-Lo'!V45,""),IF(ISBLANK('PTA-Mid'!V45)=FALSE,'PTA-Mid'!V45,"")))</f>
        <v>0</v>
      </c>
      <c r="W45" s="343"/>
      <c r="X45" s="142"/>
      <c r="Z45" s="30"/>
      <c r="AA45" s="30"/>
    </row>
    <row r="46" spans="1:36" s="7" customFormat="1">
      <c r="A46" s="915" t="s">
        <v>973</v>
      </c>
      <c r="B46" s="916" t="s">
        <v>702</v>
      </c>
      <c r="C46" s="919" t="s">
        <v>1297</v>
      </c>
      <c r="D46" s="343">
        <f>IF(CostScenario="Higher cost",IF(ISBLANK('PTA-Hi'!D46)=FALSE,'PTA-Hi'!D46,""),IF(CostScenario="Lower cost",IF(ISBLANK('PTA-Lo'!D46)=FALSE,'PTA-Lo'!D46,""),IF(ISBLANK('PTA-Mid'!D46)=FALSE,'PTA-Mid'!D46,"")))</f>
        <v>5.5599999999999997E-2</v>
      </c>
      <c r="E46" s="343">
        <f>IF(CostScenario="Higher cost",IF(ISBLANK('PTA-Hi'!E46)=FALSE,'PTA-Hi'!E46,""),IF(CostScenario="Lower cost",IF(ISBLANK('PTA-Lo'!E46)=FALSE,'PTA-Lo'!E46,""),IF(ISBLANK('PTA-Mid'!E46)=FALSE,'PTA-Mid'!E46,"")))</f>
        <v>4.1300000000000003E-2</v>
      </c>
      <c r="F46" s="343">
        <f>IF(CostScenario="Higher cost",IF(ISBLANK('PTA-Hi'!F46)=FALSE,'PTA-Hi'!F46,""),IF(CostScenario="Lower cost",IF(ISBLANK('PTA-Lo'!F46)=FALSE,'PTA-Lo'!F46,""),IF(ISBLANK('PTA-Mid'!F46)=FALSE,'PTA-Mid'!F46,"")))</f>
        <v>4.1300000000000003E-2</v>
      </c>
      <c r="G46" s="343">
        <f>IF(CostScenario="Higher cost",IF(ISBLANK('PTA-Hi'!G46)=FALSE,'PTA-Hi'!G46,""),IF(CostScenario="Lower cost",IF(ISBLANK('PTA-Lo'!G46)=FALSE,'PTA-Lo'!G46,""),IF(ISBLANK('PTA-Mid'!G46)=FALSE,'PTA-Mid'!G46,"")))</f>
        <v>2.24E-2</v>
      </c>
      <c r="H46" s="343">
        <f>IF(CostScenario="Higher cost",IF(ISBLANK('PTA-Hi'!H46)=FALSE,'PTA-Hi'!H46,""),IF(CostScenario="Lower cost",IF(ISBLANK('PTA-Lo'!H46)=FALSE,'PTA-Lo'!H46,""),IF(ISBLANK('PTA-Mid'!H46)=FALSE,'PTA-Mid'!H46,"")))</f>
        <v>2.24E-2</v>
      </c>
      <c r="I46" s="142">
        <f>IF(CostScenario="Higher cost",IF(ISBLANK('PTA-Hi'!I46)=FALSE,'PTA-Hi'!I46,""),IF(CostScenario="Lower cost",IF(ISBLANK('PTA-Lo'!I46)=FALSE,'PTA-Lo'!I46,""),IF(ISBLANK('PTA-Mid'!I46)=FALSE,'PTA-Mid'!I46,"")))</f>
        <v>0.09</v>
      </c>
      <c r="J46" s="343">
        <f>IF(CostScenario="Higher cost",IF(ISBLANK('PTA-Hi'!J46)=FALSE,'PTA-Hi'!J46,""),IF(CostScenario="Lower cost",IF(ISBLANK('PTA-Lo'!J46)=FALSE,'PTA-Lo'!J46,""),IF(ISBLANK('PTA-Mid'!J46)=FALSE,'PTA-Mid'!J46,"")))</f>
        <v>2.5000000000000001E-2</v>
      </c>
      <c r="K46" s="343">
        <f>IF(CostScenario="Higher cost",IF(ISBLANK('PTA-Hi'!K46)=FALSE,'PTA-Hi'!K46,""),IF(CostScenario="Lower cost",IF(ISBLANK('PTA-Lo'!K46)=FALSE,'PTA-Lo'!K46,""),IF(ISBLANK('PTA-Mid'!K46)=FALSE,'PTA-Mid'!K46,"")))</f>
        <v>2.5000000000000001E-2</v>
      </c>
      <c r="L46" s="343">
        <f>IF(CostScenario="Higher cost",IF(ISBLANK('PTA-Hi'!L46)=FALSE,'PTA-Hi'!L46,""),IF(CostScenario="Lower cost",IF(ISBLANK('PTA-Lo'!L46)=FALSE,'PTA-Lo'!L46,""),IF(ISBLANK('PTA-Mid'!L46)=FALSE,'PTA-Mid'!L46,"")))</f>
        <v>0.06</v>
      </c>
      <c r="M46" s="343">
        <f>IF(CostScenario="Higher cost",IF(ISBLANK('PTA-Hi'!M46)=FALSE,'PTA-Hi'!M46,""),IF(CostScenario="Lower cost",IF(ISBLANK('PTA-Lo'!M46)=FALSE,'PTA-Lo'!M46,""),IF(ISBLANK('PTA-Mid'!M46)=FALSE,'PTA-Mid'!M46,"")))</f>
        <v>0.06</v>
      </c>
      <c r="N46" s="343">
        <f>IF(CostScenario="Higher cost",IF(ISBLANK('PTA-Hi'!N46)=FALSE,'PTA-Hi'!N46,""),IF(CostScenario="Lower cost",IF(ISBLANK('PTA-Lo'!N46)=FALSE,'PTA-Lo'!N46,""),IF(ISBLANK('PTA-Mid'!N46)=FALSE,'PTA-Mid'!N46,"")))</f>
        <v>0.06</v>
      </c>
      <c r="O46" s="343">
        <f>IF(CostScenario="Higher cost",IF(ISBLANK('PTA-Hi'!O46)=FALSE,'PTA-Hi'!O46,""),IF(CostScenario="Lower cost",IF(ISBLANK('PTA-Lo'!O46)=FALSE,'PTA-Lo'!O46,""),IF(ISBLANK('PTA-Mid'!O46)=FALSE,'PTA-Mid'!O46,"")))</f>
        <v>0.06</v>
      </c>
      <c r="P46" s="343">
        <f>IF(CostScenario="Higher cost",IF(ISBLANK('PTA-Hi'!P46)=FALSE,'PTA-Hi'!P46,""),IF(CostScenario="Lower cost",IF(ISBLANK('PTA-Lo'!P46)=FALSE,'PTA-Lo'!P46,""),IF(ISBLANK('PTA-Mid'!P46)=FALSE,'PTA-Mid'!P46,"")))</f>
        <v>0.06</v>
      </c>
      <c r="Q46" s="343">
        <f>IF(CostScenario="Higher cost",IF(ISBLANK('PTA-Hi'!Q46)=FALSE,'PTA-Hi'!Q46,""),IF(CostScenario="Lower cost",IF(ISBLANK('PTA-Lo'!Q46)=FALSE,'PTA-Lo'!Q46,""),IF(ISBLANK('PTA-Mid'!Q46)=FALSE,'PTA-Mid'!Q46,"")))</f>
        <v>0</v>
      </c>
      <c r="R46" s="343">
        <f>IF(CostScenario="Higher cost",IF(ISBLANK('PTA-Hi'!R46)=FALSE,'PTA-Hi'!R46,""),IF(CostScenario="Lower cost",IF(ISBLANK('PTA-Lo'!R46)=FALSE,'PTA-Lo'!R46,""),IF(ISBLANK('PTA-Mid'!R46)=FALSE,'PTA-Mid'!R46,"")))</f>
        <v>0</v>
      </c>
      <c r="S46" s="343">
        <f>IF(CostScenario="Higher cost",IF(ISBLANK('PTA-Hi'!S46)=FALSE,'PTA-Hi'!S46,""),IF(CostScenario="Lower cost",IF(ISBLANK('PTA-Lo'!S46)=FALSE,'PTA-Lo'!S46,""),IF(ISBLANK('PTA-Mid'!S46)=FALSE,'PTA-Mid'!S46,"")))</f>
        <v>0</v>
      </c>
      <c r="T46" s="343">
        <f>IF(CostScenario="Higher cost",IF(ISBLANK('PTA-Hi'!T46)=FALSE,'PTA-Hi'!T46,""),IF(CostScenario="Lower cost",IF(ISBLANK('PTA-Lo'!T46)=FALSE,'PTA-Lo'!T46,""),IF(ISBLANK('PTA-Mid'!T46)=FALSE,'PTA-Mid'!T46,"")))</f>
        <v>0</v>
      </c>
      <c r="U46" s="343">
        <f>IF(CostScenario="Higher cost",IF(ISBLANK('PTA-Hi'!U46)=FALSE,'PTA-Hi'!U46,""),IF(CostScenario="Lower cost",IF(ISBLANK('PTA-Lo'!U46)=FALSE,'PTA-Lo'!U46,""),IF(ISBLANK('PTA-Mid'!U46)=FALSE,'PTA-Mid'!U46,"")))</f>
        <v>0.01</v>
      </c>
      <c r="V46" s="343">
        <f>IF(CostScenario="Higher cost",IF(ISBLANK('PTA-Hi'!V46)=FALSE,'PTA-Hi'!V46,""),IF(CostScenario="Lower cost",IF(ISBLANK('PTA-Lo'!V46)=FALSE,'PTA-Lo'!V46,""),IF(ISBLANK('PTA-Mid'!V46)=FALSE,'PTA-Mid'!V46,"")))</f>
        <v>0.01</v>
      </c>
      <c r="W46" s="343"/>
      <c r="X46" s="142"/>
      <c r="Z46" s="30"/>
      <c r="AA46" s="30"/>
    </row>
    <row r="47" spans="1:36" s="7" customFormat="1">
      <c r="A47" s="915"/>
      <c r="B47" s="916"/>
      <c r="C47" s="921" t="s">
        <v>403</v>
      </c>
      <c r="D47" s="30"/>
      <c r="E47" s="30"/>
      <c r="F47" s="30"/>
      <c r="G47" s="30"/>
      <c r="H47" s="30"/>
      <c r="I47" s="30"/>
      <c r="J47" s="30"/>
      <c r="K47" s="30"/>
      <c r="L47" s="30"/>
      <c r="M47" s="30"/>
      <c r="N47" s="2335"/>
      <c r="O47" s="2335"/>
      <c r="P47" s="2335"/>
      <c r="Q47" s="2335"/>
      <c r="R47" s="30"/>
      <c r="S47" s="2335"/>
      <c r="T47" s="2335"/>
      <c r="U47" s="30"/>
      <c r="V47" s="30"/>
      <c r="W47" s="2335"/>
      <c r="X47" s="30"/>
      <c r="Z47" s="30"/>
      <c r="AA47" s="30"/>
    </row>
    <row r="48" spans="1:36" s="215" customFormat="1">
      <c r="A48" s="2024" t="s">
        <v>412</v>
      </c>
      <c r="B48" s="2025"/>
      <c r="C48" s="2026" t="s">
        <v>410</v>
      </c>
      <c r="D48" s="39">
        <f>IF(CostScenario="Higher cost",IF(ISBLANK('PTA-Hi'!D48)=FALSE,'PTA-Hi'!D48,""),IF(CostScenario="Lower cost",IF(ISBLANK('PTA-Lo'!D48)=FALSE,'PTA-Lo'!D48,""),IF(ISBLANK('PTA-Mid'!D48)=FALSE,'PTA-Mid'!D48,"")))</f>
        <v>26.854149723682205</v>
      </c>
      <c r="E48" s="39">
        <f>IF(CostScenario="Higher cost",IF(ISBLANK('PTA-Hi'!E48)=FALSE,'PTA-Hi'!E48,""),IF(CostScenario="Lower cost",IF(ISBLANK('PTA-Lo'!E48)=FALSE,'PTA-Lo'!E48,""),IF(ISBLANK('PTA-Mid'!E48)=FALSE,'PTA-Mid'!E48,"")))</f>
        <v>25.947222738385001</v>
      </c>
      <c r="F48" s="39">
        <f>IF(CostScenario="Higher cost",IF(ISBLANK('PTA-Hi'!F48)=FALSE,'PTA-Hi'!F48,""),IF(CostScenario="Lower cost",IF(ISBLANK('PTA-Lo'!F48)=FALSE,'PTA-Lo'!F48,""),IF(ISBLANK('PTA-Mid'!F48)=FALSE,'PTA-Mid'!F48,"")))</f>
        <v>23.869979877847602</v>
      </c>
      <c r="G48" s="39">
        <f>IF(CostScenario="Higher cost",IF(ISBLANK('PTA-Hi'!G48)=FALSE,'PTA-Hi'!G48,""),IF(CostScenario="Lower cost",IF(ISBLANK('PTA-Lo'!G48)=FALSE,'PTA-Lo'!G48,""),IF(ISBLANK('PTA-Mid'!G48)=FALSE,'PTA-Mid'!G48,"")))</f>
        <v>32.687916232334665</v>
      </c>
      <c r="H48" s="39">
        <f>IF(CostScenario="Higher cost",IF(ISBLANK('PTA-Hi'!H48)=FALSE,'PTA-Hi'!H48,""),IF(CostScenario="Lower cost",IF(ISBLANK('PTA-Lo'!H48)=FALSE,'PTA-Lo'!H48,""),IF(ISBLANK('PTA-Mid'!H48)=FALSE,'PTA-Mid'!H48,"")))</f>
        <v>32.690034022686902</v>
      </c>
      <c r="I48" s="39">
        <f>IF(CostScenario="Higher cost",IF(ISBLANK('PTA-Hi'!I48)=FALSE,'PTA-Hi'!I48,""),IF(CostScenario="Lower cost",IF(ISBLANK('PTA-Lo'!I48)=FALSE,'PTA-Lo'!I48,""),IF(ISBLANK('PTA-Mid'!I48)=FALSE,'PTA-Mid'!I48,"")))</f>
        <v>100.5</v>
      </c>
      <c r="J48" s="39">
        <f>IF(CostScenario="Higher cost",IF(ISBLANK('PTA-Hi'!J48)=FALSE,'PTA-Hi'!J48,""),IF(CostScenario="Lower cost",IF(ISBLANK('PTA-Lo'!J48)=FALSE,'PTA-Lo'!J48,""),IF(ISBLANK('PTA-Mid'!J48)=FALSE,'PTA-Mid'!J48,"")))</f>
        <v>84.93</v>
      </c>
      <c r="K48" s="39">
        <f>IF(CostScenario="Higher cost",IF(ISBLANK('PTA-Hi'!K48)=FALSE,'PTA-Hi'!K48,""),IF(CostScenario="Lower cost",IF(ISBLANK('PTA-Lo'!K48)=FALSE,'PTA-Lo'!K48,""),IF(ISBLANK('PTA-Mid'!K48)=FALSE,'PTA-Mid'!K48,"")))</f>
        <v>84.93</v>
      </c>
      <c r="L48" s="39">
        <f>IF(CostScenario="Higher cost",IF(ISBLANK('PTA-Hi'!L48)=FALSE,'PTA-Hi'!L48,""),IF(CostScenario="Lower cost",IF(ISBLANK('PTA-Lo'!L48)=FALSE,'PTA-Lo'!L48,""),IF(ISBLANK('PTA-Mid'!L48)=FALSE,'PTA-Mid'!L48,"")))</f>
        <v>67.114937288220972</v>
      </c>
      <c r="M48" s="39">
        <f>IF(CostScenario="Higher cost",IF(ISBLANK('PTA-Hi'!M48)=FALSE,'PTA-Hi'!M48,""),IF(CostScenario="Lower cost",IF(ISBLANK('PTA-Lo'!M48)=FALSE,'PTA-Lo'!M48,""),IF(ISBLANK('PTA-Mid'!M48)=FALSE,'PTA-Mid'!M48,"")))</f>
        <v>67.114937288220972</v>
      </c>
      <c r="N48" s="39">
        <f>IF(CostScenario="Higher cost",IF(ISBLANK('PTA-Hi'!N48)=FALSE,'PTA-Hi'!N48,""),IF(CostScenario="Lower cost",IF(ISBLANK('PTA-Lo'!N48)=FALSE,'PTA-Lo'!N48,""),IF(ISBLANK('PTA-Mid'!N48)=FALSE,'PTA-Mid'!N48,"")))</f>
        <v>59.40503191575408</v>
      </c>
      <c r="O48" s="39">
        <f>IF(CostScenario="Higher cost",IF(ISBLANK('PTA-Hi'!O48)=FALSE,'PTA-Hi'!O48,""),IF(CostScenario="Lower cost",IF(ISBLANK('PTA-Lo'!O48)=FALSE,'PTA-Lo'!O48,""),IF(ISBLANK('PTA-Mid'!O48)=FALSE,'PTA-Mid'!O48,"")))</f>
        <v>62.661361298756674</v>
      </c>
      <c r="P48" s="39">
        <f>IF(CostScenario="Higher cost",IF(ISBLANK('PTA-Hi'!P48)=FALSE,'PTA-Hi'!P48,""),IF(CostScenario="Lower cost",IF(ISBLANK('PTA-Lo'!P48)=FALSE,'PTA-Lo'!P48,""),IF(ISBLANK('PTA-Mid'!P48)=FALSE,'PTA-Mid'!P48,"")))</f>
        <v>62.661361298756674</v>
      </c>
      <c r="Q48" s="39">
        <f>IF(CostScenario="Higher cost",IF(ISBLANK('PTA-Hi'!Q48)=FALSE,'PTA-Hi'!Q48,""),IF(CostScenario="Lower cost",IF(ISBLANK('PTA-Lo'!Q48)=FALSE,'PTA-Lo'!Q48,""),IF(ISBLANK('PTA-Mid'!Q48)=FALSE,'PTA-Mid'!Q48,"")))</f>
        <v>25</v>
      </c>
      <c r="R48" s="39">
        <f>IF(CostScenario="Higher cost",IF(ISBLANK('PTA-Hi'!R48)=FALSE,'PTA-Hi'!R48,""),IF(CostScenario="Lower cost",IF(ISBLANK('PTA-Lo'!R48)=FALSE,'PTA-Lo'!R48,""),IF(ISBLANK('PTA-Mid'!R48)=FALSE,'PTA-Mid'!R48,"")))</f>
        <v>28</v>
      </c>
      <c r="S48" s="39">
        <f>IF(CostScenario="Higher cost",IF(ISBLANK('PTA-Hi'!S48)=FALSE,'PTA-Hi'!S48,""),IF(CostScenario="Lower cost",IF(ISBLANK('PTA-Lo'!S48)=FALSE,'PTA-Lo'!S48,""),IF(ISBLANK('PTA-Mid'!S48)=FALSE,'PTA-Mid'!S48,"")))</f>
        <v>25</v>
      </c>
      <c r="T48" s="39">
        <f>IF(CostScenario="Higher cost",IF(ISBLANK('PTA-Hi'!T48)=FALSE,'PTA-Hi'!T48,""),IF(CostScenario="Lower cost",IF(ISBLANK('PTA-Lo'!T48)=FALSE,'PTA-Lo'!T48,""),IF(ISBLANK('PTA-Mid'!T48)=FALSE,'PTA-Mid'!T48,"")))</f>
        <v>28</v>
      </c>
      <c r="U48" s="39">
        <f>IF(CostScenario="Higher cost",IF(ISBLANK('PTA-Hi'!U48)=FALSE,'PTA-Hi'!U48,""),IF(CostScenario="Lower cost",IF(ISBLANK('PTA-Lo'!U48)=FALSE,'PTA-Lo'!U48,""),IF(ISBLANK('PTA-Mid'!U48)=FALSE,'PTA-Mid'!U48,"")))</f>
        <v>0</v>
      </c>
      <c r="V48" s="39">
        <f>IF(CostScenario="Higher cost",IF(ISBLANK('PTA-Hi'!V48)=FALSE,'PTA-Hi'!V48,""),IF(CostScenario="Lower cost",IF(ISBLANK('PTA-Lo'!V48)=FALSE,'PTA-Lo'!V48,""),IF(ISBLANK('PTA-Mid'!V48)=FALSE,'PTA-Mid'!V48,"")))</f>
        <v>0</v>
      </c>
      <c r="W48" s="39"/>
      <c r="X48" s="39"/>
      <c r="Z48" s="39"/>
      <c r="AA48" s="39"/>
    </row>
    <row r="49" spans="1:27" s="215" customFormat="1">
      <c r="A49" s="2024" t="s">
        <v>413</v>
      </c>
      <c r="B49" s="2025"/>
      <c r="C49" s="2026" t="s">
        <v>411</v>
      </c>
      <c r="D49" s="39">
        <f>IF(CostScenario="Higher cost",IF(ISBLANK('PTA-Hi'!D49)=FALSE,'PTA-Hi'!D49,""),IF(CostScenario="Lower cost",IF(ISBLANK('PTA-Lo'!D49)=FALSE,'PTA-Lo'!D49,""),IF(ISBLANK('PTA-Mid'!D49)=FALSE,'PTA-Mid'!D49,"")))</f>
        <v>0</v>
      </c>
      <c r="E49" s="39">
        <f>IF(CostScenario="Higher cost",IF(ISBLANK('PTA-Hi'!E49)=FALSE,'PTA-Hi'!E49,""),IF(CostScenario="Lower cost",IF(ISBLANK('PTA-Lo'!E49)=FALSE,'PTA-Lo'!E49,""),IF(ISBLANK('PTA-Mid'!E49)=FALSE,'PTA-Mid'!E49,"")))</f>
        <v>0</v>
      </c>
      <c r="F49" s="39">
        <f>IF(CostScenario="Higher cost",IF(ISBLANK('PTA-Hi'!F49)=FALSE,'PTA-Hi'!F49,""),IF(CostScenario="Lower cost",IF(ISBLANK('PTA-Lo'!F49)=FALSE,'PTA-Lo'!F49,""),IF(ISBLANK('PTA-Mid'!F49)=FALSE,'PTA-Mid'!F49,"")))</f>
        <v>0</v>
      </c>
      <c r="G49" s="39">
        <f>IF(CostScenario="Higher cost",IF(ISBLANK('PTA-Hi'!G49)=FALSE,'PTA-Hi'!G49,""),IF(CostScenario="Lower cost",IF(ISBLANK('PTA-Lo'!G49)=FALSE,'PTA-Lo'!G49,""),IF(ISBLANK('PTA-Mid'!G49)=FALSE,'PTA-Mid'!G49,"")))</f>
        <v>0.58443773698594481</v>
      </c>
      <c r="H49" s="39">
        <f>IF(CostScenario="Higher cost",IF(ISBLANK('PTA-Hi'!H49)=FALSE,'PTA-Hi'!H49,""),IF(CostScenario="Lower cost",IF(ISBLANK('PTA-Lo'!H49)=FALSE,'PTA-Lo'!H49,""),IF(ISBLANK('PTA-Mid'!H49)=FALSE,'PTA-Mid'!H49,"")))</f>
        <v>0.58443773698594481</v>
      </c>
      <c r="I49" s="39">
        <f>IF(CostScenario="Higher cost",IF(ISBLANK('PTA-Hi'!I49)=FALSE,'PTA-Hi'!I49,""),IF(CostScenario="Lower cost",IF(ISBLANK('PTA-Lo'!I49)=FALSE,'PTA-Lo'!I49,""),IF(ISBLANK('PTA-Mid'!I49)=FALSE,'PTA-Mid'!I49,"")))</f>
        <v>5</v>
      </c>
      <c r="J49" s="39">
        <f>IF(CostScenario="Higher cost",IF(ISBLANK('PTA-Hi'!J49)=FALSE,'PTA-Hi'!J49,""),IF(CostScenario="Lower cost",IF(ISBLANK('PTA-Lo'!J49)=FALSE,'PTA-Lo'!J49,""),IF(ISBLANK('PTA-Mid'!J49)=FALSE,'PTA-Mid'!J49,"")))</f>
        <v>0</v>
      </c>
      <c r="K49" s="39">
        <f>IF(CostScenario="Higher cost",IF(ISBLANK('PTA-Hi'!K49)=FALSE,'PTA-Hi'!K49,""),IF(CostScenario="Lower cost",IF(ISBLANK('PTA-Lo'!K49)=FALSE,'PTA-Lo'!K49,""),IF(ISBLANK('PTA-Mid'!K49)=FALSE,'PTA-Mid'!K49,"")))</f>
        <v>0</v>
      </c>
      <c r="L49" s="39">
        <f>IF(CostScenario="Higher cost",IF(ISBLANK('PTA-Hi'!L49)=FALSE,'PTA-Hi'!L49,""),IF(CostScenario="Lower cost",IF(ISBLANK('PTA-Lo'!L49)=FALSE,'PTA-Lo'!L49,""),IF(ISBLANK('PTA-Mid'!L49)=FALSE,'PTA-Mid'!L49,"")))</f>
        <v>0</v>
      </c>
      <c r="M49" s="39">
        <f>IF(CostScenario="Higher cost",IF(ISBLANK('PTA-Hi'!M49)=FALSE,'PTA-Hi'!M49,""),IF(CostScenario="Lower cost",IF(ISBLANK('PTA-Lo'!M49)=FALSE,'PTA-Lo'!M49,""),IF(ISBLANK('PTA-Mid'!M49)=FALSE,'PTA-Mid'!M49,"")))</f>
        <v>0</v>
      </c>
      <c r="N49" s="39">
        <f>IF(CostScenario="Higher cost",IF(ISBLANK('PTA-Hi'!N49)=FALSE,'PTA-Hi'!N49,""),IF(CostScenario="Lower cost",IF(ISBLANK('PTA-Lo'!N49)=FALSE,'PTA-Lo'!N49,""),IF(ISBLANK('PTA-Mid'!N49)=FALSE,'PTA-Mid'!N49,"")))</f>
        <v>0</v>
      </c>
      <c r="O49" s="39">
        <f>IF(CostScenario="Higher cost",IF(ISBLANK('PTA-Hi'!O49)=FALSE,'PTA-Hi'!O49,""),IF(CostScenario="Lower cost",IF(ISBLANK('PTA-Lo'!O49)=FALSE,'PTA-Lo'!O49,""),IF(ISBLANK('PTA-Mid'!O49)=FALSE,'PTA-Mid'!O49,"")))</f>
        <v>0</v>
      </c>
      <c r="P49" s="39">
        <f>IF(CostScenario="Higher cost",IF(ISBLANK('PTA-Hi'!P49)=FALSE,'PTA-Hi'!P49,""),IF(CostScenario="Lower cost",IF(ISBLANK('PTA-Lo'!P49)=FALSE,'PTA-Lo'!P49,""),IF(ISBLANK('PTA-Mid'!P49)=FALSE,'PTA-Mid'!P49,"")))</f>
        <v>0</v>
      </c>
      <c r="Q49" s="39">
        <f>IF(CostScenario="Higher cost",IF(ISBLANK('PTA-Hi'!Q49)=FALSE,'PTA-Hi'!Q49,""),IF(CostScenario="Lower cost",IF(ISBLANK('PTA-Lo'!Q49)=FALSE,'PTA-Lo'!Q49,""),IF(ISBLANK('PTA-Mid'!Q49)=FALSE,'PTA-Mid'!Q49,"")))</f>
        <v>0</v>
      </c>
      <c r="R49" s="39">
        <f>IF(CostScenario="Higher cost",IF(ISBLANK('PTA-Hi'!R49)=FALSE,'PTA-Hi'!R49,""),IF(CostScenario="Lower cost",IF(ISBLANK('PTA-Lo'!R49)=FALSE,'PTA-Lo'!R49,""),IF(ISBLANK('PTA-Mid'!R49)=FALSE,'PTA-Mid'!R49,"")))</f>
        <v>0</v>
      </c>
      <c r="S49" s="39">
        <f>IF(CostScenario="Higher cost",IF(ISBLANK('PTA-Hi'!S49)=FALSE,'PTA-Hi'!S49,""),IF(CostScenario="Lower cost",IF(ISBLANK('PTA-Lo'!S49)=FALSE,'PTA-Lo'!S49,""),IF(ISBLANK('PTA-Mid'!S49)=FALSE,'PTA-Mid'!S49,"")))</f>
        <v>0</v>
      </c>
      <c r="T49" s="39">
        <f>IF(CostScenario="Higher cost",IF(ISBLANK('PTA-Hi'!T49)=FALSE,'PTA-Hi'!T49,""),IF(CostScenario="Lower cost",IF(ISBLANK('PTA-Lo'!T49)=FALSE,'PTA-Lo'!T49,""),IF(ISBLANK('PTA-Mid'!T49)=FALSE,'PTA-Mid'!T49,"")))</f>
        <v>0</v>
      </c>
      <c r="U49" s="39">
        <f>IF(CostScenario="Higher cost",IF(ISBLANK('PTA-Hi'!U49)=FALSE,'PTA-Hi'!U49,""),IF(CostScenario="Lower cost",IF(ISBLANK('PTA-Lo'!U49)=FALSE,'PTA-Lo'!U49,""),IF(ISBLANK('PTA-Mid'!U49)=FALSE,'PTA-Mid'!U49,"")))</f>
        <v>9</v>
      </c>
      <c r="V49" s="39">
        <f>IF(CostScenario="Higher cost",IF(ISBLANK('PTA-Hi'!V49)=FALSE,'PTA-Hi'!V49,""),IF(CostScenario="Lower cost",IF(ISBLANK('PTA-Lo'!V49)=FALSE,'PTA-Lo'!V49,""),IF(ISBLANK('PTA-Mid'!V49)=FALSE,'PTA-Mid'!V49,"")))</f>
        <v>9</v>
      </c>
      <c r="W49" s="39"/>
      <c r="X49" s="39"/>
      <c r="Z49" s="39"/>
      <c r="AA49" s="39"/>
    </row>
    <row r="50" spans="1:27" s="7" customFormat="1">
      <c r="A50" s="216"/>
      <c r="B50" s="28"/>
      <c r="C50" s="196" t="s">
        <v>1337</v>
      </c>
      <c r="D50" s="30"/>
      <c r="E50" s="30"/>
      <c r="F50" s="30"/>
      <c r="G50" s="30"/>
      <c r="H50" s="30"/>
      <c r="I50" s="30"/>
      <c r="J50" s="30"/>
      <c r="K50" s="30"/>
      <c r="L50" s="30"/>
      <c r="M50" s="30"/>
      <c r="N50" s="2335"/>
      <c r="O50" s="2335"/>
      <c r="P50" s="2335"/>
      <c r="Q50" s="2335"/>
      <c r="R50" s="30"/>
      <c r="S50" s="2335"/>
      <c r="T50" s="2335"/>
      <c r="U50" s="30"/>
      <c r="V50" s="30"/>
      <c r="W50" s="2335"/>
      <c r="X50" s="30"/>
      <c r="Z50" s="30"/>
      <c r="AA50" s="30"/>
    </row>
    <row r="51" spans="1:27" s="28" customFormat="1">
      <c r="A51" s="922" t="s">
        <v>812</v>
      </c>
      <c r="B51" s="146" t="s">
        <v>703</v>
      </c>
      <c r="C51" s="2260" t="s">
        <v>1540</v>
      </c>
      <c r="D51" s="30">
        <f>IF(CostScenario="Higher cost",IF(ISBLANK('PTA-Hi'!D51)=FALSE,'PTA-Hi'!D51,""),IF(CostScenario="Lower cost",IF(ISBLANK('PTA-Lo'!D51)=FALSE,'PTA-Lo'!D51,""),IF(ISBLANK('PTA-Mid'!D51)=FALSE,'PTA-Mid'!D51,"")))</f>
        <v>0.45</v>
      </c>
      <c r="E51" s="30">
        <f>IF(CostScenario="Higher cost",IF(ISBLANK('PTA-Hi'!E51)=FALSE,'PTA-Hi'!E51,""),IF(CostScenario="Lower cost",IF(ISBLANK('PTA-Lo'!E51)=FALSE,'PTA-Lo'!E51,""),IF(ISBLANK('PTA-Mid'!E51)=FALSE,'PTA-Mid'!E51,"")))</f>
        <v>0.81</v>
      </c>
      <c r="F51" s="30">
        <f>IF(CostScenario="Higher cost",IF(ISBLANK('PTA-Hi'!F51)=FALSE,'PTA-Hi'!F51,""),IF(CostScenario="Lower cost",IF(ISBLANK('PTA-Lo'!F51)=FALSE,'PTA-Lo'!F51,""),IF(ISBLANK('PTA-Mid'!F51)=FALSE,'PTA-Mid'!F51,"")))</f>
        <v>1.1599999999999999</v>
      </c>
      <c r="G51" s="30">
        <f>IF(CostScenario="Higher cost",IF(ISBLANK('PTA-Hi'!G51)=FALSE,'PTA-Hi'!G51,""),IF(CostScenario="Lower cost",IF(ISBLANK('PTA-Lo'!G51)=FALSE,'PTA-Lo'!G51,""),IF(ISBLANK('PTA-Mid'!G51)=FALSE,'PTA-Mid'!G51,"")))</f>
        <v>2.2599999999999998</v>
      </c>
      <c r="H51" s="30">
        <f>IF(CostScenario="Higher cost",IF(ISBLANK('PTA-Hi'!H51)=FALSE,'PTA-Hi'!H51,""),IF(CostScenario="Lower cost",IF(ISBLANK('PTA-Lo'!H51)=FALSE,'PTA-Lo'!H51,""),IF(ISBLANK('PTA-Mid'!H51)=FALSE,'PTA-Mid'!H51,"")))</f>
        <v>2.4900000000000002</v>
      </c>
      <c r="I51" s="30" t="str">
        <f>IF(CostScenario="Higher cost",IF(ISBLANK('PTA-Hi'!I51)=FALSE,'PTA-Hi'!I51,""),IF(CostScenario="Lower cost",IF(ISBLANK('PTA-Lo'!I51)=FALSE,'PTA-Lo'!I51,""),IF(ISBLANK('PTA-Mid'!I51)=FALSE,'PTA-Mid'!I51,"")))</f>
        <v/>
      </c>
      <c r="J51" s="30" t="str">
        <f>IF(CostScenario="Higher cost",IF(ISBLANK('PTA-Hi'!J51)=FALSE,'PTA-Hi'!J51,""),IF(CostScenario="Lower cost",IF(ISBLANK('PTA-Lo'!J51)=FALSE,'PTA-Lo'!J51,""),IF(ISBLANK('PTA-Mid'!J51)=FALSE,'PTA-Mid'!J51,"")))</f>
        <v/>
      </c>
      <c r="K51" s="30" t="str">
        <f>IF(CostScenario="Higher cost",IF(ISBLANK('PTA-Hi'!K51)=FALSE,'PTA-Hi'!K51,""),IF(CostScenario="Lower cost",IF(ISBLANK('PTA-Lo'!K51)=FALSE,'PTA-Lo'!K51,""),IF(ISBLANK('PTA-Mid'!K51)=FALSE,'PTA-Mid'!K51,"")))</f>
        <v/>
      </c>
      <c r="L51" s="30" t="str">
        <f>IF(CostScenario="Higher cost",IF(ISBLANK('PTA-Hi'!L51)=FALSE,'PTA-Hi'!L51,""),IF(CostScenario="Lower cost",IF(ISBLANK('PTA-Lo'!L51)=FALSE,'PTA-Lo'!L51,""),IF(ISBLANK('PTA-Mid'!L51)=FALSE,'PTA-Mid'!L51,"")))</f>
        <v/>
      </c>
      <c r="M51" s="30" t="str">
        <f>IF(CostScenario="Higher cost",IF(ISBLANK('PTA-Hi'!M51)=FALSE,'PTA-Hi'!M51,""),IF(CostScenario="Lower cost",IF(ISBLANK('PTA-Lo'!M51)=FALSE,'PTA-Lo'!M51,""),IF(ISBLANK('PTA-Mid'!M51)=FALSE,'PTA-Mid'!M51,"")))</f>
        <v/>
      </c>
      <c r="N51" s="2335" t="str">
        <f>IF(CostScenario="Higher cost",IF(ISBLANK('PTA-Hi'!N51)=FALSE,'PTA-Hi'!N51,""),IF(CostScenario="Lower cost",IF(ISBLANK('PTA-Lo'!N51)=FALSE,'PTA-Lo'!N51,""),IF(ISBLANK('PTA-Mid'!N51)=FALSE,'PTA-Mid'!N51,"")))</f>
        <v/>
      </c>
      <c r="O51" s="2335" t="str">
        <f>IF(CostScenario="Higher cost",IF(ISBLANK('PTA-Hi'!O51)=FALSE,'PTA-Hi'!O51,""),IF(CostScenario="Lower cost",IF(ISBLANK('PTA-Lo'!O51)=FALSE,'PTA-Lo'!O51,""),IF(ISBLANK('PTA-Mid'!O51)=FALSE,'PTA-Mid'!O51,"")))</f>
        <v/>
      </c>
      <c r="P51" s="2335" t="str">
        <f>IF(CostScenario="Higher cost",IF(ISBLANK('PTA-Hi'!P51)=FALSE,'PTA-Hi'!P51,""),IF(CostScenario="Lower cost",IF(ISBLANK('PTA-Lo'!P51)=FALSE,'PTA-Lo'!P51,""),IF(ISBLANK('PTA-Mid'!P51)=FALSE,'PTA-Mid'!P51,"")))</f>
        <v/>
      </c>
      <c r="Q51" s="2335" t="str">
        <f>IF(CostScenario="Higher cost",IF(ISBLANK('PTA-Hi'!Q51)=FALSE,'PTA-Hi'!Q51,""),IF(CostScenario="Lower cost",IF(ISBLANK('PTA-Lo'!Q51)=FALSE,'PTA-Lo'!Q51,""),IF(ISBLANK('PTA-Mid'!Q51)=FALSE,'PTA-Mid'!Q51,"")))</f>
        <v/>
      </c>
      <c r="R51" s="30" t="str">
        <f>IF(CostScenario="Higher cost",IF(ISBLANK('PTA-Hi'!R51)=FALSE,'PTA-Hi'!R51,""),IF(CostScenario="Lower cost",IF(ISBLANK('PTA-Lo'!R51)=FALSE,'PTA-Lo'!R51,""),IF(ISBLANK('PTA-Mid'!R51)=FALSE,'PTA-Mid'!R51,"")))</f>
        <v/>
      </c>
      <c r="S51" s="2335" t="str">
        <f>IF(CostScenario="Higher cost",IF(ISBLANK('PTA-Hi'!S51)=FALSE,'PTA-Hi'!S51,""),IF(CostScenario="Lower cost",IF(ISBLANK('PTA-Lo'!S51)=FALSE,'PTA-Lo'!S51,""),IF(ISBLANK('PTA-Mid'!S51)=FALSE,'PTA-Mid'!S51,"")))</f>
        <v/>
      </c>
      <c r="T51" s="2335" t="str">
        <f>IF(CostScenario="Higher cost",IF(ISBLANK('PTA-Hi'!T51)=FALSE,'PTA-Hi'!T51,""),IF(CostScenario="Lower cost",IF(ISBLANK('PTA-Lo'!T51)=FALSE,'PTA-Lo'!T51,""),IF(ISBLANK('PTA-Mid'!T51)=FALSE,'PTA-Mid'!T51,"")))</f>
        <v/>
      </c>
      <c r="U51" s="30" t="str">
        <f>IF(CostScenario="Higher cost",IF(ISBLANK('PTA-Hi'!U51)=FALSE,'PTA-Hi'!U51,""),IF(CostScenario="Lower cost",IF(ISBLANK('PTA-Lo'!U51)=FALSE,'PTA-Lo'!U51,""),IF(ISBLANK('PTA-Mid'!U51)=FALSE,'PTA-Mid'!U51,"")))</f>
        <v/>
      </c>
      <c r="V51" s="30" t="str">
        <f>IF(CostScenario="Higher cost",IF(ISBLANK('PTA-Hi'!V51)=FALSE,'PTA-Hi'!V51,""),IF(CostScenario="Lower cost",IF(ISBLANK('PTA-Lo'!V51)=FALSE,'PTA-Lo'!V51,""),IF(ISBLANK('PTA-Mid'!V51)=FALSE,'PTA-Mid'!V51,"")))</f>
        <v/>
      </c>
      <c r="W51" s="2335"/>
      <c r="X51" s="30"/>
      <c r="Z51" s="30"/>
      <c r="AA51" s="30"/>
    </row>
    <row r="52" spans="1:27" s="28" customFormat="1">
      <c r="A52" s="922" t="s">
        <v>1536</v>
      </c>
      <c r="B52" s="146" t="s">
        <v>704</v>
      </c>
      <c r="C52" s="2260" t="s">
        <v>1541</v>
      </c>
      <c r="D52" s="30">
        <f>IF(CostScenario="Higher cost",IF(ISBLANK('PTA-Hi'!D52)=FALSE,'PTA-Hi'!D52,""),IF(CostScenario="Lower cost",IF(ISBLANK('PTA-Lo'!D52)=FALSE,'PTA-Lo'!D52,""),IF(ISBLANK('PTA-Mid'!D52)=FALSE,'PTA-Mid'!D52,"")))</f>
        <v>1.47</v>
      </c>
      <c r="E52" s="30">
        <f>IF(CostScenario="Higher cost",IF(ISBLANK('PTA-Hi'!E52)=FALSE,'PTA-Hi'!E52,""),IF(CostScenario="Lower cost",IF(ISBLANK('PTA-Lo'!E52)=FALSE,'PTA-Lo'!E52,""),IF(ISBLANK('PTA-Mid'!E52)=FALSE,'PTA-Mid'!E52,"")))</f>
        <v>2.62</v>
      </c>
      <c r="F52" s="30">
        <f>IF(CostScenario="Higher cost",IF(ISBLANK('PTA-Hi'!F52)=FALSE,'PTA-Hi'!F52,""),IF(CostScenario="Lower cost",IF(ISBLANK('PTA-Lo'!F52)=FALSE,'PTA-Lo'!F52,""),IF(ISBLANK('PTA-Mid'!F52)=FALSE,'PTA-Mid'!F52,"")))</f>
        <v>3.77</v>
      </c>
      <c r="G52" s="30">
        <f>IF(CostScenario="Higher cost",IF(ISBLANK('PTA-Hi'!G52)=FALSE,'PTA-Hi'!G52,""),IF(CostScenario="Lower cost",IF(ISBLANK('PTA-Lo'!G52)=FALSE,'PTA-Lo'!G52,""),IF(ISBLANK('PTA-Mid'!G52)=FALSE,'PTA-Mid'!G52,"")))</f>
        <v>10.220000000000001</v>
      </c>
      <c r="H52" s="30">
        <f>IF(CostScenario="Higher cost",IF(ISBLANK('PTA-Hi'!H52)=FALSE,'PTA-Hi'!H52,""),IF(CostScenario="Lower cost",IF(ISBLANK('PTA-Lo'!H52)=FALSE,'PTA-Lo'!H52,""),IF(ISBLANK('PTA-Mid'!H52)=FALSE,'PTA-Mid'!H52,"")))</f>
        <v>11.24</v>
      </c>
      <c r="I52" s="30" t="str">
        <f>IF(CostScenario="Higher cost",IF(ISBLANK('PTA-Hi'!I52)=FALSE,'PTA-Hi'!I52,""),IF(CostScenario="Lower cost",IF(ISBLANK('PTA-Lo'!I52)=FALSE,'PTA-Lo'!I52,""),IF(ISBLANK('PTA-Mid'!I52)=FALSE,'PTA-Mid'!I52,"")))</f>
        <v/>
      </c>
      <c r="J52" s="30" t="str">
        <f>IF(CostScenario="Higher cost",IF(ISBLANK('PTA-Hi'!J52)=FALSE,'PTA-Hi'!J52,""),IF(CostScenario="Lower cost",IF(ISBLANK('PTA-Lo'!J52)=FALSE,'PTA-Lo'!J52,""),IF(ISBLANK('PTA-Mid'!J52)=FALSE,'PTA-Mid'!J52,"")))</f>
        <v/>
      </c>
      <c r="K52" s="30" t="str">
        <f>IF(CostScenario="Higher cost",IF(ISBLANK('PTA-Hi'!K52)=FALSE,'PTA-Hi'!K52,""),IF(CostScenario="Lower cost",IF(ISBLANK('PTA-Lo'!K52)=FALSE,'PTA-Lo'!K52,""),IF(ISBLANK('PTA-Mid'!K52)=FALSE,'PTA-Mid'!K52,"")))</f>
        <v/>
      </c>
      <c r="L52" s="30" t="str">
        <f>IF(CostScenario="Higher cost",IF(ISBLANK('PTA-Hi'!L52)=FALSE,'PTA-Hi'!L52,""),IF(CostScenario="Lower cost",IF(ISBLANK('PTA-Lo'!L52)=FALSE,'PTA-Lo'!L52,""),IF(ISBLANK('PTA-Mid'!L52)=FALSE,'PTA-Mid'!L52,"")))</f>
        <v/>
      </c>
      <c r="M52" s="30" t="str">
        <f>IF(CostScenario="Higher cost",IF(ISBLANK('PTA-Hi'!M52)=FALSE,'PTA-Hi'!M52,""),IF(CostScenario="Lower cost",IF(ISBLANK('PTA-Lo'!M52)=FALSE,'PTA-Lo'!M52,""),IF(ISBLANK('PTA-Mid'!M52)=FALSE,'PTA-Mid'!M52,"")))</f>
        <v/>
      </c>
      <c r="N52" s="2335" t="str">
        <f>IF(CostScenario="Higher cost",IF(ISBLANK('PTA-Hi'!N52)=FALSE,'PTA-Hi'!N52,""),IF(CostScenario="Lower cost",IF(ISBLANK('PTA-Lo'!N52)=FALSE,'PTA-Lo'!N52,""),IF(ISBLANK('PTA-Mid'!N52)=FALSE,'PTA-Mid'!N52,"")))</f>
        <v/>
      </c>
      <c r="O52" s="2335" t="str">
        <f>IF(CostScenario="Higher cost",IF(ISBLANK('PTA-Hi'!O52)=FALSE,'PTA-Hi'!O52,""),IF(CostScenario="Lower cost",IF(ISBLANK('PTA-Lo'!O52)=FALSE,'PTA-Lo'!O52,""),IF(ISBLANK('PTA-Mid'!O52)=FALSE,'PTA-Mid'!O52,"")))</f>
        <v/>
      </c>
      <c r="P52" s="2335" t="str">
        <f>IF(CostScenario="Higher cost",IF(ISBLANK('PTA-Hi'!P52)=FALSE,'PTA-Hi'!P52,""),IF(CostScenario="Lower cost",IF(ISBLANK('PTA-Lo'!P52)=FALSE,'PTA-Lo'!P52,""),IF(ISBLANK('PTA-Mid'!P52)=FALSE,'PTA-Mid'!P52,"")))</f>
        <v/>
      </c>
      <c r="Q52" s="2335" t="str">
        <f>IF(CostScenario="Higher cost",IF(ISBLANK('PTA-Hi'!Q52)=FALSE,'PTA-Hi'!Q52,""),IF(CostScenario="Lower cost",IF(ISBLANK('PTA-Lo'!Q52)=FALSE,'PTA-Lo'!Q52,""),IF(ISBLANK('PTA-Mid'!Q52)=FALSE,'PTA-Mid'!Q52,"")))</f>
        <v/>
      </c>
      <c r="R52" s="30" t="str">
        <f>IF(CostScenario="Higher cost",IF(ISBLANK('PTA-Hi'!R52)=FALSE,'PTA-Hi'!R52,""),IF(CostScenario="Lower cost",IF(ISBLANK('PTA-Lo'!R52)=FALSE,'PTA-Lo'!R52,""),IF(ISBLANK('PTA-Mid'!R52)=FALSE,'PTA-Mid'!R52,"")))</f>
        <v/>
      </c>
      <c r="S52" s="2335" t="str">
        <f>IF(CostScenario="Higher cost",IF(ISBLANK('PTA-Hi'!S52)=FALSE,'PTA-Hi'!S52,""),IF(CostScenario="Lower cost",IF(ISBLANK('PTA-Lo'!S52)=FALSE,'PTA-Lo'!S52,""),IF(ISBLANK('PTA-Mid'!S52)=FALSE,'PTA-Mid'!S52,"")))</f>
        <v/>
      </c>
      <c r="T52" s="2335" t="str">
        <f>IF(CostScenario="Higher cost",IF(ISBLANK('PTA-Hi'!T52)=FALSE,'PTA-Hi'!T52,""),IF(CostScenario="Lower cost",IF(ISBLANK('PTA-Lo'!T52)=FALSE,'PTA-Lo'!T52,""),IF(ISBLANK('PTA-Mid'!T52)=FALSE,'PTA-Mid'!T52,"")))</f>
        <v/>
      </c>
      <c r="U52" s="30" t="str">
        <f>IF(CostScenario="Higher cost",IF(ISBLANK('PTA-Hi'!U52)=FALSE,'PTA-Hi'!U52,""),IF(CostScenario="Lower cost",IF(ISBLANK('PTA-Lo'!U52)=FALSE,'PTA-Lo'!U52,""),IF(ISBLANK('PTA-Mid'!U52)=FALSE,'PTA-Mid'!U52,"")))</f>
        <v/>
      </c>
      <c r="V52" s="30" t="str">
        <f>IF(CostScenario="Higher cost",IF(ISBLANK('PTA-Hi'!V52)=FALSE,'PTA-Hi'!V52,""),IF(CostScenario="Lower cost",IF(ISBLANK('PTA-Lo'!V52)=FALSE,'PTA-Lo'!V52,""),IF(ISBLANK('PTA-Mid'!V52)=FALSE,'PTA-Mid'!V52,"")))</f>
        <v/>
      </c>
      <c r="W52" s="2335"/>
      <c r="X52" s="30"/>
      <c r="Z52" s="30"/>
      <c r="AA52" s="30"/>
    </row>
    <row r="53" spans="1:27" s="28" customFormat="1">
      <c r="A53" s="922" t="s">
        <v>1537</v>
      </c>
      <c r="B53" s="146" t="s">
        <v>705</v>
      </c>
      <c r="C53" s="2260" t="s">
        <v>1542</v>
      </c>
      <c r="D53" s="30">
        <f>IF(CostScenario="Higher cost",IF(ISBLANK('PTA-Hi'!D53)=FALSE,'PTA-Hi'!D53,""),IF(CostScenario="Lower cost",IF(ISBLANK('PTA-Lo'!D53)=FALSE,'PTA-Lo'!D53,""),IF(ISBLANK('PTA-Mid'!D53)=FALSE,'PTA-Mid'!D53,"")))</f>
        <v>0.79</v>
      </c>
      <c r="E53" s="30">
        <f>IF(CostScenario="Higher cost",IF(ISBLANK('PTA-Hi'!E53)=FALSE,'PTA-Hi'!E53,""),IF(CostScenario="Lower cost",IF(ISBLANK('PTA-Lo'!E53)=FALSE,'PTA-Lo'!E53,""),IF(ISBLANK('PTA-Mid'!E53)=FALSE,'PTA-Mid'!E53,"")))</f>
        <v>1.41</v>
      </c>
      <c r="F53" s="30">
        <f>IF(CostScenario="Higher cost",IF(ISBLANK('PTA-Hi'!F53)=FALSE,'PTA-Hi'!F53,""),IF(CostScenario="Lower cost",IF(ISBLANK('PTA-Lo'!F53)=FALSE,'PTA-Lo'!F53,""),IF(ISBLANK('PTA-Mid'!F53)=FALSE,'PTA-Mid'!F53,"")))</f>
        <v>2.0299999999999998</v>
      </c>
      <c r="G53" s="30">
        <f>IF(CostScenario="Higher cost",IF(ISBLANK('PTA-Hi'!G53)=FALSE,'PTA-Hi'!G53,""),IF(CostScenario="Lower cost",IF(ISBLANK('PTA-Lo'!G53)=FALSE,'PTA-Lo'!G53,""),IF(ISBLANK('PTA-Mid'!G53)=FALSE,'PTA-Mid'!G53,"")))</f>
        <v>3.17</v>
      </c>
      <c r="H53" s="30">
        <f>IF(CostScenario="Higher cost",IF(ISBLANK('PTA-Hi'!H53)=FALSE,'PTA-Hi'!H53,""),IF(CostScenario="Lower cost",IF(ISBLANK('PTA-Lo'!H53)=FALSE,'PTA-Lo'!H53,""),IF(ISBLANK('PTA-Mid'!H53)=FALSE,'PTA-Mid'!H53,"")))</f>
        <v>3.49</v>
      </c>
      <c r="I53" s="30" t="str">
        <f>IF(CostScenario="Higher cost",IF(ISBLANK('PTA-Hi'!I53)=FALSE,'PTA-Hi'!I53,""),IF(CostScenario="Lower cost",IF(ISBLANK('PTA-Lo'!I53)=FALSE,'PTA-Lo'!I53,""),IF(ISBLANK('PTA-Mid'!I53)=FALSE,'PTA-Mid'!I53,"")))</f>
        <v/>
      </c>
      <c r="J53" s="30" t="str">
        <f>IF(CostScenario="Higher cost",IF(ISBLANK('PTA-Hi'!J53)=FALSE,'PTA-Hi'!J53,""),IF(CostScenario="Lower cost",IF(ISBLANK('PTA-Lo'!J53)=FALSE,'PTA-Lo'!J53,""),IF(ISBLANK('PTA-Mid'!J53)=FALSE,'PTA-Mid'!J53,"")))</f>
        <v/>
      </c>
      <c r="K53" s="30" t="str">
        <f>IF(CostScenario="Higher cost",IF(ISBLANK('PTA-Hi'!K53)=FALSE,'PTA-Hi'!K53,""),IF(CostScenario="Lower cost",IF(ISBLANK('PTA-Lo'!K53)=FALSE,'PTA-Lo'!K53,""),IF(ISBLANK('PTA-Mid'!K53)=FALSE,'PTA-Mid'!K53,"")))</f>
        <v/>
      </c>
      <c r="L53" s="30" t="str">
        <f>IF(CostScenario="Higher cost",IF(ISBLANK('PTA-Hi'!L53)=FALSE,'PTA-Hi'!L53,""),IF(CostScenario="Lower cost",IF(ISBLANK('PTA-Lo'!L53)=FALSE,'PTA-Lo'!L53,""),IF(ISBLANK('PTA-Mid'!L53)=FALSE,'PTA-Mid'!L53,"")))</f>
        <v/>
      </c>
      <c r="M53" s="30" t="str">
        <f>IF(CostScenario="Higher cost",IF(ISBLANK('PTA-Hi'!M53)=FALSE,'PTA-Hi'!M53,""),IF(CostScenario="Lower cost",IF(ISBLANK('PTA-Lo'!M53)=FALSE,'PTA-Lo'!M53,""),IF(ISBLANK('PTA-Mid'!M53)=FALSE,'PTA-Mid'!M53,"")))</f>
        <v/>
      </c>
      <c r="N53" s="2335" t="str">
        <f>IF(CostScenario="Higher cost",IF(ISBLANK('PTA-Hi'!N53)=FALSE,'PTA-Hi'!N53,""),IF(CostScenario="Lower cost",IF(ISBLANK('PTA-Lo'!N53)=FALSE,'PTA-Lo'!N53,""),IF(ISBLANK('PTA-Mid'!N53)=FALSE,'PTA-Mid'!N53,"")))</f>
        <v/>
      </c>
      <c r="O53" s="2335" t="str">
        <f>IF(CostScenario="Higher cost",IF(ISBLANK('PTA-Hi'!O53)=FALSE,'PTA-Hi'!O53,""),IF(CostScenario="Lower cost",IF(ISBLANK('PTA-Lo'!O53)=FALSE,'PTA-Lo'!O53,""),IF(ISBLANK('PTA-Mid'!O53)=FALSE,'PTA-Mid'!O53,"")))</f>
        <v/>
      </c>
      <c r="P53" s="2335" t="str">
        <f>IF(CostScenario="Higher cost",IF(ISBLANK('PTA-Hi'!P53)=FALSE,'PTA-Hi'!P53,""),IF(CostScenario="Lower cost",IF(ISBLANK('PTA-Lo'!P53)=FALSE,'PTA-Lo'!P53,""),IF(ISBLANK('PTA-Mid'!P53)=FALSE,'PTA-Mid'!P53,"")))</f>
        <v/>
      </c>
      <c r="Q53" s="2335" t="str">
        <f>IF(CostScenario="Higher cost",IF(ISBLANK('PTA-Hi'!Q53)=FALSE,'PTA-Hi'!Q53,""),IF(CostScenario="Lower cost",IF(ISBLANK('PTA-Lo'!Q53)=FALSE,'PTA-Lo'!Q53,""),IF(ISBLANK('PTA-Mid'!Q53)=FALSE,'PTA-Mid'!Q53,"")))</f>
        <v/>
      </c>
      <c r="R53" s="30" t="str">
        <f>IF(CostScenario="Higher cost",IF(ISBLANK('PTA-Hi'!R53)=FALSE,'PTA-Hi'!R53,""),IF(CostScenario="Lower cost",IF(ISBLANK('PTA-Lo'!R53)=FALSE,'PTA-Lo'!R53,""),IF(ISBLANK('PTA-Mid'!R53)=FALSE,'PTA-Mid'!R53,"")))</f>
        <v/>
      </c>
      <c r="S53" s="2335" t="str">
        <f>IF(CostScenario="Higher cost",IF(ISBLANK('PTA-Hi'!S53)=FALSE,'PTA-Hi'!S53,""),IF(CostScenario="Lower cost",IF(ISBLANK('PTA-Lo'!S53)=FALSE,'PTA-Lo'!S53,""),IF(ISBLANK('PTA-Mid'!S53)=FALSE,'PTA-Mid'!S53,"")))</f>
        <v/>
      </c>
      <c r="T53" s="2335" t="str">
        <f>IF(CostScenario="Higher cost",IF(ISBLANK('PTA-Hi'!T53)=FALSE,'PTA-Hi'!T53,""),IF(CostScenario="Lower cost",IF(ISBLANK('PTA-Lo'!T53)=FALSE,'PTA-Lo'!T53,""),IF(ISBLANK('PTA-Mid'!T53)=FALSE,'PTA-Mid'!T53,"")))</f>
        <v/>
      </c>
      <c r="U53" s="30" t="str">
        <f>IF(CostScenario="Higher cost",IF(ISBLANK('PTA-Hi'!U53)=FALSE,'PTA-Hi'!U53,""),IF(CostScenario="Lower cost",IF(ISBLANK('PTA-Lo'!U53)=FALSE,'PTA-Lo'!U53,""),IF(ISBLANK('PTA-Mid'!U53)=FALSE,'PTA-Mid'!U53,"")))</f>
        <v/>
      </c>
      <c r="V53" s="30" t="str">
        <f>IF(CostScenario="Higher cost",IF(ISBLANK('PTA-Hi'!V53)=FALSE,'PTA-Hi'!V53,""),IF(CostScenario="Lower cost",IF(ISBLANK('PTA-Lo'!V53)=FALSE,'PTA-Lo'!V53,""),IF(ISBLANK('PTA-Mid'!V53)=FALSE,'PTA-Mid'!V53,"")))</f>
        <v/>
      </c>
      <c r="W53" s="2335"/>
      <c r="X53" s="30"/>
      <c r="Z53" s="30"/>
      <c r="AA53" s="30"/>
    </row>
    <row r="54" spans="1:27" s="28" customFormat="1">
      <c r="A54" s="922" t="s">
        <v>1545</v>
      </c>
      <c r="B54" s="146" t="s">
        <v>706</v>
      </c>
      <c r="C54" s="2260" t="s">
        <v>1539</v>
      </c>
      <c r="D54" s="30">
        <f>IF(CostScenario="Higher cost",IF(ISBLANK('PTA-Hi'!D54)=FALSE,'PTA-Hi'!D54,""),IF(CostScenario="Lower cost",IF(ISBLANK('PTA-Lo'!D54)=FALSE,'PTA-Lo'!D54,""),IF(ISBLANK('PTA-Mid'!D54)=FALSE,'PTA-Mid'!D54,"")))</f>
        <v>0.31</v>
      </c>
      <c r="E54" s="30">
        <f>IF(CostScenario="Higher cost",IF(ISBLANK('PTA-Hi'!E54)=FALSE,'PTA-Hi'!E54,""),IF(CostScenario="Lower cost",IF(ISBLANK('PTA-Lo'!E54)=FALSE,'PTA-Lo'!E54,""),IF(ISBLANK('PTA-Mid'!E54)=FALSE,'PTA-Mid'!E54,"")))</f>
        <v>0.56000000000000005</v>
      </c>
      <c r="F54" s="30">
        <f>IF(CostScenario="Higher cost",IF(ISBLANK('PTA-Hi'!F54)=FALSE,'PTA-Hi'!F54,""),IF(CostScenario="Lower cost",IF(ISBLANK('PTA-Lo'!F54)=FALSE,'PTA-Lo'!F54,""),IF(ISBLANK('PTA-Mid'!F54)=FALSE,'PTA-Mid'!F54,"")))</f>
        <v>0.81</v>
      </c>
      <c r="G54" s="30">
        <f>IF(CostScenario="Higher cost",IF(ISBLANK('PTA-Hi'!G54)=FALSE,'PTA-Hi'!G54,""),IF(CostScenario="Lower cost",IF(ISBLANK('PTA-Lo'!G54)=FALSE,'PTA-Lo'!G54,""),IF(ISBLANK('PTA-Mid'!G54)=FALSE,'PTA-Mid'!G54,"")))</f>
        <v>0</v>
      </c>
      <c r="H54" s="30">
        <f>IF(CostScenario="Higher cost",IF(ISBLANK('PTA-Hi'!H54)=FALSE,'PTA-Hi'!H54,""),IF(CostScenario="Lower cost",IF(ISBLANK('PTA-Lo'!H54)=FALSE,'PTA-Lo'!H54,""),IF(ISBLANK('PTA-Mid'!H54)=FALSE,'PTA-Mid'!H54,"")))</f>
        <v>0</v>
      </c>
      <c r="I54" s="30" t="str">
        <f>IF(CostScenario="Higher cost",IF(ISBLANK('PTA-Hi'!I54)=FALSE,'PTA-Hi'!I54,""),IF(CostScenario="Lower cost",IF(ISBLANK('PTA-Lo'!I54)=FALSE,'PTA-Lo'!I54,""),IF(ISBLANK('PTA-Mid'!I54)=FALSE,'PTA-Mid'!I54,"")))</f>
        <v/>
      </c>
      <c r="J54" s="30" t="str">
        <f>IF(CostScenario="Higher cost",IF(ISBLANK('PTA-Hi'!J54)=FALSE,'PTA-Hi'!J54,""),IF(CostScenario="Lower cost",IF(ISBLANK('PTA-Lo'!J54)=FALSE,'PTA-Lo'!J54,""),IF(ISBLANK('PTA-Mid'!J54)=FALSE,'PTA-Mid'!J54,"")))</f>
        <v/>
      </c>
      <c r="K54" s="30" t="str">
        <f>IF(CostScenario="Higher cost",IF(ISBLANK('PTA-Hi'!K54)=FALSE,'PTA-Hi'!K54,""),IF(CostScenario="Lower cost",IF(ISBLANK('PTA-Lo'!K54)=FALSE,'PTA-Lo'!K54,""),IF(ISBLANK('PTA-Mid'!K54)=FALSE,'PTA-Mid'!K54,"")))</f>
        <v/>
      </c>
      <c r="L54" s="30" t="str">
        <f>IF(CostScenario="Higher cost",IF(ISBLANK('PTA-Hi'!L54)=FALSE,'PTA-Hi'!L54,""),IF(CostScenario="Lower cost",IF(ISBLANK('PTA-Lo'!L54)=FALSE,'PTA-Lo'!L54,""),IF(ISBLANK('PTA-Mid'!L54)=FALSE,'PTA-Mid'!L54,"")))</f>
        <v/>
      </c>
      <c r="M54" s="30" t="str">
        <f>IF(CostScenario="Higher cost",IF(ISBLANK('PTA-Hi'!M54)=FALSE,'PTA-Hi'!M54,""),IF(CostScenario="Lower cost",IF(ISBLANK('PTA-Lo'!M54)=FALSE,'PTA-Lo'!M54,""),IF(ISBLANK('PTA-Mid'!M54)=FALSE,'PTA-Mid'!M54,"")))</f>
        <v/>
      </c>
      <c r="N54" s="2335" t="str">
        <f>IF(CostScenario="Higher cost",IF(ISBLANK('PTA-Hi'!N54)=FALSE,'PTA-Hi'!N54,""),IF(CostScenario="Lower cost",IF(ISBLANK('PTA-Lo'!N54)=FALSE,'PTA-Lo'!N54,""),IF(ISBLANK('PTA-Mid'!N54)=FALSE,'PTA-Mid'!N54,"")))</f>
        <v/>
      </c>
      <c r="O54" s="2335" t="str">
        <f>IF(CostScenario="Higher cost",IF(ISBLANK('PTA-Hi'!O54)=FALSE,'PTA-Hi'!O54,""),IF(CostScenario="Lower cost",IF(ISBLANK('PTA-Lo'!O54)=FALSE,'PTA-Lo'!O54,""),IF(ISBLANK('PTA-Mid'!O54)=FALSE,'PTA-Mid'!O54,"")))</f>
        <v/>
      </c>
      <c r="P54" s="2335" t="str">
        <f>IF(CostScenario="Higher cost",IF(ISBLANK('PTA-Hi'!P54)=FALSE,'PTA-Hi'!P54,""),IF(CostScenario="Lower cost",IF(ISBLANK('PTA-Lo'!P54)=FALSE,'PTA-Lo'!P54,""),IF(ISBLANK('PTA-Mid'!P54)=FALSE,'PTA-Mid'!P54,"")))</f>
        <v/>
      </c>
      <c r="Q54" s="2335" t="str">
        <f>IF(CostScenario="Higher cost",IF(ISBLANK('PTA-Hi'!Q54)=FALSE,'PTA-Hi'!Q54,""),IF(CostScenario="Lower cost",IF(ISBLANK('PTA-Lo'!Q54)=FALSE,'PTA-Lo'!Q54,""),IF(ISBLANK('PTA-Mid'!Q54)=FALSE,'PTA-Mid'!Q54,"")))</f>
        <v/>
      </c>
      <c r="R54" s="30" t="str">
        <f>IF(CostScenario="Higher cost",IF(ISBLANK('PTA-Hi'!R54)=FALSE,'PTA-Hi'!R54,""),IF(CostScenario="Lower cost",IF(ISBLANK('PTA-Lo'!R54)=FALSE,'PTA-Lo'!R54,""),IF(ISBLANK('PTA-Mid'!R54)=FALSE,'PTA-Mid'!R54,"")))</f>
        <v/>
      </c>
      <c r="S54" s="2335" t="str">
        <f>IF(CostScenario="Higher cost",IF(ISBLANK('PTA-Hi'!S54)=FALSE,'PTA-Hi'!S54,""),IF(CostScenario="Lower cost",IF(ISBLANK('PTA-Lo'!S54)=FALSE,'PTA-Lo'!S54,""),IF(ISBLANK('PTA-Mid'!S54)=FALSE,'PTA-Mid'!S54,"")))</f>
        <v/>
      </c>
      <c r="T54" s="2335" t="str">
        <f>IF(CostScenario="Higher cost",IF(ISBLANK('PTA-Hi'!T54)=FALSE,'PTA-Hi'!T54,""),IF(CostScenario="Lower cost",IF(ISBLANK('PTA-Lo'!T54)=FALSE,'PTA-Lo'!T54,""),IF(ISBLANK('PTA-Mid'!T54)=FALSE,'PTA-Mid'!T54,"")))</f>
        <v/>
      </c>
      <c r="U54" s="30" t="str">
        <f>IF(CostScenario="Higher cost",IF(ISBLANK('PTA-Hi'!U54)=FALSE,'PTA-Hi'!U54,""),IF(CostScenario="Lower cost",IF(ISBLANK('PTA-Lo'!U54)=FALSE,'PTA-Lo'!U54,""),IF(ISBLANK('PTA-Mid'!U54)=FALSE,'PTA-Mid'!U54,"")))</f>
        <v/>
      </c>
      <c r="V54" s="30" t="str">
        <f>IF(CostScenario="Higher cost",IF(ISBLANK('PTA-Hi'!V54)=FALSE,'PTA-Hi'!V54,""),IF(CostScenario="Lower cost",IF(ISBLANK('PTA-Lo'!V54)=FALSE,'PTA-Lo'!V54,""),IF(ISBLANK('PTA-Mid'!V54)=FALSE,'PTA-Mid'!V54,"")))</f>
        <v/>
      </c>
      <c r="W54" s="2335"/>
      <c r="X54" s="30"/>
      <c r="Z54" s="30"/>
      <c r="AA54" s="30"/>
    </row>
    <row r="55" spans="1:27" s="28" customFormat="1">
      <c r="A55" s="922" t="s">
        <v>813</v>
      </c>
      <c r="B55" s="146" t="s">
        <v>707</v>
      </c>
      <c r="C55" s="2260" t="s">
        <v>1543</v>
      </c>
      <c r="D55" s="30">
        <f>IF(CostScenario="Higher cost",IF(ISBLANK('PTA-Hi'!D55)=FALSE,'PTA-Hi'!D55,""),IF(CostScenario="Lower cost",IF(ISBLANK('PTA-Lo'!D55)=FALSE,'PTA-Lo'!D55,""),IF(ISBLANK('PTA-Mid'!D55)=FALSE,'PTA-Mid'!D55,"")))</f>
        <v>0.39</v>
      </c>
      <c r="E55" s="30">
        <f>IF(CostScenario="Higher cost",IF(ISBLANK('PTA-Hi'!E55)=FALSE,'PTA-Hi'!E55,""),IF(CostScenario="Lower cost",IF(ISBLANK('PTA-Lo'!E55)=FALSE,'PTA-Lo'!E55,""),IF(ISBLANK('PTA-Mid'!E55)=FALSE,'PTA-Mid'!E55,"")))</f>
        <v>0.69</v>
      </c>
      <c r="F55" s="30">
        <f>IF(CostScenario="Higher cost",IF(ISBLANK('PTA-Hi'!F55)=FALSE,'PTA-Hi'!F55,""),IF(CostScenario="Lower cost",IF(ISBLANK('PTA-Lo'!F55)=FALSE,'PTA-Lo'!F55,""),IF(ISBLANK('PTA-Mid'!F55)=FALSE,'PTA-Mid'!F55,"")))</f>
        <v>0.99</v>
      </c>
      <c r="G55" s="30">
        <f>IF(CostScenario="Higher cost",IF(ISBLANK('PTA-Hi'!G55)=FALSE,'PTA-Hi'!G55,""),IF(CostScenario="Lower cost",IF(ISBLANK('PTA-Lo'!G55)=FALSE,'PTA-Lo'!G55,""),IF(ISBLANK('PTA-Mid'!G55)=FALSE,'PTA-Mid'!G55,"")))</f>
        <v>2.38</v>
      </c>
      <c r="H55" s="30">
        <f>IF(CostScenario="Higher cost",IF(ISBLANK('PTA-Hi'!H55)=FALSE,'PTA-Hi'!H55,""),IF(CostScenario="Lower cost",IF(ISBLANK('PTA-Lo'!H55)=FALSE,'PTA-Lo'!H55,""),IF(ISBLANK('PTA-Mid'!H55)=FALSE,'PTA-Mid'!H55,"")))</f>
        <v>2.62</v>
      </c>
      <c r="I55" s="30" t="str">
        <f>IF(CostScenario="Higher cost",IF(ISBLANK('PTA-Hi'!I55)=FALSE,'PTA-Hi'!I55,""),IF(CostScenario="Lower cost",IF(ISBLANK('PTA-Lo'!I55)=FALSE,'PTA-Lo'!I55,""),IF(ISBLANK('PTA-Mid'!I55)=FALSE,'PTA-Mid'!I55,"")))</f>
        <v/>
      </c>
      <c r="J55" s="30" t="str">
        <f>IF(CostScenario="Higher cost",IF(ISBLANK('PTA-Hi'!J55)=FALSE,'PTA-Hi'!J55,""),IF(CostScenario="Lower cost",IF(ISBLANK('PTA-Lo'!J55)=FALSE,'PTA-Lo'!J55,""),IF(ISBLANK('PTA-Mid'!J55)=FALSE,'PTA-Mid'!J55,"")))</f>
        <v/>
      </c>
      <c r="K55" s="30" t="str">
        <f>IF(CostScenario="Higher cost",IF(ISBLANK('PTA-Hi'!K55)=FALSE,'PTA-Hi'!K55,""),IF(CostScenario="Lower cost",IF(ISBLANK('PTA-Lo'!K55)=FALSE,'PTA-Lo'!K55,""),IF(ISBLANK('PTA-Mid'!K55)=FALSE,'PTA-Mid'!K55,"")))</f>
        <v/>
      </c>
      <c r="L55" s="30" t="str">
        <f>IF(CostScenario="Higher cost",IF(ISBLANK('PTA-Hi'!L55)=FALSE,'PTA-Hi'!L55,""),IF(CostScenario="Lower cost",IF(ISBLANK('PTA-Lo'!L55)=FALSE,'PTA-Lo'!L55,""),IF(ISBLANK('PTA-Mid'!L55)=FALSE,'PTA-Mid'!L55,"")))</f>
        <v/>
      </c>
      <c r="M55" s="30" t="str">
        <f>IF(CostScenario="Higher cost",IF(ISBLANK('PTA-Hi'!M55)=FALSE,'PTA-Hi'!M55,""),IF(CostScenario="Lower cost",IF(ISBLANK('PTA-Lo'!M55)=FALSE,'PTA-Lo'!M55,""),IF(ISBLANK('PTA-Mid'!M55)=FALSE,'PTA-Mid'!M55,"")))</f>
        <v/>
      </c>
      <c r="N55" s="2335" t="str">
        <f>IF(CostScenario="Higher cost",IF(ISBLANK('PTA-Hi'!N55)=FALSE,'PTA-Hi'!N55,""),IF(CostScenario="Lower cost",IF(ISBLANK('PTA-Lo'!N55)=FALSE,'PTA-Lo'!N55,""),IF(ISBLANK('PTA-Mid'!N55)=FALSE,'PTA-Mid'!N55,"")))</f>
        <v/>
      </c>
      <c r="O55" s="2335" t="str">
        <f>IF(CostScenario="Higher cost",IF(ISBLANK('PTA-Hi'!O55)=FALSE,'PTA-Hi'!O55,""),IF(CostScenario="Lower cost",IF(ISBLANK('PTA-Lo'!O55)=FALSE,'PTA-Lo'!O55,""),IF(ISBLANK('PTA-Mid'!O55)=FALSE,'PTA-Mid'!O55,"")))</f>
        <v/>
      </c>
      <c r="P55" s="2335" t="str">
        <f>IF(CostScenario="Higher cost",IF(ISBLANK('PTA-Hi'!P55)=FALSE,'PTA-Hi'!P55,""),IF(CostScenario="Lower cost",IF(ISBLANK('PTA-Lo'!P55)=FALSE,'PTA-Lo'!P55,""),IF(ISBLANK('PTA-Mid'!P55)=FALSE,'PTA-Mid'!P55,"")))</f>
        <v/>
      </c>
      <c r="Q55" s="2335" t="str">
        <f>IF(CostScenario="Higher cost",IF(ISBLANK('PTA-Hi'!Q55)=FALSE,'PTA-Hi'!Q55,""),IF(CostScenario="Lower cost",IF(ISBLANK('PTA-Lo'!Q55)=FALSE,'PTA-Lo'!Q55,""),IF(ISBLANK('PTA-Mid'!Q55)=FALSE,'PTA-Mid'!Q55,"")))</f>
        <v/>
      </c>
      <c r="R55" s="30" t="str">
        <f>IF(CostScenario="Higher cost",IF(ISBLANK('PTA-Hi'!R55)=FALSE,'PTA-Hi'!R55,""),IF(CostScenario="Lower cost",IF(ISBLANK('PTA-Lo'!R55)=FALSE,'PTA-Lo'!R55,""),IF(ISBLANK('PTA-Mid'!R55)=FALSE,'PTA-Mid'!R55,"")))</f>
        <v/>
      </c>
      <c r="S55" s="2335" t="str">
        <f>IF(CostScenario="Higher cost",IF(ISBLANK('PTA-Hi'!S55)=FALSE,'PTA-Hi'!S55,""),IF(CostScenario="Lower cost",IF(ISBLANK('PTA-Lo'!S55)=FALSE,'PTA-Lo'!S55,""),IF(ISBLANK('PTA-Mid'!S55)=FALSE,'PTA-Mid'!S55,"")))</f>
        <v/>
      </c>
      <c r="T55" s="2335" t="str">
        <f>IF(CostScenario="Higher cost",IF(ISBLANK('PTA-Hi'!T55)=FALSE,'PTA-Hi'!T55,""),IF(CostScenario="Lower cost",IF(ISBLANK('PTA-Lo'!T55)=FALSE,'PTA-Lo'!T55,""),IF(ISBLANK('PTA-Mid'!T55)=FALSE,'PTA-Mid'!T55,"")))</f>
        <v/>
      </c>
      <c r="U55" s="30" t="str">
        <f>IF(CostScenario="Higher cost",IF(ISBLANK('PTA-Hi'!U55)=FALSE,'PTA-Hi'!U55,""),IF(CostScenario="Lower cost",IF(ISBLANK('PTA-Lo'!U55)=FALSE,'PTA-Lo'!U55,""),IF(ISBLANK('PTA-Mid'!U55)=FALSE,'PTA-Mid'!U55,"")))</f>
        <v/>
      </c>
      <c r="V55" s="30" t="str">
        <f>IF(CostScenario="Higher cost",IF(ISBLANK('PTA-Hi'!V55)=FALSE,'PTA-Hi'!V55,""),IF(CostScenario="Lower cost",IF(ISBLANK('PTA-Lo'!V55)=FALSE,'PTA-Lo'!V55,""),IF(ISBLANK('PTA-Mid'!V55)=FALSE,'PTA-Mid'!V55,"")))</f>
        <v/>
      </c>
      <c r="W55" s="2335"/>
      <c r="X55" s="30"/>
      <c r="Z55" s="30"/>
      <c r="AA55" s="30"/>
    </row>
    <row r="56" spans="1:27" s="28" customFormat="1">
      <c r="A56" s="922" t="s">
        <v>1538</v>
      </c>
      <c r="B56" s="146"/>
      <c r="C56" s="2260" t="s">
        <v>1544</v>
      </c>
      <c r="D56" s="30">
        <f>IF(CostScenario="Higher cost",IF(ISBLANK('PTA-Hi'!D56)=FALSE,'PTA-Hi'!D56,""),IF(CostScenario="Lower cost",IF(ISBLANK('PTA-Lo'!D56)=FALSE,'PTA-Lo'!D56,""),IF(ISBLANK('PTA-Mid'!D56)=FALSE,'PTA-Mid'!D56,"")))</f>
        <v>0.42</v>
      </c>
      <c r="E56" s="30">
        <f>IF(CostScenario="Higher cost",IF(ISBLANK('PTA-Hi'!E56)=FALSE,'PTA-Hi'!E56,""),IF(CostScenario="Lower cost",IF(ISBLANK('PTA-Lo'!E56)=FALSE,'PTA-Lo'!E56,""),IF(ISBLANK('PTA-Mid'!E56)=FALSE,'PTA-Mid'!E56,"")))</f>
        <v>0.74</v>
      </c>
      <c r="F56" s="30">
        <f>IF(CostScenario="Higher cost",IF(ISBLANK('PTA-Hi'!F56)=FALSE,'PTA-Hi'!F56,""),IF(CostScenario="Lower cost",IF(ISBLANK('PTA-Lo'!F56)=FALSE,'PTA-Lo'!F56,""),IF(ISBLANK('PTA-Mid'!F56)=FALSE,'PTA-Mid'!F56,"")))</f>
        <v>1.07</v>
      </c>
      <c r="G56" s="30">
        <f>IF(CostScenario="Higher cost",IF(ISBLANK('PTA-Hi'!G56)=FALSE,'PTA-Hi'!G56,""),IF(CostScenario="Lower cost",IF(ISBLANK('PTA-Lo'!G56)=FALSE,'PTA-Lo'!G56,""),IF(ISBLANK('PTA-Mid'!G56)=FALSE,'PTA-Mid'!G56,"")))</f>
        <v>2.1800000000000002</v>
      </c>
      <c r="H56" s="30">
        <f>IF(CostScenario="Higher cost",IF(ISBLANK('PTA-Hi'!H56)=FALSE,'PTA-Hi'!H56,""),IF(CostScenario="Lower cost",IF(ISBLANK('PTA-Lo'!H56)=FALSE,'PTA-Lo'!H56,""),IF(ISBLANK('PTA-Mid'!H56)=FALSE,'PTA-Mid'!H56,"")))</f>
        <v>2.4</v>
      </c>
      <c r="I56" s="30"/>
      <c r="J56" s="30"/>
      <c r="K56" s="30"/>
      <c r="L56" s="30"/>
      <c r="M56" s="30"/>
      <c r="N56" s="2335"/>
      <c r="O56" s="2335"/>
      <c r="P56" s="2335"/>
      <c r="Q56" s="2335"/>
      <c r="R56" s="30"/>
      <c r="S56" s="2335"/>
      <c r="T56" s="2335"/>
      <c r="U56" s="30"/>
      <c r="V56" s="30"/>
      <c r="W56" s="2335"/>
      <c r="X56" s="30"/>
      <c r="Z56" s="30"/>
      <c r="AA56" s="30"/>
    </row>
    <row r="57" spans="1:27" s="28" customFormat="1">
      <c r="A57" s="922"/>
      <c r="B57" s="146"/>
      <c r="C57" s="923" t="s">
        <v>1310</v>
      </c>
      <c r="D57" s="30"/>
      <c r="E57" s="30"/>
      <c r="F57" s="30"/>
      <c r="G57" s="30"/>
      <c r="H57" s="30"/>
      <c r="I57" s="30"/>
      <c r="J57" s="30"/>
      <c r="K57" s="30"/>
      <c r="L57" s="30"/>
      <c r="M57" s="30"/>
      <c r="N57" s="2335"/>
      <c r="O57" s="2335"/>
      <c r="P57" s="2335"/>
      <c r="Q57" s="2335"/>
      <c r="R57" s="30"/>
      <c r="S57" s="2335"/>
      <c r="T57" s="2335"/>
      <c r="U57" s="30"/>
      <c r="V57" s="30"/>
      <c r="W57" s="2335"/>
      <c r="X57" s="30"/>
      <c r="Z57" s="30"/>
      <c r="AA57" s="30"/>
    </row>
    <row r="58" spans="1:27" s="30" customFormat="1">
      <c r="A58" s="924" t="s">
        <v>814</v>
      </c>
      <c r="B58" s="925" t="s">
        <v>708</v>
      </c>
      <c r="C58" s="2260" t="s">
        <v>1540</v>
      </c>
      <c r="D58" s="30" t="str">
        <f>IF(CostScenario="Higher cost",IF(ISBLANK('PTA-Hi'!D58)=FALSE,'PTA-Hi'!D58,""),IF(CostScenario="Lower cost",IF(ISBLANK('PTA-Lo'!D58)=FALSE,'PTA-Lo'!D58,""),IF(ISBLANK('PTA-Mid'!D58)=FALSE,'PTA-Mid'!D58,"")))</f>
        <v/>
      </c>
      <c r="E58" s="30" t="str">
        <f>IF(CostScenario="Higher cost",IF(ISBLANK('PTA-Hi'!E58)=FALSE,'PTA-Hi'!E58,""),IF(CostScenario="Lower cost",IF(ISBLANK('PTA-Lo'!E58)=FALSE,'PTA-Lo'!E58,""),IF(ISBLANK('PTA-Mid'!E58)=FALSE,'PTA-Mid'!E58,"")))</f>
        <v/>
      </c>
      <c r="F58" s="30" t="str">
        <f>IF(CostScenario="Higher cost",IF(ISBLANK('PTA-Hi'!F58)=FALSE,'PTA-Hi'!F58,""),IF(CostScenario="Lower cost",IF(ISBLANK('PTA-Lo'!F58)=FALSE,'PTA-Lo'!F58,""),IF(ISBLANK('PTA-Mid'!F58)=FALSE,'PTA-Mid'!F58,"")))</f>
        <v/>
      </c>
      <c r="G58" s="30" t="str">
        <f>IF(CostScenario="Higher cost",IF(ISBLANK('PTA-Hi'!G58)=FALSE,'PTA-Hi'!G58,""),IF(CostScenario="Lower cost",IF(ISBLANK('PTA-Lo'!G58)=FALSE,'PTA-Lo'!G58,""),IF(ISBLANK('PTA-Mid'!G58)=FALSE,'PTA-Mid'!G58,"")))</f>
        <v/>
      </c>
      <c r="H58" s="30" t="str">
        <f>IF(CostScenario="Higher cost",IF(ISBLANK('PTA-Hi'!H58)=FALSE,'PTA-Hi'!H58,""),IF(CostScenario="Lower cost",IF(ISBLANK('PTA-Lo'!H58)=FALSE,'PTA-Lo'!H58,""),IF(ISBLANK('PTA-Mid'!H58)=FALSE,'PTA-Mid'!H58,"")))</f>
        <v/>
      </c>
      <c r="I58" s="30" t="str">
        <f>IF(CostScenario="Higher cost",IF(ISBLANK('PTA-Hi'!I58)=FALSE,'PTA-Hi'!I58,""),IF(CostScenario="Lower cost",IF(ISBLANK('PTA-Lo'!I58)=FALSE,'PTA-Lo'!I58,""),IF(ISBLANK('PTA-Mid'!I58)=FALSE,'PTA-Mid'!I58,"")))</f>
        <v/>
      </c>
      <c r="J58" s="30" t="str">
        <f>IF(CostScenario="Higher cost",IF(ISBLANK('PTA-Hi'!J58)=FALSE,'PTA-Hi'!J58,""),IF(CostScenario="Lower cost",IF(ISBLANK('PTA-Lo'!J58)=FALSE,'PTA-Lo'!J58,""),IF(ISBLANK('PTA-Mid'!J58)=FALSE,'PTA-Mid'!J58,"")))</f>
        <v/>
      </c>
      <c r="K58" s="30" t="str">
        <f>IF(CostScenario="Higher cost",IF(ISBLANK('PTA-Hi'!K58)=FALSE,'PTA-Hi'!K58,""),IF(CostScenario="Lower cost",IF(ISBLANK('PTA-Lo'!K58)=FALSE,'PTA-Lo'!K58,""),IF(ISBLANK('PTA-Mid'!K58)=FALSE,'PTA-Mid'!K58,"")))</f>
        <v/>
      </c>
      <c r="L58" s="30" t="str">
        <f>IF(CostScenario="Higher cost",IF(ISBLANK('PTA-Hi'!L58)=FALSE,'PTA-Hi'!L58,""),IF(CostScenario="Lower cost",IF(ISBLANK('PTA-Lo'!L58)=FALSE,'PTA-Lo'!L58,""),IF(ISBLANK('PTA-Mid'!L58)=FALSE,'PTA-Mid'!L58,"")))</f>
        <v/>
      </c>
      <c r="M58" s="30" t="str">
        <f>IF(CostScenario="Higher cost",IF(ISBLANK('PTA-Hi'!M58)=FALSE,'PTA-Hi'!M58,""),IF(CostScenario="Lower cost",IF(ISBLANK('PTA-Lo'!M58)=FALSE,'PTA-Lo'!M58,""),IF(ISBLANK('PTA-Mid'!M58)=FALSE,'PTA-Mid'!M58,"")))</f>
        <v/>
      </c>
      <c r="N58" s="2335" t="str">
        <f>IF(CostScenario="Higher cost",IF(ISBLANK('PTA-Hi'!N58)=FALSE,'PTA-Hi'!N58,""),IF(CostScenario="Lower cost",IF(ISBLANK('PTA-Lo'!N58)=FALSE,'PTA-Lo'!N58,""),IF(ISBLANK('PTA-Mid'!N58)=FALSE,'PTA-Mid'!N58,"")))</f>
        <v/>
      </c>
      <c r="O58" s="2335" t="str">
        <f>IF(CostScenario="Higher cost",IF(ISBLANK('PTA-Hi'!O58)=FALSE,'PTA-Hi'!O58,""),IF(CostScenario="Lower cost",IF(ISBLANK('PTA-Lo'!O58)=FALSE,'PTA-Lo'!O58,""),IF(ISBLANK('PTA-Mid'!O58)=FALSE,'PTA-Mid'!O58,"")))</f>
        <v/>
      </c>
      <c r="P58" s="2335" t="str">
        <f>IF(CostScenario="Higher cost",IF(ISBLANK('PTA-Hi'!P58)=FALSE,'PTA-Hi'!P58,""),IF(CostScenario="Lower cost",IF(ISBLANK('PTA-Lo'!P58)=FALSE,'PTA-Lo'!P58,""),IF(ISBLANK('PTA-Mid'!P58)=FALSE,'PTA-Mid'!P58,"")))</f>
        <v/>
      </c>
      <c r="Q58" s="2335" t="str">
        <f>IF(CostScenario="Higher cost",IF(ISBLANK('PTA-Hi'!Q58)=FALSE,'PTA-Hi'!Q58,""),IF(CostScenario="Lower cost",IF(ISBLANK('PTA-Lo'!Q58)=FALSE,'PTA-Lo'!Q58,""),IF(ISBLANK('PTA-Mid'!Q58)=FALSE,'PTA-Mid'!Q58,"")))</f>
        <v/>
      </c>
      <c r="R58" s="30" t="str">
        <f>IF(CostScenario="Higher cost",IF(ISBLANK('PTA-Hi'!R58)=FALSE,'PTA-Hi'!R58,""),IF(CostScenario="Lower cost",IF(ISBLANK('PTA-Lo'!R58)=FALSE,'PTA-Lo'!R58,""),IF(ISBLANK('PTA-Mid'!R58)=FALSE,'PTA-Mid'!R58,"")))</f>
        <v/>
      </c>
      <c r="S58" s="2335" t="str">
        <f>IF(CostScenario="Higher cost",IF(ISBLANK('PTA-Hi'!S58)=FALSE,'PTA-Hi'!S58,""),IF(CostScenario="Lower cost",IF(ISBLANK('PTA-Lo'!S58)=FALSE,'PTA-Lo'!S58,""),IF(ISBLANK('PTA-Mid'!S58)=FALSE,'PTA-Mid'!S58,"")))</f>
        <v/>
      </c>
      <c r="T58" s="2335" t="str">
        <f>IF(CostScenario="Higher cost",IF(ISBLANK('PTA-Hi'!T58)=FALSE,'PTA-Hi'!T58,""),IF(CostScenario="Lower cost",IF(ISBLANK('PTA-Lo'!T58)=FALSE,'PTA-Lo'!T58,""),IF(ISBLANK('PTA-Mid'!T58)=FALSE,'PTA-Mid'!T58,"")))</f>
        <v/>
      </c>
      <c r="U58" s="30" t="str">
        <f>IF(CostScenario="Higher cost",IF(ISBLANK('PTA-Hi'!U58)=FALSE,'PTA-Hi'!U58,""),IF(CostScenario="Lower cost",IF(ISBLANK('PTA-Lo'!U58)=FALSE,'PTA-Lo'!U58,""),IF(ISBLANK('PTA-Mid'!U58)=FALSE,'PTA-Mid'!U58,"")))</f>
        <v/>
      </c>
      <c r="V58" s="30" t="str">
        <f>IF(CostScenario="Higher cost",IF(ISBLANK('PTA-Hi'!V58)=FALSE,'PTA-Hi'!V58,""),IF(CostScenario="Lower cost",IF(ISBLANK('PTA-Lo'!V58)=FALSE,'PTA-Lo'!V58,""),IF(ISBLANK('PTA-Mid'!V58)=FALSE,'PTA-Mid'!V58,"")))</f>
        <v/>
      </c>
      <c r="W58" s="2335"/>
    </row>
    <row r="59" spans="1:27" s="30" customFormat="1">
      <c r="A59" s="924" t="s">
        <v>1533</v>
      </c>
      <c r="B59" s="925" t="s">
        <v>709</v>
      </c>
      <c r="C59" s="2260" t="s">
        <v>1541</v>
      </c>
      <c r="D59" s="622">
        <f>IF(CostScenario="Higher cost",IF(ISBLANK('PTA-Hi'!D59)=FALSE,'PTA-Hi'!D59,""),IF(CostScenario="Lower cost",IF(ISBLANK('PTA-Lo'!D59)=FALSE,'PTA-Lo'!D59,""),IF(ISBLANK('PTA-Mid'!D59)=FALSE,'PTA-Mid'!D59,"")))</f>
        <v>2080</v>
      </c>
      <c r="E59" s="622">
        <f>IF(CostScenario="Higher cost",IF(ISBLANK('PTA-Hi'!E59)=FALSE,'PTA-Hi'!E59,""),IF(CostScenario="Lower cost",IF(ISBLANK('PTA-Lo'!E59)=FALSE,'PTA-Lo'!E59,""),IF(ISBLANK('PTA-Mid'!E59)=FALSE,'PTA-Mid'!E59,"")))</f>
        <v>2080</v>
      </c>
      <c r="F59" s="622">
        <f>IF(CostScenario="Higher cost",IF(ISBLANK('PTA-Hi'!F59)=FALSE,'PTA-Hi'!F59,""),IF(CostScenario="Lower cost",IF(ISBLANK('PTA-Lo'!F59)=FALSE,'PTA-Lo'!F59,""),IF(ISBLANK('PTA-Mid'!F59)=FALSE,'PTA-Mid'!F59,"")))</f>
        <v>2080</v>
      </c>
      <c r="G59" s="622">
        <f>IF(CostScenario="Higher cost",IF(ISBLANK('PTA-Hi'!G59)=FALSE,'PTA-Hi'!G59,""),IF(CostScenario="Lower cost",IF(ISBLANK('PTA-Lo'!G59)=FALSE,'PTA-Lo'!G59,""),IF(ISBLANK('PTA-Mid'!G59)=FALSE,'PTA-Mid'!G59,"")))</f>
        <v>2080</v>
      </c>
      <c r="H59" s="622">
        <f>IF(CostScenario="Higher cost",IF(ISBLANK('PTA-Hi'!H59)=FALSE,'PTA-Hi'!H59,""),IF(CostScenario="Lower cost",IF(ISBLANK('PTA-Lo'!H59)=FALSE,'PTA-Lo'!H59,""),IF(ISBLANK('PTA-Mid'!H59)=FALSE,'PTA-Mid'!H59,"")))</f>
        <v>2080</v>
      </c>
      <c r="I59" s="30" t="str">
        <f>IF(CostScenario="Higher cost",IF(ISBLANK('PTA-Hi'!I59)=FALSE,'PTA-Hi'!I59,""),IF(CostScenario="Lower cost",IF(ISBLANK('PTA-Lo'!I59)=FALSE,'PTA-Lo'!I59,""),IF(ISBLANK('PTA-Mid'!I59)=FALSE,'PTA-Mid'!I59,"")))</f>
        <v/>
      </c>
      <c r="J59" s="622" t="str">
        <f>IF(CostScenario="Higher cost",IF(ISBLANK('PTA-Hi'!J59)=FALSE,'PTA-Hi'!J59,""),IF(CostScenario="Lower cost",IF(ISBLANK('PTA-Lo'!J59)=FALSE,'PTA-Lo'!J59,""),IF(ISBLANK('PTA-Mid'!J59)=FALSE,'PTA-Mid'!J59,"")))</f>
        <v/>
      </c>
      <c r="K59" s="622" t="str">
        <f>IF(CostScenario="Higher cost",IF(ISBLANK('PTA-Hi'!K59)=FALSE,'PTA-Hi'!K59,""),IF(CostScenario="Lower cost",IF(ISBLANK('PTA-Lo'!K59)=FALSE,'PTA-Lo'!K59,""),IF(ISBLANK('PTA-Mid'!K59)=FALSE,'PTA-Mid'!K59,"")))</f>
        <v/>
      </c>
      <c r="L59" s="622" t="str">
        <f>IF(CostScenario="Higher cost",IF(ISBLANK('PTA-Hi'!L59)=FALSE,'PTA-Hi'!L59,""),IF(CostScenario="Lower cost",IF(ISBLANK('PTA-Lo'!L59)=FALSE,'PTA-Lo'!L59,""),IF(ISBLANK('PTA-Mid'!L59)=FALSE,'PTA-Mid'!L59,"")))</f>
        <v/>
      </c>
      <c r="M59" s="622" t="str">
        <f>IF(CostScenario="Higher cost",IF(ISBLANK('PTA-Hi'!M59)=FALSE,'PTA-Hi'!M59,""),IF(CostScenario="Lower cost",IF(ISBLANK('PTA-Lo'!M59)=FALSE,'PTA-Lo'!M59,""),IF(ISBLANK('PTA-Mid'!M59)=FALSE,'PTA-Mid'!M59,"")))</f>
        <v/>
      </c>
      <c r="N59" s="622" t="str">
        <f>IF(CostScenario="Higher cost",IF(ISBLANK('PTA-Hi'!N59)=FALSE,'PTA-Hi'!N59,""),IF(CostScenario="Lower cost",IF(ISBLANK('PTA-Lo'!N59)=FALSE,'PTA-Lo'!N59,""),IF(ISBLANK('PTA-Mid'!N59)=FALSE,'PTA-Mid'!N59,"")))</f>
        <v/>
      </c>
      <c r="O59" s="622" t="str">
        <f>IF(CostScenario="Higher cost",IF(ISBLANK('PTA-Hi'!O59)=FALSE,'PTA-Hi'!O59,""),IF(CostScenario="Lower cost",IF(ISBLANK('PTA-Lo'!O59)=FALSE,'PTA-Lo'!O59,""),IF(ISBLANK('PTA-Mid'!O59)=FALSE,'PTA-Mid'!O59,"")))</f>
        <v/>
      </c>
      <c r="P59" s="622" t="str">
        <f>IF(CostScenario="Higher cost",IF(ISBLANK('PTA-Hi'!P59)=FALSE,'PTA-Hi'!P59,""),IF(CostScenario="Lower cost",IF(ISBLANK('PTA-Lo'!P59)=FALSE,'PTA-Lo'!P59,""),IF(ISBLANK('PTA-Mid'!P59)=FALSE,'PTA-Mid'!P59,"")))</f>
        <v/>
      </c>
      <c r="Q59" s="622" t="str">
        <f>IF(CostScenario="Higher cost",IF(ISBLANK('PTA-Hi'!Q59)=FALSE,'PTA-Hi'!Q59,""),IF(CostScenario="Lower cost",IF(ISBLANK('PTA-Lo'!Q59)=FALSE,'PTA-Lo'!Q59,""),IF(ISBLANK('PTA-Mid'!Q59)=FALSE,'PTA-Mid'!Q59,"")))</f>
        <v/>
      </c>
      <c r="R59" s="622" t="str">
        <f>IF(CostScenario="Higher cost",IF(ISBLANK('PTA-Hi'!R59)=FALSE,'PTA-Hi'!R59,""),IF(CostScenario="Lower cost",IF(ISBLANK('PTA-Lo'!R59)=FALSE,'PTA-Lo'!R59,""),IF(ISBLANK('PTA-Mid'!R59)=FALSE,'PTA-Mid'!R59,"")))</f>
        <v/>
      </c>
      <c r="S59" s="622" t="str">
        <f>IF(CostScenario="Higher cost",IF(ISBLANK('PTA-Hi'!S59)=FALSE,'PTA-Hi'!S59,""),IF(CostScenario="Lower cost",IF(ISBLANK('PTA-Lo'!S59)=FALSE,'PTA-Lo'!S59,""),IF(ISBLANK('PTA-Mid'!S59)=FALSE,'PTA-Mid'!S59,"")))</f>
        <v/>
      </c>
      <c r="T59" s="622" t="str">
        <f>IF(CostScenario="Higher cost",IF(ISBLANK('PTA-Hi'!T59)=FALSE,'PTA-Hi'!T59,""),IF(CostScenario="Lower cost",IF(ISBLANK('PTA-Lo'!T59)=FALSE,'PTA-Lo'!T59,""),IF(ISBLANK('PTA-Mid'!T59)=FALSE,'PTA-Mid'!T59,"")))</f>
        <v/>
      </c>
      <c r="U59" s="30" t="str">
        <f>IF(CostScenario="Higher cost",IF(ISBLANK('PTA-Hi'!U59)=FALSE,'PTA-Hi'!U59,""),IF(CostScenario="Lower cost",IF(ISBLANK('PTA-Lo'!U59)=FALSE,'PTA-Lo'!U59,""),IF(ISBLANK('PTA-Mid'!U59)=FALSE,'PTA-Mid'!U59,"")))</f>
        <v/>
      </c>
      <c r="V59" s="30" t="str">
        <f>IF(CostScenario="Higher cost",IF(ISBLANK('PTA-Hi'!V59)=FALSE,'PTA-Hi'!V59,""),IF(CostScenario="Lower cost",IF(ISBLANK('PTA-Lo'!V59)=FALSE,'PTA-Lo'!V59,""),IF(ISBLANK('PTA-Mid'!V59)=FALSE,'PTA-Mid'!V59,"")))</f>
        <v/>
      </c>
      <c r="W59" s="2335"/>
    </row>
    <row r="60" spans="1:27" s="30" customFormat="1">
      <c r="A60" s="924" t="s">
        <v>1534</v>
      </c>
      <c r="B60" s="925" t="s">
        <v>710</v>
      </c>
      <c r="C60" s="2260" t="s">
        <v>1542</v>
      </c>
      <c r="D60" s="622">
        <f>IF(CostScenario="Higher cost",IF(ISBLANK('PTA-Hi'!D60)=FALSE,'PTA-Hi'!D60,""),IF(CostScenario="Lower cost",IF(ISBLANK('PTA-Lo'!D60)=FALSE,'PTA-Lo'!D60,""),IF(ISBLANK('PTA-Mid'!D60)=FALSE,'PTA-Mid'!D60,"")))</f>
        <v>2080</v>
      </c>
      <c r="E60" s="622">
        <f>IF(CostScenario="Higher cost",IF(ISBLANK('PTA-Hi'!E60)=FALSE,'PTA-Hi'!E60,""),IF(CostScenario="Lower cost",IF(ISBLANK('PTA-Lo'!E60)=FALSE,'PTA-Lo'!E60,""),IF(ISBLANK('PTA-Mid'!E60)=FALSE,'PTA-Mid'!E60,"")))</f>
        <v>2080</v>
      </c>
      <c r="F60" s="622">
        <f>IF(CostScenario="Higher cost",IF(ISBLANK('PTA-Hi'!F60)=FALSE,'PTA-Hi'!F60,""),IF(CostScenario="Lower cost",IF(ISBLANK('PTA-Lo'!F60)=FALSE,'PTA-Lo'!F60,""),IF(ISBLANK('PTA-Mid'!F60)=FALSE,'PTA-Mid'!F60,"")))</f>
        <v>2080</v>
      </c>
      <c r="G60" s="622">
        <f>IF(CostScenario="Higher cost",IF(ISBLANK('PTA-Hi'!G60)=FALSE,'PTA-Hi'!G60,""),IF(CostScenario="Lower cost",IF(ISBLANK('PTA-Lo'!G60)=FALSE,'PTA-Lo'!G60,""),IF(ISBLANK('PTA-Mid'!G60)=FALSE,'PTA-Mid'!G60,"")))</f>
        <v>2080</v>
      </c>
      <c r="H60" s="622">
        <f>IF(CostScenario="Higher cost",IF(ISBLANK('PTA-Hi'!H60)=FALSE,'PTA-Hi'!H60,""),IF(CostScenario="Lower cost",IF(ISBLANK('PTA-Lo'!H60)=FALSE,'PTA-Lo'!H60,""),IF(ISBLANK('PTA-Mid'!H60)=FALSE,'PTA-Mid'!H60,"")))</f>
        <v>2080</v>
      </c>
      <c r="I60" s="30" t="str">
        <f>IF(CostScenario="Higher cost",IF(ISBLANK('PTA-Hi'!I60)=FALSE,'PTA-Hi'!I60,""),IF(CostScenario="Lower cost",IF(ISBLANK('PTA-Lo'!I60)=FALSE,'PTA-Lo'!I60,""),IF(ISBLANK('PTA-Mid'!I60)=FALSE,'PTA-Mid'!I60,"")))</f>
        <v/>
      </c>
      <c r="J60" s="622" t="str">
        <f>IF(CostScenario="Higher cost",IF(ISBLANK('PTA-Hi'!J60)=FALSE,'PTA-Hi'!J60,""),IF(CostScenario="Lower cost",IF(ISBLANK('PTA-Lo'!J60)=FALSE,'PTA-Lo'!J60,""),IF(ISBLANK('PTA-Mid'!J60)=FALSE,'PTA-Mid'!J60,"")))</f>
        <v/>
      </c>
      <c r="K60" s="622" t="str">
        <f>IF(CostScenario="Higher cost",IF(ISBLANK('PTA-Hi'!K60)=FALSE,'PTA-Hi'!K60,""),IF(CostScenario="Lower cost",IF(ISBLANK('PTA-Lo'!K60)=FALSE,'PTA-Lo'!K60,""),IF(ISBLANK('PTA-Mid'!K60)=FALSE,'PTA-Mid'!K60,"")))</f>
        <v/>
      </c>
      <c r="L60" s="622" t="str">
        <f>IF(CostScenario="Higher cost",IF(ISBLANK('PTA-Hi'!L60)=FALSE,'PTA-Hi'!L60,""),IF(CostScenario="Lower cost",IF(ISBLANK('PTA-Lo'!L60)=FALSE,'PTA-Lo'!L60,""),IF(ISBLANK('PTA-Mid'!L60)=FALSE,'PTA-Mid'!L60,"")))</f>
        <v/>
      </c>
      <c r="M60" s="622" t="str">
        <f>IF(CostScenario="Higher cost",IF(ISBLANK('PTA-Hi'!M60)=FALSE,'PTA-Hi'!M60,""),IF(CostScenario="Lower cost",IF(ISBLANK('PTA-Lo'!M60)=FALSE,'PTA-Lo'!M60,""),IF(ISBLANK('PTA-Mid'!M60)=FALSE,'PTA-Mid'!M60,"")))</f>
        <v/>
      </c>
      <c r="N60" s="622" t="str">
        <f>IF(CostScenario="Higher cost",IF(ISBLANK('PTA-Hi'!N60)=FALSE,'PTA-Hi'!N60,""),IF(CostScenario="Lower cost",IF(ISBLANK('PTA-Lo'!N60)=FALSE,'PTA-Lo'!N60,""),IF(ISBLANK('PTA-Mid'!N60)=FALSE,'PTA-Mid'!N60,"")))</f>
        <v/>
      </c>
      <c r="O60" s="622" t="str">
        <f>IF(CostScenario="Higher cost",IF(ISBLANK('PTA-Hi'!O60)=FALSE,'PTA-Hi'!O60,""),IF(CostScenario="Lower cost",IF(ISBLANK('PTA-Lo'!O60)=FALSE,'PTA-Lo'!O60,""),IF(ISBLANK('PTA-Mid'!O60)=FALSE,'PTA-Mid'!O60,"")))</f>
        <v/>
      </c>
      <c r="P60" s="622" t="str">
        <f>IF(CostScenario="Higher cost",IF(ISBLANK('PTA-Hi'!P60)=FALSE,'PTA-Hi'!P60,""),IF(CostScenario="Lower cost",IF(ISBLANK('PTA-Lo'!P60)=FALSE,'PTA-Lo'!P60,""),IF(ISBLANK('PTA-Mid'!P60)=FALSE,'PTA-Mid'!P60,"")))</f>
        <v/>
      </c>
      <c r="Q60" s="622" t="str">
        <f>IF(CostScenario="Higher cost",IF(ISBLANK('PTA-Hi'!Q60)=FALSE,'PTA-Hi'!Q60,""),IF(CostScenario="Lower cost",IF(ISBLANK('PTA-Lo'!Q60)=FALSE,'PTA-Lo'!Q60,""),IF(ISBLANK('PTA-Mid'!Q60)=FALSE,'PTA-Mid'!Q60,"")))</f>
        <v/>
      </c>
      <c r="R60" s="622" t="str">
        <f>IF(CostScenario="Higher cost",IF(ISBLANK('PTA-Hi'!R60)=FALSE,'PTA-Hi'!R60,""),IF(CostScenario="Lower cost",IF(ISBLANK('PTA-Lo'!R60)=FALSE,'PTA-Lo'!R60,""),IF(ISBLANK('PTA-Mid'!R60)=FALSE,'PTA-Mid'!R60,"")))</f>
        <v/>
      </c>
      <c r="S60" s="622" t="str">
        <f>IF(CostScenario="Higher cost",IF(ISBLANK('PTA-Hi'!S60)=FALSE,'PTA-Hi'!S60,""),IF(CostScenario="Lower cost",IF(ISBLANK('PTA-Lo'!S60)=FALSE,'PTA-Lo'!S60,""),IF(ISBLANK('PTA-Mid'!S60)=FALSE,'PTA-Mid'!S60,"")))</f>
        <v/>
      </c>
      <c r="T60" s="622" t="str">
        <f>IF(CostScenario="Higher cost",IF(ISBLANK('PTA-Hi'!T60)=FALSE,'PTA-Hi'!T60,""),IF(CostScenario="Lower cost",IF(ISBLANK('PTA-Lo'!T60)=FALSE,'PTA-Lo'!T60,""),IF(ISBLANK('PTA-Mid'!T60)=FALSE,'PTA-Mid'!T60,"")))</f>
        <v/>
      </c>
      <c r="U60" s="30" t="str">
        <f>IF(CostScenario="Higher cost",IF(ISBLANK('PTA-Hi'!U60)=FALSE,'PTA-Hi'!U60,""),IF(CostScenario="Lower cost",IF(ISBLANK('PTA-Lo'!U60)=FALSE,'PTA-Lo'!U60,""),IF(ISBLANK('PTA-Mid'!U60)=FALSE,'PTA-Mid'!U60,"")))</f>
        <v/>
      </c>
      <c r="V60" s="30" t="str">
        <f>IF(CostScenario="Higher cost",IF(ISBLANK('PTA-Hi'!V60)=FALSE,'PTA-Hi'!V60,""),IF(CostScenario="Lower cost",IF(ISBLANK('PTA-Lo'!V60)=FALSE,'PTA-Lo'!V60,""),IF(ISBLANK('PTA-Mid'!V60)=FALSE,'PTA-Mid'!V60,"")))</f>
        <v/>
      </c>
      <c r="W60" s="2335"/>
    </row>
    <row r="61" spans="1:27" s="30" customFormat="1">
      <c r="A61" s="924" t="s">
        <v>1546</v>
      </c>
      <c r="B61" s="925" t="s">
        <v>711</v>
      </c>
      <c r="C61" s="2260" t="s">
        <v>1539</v>
      </c>
      <c r="D61" s="622">
        <f>IF(CostScenario="Higher cost",IF(ISBLANK('PTA-Hi'!D61)=FALSE,'PTA-Hi'!D61,""),IF(CostScenario="Lower cost",IF(ISBLANK('PTA-Lo'!D61)=FALSE,'PTA-Lo'!D61,""),IF(ISBLANK('PTA-Mid'!D61)=FALSE,'PTA-Mid'!D61,"")))</f>
        <v>2080</v>
      </c>
      <c r="E61" s="622">
        <f>IF(CostScenario="Higher cost",IF(ISBLANK('PTA-Hi'!E61)=FALSE,'PTA-Hi'!E61,""),IF(CostScenario="Lower cost",IF(ISBLANK('PTA-Lo'!E61)=FALSE,'PTA-Lo'!E61,""),IF(ISBLANK('PTA-Mid'!E61)=FALSE,'PTA-Mid'!E61,"")))</f>
        <v>2080</v>
      </c>
      <c r="F61" s="622">
        <f>IF(CostScenario="Higher cost",IF(ISBLANK('PTA-Hi'!F61)=FALSE,'PTA-Hi'!F61,""),IF(CostScenario="Lower cost",IF(ISBLANK('PTA-Lo'!F61)=FALSE,'PTA-Lo'!F61,""),IF(ISBLANK('PTA-Mid'!F61)=FALSE,'PTA-Mid'!F61,"")))</f>
        <v>2080</v>
      </c>
      <c r="G61" s="622">
        <f>IF(CostScenario="Higher cost",IF(ISBLANK('PTA-Hi'!G61)=FALSE,'PTA-Hi'!G61,""),IF(CostScenario="Lower cost",IF(ISBLANK('PTA-Lo'!G61)=FALSE,'PTA-Lo'!G61,""),IF(ISBLANK('PTA-Mid'!G61)=FALSE,'PTA-Mid'!G61,"")))</f>
        <v>2080</v>
      </c>
      <c r="H61" s="622">
        <f>IF(CostScenario="Higher cost",IF(ISBLANK('PTA-Hi'!H61)=FALSE,'PTA-Hi'!H61,""),IF(CostScenario="Lower cost",IF(ISBLANK('PTA-Lo'!H61)=FALSE,'PTA-Lo'!H61,""),IF(ISBLANK('PTA-Mid'!H61)=FALSE,'PTA-Mid'!H61,"")))</f>
        <v>2080</v>
      </c>
      <c r="I61" s="30" t="str">
        <f>IF(CostScenario="Higher cost",IF(ISBLANK('PTA-Hi'!I61)=FALSE,'PTA-Hi'!I61,""),IF(CostScenario="Lower cost",IF(ISBLANK('PTA-Lo'!I61)=FALSE,'PTA-Lo'!I61,""),IF(ISBLANK('PTA-Mid'!I61)=FALSE,'PTA-Mid'!I61,"")))</f>
        <v/>
      </c>
      <c r="J61" s="622" t="str">
        <f>IF(CostScenario="Higher cost",IF(ISBLANK('PTA-Hi'!J61)=FALSE,'PTA-Hi'!J61,""),IF(CostScenario="Lower cost",IF(ISBLANK('PTA-Lo'!J61)=FALSE,'PTA-Lo'!J61,""),IF(ISBLANK('PTA-Mid'!J61)=FALSE,'PTA-Mid'!J61,"")))</f>
        <v/>
      </c>
      <c r="K61" s="622" t="str">
        <f>IF(CostScenario="Higher cost",IF(ISBLANK('PTA-Hi'!K61)=FALSE,'PTA-Hi'!K61,""),IF(CostScenario="Lower cost",IF(ISBLANK('PTA-Lo'!K61)=FALSE,'PTA-Lo'!K61,""),IF(ISBLANK('PTA-Mid'!K61)=FALSE,'PTA-Mid'!K61,"")))</f>
        <v/>
      </c>
      <c r="L61" s="622" t="str">
        <f>IF(CostScenario="Higher cost",IF(ISBLANK('PTA-Hi'!L61)=FALSE,'PTA-Hi'!L61,""),IF(CostScenario="Lower cost",IF(ISBLANK('PTA-Lo'!L61)=FALSE,'PTA-Lo'!L61,""),IF(ISBLANK('PTA-Mid'!L61)=FALSE,'PTA-Mid'!L61,"")))</f>
        <v/>
      </c>
      <c r="M61" s="622" t="str">
        <f>IF(CostScenario="Higher cost",IF(ISBLANK('PTA-Hi'!M61)=FALSE,'PTA-Hi'!M61,""),IF(CostScenario="Lower cost",IF(ISBLANK('PTA-Lo'!M61)=FALSE,'PTA-Lo'!M61,""),IF(ISBLANK('PTA-Mid'!M61)=FALSE,'PTA-Mid'!M61,"")))</f>
        <v/>
      </c>
      <c r="N61" s="622" t="str">
        <f>IF(CostScenario="Higher cost",IF(ISBLANK('PTA-Hi'!N61)=FALSE,'PTA-Hi'!N61,""),IF(CostScenario="Lower cost",IF(ISBLANK('PTA-Lo'!N61)=FALSE,'PTA-Lo'!N61,""),IF(ISBLANK('PTA-Mid'!N61)=FALSE,'PTA-Mid'!N61,"")))</f>
        <v/>
      </c>
      <c r="O61" s="622" t="str">
        <f>IF(CostScenario="Higher cost",IF(ISBLANK('PTA-Hi'!O61)=FALSE,'PTA-Hi'!O61,""),IF(CostScenario="Lower cost",IF(ISBLANK('PTA-Lo'!O61)=FALSE,'PTA-Lo'!O61,""),IF(ISBLANK('PTA-Mid'!O61)=FALSE,'PTA-Mid'!O61,"")))</f>
        <v/>
      </c>
      <c r="P61" s="622" t="str">
        <f>IF(CostScenario="Higher cost",IF(ISBLANK('PTA-Hi'!P61)=FALSE,'PTA-Hi'!P61,""),IF(CostScenario="Lower cost",IF(ISBLANK('PTA-Lo'!P61)=FALSE,'PTA-Lo'!P61,""),IF(ISBLANK('PTA-Mid'!P61)=FALSE,'PTA-Mid'!P61,"")))</f>
        <v/>
      </c>
      <c r="Q61" s="622" t="str">
        <f>IF(CostScenario="Higher cost",IF(ISBLANK('PTA-Hi'!Q61)=FALSE,'PTA-Hi'!Q61,""),IF(CostScenario="Lower cost",IF(ISBLANK('PTA-Lo'!Q61)=FALSE,'PTA-Lo'!Q61,""),IF(ISBLANK('PTA-Mid'!Q61)=FALSE,'PTA-Mid'!Q61,"")))</f>
        <v/>
      </c>
      <c r="R61" s="622" t="str">
        <f>IF(CostScenario="Higher cost",IF(ISBLANK('PTA-Hi'!R61)=FALSE,'PTA-Hi'!R61,""),IF(CostScenario="Lower cost",IF(ISBLANK('PTA-Lo'!R61)=FALSE,'PTA-Lo'!R61,""),IF(ISBLANK('PTA-Mid'!R61)=FALSE,'PTA-Mid'!R61,"")))</f>
        <v/>
      </c>
      <c r="S61" s="622" t="str">
        <f>IF(CostScenario="Higher cost",IF(ISBLANK('PTA-Hi'!S61)=FALSE,'PTA-Hi'!S61,""),IF(CostScenario="Lower cost",IF(ISBLANK('PTA-Lo'!S61)=FALSE,'PTA-Lo'!S61,""),IF(ISBLANK('PTA-Mid'!S61)=FALSE,'PTA-Mid'!S61,"")))</f>
        <v/>
      </c>
      <c r="T61" s="622" t="str">
        <f>IF(CostScenario="Higher cost",IF(ISBLANK('PTA-Hi'!T61)=FALSE,'PTA-Hi'!T61,""),IF(CostScenario="Lower cost",IF(ISBLANK('PTA-Lo'!T61)=FALSE,'PTA-Lo'!T61,""),IF(ISBLANK('PTA-Mid'!T61)=FALSE,'PTA-Mid'!T61,"")))</f>
        <v/>
      </c>
      <c r="U61" s="30" t="str">
        <f>IF(CostScenario="Higher cost",IF(ISBLANK('PTA-Hi'!U61)=FALSE,'PTA-Hi'!U61,""),IF(CostScenario="Lower cost",IF(ISBLANK('PTA-Lo'!U61)=FALSE,'PTA-Lo'!U61,""),IF(ISBLANK('PTA-Mid'!U61)=FALSE,'PTA-Mid'!U61,"")))</f>
        <v/>
      </c>
      <c r="V61" s="30" t="str">
        <f>IF(CostScenario="Higher cost",IF(ISBLANK('PTA-Hi'!V61)=FALSE,'PTA-Hi'!V61,""),IF(CostScenario="Lower cost",IF(ISBLANK('PTA-Lo'!V61)=FALSE,'PTA-Lo'!V61,""),IF(ISBLANK('PTA-Mid'!V61)=FALSE,'PTA-Mid'!V61,"")))</f>
        <v/>
      </c>
      <c r="W61" s="2335"/>
    </row>
    <row r="62" spans="1:27" s="30" customFormat="1">
      <c r="A62" s="924" t="s">
        <v>815</v>
      </c>
      <c r="B62" s="925" t="s">
        <v>712</v>
      </c>
      <c r="C62" s="2260" t="s">
        <v>1543</v>
      </c>
      <c r="D62" s="622">
        <f>IF(CostScenario="Higher cost",IF(ISBLANK('PTA-Hi'!D62)=FALSE,'PTA-Hi'!D62,""),IF(CostScenario="Lower cost",IF(ISBLANK('PTA-Lo'!D62)=FALSE,'PTA-Lo'!D62,""),IF(ISBLANK('PTA-Mid'!D62)=FALSE,'PTA-Mid'!D62,"")))</f>
        <v>2080</v>
      </c>
      <c r="E62" s="622">
        <f>IF(CostScenario="Higher cost",IF(ISBLANK('PTA-Hi'!E62)=FALSE,'PTA-Hi'!E62,""),IF(CostScenario="Lower cost",IF(ISBLANK('PTA-Lo'!E62)=FALSE,'PTA-Lo'!E62,""),IF(ISBLANK('PTA-Mid'!E62)=FALSE,'PTA-Mid'!E62,"")))</f>
        <v>2080</v>
      </c>
      <c r="F62" s="622">
        <f>IF(CostScenario="Higher cost",IF(ISBLANK('PTA-Hi'!F62)=FALSE,'PTA-Hi'!F62,""),IF(CostScenario="Lower cost",IF(ISBLANK('PTA-Lo'!F62)=FALSE,'PTA-Lo'!F62,""),IF(ISBLANK('PTA-Mid'!F62)=FALSE,'PTA-Mid'!F62,"")))</f>
        <v>2080</v>
      </c>
      <c r="G62" s="622">
        <f>IF(CostScenario="Higher cost",IF(ISBLANK('PTA-Hi'!G62)=FALSE,'PTA-Hi'!G62,""),IF(CostScenario="Lower cost",IF(ISBLANK('PTA-Lo'!G62)=FALSE,'PTA-Lo'!G62,""),IF(ISBLANK('PTA-Mid'!G62)=FALSE,'PTA-Mid'!G62,"")))</f>
        <v>2080</v>
      </c>
      <c r="H62" s="622">
        <f>IF(CostScenario="Higher cost",IF(ISBLANK('PTA-Hi'!H62)=FALSE,'PTA-Hi'!H62,""),IF(CostScenario="Lower cost",IF(ISBLANK('PTA-Lo'!H62)=FALSE,'PTA-Lo'!H62,""),IF(ISBLANK('PTA-Mid'!H62)=FALSE,'PTA-Mid'!H62,"")))</f>
        <v>2080</v>
      </c>
      <c r="I62" s="30" t="str">
        <f>IF(CostScenario="Higher cost",IF(ISBLANK('PTA-Hi'!I62)=FALSE,'PTA-Hi'!I62,""),IF(CostScenario="Lower cost",IF(ISBLANK('PTA-Lo'!I62)=FALSE,'PTA-Lo'!I62,""),IF(ISBLANK('PTA-Mid'!I62)=FALSE,'PTA-Mid'!I62,"")))</f>
        <v/>
      </c>
      <c r="J62" s="622" t="str">
        <f>IF(CostScenario="Higher cost",IF(ISBLANK('PTA-Hi'!J62)=FALSE,'PTA-Hi'!J62,""),IF(CostScenario="Lower cost",IF(ISBLANK('PTA-Lo'!J62)=FALSE,'PTA-Lo'!J62,""),IF(ISBLANK('PTA-Mid'!J62)=FALSE,'PTA-Mid'!J62,"")))</f>
        <v/>
      </c>
      <c r="K62" s="622" t="str">
        <f>IF(CostScenario="Higher cost",IF(ISBLANK('PTA-Hi'!K62)=FALSE,'PTA-Hi'!K62,""),IF(CostScenario="Lower cost",IF(ISBLANK('PTA-Lo'!K62)=FALSE,'PTA-Lo'!K62,""),IF(ISBLANK('PTA-Mid'!K62)=FALSE,'PTA-Mid'!K62,"")))</f>
        <v/>
      </c>
      <c r="L62" s="622" t="str">
        <f>IF(CostScenario="Higher cost",IF(ISBLANK('PTA-Hi'!L62)=FALSE,'PTA-Hi'!L62,""),IF(CostScenario="Lower cost",IF(ISBLANK('PTA-Lo'!L62)=FALSE,'PTA-Lo'!L62,""),IF(ISBLANK('PTA-Mid'!L62)=FALSE,'PTA-Mid'!L62,"")))</f>
        <v/>
      </c>
      <c r="M62" s="622" t="str">
        <f>IF(CostScenario="Higher cost",IF(ISBLANK('PTA-Hi'!M62)=FALSE,'PTA-Hi'!M62,""),IF(CostScenario="Lower cost",IF(ISBLANK('PTA-Lo'!M62)=FALSE,'PTA-Lo'!M62,""),IF(ISBLANK('PTA-Mid'!M62)=FALSE,'PTA-Mid'!M62,"")))</f>
        <v/>
      </c>
      <c r="N62" s="622" t="str">
        <f>IF(CostScenario="Higher cost",IF(ISBLANK('PTA-Hi'!N62)=FALSE,'PTA-Hi'!N62,""),IF(CostScenario="Lower cost",IF(ISBLANK('PTA-Lo'!N62)=FALSE,'PTA-Lo'!N62,""),IF(ISBLANK('PTA-Mid'!N62)=FALSE,'PTA-Mid'!N62,"")))</f>
        <v/>
      </c>
      <c r="O62" s="622" t="str">
        <f>IF(CostScenario="Higher cost",IF(ISBLANK('PTA-Hi'!O62)=FALSE,'PTA-Hi'!O62,""),IF(CostScenario="Lower cost",IF(ISBLANK('PTA-Lo'!O62)=FALSE,'PTA-Lo'!O62,""),IF(ISBLANK('PTA-Mid'!O62)=FALSE,'PTA-Mid'!O62,"")))</f>
        <v/>
      </c>
      <c r="P62" s="622" t="str">
        <f>IF(CostScenario="Higher cost",IF(ISBLANK('PTA-Hi'!P62)=FALSE,'PTA-Hi'!P62,""),IF(CostScenario="Lower cost",IF(ISBLANK('PTA-Lo'!P62)=FALSE,'PTA-Lo'!P62,""),IF(ISBLANK('PTA-Mid'!P62)=FALSE,'PTA-Mid'!P62,"")))</f>
        <v/>
      </c>
      <c r="Q62" s="622" t="str">
        <f>IF(CostScenario="Higher cost",IF(ISBLANK('PTA-Hi'!Q62)=FALSE,'PTA-Hi'!Q62,""),IF(CostScenario="Lower cost",IF(ISBLANK('PTA-Lo'!Q62)=FALSE,'PTA-Lo'!Q62,""),IF(ISBLANK('PTA-Mid'!Q62)=FALSE,'PTA-Mid'!Q62,"")))</f>
        <v/>
      </c>
      <c r="R62" s="622" t="str">
        <f>IF(CostScenario="Higher cost",IF(ISBLANK('PTA-Hi'!R62)=FALSE,'PTA-Hi'!R62,""),IF(CostScenario="Lower cost",IF(ISBLANK('PTA-Lo'!R62)=FALSE,'PTA-Lo'!R62,""),IF(ISBLANK('PTA-Mid'!R62)=FALSE,'PTA-Mid'!R62,"")))</f>
        <v/>
      </c>
      <c r="S62" s="622" t="str">
        <f>IF(CostScenario="Higher cost",IF(ISBLANK('PTA-Hi'!S62)=FALSE,'PTA-Hi'!S62,""),IF(CostScenario="Lower cost",IF(ISBLANK('PTA-Lo'!S62)=FALSE,'PTA-Lo'!S62,""),IF(ISBLANK('PTA-Mid'!S62)=FALSE,'PTA-Mid'!S62,"")))</f>
        <v/>
      </c>
      <c r="T62" s="622" t="str">
        <f>IF(CostScenario="Higher cost",IF(ISBLANK('PTA-Hi'!T62)=FALSE,'PTA-Hi'!T62,""),IF(CostScenario="Lower cost",IF(ISBLANK('PTA-Lo'!T62)=FALSE,'PTA-Lo'!T62,""),IF(ISBLANK('PTA-Mid'!T62)=FALSE,'PTA-Mid'!T62,"")))</f>
        <v/>
      </c>
      <c r="U62" s="30" t="str">
        <f>IF(CostScenario="Higher cost",IF(ISBLANK('PTA-Hi'!U62)=FALSE,'PTA-Hi'!U62,""),IF(CostScenario="Lower cost",IF(ISBLANK('PTA-Lo'!U62)=FALSE,'PTA-Lo'!U62,""),IF(ISBLANK('PTA-Mid'!U62)=FALSE,'PTA-Mid'!U62,"")))</f>
        <v/>
      </c>
      <c r="V62" s="30" t="str">
        <f>IF(CostScenario="Higher cost",IF(ISBLANK('PTA-Hi'!V62)=FALSE,'PTA-Hi'!V62,""),IF(CostScenario="Lower cost",IF(ISBLANK('PTA-Lo'!V62)=FALSE,'PTA-Lo'!V62,""),IF(ISBLANK('PTA-Mid'!V62)=FALSE,'PTA-Mid'!V62,"")))</f>
        <v/>
      </c>
      <c r="W62" s="2335"/>
    </row>
    <row r="63" spans="1:27" s="30" customFormat="1">
      <c r="A63" s="924" t="s">
        <v>1535</v>
      </c>
      <c r="B63" s="925"/>
      <c r="C63" s="2260" t="s">
        <v>1544</v>
      </c>
      <c r="D63" s="622">
        <f>IF(CostScenario="Higher cost",IF(ISBLANK('PTA-Hi'!D63)=FALSE,'PTA-Hi'!D63,""),IF(CostScenario="Lower cost",IF(ISBLANK('PTA-Lo'!D63)=FALSE,'PTA-Lo'!D63,""),IF(ISBLANK('PTA-Mid'!D63)=FALSE,'PTA-Mid'!D63,"")))</f>
        <v>2080</v>
      </c>
      <c r="E63" s="622">
        <f>IF(CostScenario="Higher cost",IF(ISBLANK('PTA-Hi'!E63)=FALSE,'PTA-Hi'!E63,""),IF(CostScenario="Lower cost",IF(ISBLANK('PTA-Lo'!E63)=FALSE,'PTA-Lo'!E63,""),IF(ISBLANK('PTA-Mid'!E63)=FALSE,'PTA-Mid'!E63,"")))</f>
        <v>2080</v>
      </c>
      <c r="F63" s="622">
        <f>IF(CostScenario="Higher cost",IF(ISBLANK('PTA-Hi'!F63)=FALSE,'PTA-Hi'!F63,""),IF(CostScenario="Lower cost",IF(ISBLANK('PTA-Lo'!F63)=FALSE,'PTA-Lo'!F63,""),IF(ISBLANK('PTA-Mid'!F63)=FALSE,'PTA-Mid'!F63,"")))</f>
        <v>2080</v>
      </c>
      <c r="G63" s="622">
        <f>IF(CostScenario="Higher cost",IF(ISBLANK('PTA-Hi'!G63)=FALSE,'PTA-Hi'!G63,""),IF(CostScenario="Lower cost",IF(ISBLANK('PTA-Lo'!G63)=FALSE,'PTA-Lo'!G63,""),IF(ISBLANK('PTA-Mid'!G63)=FALSE,'PTA-Mid'!G63,"")))</f>
        <v>2080</v>
      </c>
      <c r="H63" s="622">
        <f>IF(CostScenario="Higher cost",IF(ISBLANK('PTA-Hi'!H63)=FALSE,'PTA-Hi'!H63,""),IF(CostScenario="Lower cost",IF(ISBLANK('PTA-Lo'!H63)=FALSE,'PTA-Lo'!H63,""),IF(ISBLANK('PTA-Mid'!H63)=FALSE,'PTA-Mid'!H63,"")))</f>
        <v>2080</v>
      </c>
      <c r="J63" s="622"/>
      <c r="K63" s="622"/>
      <c r="L63" s="622"/>
      <c r="M63" s="622"/>
      <c r="N63" s="622"/>
      <c r="O63" s="622"/>
      <c r="P63" s="622"/>
      <c r="Q63" s="622"/>
      <c r="R63" s="622"/>
      <c r="S63" s="622"/>
      <c r="T63" s="622"/>
      <c r="W63" s="2335"/>
    </row>
    <row r="64" spans="1:27" s="30" customFormat="1">
      <c r="A64" s="924"/>
      <c r="B64" s="926"/>
      <c r="C64" s="923" t="s">
        <v>424</v>
      </c>
      <c r="N64" s="2335"/>
      <c r="O64" s="2335"/>
      <c r="P64" s="2335"/>
      <c r="Q64" s="2335"/>
      <c r="S64" s="2335"/>
      <c r="T64" s="2335"/>
      <c r="W64" s="2335"/>
    </row>
    <row r="65" spans="1:27" s="30" customFormat="1">
      <c r="A65" s="1611" t="s">
        <v>816</v>
      </c>
      <c r="B65" s="1615" t="s">
        <v>713</v>
      </c>
      <c r="C65" s="2260" t="s">
        <v>1515</v>
      </c>
      <c r="D65" s="628">
        <f>IF(CostScenario="Higher cost",IF(ISBLANK('PTA-Hi'!D65)=FALSE,'PTA-Hi'!D65,""),IF(CostScenario="Lower cost",IF(ISBLANK('PTA-Lo'!D65)=FALSE,'PTA-Lo'!D65,""),IF(ISBLANK('PTA-Mid'!D65)=FALSE,'PTA-Mid'!D65,"")))</f>
        <v>118920</v>
      </c>
      <c r="E65" s="628">
        <f>IF(CostScenario="Higher cost",IF(ISBLANK('PTA-Hi'!E65)=FALSE,'PTA-Hi'!E65,""),IF(CostScenario="Lower cost",IF(ISBLANK('PTA-Lo'!E65)=FALSE,'PTA-Lo'!E65,""),IF(ISBLANK('PTA-Mid'!E65)=FALSE,'PTA-Mid'!E65,"")))</f>
        <v>118920</v>
      </c>
      <c r="F65" s="628">
        <f>IF(CostScenario="Higher cost",IF(ISBLANK('PTA-Hi'!F65)=FALSE,'PTA-Hi'!F65,""),IF(CostScenario="Lower cost",IF(ISBLANK('PTA-Lo'!F65)=FALSE,'PTA-Lo'!F65,""),IF(ISBLANK('PTA-Mid'!F65)=FALSE,'PTA-Mid'!F65,"")))</f>
        <v>118920</v>
      </c>
      <c r="G65" s="628">
        <f>IF(CostScenario="Higher cost",IF(ISBLANK('PTA-Hi'!G65)=FALSE,'PTA-Hi'!G65,""),IF(CostScenario="Lower cost",IF(ISBLANK('PTA-Lo'!G65)=FALSE,'PTA-Lo'!G65,""),IF(ISBLANK('PTA-Mid'!G65)=FALSE,'PTA-Mid'!G65,"")))</f>
        <v>118920</v>
      </c>
      <c r="H65" s="628">
        <f>IF(CostScenario="Higher cost",IF(ISBLANK('PTA-Hi'!H65)=FALSE,'PTA-Hi'!H65,""),IF(CostScenario="Lower cost",IF(ISBLANK('PTA-Lo'!H65)=FALSE,'PTA-Lo'!H65,""),IF(ISBLANK('PTA-Mid'!H65)=FALSE,'PTA-Mid'!H65,"")))</f>
        <v>118920</v>
      </c>
      <c r="I65" s="39" t="str">
        <f>IF(CostScenario="Higher cost",IF(ISBLANK('PTA-Hi'!I65)=FALSE,'PTA-Hi'!I65,""),IF(CostScenario="Lower cost",IF(ISBLANK('PTA-Lo'!I65)=FALSE,'PTA-Lo'!I65,""),IF(ISBLANK('PTA-Mid'!I65)=FALSE,'PTA-Mid'!I65,"")))</f>
        <v/>
      </c>
      <c r="J65" s="628" t="str">
        <f>IF(CostScenario="Higher cost",IF(ISBLANK('PTA-Hi'!J65)=FALSE,'PTA-Hi'!J65,""),IF(CostScenario="Lower cost",IF(ISBLANK('PTA-Lo'!J65)=FALSE,'PTA-Lo'!J65,""),IF(ISBLANK('PTA-Mid'!J65)=FALSE,'PTA-Mid'!J65,"")))</f>
        <v/>
      </c>
      <c r="K65" s="628" t="str">
        <f>IF(CostScenario="Higher cost",IF(ISBLANK('PTA-Hi'!K65)=FALSE,'PTA-Hi'!K65,""),IF(CostScenario="Lower cost",IF(ISBLANK('PTA-Lo'!K65)=FALSE,'PTA-Lo'!K65,""),IF(ISBLANK('PTA-Mid'!K65)=FALSE,'PTA-Mid'!K65,"")))</f>
        <v/>
      </c>
      <c r="L65" s="628" t="str">
        <f>IF(CostScenario="Higher cost",IF(ISBLANK('PTA-Hi'!L65)=FALSE,'PTA-Hi'!L65,""),IF(CostScenario="Lower cost",IF(ISBLANK('PTA-Lo'!L65)=FALSE,'PTA-Lo'!L65,""),IF(ISBLANK('PTA-Mid'!L65)=FALSE,'PTA-Mid'!L65,"")))</f>
        <v/>
      </c>
      <c r="M65" s="628" t="str">
        <f>IF(CostScenario="Higher cost",IF(ISBLANK('PTA-Hi'!M65)=FALSE,'PTA-Hi'!M65,""),IF(CostScenario="Lower cost",IF(ISBLANK('PTA-Lo'!M65)=FALSE,'PTA-Lo'!M65,""),IF(ISBLANK('PTA-Mid'!M65)=FALSE,'PTA-Mid'!M65,"")))</f>
        <v/>
      </c>
      <c r="N65" s="628" t="str">
        <f>IF(CostScenario="Higher cost",IF(ISBLANK('PTA-Hi'!N65)=FALSE,'PTA-Hi'!N65,""),IF(CostScenario="Lower cost",IF(ISBLANK('PTA-Lo'!N65)=FALSE,'PTA-Lo'!N65,""),IF(ISBLANK('PTA-Mid'!N65)=FALSE,'PTA-Mid'!N65,"")))</f>
        <v/>
      </c>
      <c r="O65" s="628" t="str">
        <f>IF(CostScenario="Higher cost",IF(ISBLANK('PTA-Hi'!O65)=FALSE,'PTA-Hi'!O65,""),IF(CostScenario="Lower cost",IF(ISBLANK('PTA-Lo'!O65)=FALSE,'PTA-Lo'!O65,""),IF(ISBLANK('PTA-Mid'!O65)=FALSE,'PTA-Mid'!O65,"")))</f>
        <v/>
      </c>
      <c r="P65" s="628" t="str">
        <f>IF(CostScenario="Higher cost",IF(ISBLANK('PTA-Hi'!P65)=FALSE,'PTA-Hi'!P65,""),IF(CostScenario="Lower cost",IF(ISBLANK('PTA-Lo'!P65)=FALSE,'PTA-Lo'!P65,""),IF(ISBLANK('PTA-Mid'!P65)=FALSE,'PTA-Mid'!P65,"")))</f>
        <v/>
      </c>
      <c r="Q65" s="628" t="str">
        <f>IF(CostScenario="Higher cost",IF(ISBLANK('PTA-Hi'!Q65)=FALSE,'PTA-Hi'!Q65,""),IF(CostScenario="Lower cost",IF(ISBLANK('PTA-Lo'!Q65)=FALSE,'PTA-Lo'!Q65,""),IF(ISBLANK('PTA-Mid'!Q65)=FALSE,'PTA-Mid'!Q65,"")))</f>
        <v/>
      </c>
      <c r="R65" s="628" t="str">
        <f>IF(CostScenario="Higher cost",IF(ISBLANK('PTA-Hi'!R65)=FALSE,'PTA-Hi'!R65,""),IF(CostScenario="Lower cost",IF(ISBLANK('PTA-Lo'!R65)=FALSE,'PTA-Lo'!R65,""),IF(ISBLANK('PTA-Mid'!R65)=FALSE,'PTA-Mid'!R65,"")))</f>
        <v/>
      </c>
      <c r="S65" s="628" t="str">
        <f>IF(CostScenario="Higher cost",IF(ISBLANK('PTA-Hi'!S65)=FALSE,'PTA-Hi'!S65,""),IF(CostScenario="Lower cost",IF(ISBLANK('PTA-Lo'!S65)=FALSE,'PTA-Lo'!S65,""),IF(ISBLANK('PTA-Mid'!S65)=FALSE,'PTA-Mid'!S65,"")))</f>
        <v/>
      </c>
      <c r="T65" s="628" t="str">
        <f>IF(CostScenario="Higher cost",IF(ISBLANK('PTA-Hi'!T65)=FALSE,'PTA-Hi'!T65,""),IF(CostScenario="Lower cost",IF(ISBLANK('PTA-Lo'!T65)=FALSE,'PTA-Lo'!T65,""),IF(ISBLANK('PTA-Mid'!T65)=FALSE,'PTA-Mid'!T65,"")))</f>
        <v/>
      </c>
      <c r="U65" s="123" t="str">
        <f>IF(CostScenario="Higher cost",IF(ISBLANK('PTA-Hi'!U65)=FALSE,'PTA-Hi'!U65,""),IF(CostScenario="Lower cost",IF(ISBLANK('PTA-Lo'!U65)=FALSE,'PTA-Lo'!U65,""),IF(ISBLANK('PTA-Mid'!U65)=FALSE,'PTA-Mid'!U65,"")))</f>
        <v/>
      </c>
      <c r="V65" s="123" t="str">
        <f>IF(CostScenario="Higher cost",IF(ISBLANK('PTA-Hi'!V65)=FALSE,'PTA-Hi'!V65,""),IF(CostScenario="Lower cost",IF(ISBLANK('PTA-Lo'!V65)=FALSE,'PTA-Lo'!V65,""),IF(ISBLANK('PTA-Mid'!V65)=FALSE,'PTA-Mid'!V65,"")))</f>
        <v/>
      </c>
      <c r="W65" s="123"/>
      <c r="X65" s="39"/>
      <c r="Z65" s="39"/>
    </row>
    <row r="66" spans="1:27" s="30" customFormat="1">
      <c r="A66" s="1611" t="s">
        <v>1530</v>
      </c>
      <c r="B66" s="1615" t="s">
        <v>714</v>
      </c>
      <c r="C66" s="2260" t="s">
        <v>1516</v>
      </c>
      <c r="D66" s="629">
        <f>IF(CostScenario="Higher cost",IF(ISBLANK('PTA-Hi'!D66)=FALSE,'PTA-Hi'!D66,""),IF(CostScenario="Lower cost",IF(ISBLANK('PTA-Lo'!D66)=FALSE,'PTA-Lo'!D66,""),IF(ISBLANK('PTA-Mid'!D66)=FALSE,'PTA-Mid'!D66,"")))</f>
        <v>33.08</v>
      </c>
      <c r="E66" s="629">
        <f>IF(CostScenario="Higher cost",IF(ISBLANK('PTA-Hi'!E66)=FALSE,'PTA-Hi'!E66,""),IF(CostScenario="Lower cost",IF(ISBLANK('PTA-Lo'!E66)=FALSE,'PTA-Lo'!E66,""),IF(ISBLANK('PTA-Mid'!E66)=FALSE,'PTA-Mid'!E66,"")))</f>
        <v>33.08</v>
      </c>
      <c r="F66" s="629">
        <f>IF(CostScenario="Higher cost",IF(ISBLANK('PTA-Hi'!F66)=FALSE,'PTA-Hi'!F66,""),IF(CostScenario="Lower cost",IF(ISBLANK('PTA-Lo'!F66)=FALSE,'PTA-Lo'!F66,""),IF(ISBLANK('PTA-Mid'!F66)=FALSE,'PTA-Mid'!F66,"")))</f>
        <v>33.08</v>
      </c>
      <c r="G66" s="629">
        <f>IF(CostScenario="Higher cost",IF(ISBLANK('PTA-Hi'!G66)=FALSE,'PTA-Hi'!G66,""),IF(CostScenario="Lower cost",IF(ISBLANK('PTA-Lo'!G66)=FALSE,'PTA-Lo'!G66,""),IF(ISBLANK('PTA-Mid'!G66)=FALSE,'PTA-Mid'!G66,"")))</f>
        <v>33.08</v>
      </c>
      <c r="H66" s="629">
        <f>IF(CostScenario="Higher cost",IF(ISBLANK('PTA-Hi'!H66)=FALSE,'PTA-Hi'!H66,""),IF(CostScenario="Lower cost",IF(ISBLANK('PTA-Lo'!H66)=FALSE,'PTA-Lo'!H66,""),IF(ISBLANK('PTA-Mid'!H66)=FALSE,'PTA-Mid'!H66,"")))</f>
        <v>33.08</v>
      </c>
      <c r="I66" s="39" t="str">
        <f>IF(CostScenario="Higher cost",IF(ISBLANK('PTA-Hi'!I66)=FALSE,'PTA-Hi'!I66,""),IF(CostScenario="Lower cost",IF(ISBLANK('PTA-Lo'!I66)=FALSE,'PTA-Lo'!I66,""),IF(ISBLANK('PTA-Mid'!I66)=FALSE,'PTA-Mid'!I66,"")))</f>
        <v/>
      </c>
      <c r="J66" s="629" t="str">
        <f>IF(CostScenario="Higher cost",IF(ISBLANK('PTA-Hi'!J66)=FALSE,'PTA-Hi'!J66,""),IF(CostScenario="Lower cost",IF(ISBLANK('PTA-Lo'!J66)=FALSE,'PTA-Lo'!J66,""),IF(ISBLANK('PTA-Mid'!J66)=FALSE,'PTA-Mid'!J66,"")))</f>
        <v/>
      </c>
      <c r="K66" s="629" t="str">
        <f>IF(CostScenario="Higher cost",IF(ISBLANK('PTA-Hi'!K66)=FALSE,'PTA-Hi'!K66,""),IF(CostScenario="Lower cost",IF(ISBLANK('PTA-Lo'!K66)=FALSE,'PTA-Lo'!K66,""),IF(ISBLANK('PTA-Mid'!K66)=FALSE,'PTA-Mid'!K66,"")))</f>
        <v/>
      </c>
      <c r="L66" s="629" t="str">
        <f>IF(CostScenario="Higher cost",IF(ISBLANK('PTA-Hi'!L66)=FALSE,'PTA-Hi'!L66,""),IF(CostScenario="Lower cost",IF(ISBLANK('PTA-Lo'!L66)=FALSE,'PTA-Lo'!L66,""),IF(ISBLANK('PTA-Mid'!L66)=FALSE,'PTA-Mid'!L66,"")))</f>
        <v/>
      </c>
      <c r="M66" s="629" t="str">
        <f>IF(CostScenario="Higher cost",IF(ISBLANK('PTA-Hi'!M66)=FALSE,'PTA-Hi'!M66,""),IF(CostScenario="Lower cost",IF(ISBLANK('PTA-Lo'!M66)=FALSE,'PTA-Lo'!M66,""),IF(ISBLANK('PTA-Mid'!M66)=FALSE,'PTA-Mid'!M66,"")))</f>
        <v/>
      </c>
      <c r="N66" s="629" t="str">
        <f>IF(CostScenario="Higher cost",IF(ISBLANK('PTA-Hi'!N66)=FALSE,'PTA-Hi'!N66,""),IF(CostScenario="Lower cost",IF(ISBLANK('PTA-Lo'!N66)=FALSE,'PTA-Lo'!N66,""),IF(ISBLANK('PTA-Mid'!N66)=FALSE,'PTA-Mid'!N66,"")))</f>
        <v/>
      </c>
      <c r="O66" s="629" t="str">
        <f>IF(CostScenario="Higher cost",IF(ISBLANK('PTA-Hi'!O66)=FALSE,'PTA-Hi'!O66,""),IF(CostScenario="Lower cost",IF(ISBLANK('PTA-Lo'!O66)=FALSE,'PTA-Lo'!O66,""),IF(ISBLANK('PTA-Mid'!O66)=FALSE,'PTA-Mid'!O66,"")))</f>
        <v/>
      </c>
      <c r="P66" s="629" t="str">
        <f>IF(CostScenario="Higher cost",IF(ISBLANK('PTA-Hi'!P66)=FALSE,'PTA-Hi'!P66,""),IF(CostScenario="Lower cost",IF(ISBLANK('PTA-Lo'!P66)=FALSE,'PTA-Lo'!P66,""),IF(ISBLANK('PTA-Mid'!P66)=FALSE,'PTA-Mid'!P66,"")))</f>
        <v/>
      </c>
      <c r="Q66" s="629" t="str">
        <f>IF(CostScenario="Higher cost",IF(ISBLANK('PTA-Hi'!Q66)=FALSE,'PTA-Hi'!Q66,""),IF(CostScenario="Lower cost",IF(ISBLANK('PTA-Lo'!Q66)=FALSE,'PTA-Lo'!Q66,""),IF(ISBLANK('PTA-Mid'!Q66)=FALSE,'PTA-Mid'!Q66,"")))</f>
        <v/>
      </c>
      <c r="R66" s="629" t="str">
        <f>IF(CostScenario="Higher cost",IF(ISBLANK('PTA-Hi'!R66)=FALSE,'PTA-Hi'!R66,""),IF(CostScenario="Lower cost",IF(ISBLANK('PTA-Lo'!R66)=FALSE,'PTA-Lo'!R66,""),IF(ISBLANK('PTA-Mid'!R66)=FALSE,'PTA-Mid'!R66,"")))</f>
        <v/>
      </c>
      <c r="S66" s="629" t="str">
        <f>IF(CostScenario="Higher cost",IF(ISBLANK('PTA-Hi'!S66)=FALSE,'PTA-Hi'!S66,""),IF(CostScenario="Lower cost",IF(ISBLANK('PTA-Lo'!S66)=FALSE,'PTA-Lo'!S66,""),IF(ISBLANK('PTA-Mid'!S66)=FALSE,'PTA-Mid'!S66,"")))</f>
        <v/>
      </c>
      <c r="T66" s="629" t="str">
        <f>IF(CostScenario="Higher cost",IF(ISBLANK('PTA-Hi'!T66)=FALSE,'PTA-Hi'!T66,""),IF(CostScenario="Lower cost",IF(ISBLANK('PTA-Lo'!T66)=FALSE,'PTA-Lo'!T66,""),IF(ISBLANK('PTA-Mid'!T66)=FALSE,'PTA-Mid'!T66,"")))</f>
        <v/>
      </c>
      <c r="U66" s="630" t="str">
        <f>IF(CostScenario="Higher cost",IF(ISBLANK('PTA-Hi'!U66)=FALSE,'PTA-Hi'!U66,""),IF(CostScenario="Lower cost",IF(ISBLANK('PTA-Lo'!U66)=FALSE,'PTA-Lo'!U66,""),IF(ISBLANK('PTA-Mid'!U66)=FALSE,'PTA-Mid'!U66,"")))</f>
        <v/>
      </c>
      <c r="V66" s="630" t="str">
        <f>IF(CostScenario="Higher cost",IF(ISBLANK('PTA-Hi'!V66)=FALSE,'PTA-Hi'!V66,""),IF(CostScenario="Lower cost",IF(ISBLANK('PTA-Lo'!V66)=FALSE,'PTA-Lo'!V66,""),IF(ISBLANK('PTA-Mid'!V66)=FALSE,'PTA-Mid'!V66,"")))</f>
        <v/>
      </c>
      <c r="W66" s="630"/>
      <c r="X66" s="39"/>
      <c r="Z66" s="39"/>
    </row>
    <row r="67" spans="1:27" s="30" customFormat="1">
      <c r="A67" s="1611" t="s">
        <v>1529</v>
      </c>
      <c r="B67" s="1615" t="s">
        <v>715</v>
      </c>
      <c r="C67" s="2260" t="s">
        <v>1517</v>
      </c>
      <c r="D67" s="629">
        <f>IF(CostScenario="Higher cost",IF(ISBLANK('PTA-Hi'!D67)=FALSE,'PTA-Hi'!D67,""),IF(CostScenario="Lower cost",IF(ISBLANK('PTA-Lo'!D67)=FALSE,'PTA-Lo'!D67,""),IF(ISBLANK('PTA-Mid'!D67)=FALSE,'PTA-Mid'!D67,"")))</f>
        <v>30.35</v>
      </c>
      <c r="E67" s="629">
        <f>IF(CostScenario="Higher cost",IF(ISBLANK('PTA-Hi'!E67)=FALSE,'PTA-Hi'!E67,""),IF(CostScenario="Lower cost",IF(ISBLANK('PTA-Lo'!E67)=FALSE,'PTA-Lo'!E67,""),IF(ISBLANK('PTA-Mid'!E67)=FALSE,'PTA-Mid'!E67,"")))</f>
        <v>30.35</v>
      </c>
      <c r="F67" s="629">
        <f>IF(CostScenario="Higher cost",IF(ISBLANK('PTA-Hi'!F67)=FALSE,'PTA-Hi'!F67,""),IF(CostScenario="Lower cost",IF(ISBLANK('PTA-Lo'!F67)=FALSE,'PTA-Lo'!F67,""),IF(ISBLANK('PTA-Mid'!F67)=FALSE,'PTA-Mid'!F67,"")))</f>
        <v>30.35</v>
      </c>
      <c r="G67" s="629">
        <f>IF(CostScenario="Higher cost",IF(ISBLANK('PTA-Hi'!G67)=FALSE,'PTA-Hi'!G67,""),IF(CostScenario="Lower cost",IF(ISBLANK('PTA-Lo'!G67)=FALSE,'PTA-Lo'!G67,""),IF(ISBLANK('PTA-Mid'!G67)=FALSE,'PTA-Mid'!G67,"")))</f>
        <v>30.35</v>
      </c>
      <c r="H67" s="629">
        <f>IF(CostScenario="Higher cost",IF(ISBLANK('PTA-Hi'!H67)=FALSE,'PTA-Hi'!H67,""),IF(CostScenario="Lower cost",IF(ISBLANK('PTA-Lo'!H67)=FALSE,'PTA-Lo'!H67,""),IF(ISBLANK('PTA-Mid'!H67)=FALSE,'PTA-Mid'!H67,"")))</f>
        <v>30.35</v>
      </c>
      <c r="I67" s="39" t="str">
        <f>IF(CostScenario="Higher cost",IF(ISBLANK('PTA-Hi'!I67)=FALSE,'PTA-Hi'!I67,""),IF(CostScenario="Lower cost",IF(ISBLANK('PTA-Lo'!I67)=FALSE,'PTA-Lo'!I67,""),IF(ISBLANK('PTA-Mid'!I67)=FALSE,'PTA-Mid'!I67,"")))</f>
        <v/>
      </c>
      <c r="J67" s="629" t="str">
        <f>IF(CostScenario="Higher cost",IF(ISBLANK('PTA-Hi'!J67)=FALSE,'PTA-Hi'!J67,""),IF(CostScenario="Lower cost",IF(ISBLANK('PTA-Lo'!J67)=FALSE,'PTA-Lo'!J67,""),IF(ISBLANK('PTA-Mid'!J67)=FALSE,'PTA-Mid'!J67,"")))</f>
        <v/>
      </c>
      <c r="K67" s="629" t="str">
        <f>IF(CostScenario="Higher cost",IF(ISBLANK('PTA-Hi'!K67)=FALSE,'PTA-Hi'!K67,""),IF(CostScenario="Lower cost",IF(ISBLANK('PTA-Lo'!K67)=FALSE,'PTA-Lo'!K67,""),IF(ISBLANK('PTA-Mid'!K67)=FALSE,'PTA-Mid'!K67,"")))</f>
        <v/>
      </c>
      <c r="L67" s="629" t="str">
        <f>IF(CostScenario="Higher cost",IF(ISBLANK('PTA-Hi'!L67)=FALSE,'PTA-Hi'!L67,""),IF(CostScenario="Lower cost",IF(ISBLANK('PTA-Lo'!L67)=FALSE,'PTA-Lo'!L67,""),IF(ISBLANK('PTA-Mid'!L67)=FALSE,'PTA-Mid'!L67,"")))</f>
        <v/>
      </c>
      <c r="M67" s="629" t="str">
        <f>IF(CostScenario="Higher cost",IF(ISBLANK('PTA-Hi'!M67)=FALSE,'PTA-Hi'!M67,""),IF(CostScenario="Lower cost",IF(ISBLANK('PTA-Lo'!M67)=FALSE,'PTA-Lo'!M67,""),IF(ISBLANK('PTA-Mid'!M67)=FALSE,'PTA-Mid'!M67,"")))</f>
        <v/>
      </c>
      <c r="N67" s="629" t="str">
        <f>IF(CostScenario="Higher cost",IF(ISBLANK('PTA-Hi'!N67)=FALSE,'PTA-Hi'!N67,""),IF(CostScenario="Lower cost",IF(ISBLANK('PTA-Lo'!N67)=FALSE,'PTA-Lo'!N67,""),IF(ISBLANK('PTA-Mid'!N67)=FALSE,'PTA-Mid'!N67,"")))</f>
        <v/>
      </c>
      <c r="O67" s="629" t="str">
        <f>IF(CostScenario="Higher cost",IF(ISBLANK('PTA-Hi'!O67)=FALSE,'PTA-Hi'!O67,""),IF(CostScenario="Lower cost",IF(ISBLANK('PTA-Lo'!O67)=FALSE,'PTA-Lo'!O67,""),IF(ISBLANK('PTA-Mid'!O67)=FALSE,'PTA-Mid'!O67,"")))</f>
        <v/>
      </c>
      <c r="P67" s="629" t="str">
        <f>IF(CostScenario="Higher cost",IF(ISBLANK('PTA-Hi'!P67)=FALSE,'PTA-Hi'!P67,""),IF(CostScenario="Lower cost",IF(ISBLANK('PTA-Lo'!P67)=FALSE,'PTA-Lo'!P67,""),IF(ISBLANK('PTA-Mid'!P67)=FALSE,'PTA-Mid'!P67,"")))</f>
        <v/>
      </c>
      <c r="Q67" s="629" t="str">
        <f>IF(CostScenario="Higher cost",IF(ISBLANK('PTA-Hi'!Q67)=FALSE,'PTA-Hi'!Q67,""),IF(CostScenario="Lower cost",IF(ISBLANK('PTA-Lo'!Q67)=FALSE,'PTA-Lo'!Q67,""),IF(ISBLANK('PTA-Mid'!Q67)=FALSE,'PTA-Mid'!Q67,"")))</f>
        <v/>
      </c>
      <c r="R67" s="629" t="str">
        <f>IF(CostScenario="Higher cost",IF(ISBLANK('PTA-Hi'!R67)=FALSE,'PTA-Hi'!R67,""),IF(CostScenario="Lower cost",IF(ISBLANK('PTA-Lo'!R67)=FALSE,'PTA-Lo'!R67,""),IF(ISBLANK('PTA-Mid'!R67)=FALSE,'PTA-Mid'!R67,"")))</f>
        <v/>
      </c>
      <c r="S67" s="629" t="str">
        <f>IF(CostScenario="Higher cost",IF(ISBLANK('PTA-Hi'!S67)=FALSE,'PTA-Hi'!S67,""),IF(CostScenario="Lower cost",IF(ISBLANK('PTA-Lo'!S67)=FALSE,'PTA-Lo'!S67,""),IF(ISBLANK('PTA-Mid'!S67)=FALSE,'PTA-Mid'!S67,"")))</f>
        <v/>
      </c>
      <c r="T67" s="629" t="str">
        <f>IF(CostScenario="Higher cost",IF(ISBLANK('PTA-Hi'!T67)=FALSE,'PTA-Hi'!T67,""),IF(CostScenario="Lower cost",IF(ISBLANK('PTA-Lo'!T67)=FALSE,'PTA-Lo'!T67,""),IF(ISBLANK('PTA-Mid'!T67)=FALSE,'PTA-Mid'!T67,"")))</f>
        <v/>
      </c>
      <c r="U67" s="630" t="str">
        <f>IF(CostScenario="Higher cost",IF(ISBLANK('PTA-Hi'!U67)=FALSE,'PTA-Hi'!U67,""),IF(CostScenario="Lower cost",IF(ISBLANK('PTA-Lo'!U67)=FALSE,'PTA-Lo'!U67,""),IF(ISBLANK('PTA-Mid'!U67)=FALSE,'PTA-Mid'!U67,"")))</f>
        <v/>
      </c>
      <c r="V67" s="630" t="str">
        <f>IF(CostScenario="Higher cost",IF(ISBLANK('PTA-Hi'!V67)=FALSE,'PTA-Hi'!V67,""),IF(CostScenario="Lower cost",IF(ISBLANK('PTA-Lo'!V67)=FALSE,'PTA-Lo'!V67,""),IF(ISBLANK('PTA-Mid'!V67)=FALSE,'PTA-Mid'!V67,"")))</f>
        <v/>
      </c>
      <c r="W67" s="630"/>
      <c r="X67" s="39"/>
      <c r="Z67" s="39"/>
    </row>
    <row r="68" spans="1:27" s="30" customFormat="1">
      <c r="A68" s="1611" t="s">
        <v>1531</v>
      </c>
      <c r="B68" s="1615" t="s">
        <v>716</v>
      </c>
      <c r="C68" s="2260" t="s">
        <v>1518</v>
      </c>
      <c r="D68" s="629">
        <f>IF(CostScenario="Higher cost",IF(ISBLANK('PTA-Hi'!D68)=FALSE,'PTA-Hi'!D68,""),IF(CostScenario="Lower cost",IF(ISBLANK('PTA-Lo'!D68)=FALSE,'PTA-Lo'!D68,""),IF(ISBLANK('PTA-Mid'!D68)=FALSE,'PTA-Mid'!D68,"")))</f>
        <v>17.690000000000001</v>
      </c>
      <c r="E68" s="629">
        <f>IF(CostScenario="Higher cost",IF(ISBLANK('PTA-Hi'!E68)=FALSE,'PTA-Hi'!E68,""),IF(CostScenario="Lower cost",IF(ISBLANK('PTA-Lo'!E68)=FALSE,'PTA-Lo'!E68,""),IF(ISBLANK('PTA-Mid'!E68)=FALSE,'PTA-Mid'!E68,"")))</f>
        <v>17.690000000000001</v>
      </c>
      <c r="F68" s="629">
        <f>IF(CostScenario="Higher cost",IF(ISBLANK('PTA-Hi'!F68)=FALSE,'PTA-Hi'!F68,""),IF(CostScenario="Lower cost",IF(ISBLANK('PTA-Lo'!F68)=FALSE,'PTA-Lo'!F68,""),IF(ISBLANK('PTA-Mid'!F68)=FALSE,'PTA-Mid'!F68,"")))</f>
        <v>17.690000000000001</v>
      </c>
      <c r="G68" s="629">
        <f>IF(CostScenario="Higher cost",IF(ISBLANK('PTA-Hi'!G68)=FALSE,'PTA-Hi'!G68,""),IF(CostScenario="Lower cost",IF(ISBLANK('PTA-Lo'!G68)=FALSE,'PTA-Lo'!G68,""),IF(ISBLANK('PTA-Mid'!G68)=FALSE,'PTA-Mid'!G68,"")))</f>
        <v>17.690000000000001</v>
      </c>
      <c r="H68" s="629">
        <f>IF(CostScenario="Higher cost",IF(ISBLANK('PTA-Hi'!H68)=FALSE,'PTA-Hi'!H68,""),IF(CostScenario="Lower cost",IF(ISBLANK('PTA-Lo'!H68)=FALSE,'PTA-Lo'!H68,""),IF(ISBLANK('PTA-Mid'!H68)=FALSE,'PTA-Mid'!H68,"")))</f>
        <v>17.690000000000001</v>
      </c>
      <c r="I68" s="39" t="str">
        <f>IF(CostScenario="Higher cost",IF(ISBLANK('PTA-Hi'!I68)=FALSE,'PTA-Hi'!I68,""),IF(CostScenario="Lower cost",IF(ISBLANK('PTA-Lo'!I68)=FALSE,'PTA-Lo'!I68,""),IF(ISBLANK('PTA-Mid'!I68)=FALSE,'PTA-Mid'!I68,"")))</f>
        <v/>
      </c>
      <c r="J68" s="629" t="str">
        <f>IF(CostScenario="Higher cost",IF(ISBLANK('PTA-Hi'!J68)=FALSE,'PTA-Hi'!J68,""),IF(CostScenario="Lower cost",IF(ISBLANK('PTA-Lo'!J68)=FALSE,'PTA-Lo'!J68,""),IF(ISBLANK('PTA-Mid'!J68)=FALSE,'PTA-Mid'!J68,"")))</f>
        <v/>
      </c>
      <c r="K68" s="629" t="str">
        <f>IF(CostScenario="Higher cost",IF(ISBLANK('PTA-Hi'!K68)=FALSE,'PTA-Hi'!K68,""),IF(CostScenario="Lower cost",IF(ISBLANK('PTA-Lo'!K68)=FALSE,'PTA-Lo'!K68,""),IF(ISBLANK('PTA-Mid'!K68)=FALSE,'PTA-Mid'!K68,"")))</f>
        <v/>
      </c>
      <c r="L68" s="629" t="str">
        <f>IF(CostScenario="Higher cost",IF(ISBLANK('PTA-Hi'!L68)=FALSE,'PTA-Hi'!L68,""),IF(CostScenario="Lower cost",IF(ISBLANK('PTA-Lo'!L68)=FALSE,'PTA-Lo'!L68,""),IF(ISBLANK('PTA-Mid'!L68)=FALSE,'PTA-Mid'!L68,"")))</f>
        <v/>
      </c>
      <c r="M68" s="629" t="str">
        <f>IF(CostScenario="Higher cost",IF(ISBLANK('PTA-Hi'!M68)=FALSE,'PTA-Hi'!M68,""),IF(CostScenario="Lower cost",IF(ISBLANK('PTA-Lo'!M68)=FALSE,'PTA-Lo'!M68,""),IF(ISBLANK('PTA-Mid'!M68)=FALSE,'PTA-Mid'!M68,"")))</f>
        <v/>
      </c>
      <c r="N68" s="629" t="str">
        <f>IF(CostScenario="Higher cost",IF(ISBLANK('PTA-Hi'!N68)=FALSE,'PTA-Hi'!N68,""),IF(CostScenario="Lower cost",IF(ISBLANK('PTA-Lo'!N68)=FALSE,'PTA-Lo'!N68,""),IF(ISBLANK('PTA-Mid'!N68)=FALSE,'PTA-Mid'!N68,"")))</f>
        <v/>
      </c>
      <c r="O68" s="629" t="str">
        <f>IF(CostScenario="Higher cost",IF(ISBLANK('PTA-Hi'!O68)=FALSE,'PTA-Hi'!O68,""),IF(CostScenario="Lower cost",IF(ISBLANK('PTA-Lo'!O68)=FALSE,'PTA-Lo'!O68,""),IF(ISBLANK('PTA-Mid'!O68)=FALSE,'PTA-Mid'!O68,"")))</f>
        <v/>
      </c>
      <c r="P68" s="629" t="str">
        <f>IF(CostScenario="Higher cost",IF(ISBLANK('PTA-Hi'!P68)=FALSE,'PTA-Hi'!P68,""),IF(CostScenario="Lower cost",IF(ISBLANK('PTA-Lo'!P68)=FALSE,'PTA-Lo'!P68,""),IF(ISBLANK('PTA-Mid'!P68)=FALSE,'PTA-Mid'!P68,"")))</f>
        <v/>
      </c>
      <c r="Q68" s="629" t="str">
        <f>IF(CostScenario="Higher cost",IF(ISBLANK('PTA-Hi'!Q68)=FALSE,'PTA-Hi'!Q68,""),IF(CostScenario="Lower cost",IF(ISBLANK('PTA-Lo'!Q68)=FALSE,'PTA-Lo'!Q68,""),IF(ISBLANK('PTA-Mid'!Q68)=FALSE,'PTA-Mid'!Q68,"")))</f>
        <v/>
      </c>
      <c r="R68" s="629" t="str">
        <f>IF(CostScenario="Higher cost",IF(ISBLANK('PTA-Hi'!R68)=FALSE,'PTA-Hi'!R68,""),IF(CostScenario="Lower cost",IF(ISBLANK('PTA-Lo'!R68)=FALSE,'PTA-Lo'!R68,""),IF(ISBLANK('PTA-Mid'!R68)=FALSE,'PTA-Mid'!R68,"")))</f>
        <v/>
      </c>
      <c r="S68" s="629" t="str">
        <f>IF(CostScenario="Higher cost",IF(ISBLANK('PTA-Hi'!S68)=FALSE,'PTA-Hi'!S68,""),IF(CostScenario="Lower cost",IF(ISBLANK('PTA-Lo'!S68)=FALSE,'PTA-Lo'!S68,""),IF(ISBLANK('PTA-Mid'!S68)=FALSE,'PTA-Mid'!S68,"")))</f>
        <v/>
      </c>
      <c r="T68" s="629" t="str">
        <f>IF(CostScenario="Higher cost",IF(ISBLANK('PTA-Hi'!T68)=FALSE,'PTA-Hi'!T68,""),IF(CostScenario="Lower cost",IF(ISBLANK('PTA-Lo'!T68)=FALSE,'PTA-Lo'!T68,""),IF(ISBLANK('PTA-Mid'!T68)=FALSE,'PTA-Mid'!T68,"")))</f>
        <v/>
      </c>
      <c r="U68" s="630" t="str">
        <f>IF(CostScenario="Higher cost",IF(ISBLANK('PTA-Hi'!U68)=FALSE,'PTA-Hi'!U68,""),IF(CostScenario="Lower cost",IF(ISBLANK('PTA-Lo'!U68)=FALSE,'PTA-Lo'!U68,""),IF(ISBLANK('PTA-Mid'!U68)=FALSE,'PTA-Mid'!U68,"")))</f>
        <v/>
      </c>
      <c r="V68" s="630" t="str">
        <f>IF(CostScenario="Higher cost",IF(ISBLANK('PTA-Hi'!V68)=FALSE,'PTA-Hi'!V68,""),IF(CostScenario="Lower cost",IF(ISBLANK('PTA-Lo'!V68)=FALSE,'PTA-Lo'!V68,""),IF(ISBLANK('PTA-Mid'!V68)=FALSE,'PTA-Mid'!V68,"")))</f>
        <v/>
      </c>
      <c r="W68" s="630"/>
      <c r="X68" s="39"/>
      <c r="Z68" s="39"/>
    </row>
    <row r="69" spans="1:27" s="30" customFormat="1">
      <c r="A69" s="1611" t="s">
        <v>817</v>
      </c>
      <c r="B69" s="1615" t="s">
        <v>717</v>
      </c>
      <c r="C69" s="2260" t="s">
        <v>1519</v>
      </c>
      <c r="D69" s="629">
        <f>IF(CostScenario="Higher cost",IF(ISBLANK('PTA-Hi'!D69)=FALSE,'PTA-Hi'!D69,""),IF(CostScenario="Lower cost",IF(ISBLANK('PTA-Lo'!D69)=FALSE,'PTA-Lo'!D69,""),IF(ISBLANK('PTA-Mid'!D69)=FALSE,'PTA-Mid'!D69,"")))</f>
        <v>21.36</v>
      </c>
      <c r="E69" s="629">
        <f>IF(CostScenario="Higher cost",IF(ISBLANK('PTA-Hi'!E69)=FALSE,'PTA-Hi'!E69,""),IF(CostScenario="Lower cost",IF(ISBLANK('PTA-Lo'!E69)=FALSE,'PTA-Lo'!E69,""),IF(ISBLANK('PTA-Mid'!E69)=FALSE,'PTA-Mid'!E69,"")))</f>
        <v>21.36</v>
      </c>
      <c r="F69" s="629">
        <f>IF(CostScenario="Higher cost",IF(ISBLANK('PTA-Hi'!F69)=FALSE,'PTA-Hi'!F69,""),IF(CostScenario="Lower cost",IF(ISBLANK('PTA-Lo'!F69)=FALSE,'PTA-Lo'!F69,""),IF(ISBLANK('PTA-Mid'!F69)=FALSE,'PTA-Mid'!F69,"")))</f>
        <v>21.36</v>
      </c>
      <c r="G69" s="629">
        <f>IF(CostScenario="Higher cost",IF(ISBLANK('PTA-Hi'!G69)=FALSE,'PTA-Hi'!G69,""),IF(CostScenario="Lower cost",IF(ISBLANK('PTA-Lo'!G69)=FALSE,'PTA-Lo'!G69,""),IF(ISBLANK('PTA-Mid'!G69)=FALSE,'PTA-Mid'!G69,"")))</f>
        <v>21.36</v>
      </c>
      <c r="H69" s="629">
        <f>IF(CostScenario="Higher cost",IF(ISBLANK('PTA-Hi'!H69)=FALSE,'PTA-Hi'!H69,""),IF(CostScenario="Lower cost",IF(ISBLANK('PTA-Lo'!H69)=FALSE,'PTA-Lo'!H69,""),IF(ISBLANK('PTA-Mid'!H69)=FALSE,'PTA-Mid'!H69,"")))</f>
        <v>21.36</v>
      </c>
      <c r="I69" s="39" t="str">
        <f>IF(CostScenario="Higher cost",IF(ISBLANK('PTA-Hi'!I69)=FALSE,'PTA-Hi'!I69,""),IF(CostScenario="Lower cost",IF(ISBLANK('PTA-Lo'!I69)=FALSE,'PTA-Lo'!I69,""),IF(ISBLANK('PTA-Mid'!I69)=FALSE,'PTA-Mid'!I69,"")))</f>
        <v/>
      </c>
      <c r="J69" s="629" t="str">
        <f>IF(CostScenario="Higher cost",IF(ISBLANK('PTA-Hi'!J69)=FALSE,'PTA-Hi'!J69,""),IF(CostScenario="Lower cost",IF(ISBLANK('PTA-Lo'!J69)=FALSE,'PTA-Lo'!J69,""),IF(ISBLANK('PTA-Mid'!J69)=FALSE,'PTA-Mid'!J69,"")))</f>
        <v/>
      </c>
      <c r="K69" s="629" t="str">
        <f>IF(CostScenario="Higher cost",IF(ISBLANK('PTA-Hi'!K69)=FALSE,'PTA-Hi'!K69,""),IF(CostScenario="Lower cost",IF(ISBLANK('PTA-Lo'!K69)=FALSE,'PTA-Lo'!K69,""),IF(ISBLANK('PTA-Mid'!K69)=FALSE,'PTA-Mid'!K69,"")))</f>
        <v/>
      </c>
      <c r="L69" s="629" t="str">
        <f>IF(CostScenario="Higher cost",IF(ISBLANK('PTA-Hi'!L69)=FALSE,'PTA-Hi'!L69,""),IF(CostScenario="Lower cost",IF(ISBLANK('PTA-Lo'!L69)=FALSE,'PTA-Lo'!L69,""),IF(ISBLANK('PTA-Mid'!L69)=FALSE,'PTA-Mid'!L69,"")))</f>
        <v/>
      </c>
      <c r="M69" s="629" t="str">
        <f>IF(CostScenario="Higher cost",IF(ISBLANK('PTA-Hi'!M69)=FALSE,'PTA-Hi'!M69,""),IF(CostScenario="Lower cost",IF(ISBLANK('PTA-Lo'!M69)=FALSE,'PTA-Lo'!M69,""),IF(ISBLANK('PTA-Mid'!M69)=FALSE,'PTA-Mid'!M69,"")))</f>
        <v/>
      </c>
      <c r="N69" s="629" t="str">
        <f>IF(CostScenario="Higher cost",IF(ISBLANK('PTA-Hi'!N69)=FALSE,'PTA-Hi'!N69,""),IF(CostScenario="Lower cost",IF(ISBLANK('PTA-Lo'!N69)=FALSE,'PTA-Lo'!N69,""),IF(ISBLANK('PTA-Mid'!N69)=FALSE,'PTA-Mid'!N69,"")))</f>
        <v/>
      </c>
      <c r="O69" s="629" t="str">
        <f>IF(CostScenario="Higher cost",IF(ISBLANK('PTA-Hi'!O69)=FALSE,'PTA-Hi'!O69,""),IF(CostScenario="Lower cost",IF(ISBLANK('PTA-Lo'!O69)=FALSE,'PTA-Lo'!O69,""),IF(ISBLANK('PTA-Mid'!O69)=FALSE,'PTA-Mid'!O69,"")))</f>
        <v/>
      </c>
      <c r="P69" s="629" t="str">
        <f>IF(CostScenario="Higher cost",IF(ISBLANK('PTA-Hi'!P69)=FALSE,'PTA-Hi'!P69,""),IF(CostScenario="Lower cost",IF(ISBLANK('PTA-Lo'!P69)=FALSE,'PTA-Lo'!P69,""),IF(ISBLANK('PTA-Mid'!P69)=FALSE,'PTA-Mid'!P69,"")))</f>
        <v/>
      </c>
      <c r="Q69" s="629" t="str">
        <f>IF(CostScenario="Higher cost",IF(ISBLANK('PTA-Hi'!Q69)=FALSE,'PTA-Hi'!Q69,""),IF(CostScenario="Lower cost",IF(ISBLANK('PTA-Lo'!Q69)=FALSE,'PTA-Lo'!Q69,""),IF(ISBLANK('PTA-Mid'!Q69)=FALSE,'PTA-Mid'!Q69,"")))</f>
        <v/>
      </c>
      <c r="R69" s="629" t="str">
        <f>IF(CostScenario="Higher cost",IF(ISBLANK('PTA-Hi'!R69)=FALSE,'PTA-Hi'!R69,""),IF(CostScenario="Lower cost",IF(ISBLANK('PTA-Lo'!R69)=FALSE,'PTA-Lo'!R69,""),IF(ISBLANK('PTA-Mid'!R69)=FALSE,'PTA-Mid'!R69,"")))</f>
        <v/>
      </c>
      <c r="S69" s="629" t="str">
        <f>IF(CostScenario="Higher cost",IF(ISBLANK('PTA-Hi'!S69)=FALSE,'PTA-Hi'!S69,""),IF(CostScenario="Lower cost",IF(ISBLANK('PTA-Lo'!S69)=FALSE,'PTA-Lo'!S69,""),IF(ISBLANK('PTA-Mid'!S69)=FALSE,'PTA-Mid'!S69,"")))</f>
        <v/>
      </c>
      <c r="T69" s="629" t="str">
        <f>IF(CostScenario="Higher cost",IF(ISBLANK('PTA-Hi'!T69)=FALSE,'PTA-Hi'!T69,""),IF(CostScenario="Lower cost",IF(ISBLANK('PTA-Lo'!T69)=FALSE,'PTA-Lo'!T69,""),IF(ISBLANK('PTA-Mid'!T69)=FALSE,'PTA-Mid'!T69,"")))</f>
        <v/>
      </c>
      <c r="U69" s="630" t="str">
        <f>IF(CostScenario="Higher cost",IF(ISBLANK('PTA-Hi'!U69)=FALSE,'PTA-Hi'!U69,""),IF(CostScenario="Lower cost",IF(ISBLANK('PTA-Lo'!U69)=FALSE,'PTA-Lo'!U69,""),IF(ISBLANK('PTA-Mid'!U69)=FALSE,'PTA-Mid'!U69,"")))</f>
        <v/>
      </c>
      <c r="V69" s="630" t="str">
        <f>IF(CostScenario="Higher cost",IF(ISBLANK('PTA-Hi'!V69)=FALSE,'PTA-Hi'!V69,""),IF(CostScenario="Lower cost",IF(ISBLANK('PTA-Lo'!V69)=FALSE,'PTA-Lo'!V69,""),IF(ISBLANK('PTA-Mid'!V69)=FALSE,'PTA-Mid'!V69,"")))</f>
        <v/>
      </c>
      <c r="W69" s="630"/>
      <c r="X69" s="39"/>
      <c r="Z69" s="39"/>
    </row>
    <row r="70" spans="1:27" s="30" customFormat="1">
      <c r="A70" s="1611" t="s">
        <v>1532</v>
      </c>
      <c r="B70" s="1615"/>
      <c r="C70" s="2260" t="s">
        <v>1520</v>
      </c>
      <c r="D70" s="629">
        <f>IF(CostScenario="Higher cost",IF(ISBLANK('PTA-Hi'!D71)=FALSE,'PTA-Hi'!D71,""),IF(CostScenario="Lower cost",IF(ISBLANK('PTA-Lo'!D71)=FALSE,'PTA-Lo'!D71,""),IF(ISBLANK('PTA-Mid'!D70)=FALSE,'PTA-Mid'!D70,"")))</f>
        <v>23.19</v>
      </c>
      <c r="E70" s="629">
        <f>IF(CostScenario="Higher cost",IF(ISBLANK('PTA-Hi'!E71)=FALSE,'PTA-Hi'!E71,""),IF(CostScenario="Lower cost",IF(ISBLANK('PTA-Lo'!E71)=FALSE,'PTA-Lo'!E71,""),IF(ISBLANK('PTA-Mid'!E70)=FALSE,'PTA-Mid'!E70,"")))</f>
        <v>23.19</v>
      </c>
      <c r="F70" s="629">
        <f>IF(CostScenario="Higher cost",IF(ISBLANK('PTA-Hi'!F71)=FALSE,'PTA-Hi'!F71,""),IF(CostScenario="Lower cost",IF(ISBLANK('PTA-Lo'!F71)=FALSE,'PTA-Lo'!F71,""),IF(ISBLANK('PTA-Mid'!F70)=FALSE,'PTA-Mid'!F70,"")))</f>
        <v>23.19</v>
      </c>
      <c r="G70" s="629">
        <f>IF(CostScenario="Higher cost",IF(ISBLANK('PTA-Hi'!G71)=FALSE,'PTA-Hi'!G71,""),IF(CostScenario="Lower cost",IF(ISBLANK('PTA-Lo'!G71)=FALSE,'PTA-Lo'!G71,""),IF(ISBLANK('PTA-Mid'!G70)=FALSE,'PTA-Mid'!G70,"")))</f>
        <v>23.19</v>
      </c>
      <c r="H70" s="629">
        <f>IF(CostScenario="Higher cost",IF(ISBLANK('PTA-Hi'!H71)=FALSE,'PTA-Hi'!H71,""),IF(CostScenario="Lower cost",IF(ISBLANK('PTA-Lo'!H71)=FALSE,'PTA-Lo'!H71,""),IF(ISBLANK('PTA-Mid'!H70)=FALSE,'PTA-Mid'!H70,"")))</f>
        <v>23.19</v>
      </c>
      <c r="I70" s="39"/>
      <c r="J70" s="629"/>
      <c r="K70" s="629"/>
      <c r="L70" s="629"/>
      <c r="M70" s="629"/>
      <c r="N70" s="629"/>
      <c r="O70" s="629"/>
      <c r="P70" s="629"/>
      <c r="Q70" s="629"/>
      <c r="R70" s="629"/>
      <c r="S70" s="629"/>
      <c r="T70" s="629"/>
      <c r="U70" s="630"/>
      <c r="V70" s="630"/>
      <c r="W70" s="630"/>
      <c r="X70" s="39"/>
      <c r="Z70" s="39"/>
    </row>
    <row r="71" spans="1:27" s="30" customFormat="1">
      <c r="A71" s="924"/>
      <c r="B71" s="926"/>
      <c r="C71" s="927" t="s">
        <v>301</v>
      </c>
      <c r="N71" s="2335"/>
      <c r="O71" s="2335"/>
      <c r="P71" s="2335"/>
      <c r="Q71" s="2335"/>
      <c r="S71" s="2335"/>
      <c r="T71" s="2335"/>
      <c r="W71" s="2335"/>
    </row>
    <row r="72" spans="1:27" s="142" customFormat="1">
      <c r="A72" s="928" t="s">
        <v>819</v>
      </c>
      <c r="B72" s="929" t="s">
        <v>718</v>
      </c>
      <c r="C72" s="930" t="s">
        <v>1262</v>
      </c>
      <c r="D72" s="343">
        <f>IF(CostScenario="Higher cost",IF(ISBLANK('PTA-Hi'!D72)=FALSE,'PTA-Hi'!D72,""),IF(CostScenario="Lower cost",IF(ISBLANK('PTA-Lo'!D72)=FALSE,'PTA-Lo'!D72,""),IF(ISBLANK('PTA-Mid'!D72)=FALSE,'PTA-Mid'!D72,"")))</f>
        <v>6.0000000000000001E-3</v>
      </c>
      <c r="E72" s="343">
        <f>IF(CostScenario="Higher cost",IF(ISBLANK('PTA-Hi'!E72)=FALSE,'PTA-Hi'!E72,""),IF(CostScenario="Lower cost",IF(ISBLANK('PTA-Lo'!E72)=FALSE,'PTA-Lo'!E72,""),IF(ISBLANK('PTA-Mid'!E72)=FALSE,'PTA-Mid'!E72,"")))</f>
        <v>6.0000000000000001E-3</v>
      </c>
      <c r="F72" s="343">
        <f>IF(CostScenario="Higher cost",IF(ISBLANK('PTA-Hi'!F72)=FALSE,'PTA-Hi'!F72,""),IF(CostScenario="Lower cost",IF(ISBLANK('PTA-Lo'!F72)=FALSE,'PTA-Lo'!F72,""),IF(ISBLANK('PTA-Mid'!F72)=FALSE,'PTA-Mid'!F72,"")))</f>
        <v>6.0000000000000001E-3</v>
      </c>
      <c r="G72" s="343">
        <f>IF(CostScenario="Higher cost",IF(ISBLANK('PTA-Hi'!G72)=FALSE,'PTA-Hi'!G72,""),IF(CostScenario="Lower cost",IF(ISBLANK('PTA-Lo'!G72)=FALSE,'PTA-Lo'!G72,""),IF(ISBLANK('PTA-Mid'!G72)=FALSE,'PTA-Mid'!G72,"")))</f>
        <v>6.0000000000000001E-3</v>
      </c>
      <c r="H72" s="343">
        <f>IF(CostScenario="Higher cost",IF(ISBLANK('PTA-Hi'!H72)=FALSE,'PTA-Hi'!H72,""),IF(CostScenario="Lower cost",IF(ISBLANK('PTA-Lo'!H72)=FALSE,'PTA-Lo'!H72,""),IF(ISBLANK('PTA-Mid'!H72)=FALSE,'PTA-Mid'!H72,"")))</f>
        <v>6.0000000000000001E-3</v>
      </c>
      <c r="I72" s="343">
        <f>IF(CostScenario="Higher cost",IF(ISBLANK('PTA-Hi'!I72)=FALSE,'PTA-Hi'!I72,""),IF(CostScenario="Lower cost",IF(ISBLANK('PTA-Lo'!I72)=FALSE,'PTA-Lo'!I72,""),IF(ISBLANK('PTA-Mid'!I72)=FALSE,'PTA-Mid'!I72,"")))</f>
        <v>6.0000000000000001E-3</v>
      </c>
      <c r="J72" s="343">
        <f>IF(CostScenario="Higher cost",IF(ISBLANK('PTA-Hi'!J72)=FALSE,'PTA-Hi'!J72,""),IF(CostScenario="Lower cost",IF(ISBLANK('PTA-Lo'!J72)=FALSE,'PTA-Lo'!J72,""),IF(ISBLANK('PTA-Mid'!J72)=FALSE,'PTA-Mid'!J72,"")))</f>
        <v>6.0000000000000001E-3</v>
      </c>
      <c r="K72" s="343">
        <f>IF(CostScenario="Higher cost",IF(ISBLANK('PTA-Hi'!K72)=FALSE,'PTA-Hi'!K72,""),IF(CostScenario="Lower cost",IF(ISBLANK('PTA-Lo'!K72)=FALSE,'PTA-Lo'!K72,""),IF(ISBLANK('PTA-Mid'!K72)=FALSE,'PTA-Mid'!K72,"")))</f>
        <v>6.0000000000000001E-3</v>
      </c>
      <c r="L72" s="343">
        <f>IF(CostScenario="Higher cost",IF(ISBLANK('PTA-Hi'!L72)=FALSE,'PTA-Hi'!L72,""),IF(CostScenario="Lower cost",IF(ISBLANK('PTA-Lo'!L72)=FALSE,'PTA-Lo'!L72,""),IF(ISBLANK('PTA-Mid'!L72)=FALSE,'PTA-Mid'!L72,"")))</f>
        <v>3.0000000000000001E-3</v>
      </c>
      <c r="M72" s="343">
        <f>IF(CostScenario="Higher cost",IF(ISBLANK('PTA-Hi'!M72)=FALSE,'PTA-Hi'!M72,""),IF(CostScenario="Lower cost",IF(ISBLANK('PTA-Lo'!M72)=FALSE,'PTA-Lo'!M72,""),IF(ISBLANK('PTA-Mid'!M72)=FALSE,'PTA-Mid'!M72,"")))</f>
        <v>3.0000000000000001E-3</v>
      </c>
      <c r="N72" s="343">
        <f>IF(CostScenario="Higher cost",IF(ISBLANK('PTA-Hi'!N72)=FALSE,'PTA-Hi'!N72,""),IF(CostScenario="Lower cost",IF(ISBLANK('PTA-Lo'!N72)=FALSE,'PTA-Lo'!N72,""),IF(ISBLANK('PTA-Mid'!N72)=FALSE,'PTA-Mid'!N72,"")))</f>
        <v>3.0000000000000001E-3</v>
      </c>
      <c r="O72" s="343">
        <f>IF(CostScenario="Higher cost",IF(ISBLANK('PTA-Hi'!O72)=FALSE,'PTA-Hi'!O72,""),IF(CostScenario="Lower cost",IF(ISBLANK('PTA-Lo'!O72)=FALSE,'PTA-Lo'!O72,""),IF(ISBLANK('PTA-Mid'!O72)=FALSE,'PTA-Mid'!O72,"")))</f>
        <v>3.0000000000000001E-3</v>
      </c>
      <c r="P72" s="343">
        <f>IF(CostScenario="Higher cost",IF(ISBLANK('PTA-Hi'!P72)=FALSE,'PTA-Hi'!P72,""),IF(CostScenario="Lower cost",IF(ISBLANK('PTA-Lo'!P72)=FALSE,'PTA-Lo'!P72,""),IF(ISBLANK('PTA-Mid'!P72)=FALSE,'PTA-Mid'!P72,"")))</f>
        <v>3.0000000000000001E-3</v>
      </c>
      <c r="Q72" s="343">
        <f>IF(CostScenario="Higher cost",IF(ISBLANK('PTA-Hi'!Q72)=FALSE,'PTA-Hi'!Q72,""),IF(CostScenario="Lower cost",IF(ISBLANK('PTA-Lo'!Q72)=FALSE,'PTA-Lo'!Q72,""),IF(ISBLANK('PTA-Mid'!Q72)=FALSE,'PTA-Mid'!Q72,"")))</f>
        <v>3.0000000000000001E-3</v>
      </c>
      <c r="R72" s="343">
        <f>IF(CostScenario="Higher cost",IF(ISBLANK('PTA-Hi'!R72)=FALSE,'PTA-Hi'!R72,""),IF(CostScenario="Lower cost",IF(ISBLANK('PTA-Lo'!R72)=FALSE,'PTA-Lo'!R72,""),IF(ISBLANK('PTA-Mid'!R72)=FALSE,'PTA-Mid'!R72,"")))</f>
        <v>3.0000000000000001E-3</v>
      </c>
      <c r="S72" s="343">
        <f>IF(CostScenario="Higher cost",IF(ISBLANK('PTA-Hi'!S72)=FALSE,'PTA-Hi'!S72,""),IF(CostScenario="Lower cost",IF(ISBLANK('PTA-Lo'!S72)=FALSE,'PTA-Lo'!S72,""),IF(ISBLANK('PTA-Mid'!S72)=FALSE,'PTA-Mid'!S72,"")))</f>
        <v>3.0000000000000001E-3</v>
      </c>
      <c r="T72" s="343">
        <f>IF(CostScenario="Higher cost",IF(ISBLANK('PTA-Hi'!T72)=FALSE,'PTA-Hi'!T72,""),IF(CostScenario="Lower cost",IF(ISBLANK('PTA-Lo'!T72)=FALSE,'PTA-Lo'!T72,""),IF(ISBLANK('PTA-Mid'!T72)=FALSE,'PTA-Mid'!T72,"")))</f>
        <v>3.0000000000000001E-3</v>
      </c>
      <c r="U72" s="343">
        <f>IF(CostScenario="Higher cost",IF(ISBLANK('PTA-Hi'!U72)=FALSE,'PTA-Hi'!U72,""),IF(CostScenario="Lower cost",IF(ISBLANK('PTA-Lo'!U72)=FALSE,'PTA-Lo'!U72,""),IF(ISBLANK('PTA-Mid'!U72)=FALSE,'PTA-Mid'!U72,"")))</f>
        <v>6.0000000000000001E-3</v>
      </c>
      <c r="V72" s="343">
        <f>IF(CostScenario="Higher cost",IF(ISBLANK('PTA-Hi'!V72)=FALSE,'PTA-Hi'!V72,""),IF(CostScenario="Lower cost",IF(ISBLANK('PTA-Lo'!V72)=FALSE,'PTA-Lo'!V72,""),IF(ISBLANK('PTA-Mid'!V72)=FALSE,'PTA-Mid'!V72,"")))</f>
        <v>6.0000000000000001E-3</v>
      </c>
      <c r="W72" s="343"/>
      <c r="X72" s="343"/>
    </row>
    <row r="73" spans="1:27" s="30" customFormat="1">
      <c r="A73" s="924" t="s">
        <v>820</v>
      </c>
      <c r="B73" s="926" t="s">
        <v>720</v>
      </c>
      <c r="C73" s="197" t="s">
        <v>1308</v>
      </c>
      <c r="D73" s="313">
        <f>IF(CostScenario="Higher cost",IF(ISBLANK('PTA-Hi'!D73)=FALSE,'PTA-Hi'!D73,""),IF(CostScenario="Lower cost",IF(ISBLANK('PTA-Lo'!D73)=FALSE,'PTA-Lo'!D73,""),IF(ISBLANK('PTA-Mid'!D73)=FALSE,'PTA-Mid'!D73,"")))</f>
        <v>1.6341451795044541</v>
      </c>
      <c r="E73" s="313">
        <f>IF(CostScenario="Higher cost",IF(ISBLANK('PTA-Hi'!E73)=FALSE,'PTA-Hi'!E73,""),IF(CostScenario="Lower cost",IF(ISBLANK('PTA-Lo'!E73)=FALSE,'PTA-Lo'!E73,""),IF(ISBLANK('PTA-Mid'!E73)=FALSE,'PTA-Mid'!E73,"")))</f>
        <v>1.6341451795044541</v>
      </c>
      <c r="F73" s="313">
        <f>IF(CostScenario="Higher cost",IF(ISBLANK('PTA-Hi'!F73)=FALSE,'PTA-Hi'!F73,""),IF(CostScenario="Lower cost",IF(ISBLANK('PTA-Lo'!F73)=FALSE,'PTA-Lo'!F73,""),IF(ISBLANK('PTA-Mid'!F73)=FALSE,'PTA-Mid'!F73,"")))</f>
        <v>1.6341451795044541</v>
      </c>
      <c r="G73" s="313">
        <f>IF(CostScenario="Higher cost",IF(ISBLANK('PTA-Hi'!G73)=FALSE,'PTA-Hi'!G73,""),IF(CostScenario="Lower cost",IF(ISBLANK('PTA-Lo'!G73)=FALSE,'PTA-Lo'!G73,""),IF(ISBLANK('PTA-Mid'!G73)=FALSE,'PTA-Mid'!G73,"")))</f>
        <v>1.6341451795044541</v>
      </c>
      <c r="H73" s="313">
        <f>IF(CostScenario="Higher cost",IF(ISBLANK('PTA-Hi'!H73)=FALSE,'PTA-Hi'!H73,""),IF(CostScenario="Lower cost",IF(ISBLANK('PTA-Lo'!H73)=FALSE,'PTA-Lo'!H73,""),IF(ISBLANK('PTA-Mid'!H73)=FALSE,'PTA-Mid'!H73,"")))</f>
        <v>1.6341451795044541</v>
      </c>
      <c r="I73" s="30" t="str">
        <f>IF(CostScenario="Higher cost",IF(ISBLANK('PTA-Hi'!I73)=FALSE,'PTA-Hi'!I73,""),IF(CostScenario="Lower cost",IF(ISBLANK('PTA-Lo'!I73)=FALSE,'PTA-Lo'!I73,""),IF(ISBLANK('PTA-Mid'!I73)=FALSE,'PTA-Mid'!I73,"")))</f>
        <v/>
      </c>
      <c r="J73" s="313" t="str">
        <f>IF(CostScenario="Higher cost",IF(ISBLANK('PTA-Hi'!J73)=FALSE,'PTA-Hi'!J73,""),IF(CostScenario="Lower cost",IF(ISBLANK('PTA-Lo'!J73)=FALSE,'PTA-Lo'!J73,""),IF(ISBLANK('PTA-Mid'!J73)=FALSE,'PTA-Mid'!J73,"")))</f>
        <v/>
      </c>
      <c r="K73" s="313" t="str">
        <f>IF(CostScenario="Higher cost",IF(ISBLANK('PTA-Hi'!K73)=FALSE,'PTA-Hi'!K73,""),IF(CostScenario="Lower cost",IF(ISBLANK('PTA-Lo'!K73)=FALSE,'PTA-Lo'!K73,""),IF(ISBLANK('PTA-Mid'!K73)=FALSE,'PTA-Mid'!K73,"")))</f>
        <v/>
      </c>
      <c r="L73" s="313" t="str">
        <f>IF(CostScenario="Higher cost",IF(ISBLANK('PTA-Hi'!L73)=FALSE,'PTA-Hi'!L73,""),IF(CostScenario="Lower cost",IF(ISBLANK('PTA-Lo'!L73)=FALSE,'PTA-Lo'!L73,""),IF(ISBLANK('PTA-Mid'!L73)=FALSE,'PTA-Mid'!L73,"")))</f>
        <v/>
      </c>
      <c r="M73" s="313" t="str">
        <f>IF(CostScenario="Higher cost",IF(ISBLANK('PTA-Hi'!M73)=FALSE,'PTA-Hi'!M73,""),IF(CostScenario="Lower cost",IF(ISBLANK('PTA-Lo'!M73)=FALSE,'PTA-Lo'!M73,""),IF(ISBLANK('PTA-Mid'!M73)=FALSE,'PTA-Mid'!M73,"")))</f>
        <v/>
      </c>
      <c r="N73" s="313" t="str">
        <f>IF(CostScenario="Higher cost",IF(ISBLANK('PTA-Hi'!N73)=FALSE,'PTA-Hi'!N73,""),IF(CostScenario="Lower cost",IF(ISBLANK('PTA-Lo'!N73)=FALSE,'PTA-Lo'!N73,""),IF(ISBLANK('PTA-Mid'!N73)=FALSE,'PTA-Mid'!N73,"")))</f>
        <v/>
      </c>
      <c r="O73" s="313" t="str">
        <f>IF(CostScenario="Higher cost",IF(ISBLANK('PTA-Hi'!O73)=FALSE,'PTA-Hi'!O73,""),IF(CostScenario="Lower cost",IF(ISBLANK('PTA-Lo'!O73)=FALSE,'PTA-Lo'!O73,""),IF(ISBLANK('PTA-Mid'!O73)=FALSE,'PTA-Mid'!O73,"")))</f>
        <v/>
      </c>
      <c r="P73" s="313" t="str">
        <f>IF(CostScenario="Higher cost",IF(ISBLANK('PTA-Hi'!P73)=FALSE,'PTA-Hi'!P73,""),IF(CostScenario="Lower cost",IF(ISBLANK('PTA-Lo'!P73)=FALSE,'PTA-Lo'!P73,""),IF(ISBLANK('PTA-Mid'!P73)=FALSE,'PTA-Mid'!P73,"")))</f>
        <v/>
      </c>
      <c r="Q73" s="313" t="str">
        <f>IF(CostScenario="Higher cost",IF(ISBLANK('PTA-Hi'!Q73)=FALSE,'PTA-Hi'!Q73,""),IF(CostScenario="Lower cost",IF(ISBLANK('PTA-Lo'!Q73)=FALSE,'PTA-Lo'!Q73,""),IF(ISBLANK('PTA-Mid'!Q73)=FALSE,'PTA-Mid'!Q73,"")))</f>
        <v/>
      </c>
      <c r="R73" s="313" t="str">
        <f>IF(CostScenario="Higher cost",IF(ISBLANK('PTA-Hi'!R73)=FALSE,'PTA-Hi'!R73,""),IF(CostScenario="Lower cost",IF(ISBLANK('PTA-Lo'!R73)=FALSE,'PTA-Lo'!R73,""),IF(ISBLANK('PTA-Mid'!R73)=FALSE,'PTA-Mid'!R73,"")))</f>
        <v/>
      </c>
      <c r="S73" s="313" t="str">
        <f>IF(CostScenario="Higher cost",IF(ISBLANK('PTA-Hi'!S73)=FALSE,'PTA-Hi'!S73,""),IF(CostScenario="Lower cost",IF(ISBLANK('PTA-Lo'!S73)=FALSE,'PTA-Lo'!S73,""),IF(ISBLANK('PTA-Mid'!S73)=FALSE,'PTA-Mid'!S73,"")))</f>
        <v/>
      </c>
      <c r="T73" s="313" t="str">
        <f>IF(CostScenario="Higher cost",IF(ISBLANK('PTA-Hi'!T73)=FALSE,'PTA-Hi'!T73,""),IF(CostScenario="Lower cost",IF(ISBLANK('PTA-Lo'!T73)=FALSE,'PTA-Lo'!T73,""),IF(ISBLANK('PTA-Mid'!T73)=FALSE,'PTA-Mid'!T73,"")))</f>
        <v/>
      </c>
      <c r="U73" s="30" t="str">
        <f>IF(CostScenario="Higher cost",IF(ISBLANK('PTA-Hi'!U73)=FALSE,'PTA-Hi'!U73,""),IF(CostScenario="Lower cost",IF(ISBLANK('PTA-Lo'!U73)=FALSE,'PTA-Lo'!U73,""),IF(ISBLANK('PTA-Mid'!U73)=FALSE,'PTA-Mid'!U73,"")))</f>
        <v/>
      </c>
      <c r="V73" s="30" t="str">
        <f>IF(CostScenario="Higher cost",IF(ISBLANK('PTA-Hi'!V73)=FALSE,'PTA-Hi'!V73,""),IF(CostScenario="Lower cost",IF(ISBLANK('PTA-Lo'!V73)=FALSE,'PTA-Lo'!V73,""),IF(ISBLANK('PTA-Mid'!V73)=FALSE,'PTA-Mid'!V73,"")))</f>
        <v/>
      </c>
      <c r="W73" s="2335"/>
    </row>
    <row r="74" spans="1:27" s="200" customFormat="1">
      <c r="A74" s="931" t="s">
        <v>261</v>
      </c>
      <c r="B74" s="932"/>
      <c r="C74" s="933" t="s">
        <v>260</v>
      </c>
      <c r="D74" s="200">
        <f>IF(CostScenario="Higher cost",IF(ISBLANK('PTA-Hi'!D74)=FALSE,'PTA-Hi'!D74,""),IF(CostScenario="Lower cost",IF(ISBLANK('PTA-Lo'!D74)=FALSE,'PTA-Lo'!D74,""),IF(ISBLANK('PTA-Mid'!D74)=FALSE,'PTA-Mid'!D74,"")))</f>
        <v>18.551675177477041</v>
      </c>
      <c r="E74" s="200">
        <f>IF(CostScenario="Higher cost",IF(ISBLANK('PTA-Hi'!E74)=FALSE,'PTA-Hi'!E74,""),IF(CostScenario="Lower cost",IF(ISBLANK('PTA-Lo'!E74)=FALSE,'PTA-Lo'!E74,""),IF(ISBLANK('PTA-Mid'!E74)=FALSE,'PTA-Mid'!E74,"")))</f>
        <v>18.551675177477041</v>
      </c>
      <c r="F74" s="200">
        <f>IF(CostScenario="Higher cost",IF(ISBLANK('PTA-Hi'!F74)=FALSE,'PTA-Hi'!F74,""),IF(CostScenario="Lower cost",IF(ISBLANK('PTA-Lo'!F74)=FALSE,'PTA-Lo'!F74,""),IF(ISBLANK('PTA-Mid'!F74)=FALSE,'PTA-Mid'!F74,"")))</f>
        <v>18.551675177477041</v>
      </c>
      <c r="G74" s="200">
        <f>IF(CostScenario="Higher cost",IF(ISBLANK('PTA-Hi'!G74)=FALSE,'PTA-Hi'!G74,""),IF(CostScenario="Lower cost",IF(ISBLANK('PTA-Lo'!G74)=FALSE,'PTA-Lo'!G74,""),IF(ISBLANK('PTA-Mid'!G74)=FALSE,'PTA-Mid'!G74,"")))</f>
        <v>28.167969864974324</v>
      </c>
      <c r="H74" s="200">
        <f>IF(CostScenario="Higher cost",IF(ISBLANK('PTA-Hi'!H74)=FALSE,'PTA-Hi'!H74,""),IF(CostScenario="Lower cost",IF(ISBLANK('PTA-Lo'!H74)=FALSE,'PTA-Lo'!H74,""),IF(ISBLANK('PTA-Mid'!H74)=FALSE,'PTA-Mid'!H74,"")))</f>
        <v>28.167969864974324</v>
      </c>
      <c r="I74" s="200" t="str">
        <f>IF(CostScenario="Higher cost",IF(ISBLANK('PTA-Hi'!I74)=FALSE,'PTA-Hi'!I74,""),IF(CostScenario="Lower cost",IF(ISBLANK('PTA-Lo'!I74)=FALSE,'PTA-Lo'!I74,""),IF(ISBLANK('PTA-Mid'!I74)=FALSE,'PTA-Mid'!I74,"")))</f>
        <v/>
      </c>
      <c r="J74" s="200" t="str">
        <f>IF(CostScenario="Higher cost",IF(ISBLANK('PTA-Hi'!J74)=FALSE,'PTA-Hi'!J74,""),IF(CostScenario="Lower cost",IF(ISBLANK('PTA-Lo'!J74)=FALSE,'PTA-Lo'!J74,""),IF(ISBLANK('PTA-Mid'!J74)=FALSE,'PTA-Mid'!J74,"")))</f>
        <v/>
      </c>
      <c r="K74" s="200" t="str">
        <f>IF(CostScenario="Higher cost",IF(ISBLANK('PTA-Hi'!K74)=FALSE,'PTA-Hi'!K74,""),IF(CostScenario="Lower cost",IF(ISBLANK('PTA-Lo'!K74)=FALSE,'PTA-Lo'!K74,""),IF(ISBLANK('PTA-Mid'!K74)=FALSE,'PTA-Mid'!K74,"")))</f>
        <v/>
      </c>
      <c r="L74" s="200" t="str">
        <f>IF(CostScenario="Higher cost",IF(ISBLANK('PTA-Hi'!L74)=FALSE,'PTA-Hi'!L74,""),IF(CostScenario="Lower cost",IF(ISBLANK('PTA-Lo'!L74)=FALSE,'PTA-Lo'!L74,""),IF(ISBLANK('PTA-Mid'!L74)=FALSE,'PTA-Mid'!L74,"")))</f>
        <v/>
      </c>
      <c r="M74" s="200" t="str">
        <f>IF(CostScenario="Higher cost",IF(ISBLANK('PTA-Hi'!M74)=FALSE,'PTA-Hi'!M74,""),IF(CostScenario="Lower cost",IF(ISBLANK('PTA-Lo'!M74)=FALSE,'PTA-Lo'!M74,""),IF(ISBLANK('PTA-Mid'!M74)=FALSE,'PTA-Mid'!M74,"")))</f>
        <v/>
      </c>
      <c r="N74" s="200" t="str">
        <f>IF(CostScenario="Higher cost",IF(ISBLANK('PTA-Hi'!N74)=FALSE,'PTA-Hi'!N74,""),IF(CostScenario="Lower cost",IF(ISBLANK('PTA-Lo'!N74)=FALSE,'PTA-Lo'!N74,""),IF(ISBLANK('PTA-Mid'!N74)=FALSE,'PTA-Mid'!N74,"")))</f>
        <v/>
      </c>
      <c r="O74" s="200" t="str">
        <f>IF(CostScenario="Higher cost",IF(ISBLANK('PTA-Hi'!O74)=FALSE,'PTA-Hi'!O74,""),IF(CostScenario="Lower cost",IF(ISBLANK('PTA-Lo'!O74)=FALSE,'PTA-Lo'!O74,""),IF(ISBLANK('PTA-Mid'!O74)=FALSE,'PTA-Mid'!O74,"")))</f>
        <v/>
      </c>
      <c r="P74" s="200" t="str">
        <f>IF(CostScenario="Higher cost",IF(ISBLANK('PTA-Hi'!P74)=FALSE,'PTA-Hi'!P74,""),IF(CostScenario="Lower cost",IF(ISBLANK('PTA-Lo'!P74)=FALSE,'PTA-Lo'!P74,""),IF(ISBLANK('PTA-Mid'!P74)=FALSE,'PTA-Mid'!P74,"")))</f>
        <v/>
      </c>
      <c r="Q74" s="200" t="str">
        <f>IF(CostScenario="Higher cost",IF(ISBLANK('PTA-Hi'!Q74)=FALSE,'PTA-Hi'!Q74,""),IF(CostScenario="Lower cost",IF(ISBLANK('PTA-Lo'!Q74)=FALSE,'PTA-Lo'!Q74,""),IF(ISBLANK('PTA-Mid'!Q74)=FALSE,'PTA-Mid'!Q74,"")))</f>
        <v/>
      </c>
      <c r="R74" s="200" t="str">
        <f>IF(CostScenario="Higher cost",IF(ISBLANK('PTA-Hi'!R74)=FALSE,'PTA-Hi'!R74,""),IF(CostScenario="Lower cost",IF(ISBLANK('PTA-Lo'!R74)=FALSE,'PTA-Lo'!R74,""),IF(ISBLANK('PTA-Mid'!R74)=FALSE,'PTA-Mid'!R74,"")))</f>
        <v/>
      </c>
      <c r="S74" s="200" t="str">
        <f>IF(CostScenario="Higher cost",IF(ISBLANK('PTA-Hi'!S74)=FALSE,'PTA-Hi'!S74,""),IF(CostScenario="Lower cost",IF(ISBLANK('PTA-Lo'!S74)=FALSE,'PTA-Lo'!S74,""),IF(ISBLANK('PTA-Mid'!S74)=FALSE,'PTA-Mid'!S74,"")))</f>
        <v/>
      </c>
      <c r="T74" s="200" t="str">
        <f>IF(CostScenario="Higher cost",IF(ISBLANK('PTA-Hi'!T74)=FALSE,'PTA-Hi'!T74,""),IF(CostScenario="Lower cost",IF(ISBLANK('PTA-Lo'!T74)=FALSE,'PTA-Lo'!T74,""),IF(ISBLANK('PTA-Mid'!T74)=FALSE,'PTA-Mid'!T74,"")))</f>
        <v/>
      </c>
      <c r="U74" s="200" t="str">
        <f>IF(CostScenario="Higher cost",IF(ISBLANK('PTA-Hi'!U74)=FALSE,'PTA-Hi'!U74,""),IF(CostScenario="Lower cost",IF(ISBLANK('PTA-Lo'!U74)=FALSE,'PTA-Lo'!U74,""),IF(ISBLANK('PTA-Mid'!U74)=FALSE,'PTA-Mid'!U74,"")))</f>
        <v/>
      </c>
      <c r="V74" s="200" t="str">
        <f>IF(CostScenario="Higher cost",IF(ISBLANK('PTA-Hi'!V74)=FALSE,'PTA-Hi'!V74,""),IF(CostScenario="Lower cost",IF(ISBLANK('PTA-Lo'!V74)=FALSE,'PTA-Lo'!V74,""),IF(ISBLANK('PTA-Mid'!V74)=FALSE,'PTA-Mid'!V74,"")))</f>
        <v/>
      </c>
    </row>
    <row r="75" spans="1:27" s="28" customFormat="1">
      <c r="A75" s="216"/>
      <c r="C75" s="196" t="s">
        <v>293</v>
      </c>
      <c r="D75" s="30"/>
      <c r="E75" s="30"/>
      <c r="F75" s="30"/>
      <c r="G75" s="30"/>
      <c r="H75" s="30"/>
      <c r="I75" s="30"/>
      <c r="J75" s="30"/>
      <c r="K75" s="30"/>
      <c r="L75" s="30"/>
      <c r="M75" s="30"/>
      <c r="N75" s="2335"/>
      <c r="O75" s="2335"/>
      <c r="P75" s="2335"/>
      <c r="Q75" s="2335"/>
      <c r="R75" s="30"/>
      <c r="S75" s="2335"/>
      <c r="T75" s="2335"/>
      <c r="U75" s="30"/>
      <c r="V75" s="30"/>
      <c r="W75" s="2335"/>
      <c r="X75" s="30"/>
      <c r="Z75" s="30"/>
      <c r="AA75" s="30"/>
    </row>
    <row r="76" spans="1:27" s="28" customFormat="1">
      <c r="A76" s="915" t="s">
        <v>821</v>
      </c>
      <c r="B76" s="934" t="s">
        <v>722</v>
      </c>
      <c r="C76" s="920" t="s">
        <v>1040</v>
      </c>
      <c r="D76" s="313">
        <f>IF(CostScenario="Higher cost",IF(ISBLANK('PTA-Hi'!D76)=FALSE,'PTA-Hi'!D76,""),IF(CostScenario="Lower cost",IF(ISBLANK('PTA-Lo'!D76)=FALSE,'PTA-Lo'!D76,""),IF(ISBLANK('PTA-Mid'!D76)=FALSE,'PTA-Mid'!D76,"")))</f>
        <v>3.9647832815187863E-4</v>
      </c>
      <c r="E76" s="313">
        <f>IF(CostScenario="Higher cost",IF(ISBLANK('PTA-Hi'!E76)=FALSE,'PTA-Hi'!E76,""),IF(CostScenario="Lower cost",IF(ISBLANK('PTA-Lo'!E76)=FALSE,'PTA-Lo'!E76,""),IF(ISBLANK('PTA-Mid'!E76)=FALSE,'PTA-Mid'!E76,"")))</f>
        <v>3.9647832815187863E-4</v>
      </c>
      <c r="F76" s="313">
        <f>IF(CostScenario="Higher cost",IF(ISBLANK('PTA-Hi'!F76)=FALSE,'PTA-Hi'!F76,""),IF(CostScenario="Lower cost",IF(ISBLANK('PTA-Lo'!F76)=FALSE,'PTA-Lo'!F76,""),IF(ISBLANK('PTA-Mid'!F76)=FALSE,'PTA-Mid'!F76,"")))</f>
        <v>3.9647832815187863E-4</v>
      </c>
      <c r="G76" s="313">
        <f>IF(CostScenario="Higher cost",IF(ISBLANK('PTA-Hi'!G76)=FALSE,'PTA-Hi'!G76,""),IF(CostScenario="Lower cost",IF(ISBLANK('PTA-Lo'!G76)=FALSE,'PTA-Lo'!G76,""),IF(ISBLANK('PTA-Mid'!G76)=FALSE,'PTA-Mid'!G76,"")))</f>
        <v>6.7996576859049131E-4</v>
      </c>
      <c r="H76" s="313">
        <f>IF(CostScenario="Higher cost",IF(ISBLANK('PTA-Hi'!H76)=FALSE,'PTA-Hi'!H76,""),IF(CostScenario="Lower cost",IF(ISBLANK('PTA-Lo'!H76)=FALSE,'PTA-Lo'!H76,""),IF(ISBLANK('PTA-Mid'!H76)=FALSE,'PTA-Mid'!H76,"")))</f>
        <v>6.7996576859049131E-4</v>
      </c>
      <c r="I76" s="30" t="str">
        <f>IF(CostScenario="Higher cost",IF(ISBLANK('PTA-Hi'!I76)=FALSE,'PTA-Hi'!I76,""),IF(CostScenario="Lower cost",IF(ISBLANK('PTA-Lo'!I76)=FALSE,'PTA-Lo'!I76,""),IF(ISBLANK('PTA-Mid'!I76)=FALSE,'PTA-Mid'!I76,"")))</f>
        <v/>
      </c>
      <c r="J76" s="279" t="str">
        <f>IF(CostScenario="Higher cost",IF(ISBLANK('PTA-Hi'!J76)=FALSE,'PTA-Hi'!J76,""),IF(CostScenario="Lower cost",IF(ISBLANK('PTA-Lo'!J76)=FALSE,'PTA-Lo'!J76,""),IF(ISBLANK('PTA-Mid'!J76)=FALSE,'PTA-Mid'!J76,"")))</f>
        <v/>
      </c>
      <c r="K76" s="279" t="str">
        <f>IF(CostScenario="Higher cost",IF(ISBLANK('PTA-Hi'!K76)=FALSE,'PTA-Hi'!K76,""),IF(CostScenario="Lower cost",IF(ISBLANK('PTA-Lo'!K76)=FALSE,'PTA-Lo'!K76,""),IF(ISBLANK('PTA-Mid'!K76)=FALSE,'PTA-Mid'!K76,"")))</f>
        <v/>
      </c>
      <c r="L76" s="279" t="str">
        <f>IF(CostScenario="Higher cost",IF(ISBLANK('PTA-Hi'!L76)=FALSE,'PTA-Hi'!L76,""),IF(CostScenario="Lower cost",IF(ISBLANK('PTA-Lo'!L76)=FALSE,'PTA-Lo'!L76,""),IF(ISBLANK('PTA-Mid'!L76)=FALSE,'PTA-Mid'!L76,"")))</f>
        <v/>
      </c>
      <c r="M76" s="279" t="str">
        <f>IF(CostScenario="Higher cost",IF(ISBLANK('PTA-Hi'!M76)=FALSE,'PTA-Hi'!M76,""),IF(CostScenario="Lower cost",IF(ISBLANK('PTA-Lo'!M76)=FALSE,'PTA-Lo'!M76,""),IF(ISBLANK('PTA-Mid'!M76)=FALSE,'PTA-Mid'!M76,"")))</f>
        <v/>
      </c>
      <c r="N76" s="279" t="str">
        <f>IF(CostScenario="Higher cost",IF(ISBLANK('PTA-Hi'!N76)=FALSE,'PTA-Hi'!N76,""),IF(CostScenario="Lower cost",IF(ISBLANK('PTA-Lo'!N76)=FALSE,'PTA-Lo'!N76,""),IF(ISBLANK('PTA-Mid'!N76)=FALSE,'PTA-Mid'!N76,"")))</f>
        <v/>
      </c>
      <c r="O76" s="279" t="str">
        <f>IF(CostScenario="Higher cost",IF(ISBLANK('PTA-Hi'!O76)=FALSE,'PTA-Hi'!O76,""),IF(CostScenario="Lower cost",IF(ISBLANK('PTA-Lo'!O76)=FALSE,'PTA-Lo'!O76,""),IF(ISBLANK('PTA-Mid'!O76)=FALSE,'PTA-Mid'!O76,"")))</f>
        <v/>
      </c>
      <c r="P76" s="279" t="str">
        <f>IF(CostScenario="Higher cost",IF(ISBLANK('PTA-Hi'!P76)=FALSE,'PTA-Hi'!P76,""),IF(CostScenario="Lower cost",IF(ISBLANK('PTA-Lo'!P76)=FALSE,'PTA-Lo'!P76,""),IF(ISBLANK('PTA-Mid'!P76)=FALSE,'PTA-Mid'!P76,"")))</f>
        <v/>
      </c>
      <c r="Q76" s="279" t="str">
        <f>IF(CostScenario="Higher cost",IF(ISBLANK('PTA-Hi'!Q76)=FALSE,'PTA-Hi'!Q76,""),IF(CostScenario="Lower cost",IF(ISBLANK('PTA-Lo'!Q76)=FALSE,'PTA-Lo'!Q76,""),IF(ISBLANK('PTA-Mid'!Q76)=FALSE,'PTA-Mid'!Q76,"")))</f>
        <v/>
      </c>
      <c r="R76" s="279" t="str">
        <f>IF(CostScenario="Higher cost",IF(ISBLANK('PTA-Hi'!R76)=FALSE,'PTA-Hi'!R76,""),IF(CostScenario="Lower cost",IF(ISBLANK('PTA-Lo'!R76)=FALSE,'PTA-Lo'!R76,""),IF(ISBLANK('PTA-Mid'!R76)=FALSE,'PTA-Mid'!R76,"")))</f>
        <v/>
      </c>
      <c r="S76" s="279" t="str">
        <f>IF(CostScenario="Higher cost",IF(ISBLANK('PTA-Hi'!S76)=FALSE,'PTA-Hi'!S76,""),IF(CostScenario="Lower cost",IF(ISBLANK('PTA-Lo'!S76)=FALSE,'PTA-Lo'!S76,""),IF(ISBLANK('PTA-Mid'!S76)=FALSE,'PTA-Mid'!S76,"")))</f>
        <v/>
      </c>
      <c r="T76" s="279" t="str">
        <f>IF(CostScenario="Higher cost",IF(ISBLANK('PTA-Hi'!T76)=FALSE,'PTA-Hi'!T76,""),IF(CostScenario="Lower cost",IF(ISBLANK('PTA-Lo'!T76)=FALSE,'PTA-Lo'!T76,""),IF(ISBLANK('PTA-Mid'!T76)=FALSE,'PTA-Mid'!T76,"")))</f>
        <v/>
      </c>
      <c r="U76" s="313" t="str">
        <f>IF(CostScenario="Higher cost",IF(ISBLANK('PTA-Hi'!U76)=FALSE,'PTA-Hi'!U76,""),IF(CostScenario="Lower cost",IF(ISBLANK('PTA-Lo'!U76)=FALSE,'PTA-Lo'!U76,""),IF(ISBLANK('PTA-Mid'!U76)=FALSE,'PTA-Mid'!U76,"")))</f>
        <v/>
      </c>
      <c r="V76" s="313" t="str">
        <f>IF(CostScenario="Higher cost",IF(ISBLANK('PTA-Hi'!V76)=FALSE,'PTA-Hi'!V76,""),IF(CostScenario="Lower cost",IF(ISBLANK('PTA-Lo'!V76)=FALSE,'PTA-Lo'!V76,""),IF(ISBLANK('PTA-Mid'!V76)=FALSE,'PTA-Mid'!V76,"")))</f>
        <v/>
      </c>
      <c r="W76" s="313"/>
      <c r="X76" s="30"/>
      <c r="Z76" s="30"/>
      <c r="AA76" s="30"/>
    </row>
    <row r="77" spans="1:27" s="7" customFormat="1">
      <c r="A77" s="935" t="s">
        <v>1042</v>
      </c>
      <c r="B77" s="934"/>
      <c r="C77" s="920" t="s">
        <v>1043</v>
      </c>
      <c r="D77" s="30" t="str">
        <f>IF(CostScenario="Higher cost",IF(ISBLANK('PTA-Hi'!D77)=FALSE,'PTA-Hi'!D77,""),IF(CostScenario="Lower cost",IF(ISBLANK('PTA-Lo'!D77)=FALSE,'PTA-Lo'!D77,""),IF(ISBLANK('PTA-Mid'!D77)=FALSE,'PTA-Mid'!D77,"")))</f>
        <v/>
      </c>
      <c r="E77" s="30" t="str">
        <f>IF(CostScenario="Higher cost",IF(ISBLANK('PTA-Hi'!E77)=FALSE,'PTA-Hi'!E77,""),IF(CostScenario="Lower cost",IF(ISBLANK('PTA-Lo'!E77)=FALSE,'PTA-Lo'!E77,""),IF(ISBLANK('PTA-Mid'!E77)=FALSE,'PTA-Mid'!E77,"")))</f>
        <v/>
      </c>
      <c r="F77" s="30" t="str">
        <f>IF(CostScenario="Higher cost",IF(ISBLANK('PTA-Hi'!F77)=FALSE,'PTA-Hi'!F77,""),IF(CostScenario="Lower cost",IF(ISBLANK('PTA-Lo'!F77)=FALSE,'PTA-Lo'!F77,""),IF(ISBLANK('PTA-Mid'!F77)=FALSE,'PTA-Mid'!F77,"")))</f>
        <v/>
      </c>
      <c r="G77" s="30" t="str">
        <f>IF(CostScenario="Higher cost",IF(ISBLANK('PTA-Hi'!G77)=FALSE,'PTA-Hi'!G77,""),IF(CostScenario="Lower cost",IF(ISBLANK('PTA-Lo'!G77)=FALSE,'PTA-Lo'!G77,""),IF(ISBLANK('PTA-Mid'!G77)=FALSE,'PTA-Mid'!G77,"")))</f>
        <v/>
      </c>
      <c r="H77" s="30" t="str">
        <f>IF(CostScenario="Higher cost",IF(ISBLANK('PTA-Hi'!H77)=FALSE,'PTA-Hi'!H77,""),IF(CostScenario="Lower cost",IF(ISBLANK('PTA-Lo'!H77)=FALSE,'PTA-Lo'!H77,""),IF(ISBLANK('PTA-Mid'!H77)=FALSE,'PTA-Mid'!H77,"")))</f>
        <v/>
      </c>
      <c r="I77" s="30" t="str">
        <f>IF(CostScenario="Higher cost",IF(ISBLANK('PTA-Hi'!I77)=FALSE,'PTA-Hi'!I77,""),IF(CostScenario="Lower cost",IF(ISBLANK('PTA-Lo'!I77)=FALSE,'PTA-Lo'!I77,""),IF(ISBLANK('PTA-Mid'!I77)=FALSE,'PTA-Mid'!I77,"")))</f>
        <v/>
      </c>
      <c r="J77" s="30" t="str">
        <f>IF(CostScenario="Higher cost",IF(ISBLANK('PTA-Hi'!J77)=FALSE,'PTA-Hi'!J77,""),IF(CostScenario="Lower cost",IF(ISBLANK('PTA-Lo'!J77)=FALSE,'PTA-Lo'!J77,""),IF(ISBLANK('PTA-Mid'!J77)=FALSE,'PTA-Mid'!J77,"")))</f>
        <v/>
      </c>
      <c r="K77" s="30" t="str">
        <f>IF(CostScenario="Higher cost",IF(ISBLANK('PTA-Hi'!K77)=FALSE,'PTA-Hi'!K77,""),IF(CostScenario="Lower cost",IF(ISBLANK('PTA-Lo'!K77)=FALSE,'PTA-Lo'!K77,""),IF(ISBLANK('PTA-Mid'!K77)=FALSE,'PTA-Mid'!K77,"")))</f>
        <v/>
      </c>
      <c r="L77" s="30" t="str">
        <f>IF(CostScenario="Higher cost",IF(ISBLANK('PTA-Hi'!L77)=FALSE,'PTA-Hi'!L77,""),IF(CostScenario="Lower cost",IF(ISBLANK('PTA-Lo'!L77)=FALSE,'PTA-Lo'!L77,""),IF(ISBLANK('PTA-Mid'!L77)=FALSE,'PTA-Mid'!L77,"")))</f>
        <v/>
      </c>
      <c r="M77" s="30" t="str">
        <f>IF(CostScenario="Higher cost",IF(ISBLANK('PTA-Hi'!M77)=FALSE,'PTA-Hi'!M77,""),IF(CostScenario="Lower cost",IF(ISBLANK('PTA-Lo'!M77)=FALSE,'PTA-Lo'!M77,""),IF(ISBLANK('PTA-Mid'!M77)=FALSE,'PTA-Mid'!M77,"")))</f>
        <v/>
      </c>
      <c r="N77" s="2335" t="str">
        <f>IF(CostScenario="Higher cost",IF(ISBLANK('PTA-Hi'!N77)=FALSE,'PTA-Hi'!N77,""),IF(CostScenario="Lower cost",IF(ISBLANK('PTA-Lo'!N77)=FALSE,'PTA-Lo'!N77,""),IF(ISBLANK('PTA-Mid'!N77)=FALSE,'PTA-Mid'!N77,"")))</f>
        <v/>
      </c>
      <c r="O77" s="2335" t="str">
        <f>IF(CostScenario="Higher cost",IF(ISBLANK('PTA-Hi'!O77)=FALSE,'PTA-Hi'!O77,""),IF(CostScenario="Lower cost",IF(ISBLANK('PTA-Lo'!O77)=FALSE,'PTA-Lo'!O77,""),IF(ISBLANK('PTA-Mid'!O77)=FALSE,'PTA-Mid'!O77,"")))</f>
        <v/>
      </c>
      <c r="P77" s="2335" t="str">
        <f>IF(CostScenario="Higher cost",IF(ISBLANK('PTA-Hi'!P77)=FALSE,'PTA-Hi'!P77,""),IF(CostScenario="Lower cost",IF(ISBLANK('PTA-Lo'!P77)=FALSE,'PTA-Lo'!P77,""),IF(ISBLANK('PTA-Mid'!P77)=FALSE,'PTA-Mid'!P77,"")))</f>
        <v/>
      </c>
      <c r="Q77" s="2335" t="str">
        <f>IF(CostScenario="Higher cost",IF(ISBLANK('PTA-Hi'!Q77)=FALSE,'PTA-Hi'!Q77,""),IF(CostScenario="Lower cost",IF(ISBLANK('PTA-Lo'!Q77)=FALSE,'PTA-Lo'!Q77,""),IF(ISBLANK('PTA-Mid'!Q77)=FALSE,'PTA-Mid'!Q77,"")))</f>
        <v/>
      </c>
      <c r="R77" s="30" t="str">
        <f>IF(CostScenario="Higher cost",IF(ISBLANK('PTA-Hi'!R77)=FALSE,'PTA-Hi'!R77,""),IF(CostScenario="Lower cost",IF(ISBLANK('PTA-Lo'!R77)=FALSE,'PTA-Lo'!R77,""),IF(ISBLANK('PTA-Mid'!R77)=FALSE,'PTA-Mid'!R77,"")))</f>
        <v/>
      </c>
      <c r="S77" s="2335" t="str">
        <f>IF(CostScenario="Higher cost",IF(ISBLANK('PTA-Hi'!S77)=FALSE,'PTA-Hi'!S77,""),IF(CostScenario="Lower cost",IF(ISBLANK('PTA-Lo'!S77)=FALSE,'PTA-Lo'!S77,""),IF(ISBLANK('PTA-Mid'!S77)=FALSE,'PTA-Mid'!S77,"")))</f>
        <v/>
      </c>
      <c r="T77" s="2335" t="str">
        <f>IF(CostScenario="Higher cost",IF(ISBLANK('PTA-Hi'!T77)=FALSE,'PTA-Hi'!T77,""),IF(CostScenario="Lower cost",IF(ISBLANK('PTA-Lo'!T77)=FALSE,'PTA-Lo'!T77,""),IF(ISBLANK('PTA-Mid'!T77)=FALSE,'PTA-Mid'!T77,"")))</f>
        <v/>
      </c>
      <c r="U77" s="313" t="str">
        <f>IF(CostScenario="Higher cost",IF(ISBLANK('PTA-Hi'!U77)=FALSE,'PTA-Hi'!U77,""),IF(CostScenario="Lower cost",IF(ISBLANK('PTA-Lo'!U77)=FALSE,'PTA-Lo'!U77,""),IF(ISBLANK('PTA-Mid'!U77)=FALSE,'PTA-Mid'!U77,"")))</f>
        <v/>
      </c>
      <c r="V77" s="313" t="str">
        <f>IF(CostScenario="Higher cost",IF(ISBLANK('PTA-Hi'!V77)=FALSE,'PTA-Hi'!V77,""),IF(CostScenario="Lower cost",IF(ISBLANK('PTA-Lo'!V77)=FALSE,'PTA-Lo'!V77,""),IF(ISBLANK('PTA-Mid'!V77)=FALSE,'PTA-Mid'!V77,"")))</f>
        <v/>
      </c>
      <c r="W77" s="313"/>
      <c r="X77" s="30"/>
      <c r="Z77" s="30"/>
      <c r="AA77" s="30"/>
    </row>
    <row r="78" spans="1:27" s="7" customFormat="1">
      <c r="A78" s="2857"/>
      <c r="B78" s="2858"/>
      <c r="C78" s="2859" t="s">
        <v>1420</v>
      </c>
      <c r="D78" s="30" t="str">
        <f>IF(CostScenario="Higher cost",IF(ISBLANK('PTA-Hi'!D78)=FALSE,'PTA-Hi'!D78,""),IF(CostScenario="Lower cost",IF(ISBLANK('PTA-Lo'!D78)=FALSE,'PTA-Lo'!D78,""),IF(ISBLANK('PTA-Mid'!D78)=FALSE,'PTA-Mid'!D78,"")))</f>
        <v/>
      </c>
      <c r="E78" s="30" t="str">
        <f>IF(CostScenario="Higher cost",IF(ISBLANK('PTA-Hi'!E78)=FALSE,'PTA-Hi'!E78,""),IF(CostScenario="Lower cost",IF(ISBLANK('PTA-Lo'!E78)=FALSE,'PTA-Lo'!E78,""),IF(ISBLANK('PTA-Mid'!E78)=FALSE,'PTA-Mid'!E78,"")))</f>
        <v/>
      </c>
      <c r="F78" s="30" t="str">
        <f>IF(CostScenario="Higher cost",IF(ISBLANK('PTA-Hi'!F78)=FALSE,'PTA-Hi'!F78,""),IF(CostScenario="Lower cost",IF(ISBLANK('PTA-Lo'!F78)=FALSE,'PTA-Lo'!F78,""),IF(ISBLANK('PTA-Mid'!F78)=FALSE,'PTA-Mid'!F78,"")))</f>
        <v/>
      </c>
      <c r="G78" s="30" t="str">
        <f>IF(CostScenario="Higher cost",IF(ISBLANK('PTA-Hi'!G78)=FALSE,'PTA-Hi'!G78,""),IF(CostScenario="Lower cost",IF(ISBLANK('PTA-Lo'!G78)=FALSE,'PTA-Lo'!G78,""),IF(ISBLANK('PTA-Mid'!G78)=FALSE,'PTA-Mid'!G78,"")))</f>
        <v/>
      </c>
      <c r="H78" s="30" t="str">
        <f>IF(CostScenario="Higher cost",IF(ISBLANK('PTA-Hi'!H78)=FALSE,'PTA-Hi'!H78,""),IF(CostScenario="Lower cost",IF(ISBLANK('PTA-Lo'!H78)=FALSE,'PTA-Lo'!H78,""),IF(ISBLANK('PTA-Mid'!H78)=FALSE,'PTA-Mid'!H78,"")))</f>
        <v/>
      </c>
      <c r="I78" s="30" t="str">
        <f>IF(CostScenario="Higher cost",IF(ISBLANK('PTA-Hi'!I78)=FALSE,'PTA-Hi'!I78,""),IF(CostScenario="Lower cost",IF(ISBLANK('PTA-Lo'!I78)=FALSE,'PTA-Lo'!I78,""),IF(ISBLANK('PTA-Mid'!I78)=FALSE,'PTA-Mid'!I78,"")))</f>
        <v/>
      </c>
      <c r="J78" s="30" t="str">
        <f>IF(CostScenario="Higher cost",IF(ISBLANK('PTA-Hi'!J78)=FALSE,'PTA-Hi'!J78,""),IF(CostScenario="Lower cost",IF(ISBLANK('PTA-Lo'!J78)=FALSE,'PTA-Lo'!J78,""),IF(ISBLANK('PTA-Mid'!J78)=FALSE,'PTA-Mid'!J78,"")))</f>
        <v/>
      </c>
      <c r="K78" s="30" t="str">
        <f>IF(CostScenario="Higher cost",IF(ISBLANK('PTA-Hi'!K78)=FALSE,'PTA-Hi'!K78,""),IF(CostScenario="Lower cost",IF(ISBLANK('PTA-Lo'!K78)=FALSE,'PTA-Lo'!K78,""),IF(ISBLANK('PTA-Mid'!K78)=FALSE,'PTA-Mid'!K78,"")))</f>
        <v/>
      </c>
      <c r="L78" s="30" t="str">
        <f>IF(CostScenario="Higher cost",IF(ISBLANK('PTA-Hi'!L78)=FALSE,'PTA-Hi'!L78,""),IF(CostScenario="Lower cost",IF(ISBLANK('PTA-Lo'!L78)=FALSE,'PTA-Lo'!L78,""),IF(ISBLANK('PTA-Mid'!L78)=FALSE,'PTA-Mid'!L78,"")))</f>
        <v/>
      </c>
      <c r="M78" s="30" t="str">
        <f>IF(CostScenario="Higher cost",IF(ISBLANK('PTA-Hi'!M78)=FALSE,'PTA-Hi'!M78,""),IF(CostScenario="Lower cost",IF(ISBLANK('PTA-Lo'!M78)=FALSE,'PTA-Lo'!M78,""),IF(ISBLANK('PTA-Mid'!M78)=FALSE,'PTA-Mid'!M78,"")))</f>
        <v/>
      </c>
      <c r="N78" s="2335" t="str">
        <f>IF(CostScenario="Higher cost",IF(ISBLANK('PTA-Hi'!N78)=FALSE,'PTA-Hi'!N78,""),IF(CostScenario="Lower cost",IF(ISBLANK('PTA-Lo'!N78)=FALSE,'PTA-Lo'!N78,""),IF(ISBLANK('PTA-Mid'!N78)=FALSE,'PTA-Mid'!N78,"")))</f>
        <v/>
      </c>
      <c r="O78" s="2335" t="str">
        <f>IF(CostScenario="Higher cost",IF(ISBLANK('PTA-Hi'!O78)=FALSE,'PTA-Hi'!O78,""),IF(CostScenario="Lower cost",IF(ISBLANK('PTA-Lo'!O78)=FALSE,'PTA-Lo'!O78,""),IF(ISBLANK('PTA-Mid'!O78)=FALSE,'PTA-Mid'!O78,"")))</f>
        <v/>
      </c>
      <c r="P78" s="2335" t="str">
        <f>IF(CostScenario="Higher cost",IF(ISBLANK('PTA-Hi'!P78)=FALSE,'PTA-Hi'!P78,""),IF(CostScenario="Lower cost",IF(ISBLANK('PTA-Lo'!P78)=FALSE,'PTA-Lo'!P78,""),IF(ISBLANK('PTA-Mid'!P78)=FALSE,'PTA-Mid'!P78,"")))</f>
        <v/>
      </c>
      <c r="Q78" s="2335" t="str">
        <f>IF(CostScenario="Higher cost",IF(ISBLANK('PTA-Hi'!Q78)=FALSE,'PTA-Hi'!Q78,""),IF(CostScenario="Lower cost",IF(ISBLANK('PTA-Lo'!Q78)=FALSE,'PTA-Lo'!Q78,""),IF(ISBLANK('PTA-Mid'!Q78)=FALSE,'PTA-Mid'!Q78,"")))</f>
        <v/>
      </c>
      <c r="R78" s="30" t="str">
        <f>IF(CostScenario="Higher cost",IF(ISBLANK('PTA-Hi'!R78)=FALSE,'PTA-Hi'!R78,""),IF(CostScenario="Lower cost",IF(ISBLANK('PTA-Lo'!R78)=FALSE,'PTA-Lo'!R78,""),IF(ISBLANK('PTA-Mid'!R78)=FALSE,'PTA-Mid'!R78,"")))</f>
        <v/>
      </c>
      <c r="S78" s="2335" t="str">
        <f>IF(CostScenario="Higher cost",IF(ISBLANK('PTA-Hi'!S78)=FALSE,'PTA-Hi'!S78,""),IF(CostScenario="Lower cost",IF(ISBLANK('PTA-Lo'!S78)=FALSE,'PTA-Lo'!S78,""),IF(ISBLANK('PTA-Mid'!S78)=FALSE,'PTA-Mid'!S78,"")))</f>
        <v/>
      </c>
      <c r="T78" s="2335" t="str">
        <f>IF(CostScenario="Higher cost",IF(ISBLANK('PTA-Hi'!T78)=FALSE,'PTA-Hi'!T78,""),IF(CostScenario="Lower cost",IF(ISBLANK('PTA-Lo'!T78)=FALSE,'PTA-Lo'!T78,""),IF(ISBLANK('PTA-Mid'!T78)=FALSE,'PTA-Mid'!T78,"")))</f>
        <v/>
      </c>
      <c r="U78" s="30" t="str">
        <f>IF(CostScenario="Higher cost",IF(ISBLANK('PTA-Hi'!U78)=FALSE,'PTA-Hi'!U78,""),IF(CostScenario="Lower cost",IF(ISBLANK('PTA-Lo'!U78)=FALSE,'PTA-Lo'!U78,""),IF(ISBLANK('PTA-Mid'!U78)=FALSE,'PTA-Mid'!U78,"")))</f>
        <v/>
      </c>
      <c r="V78" s="30" t="str">
        <f>IF(CostScenario="Higher cost",IF(ISBLANK('PTA-Hi'!V78)=FALSE,'PTA-Hi'!V78,""),IF(CostScenario="Lower cost",IF(ISBLANK('PTA-Lo'!V78)=FALSE,'PTA-Lo'!V78,""),IF(ISBLANK('PTA-Mid'!V78)=FALSE,'PTA-Mid'!V78,"")))</f>
        <v/>
      </c>
      <c r="W78" s="2335"/>
      <c r="X78" s="30"/>
      <c r="Z78" s="30"/>
      <c r="AA78" s="30"/>
    </row>
    <row r="79" spans="1:27" s="2331" customFormat="1">
      <c r="A79" s="2857" t="s">
        <v>1744</v>
      </c>
      <c r="B79" s="2858"/>
      <c r="C79" s="2861" t="s">
        <v>1745</v>
      </c>
      <c r="D79" s="1913">
        <f>IF(CostScenario="Higher cost",IF(ISBLANK('PTA-Hi'!D79)=FALSE,'PTA-Hi'!D79,""),IF(CostScenario="Lower cost",IF(ISBLANK('PTA-Lo'!D79)=FALSE,'PTA-Lo'!D79,""),IF(ISBLANK('PTA-Mid'!D79)=FALSE,'PTA-Mid'!D79,"")))</f>
        <v>6.528423328497528E-3</v>
      </c>
      <c r="E79" s="1913">
        <f>IF(CostScenario="Higher cost",IF(ISBLANK('PTA-Hi'!E79)=FALSE,'PTA-Hi'!E79,""),IF(CostScenario="Lower cost",IF(ISBLANK('PTA-Lo'!E79)=FALSE,'PTA-Lo'!E79,""),IF(ISBLANK('PTA-Mid'!E79)=FALSE,'PTA-Mid'!E79,"")))</f>
        <v>9.6867686685003819E-3</v>
      </c>
      <c r="F79" s="1913">
        <f>IF(CostScenario="Higher cost",IF(ISBLANK('PTA-Hi'!F79)=FALSE,'PTA-Hi'!F79,""),IF(CostScenario="Lower cost",IF(ISBLANK('PTA-Lo'!F79)=FALSE,'PTA-Lo'!F79,""),IF(ISBLANK('PTA-Mid'!F79)=FALSE,'PTA-Mid'!F79,"")))</f>
        <v>2.1744186812078727E-3</v>
      </c>
      <c r="G79" s="1913">
        <f>IF(CostScenario="Higher cost",IF(ISBLANK('PTA-Hi'!G79)=FALSE,'PTA-Hi'!G79,""),IF(CostScenario="Lower cost",IF(ISBLANK('PTA-Lo'!G79)=FALSE,'PTA-Lo'!G79,""),IF(ISBLANK('PTA-Mid'!G79)=FALSE,'PTA-Mid'!G79,"")))</f>
        <v>9.2784271321233187E-4</v>
      </c>
      <c r="H79" s="1913">
        <f>IF(CostScenario="Higher cost",IF(ISBLANK('PTA-Hi'!H79)=FALSE,'PTA-Hi'!H79,""),IF(CostScenario="Lower cost",IF(ISBLANK('PTA-Lo'!H79)=FALSE,'PTA-Lo'!H79,""),IF(ISBLANK('PTA-Mid'!H79)=FALSE,'PTA-Mid'!H79,"")))</f>
        <v>9.2784271321233187E-4</v>
      </c>
      <c r="I79" s="1913">
        <f>IF(CostScenario="Higher cost",IF(ISBLANK('PTA-Hi'!I79)=FALSE,'PTA-Hi'!I79,""),IF(CostScenario="Lower cost",IF(ISBLANK('PTA-Lo'!I79)=FALSE,'PTA-Lo'!I79,""),IF(ISBLANK('PTA-Mid'!I79)=FALSE,'PTA-Mid'!I79,"")))</f>
        <v>4.7104212722508705E-3</v>
      </c>
      <c r="J79" s="1913">
        <f>IF(CostScenario="Higher cost",IF(ISBLANK('PTA-Hi'!J79)=FALSE,'PTA-Hi'!J79,""),IF(CostScenario="Lower cost",IF(ISBLANK('PTA-Lo'!J79)=FALSE,'PTA-Lo'!J79,""),IF(ISBLANK('PTA-Mid'!J79)=FALSE,'PTA-Mid'!J79,"")))</f>
        <v>9.420842544501741E-3</v>
      </c>
      <c r="K79" s="1913">
        <f>IF(CostScenario="Higher cost",IF(ISBLANK('PTA-Hi'!K79)=FALSE,'PTA-Hi'!K79,""),IF(CostScenario="Lower cost",IF(ISBLANK('PTA-Lo'!K79)=FALSE,'PTA-Lo'!K79,""),IF(ISBLANK('PTA-Mid'!K79)=FALSE,'PTA-Mid'!K79,"")))</f>
        <v>9.420842544501741E-3</v>
      </c>
      <c r="L79" s="1913">
        <f>IF(CostScenario="Higher cost",IF(ISBLANK('PTA-Hi'!L79)=FALSE,'PTA-Hi'!L79,""),IF(CostScenario="Lower cost",IF(ISBLANK('PTA-Lo'!L79)=FALSE,'PTA-Lo'!L79,""),IF(ISBLANK('PTA-Mid'!L79)=FALSE,'PTA-Mid'!L79,"")))</f>
        <v>2.1744186812078727E-3</v>
      </c>
      <c r="M79" s="1913">
        <f>IF(CostScenario="Higher cost",IF(ISBLANK('PTA-Hi'!M79)=FALSE,'PTA-Hi'!M79,""),IF(CostScenario="Lower cost",IF(ISBLANK('PTA-Lo'!M79)=FALSE,'PTA-Lo'!M79,""),IF(ISBLANK('PTA-Mid'!M79)=FALSE,'PTA-Mid'!M79,"")))</f>
        <v>2.1744186812078727E-3</v>
      </c>
      <c r="N79" s="1913">
        <f>IF(CostScenario="Higher cost",IF(ISBLANK('PTA-Hi'!N79)=FALSE,'PTA-Hi'!N79,""),IF(CostScenario="Lower cost",IF(ISBLANK('PTA-Lo'!N79)=FALSE,'PTA-Lo'!N79,""),IF(ISBLANK('PTA-Mid'!N79)=FALSE,'PTA-Mid'!N79,"")))</f>
        <v>9.6867686685003819E-3</v>
      </c>
      <c r="O79" s="1913">
        <f>IF(CostScenario="Higher cost",IF(ISBLANK('PTA-Hi'!O79)=FALSE,'PTA-Hi'!O79,""),IF(CostScenario="Lower cost",IF(ISBLANK('PTA-Lo'!O79)=FALSE,'PTA-Lo'!O79,""),IF(ISBLANK('PTA-Mid'!O79)=FALSE,'PTA-Mid'!O79,"")))</f>
        <v>9.6867686685003819E-3</v>
      </c>
      <c r="P79" s="1913">
        <f>IF(CostScenario="Higher cost",IF(ISBLANK('PTA-Hi'!P79)=FALSE,'PTA-Hi'!P79,""),IF(CostScenario="Lower cost",IF(ISBLANK('PTA-Lo'!P79)=FALSE,'PTA-Lo'!P79,""),IF(ISBLANK('PTA-Mid'!P79)=FALSE,'PTA-Mid'!P79,"")))</f>
        <v>9.6867686685003819E-3</v>
      </c>
      <c r="Q79" s="1913">
        <f>IF(CostScenario="Higher cost",IF(ISBLANK('PTA-Hi'!Q79)=FALSE,'PTA-Hi'!Q79,""),IF(CostScenario="Lower cost",IF(ISBLANK('PTA-Lo'!Q79)=FALSE,'PTA-Lo'!Q79,""),IF(ISBLANK('PTA-Mid'!Q79)=FALSE,'PTA-Mid'!Q79,"")))</f>
        <v>9.6867686685003819E-3</v>
      </c>
      <c r="R79" s="1913">
        <f>IF(CostScenario="Higher cost",IF(ISBLANK('PTA-Hi'!R79)=FALSE,'PTA-Hi'!R79,""),IF(CostScenario="Lower cost",IF(ISBLANK('PTA-Lo'!R79)=FALSE,'PTA-Lo'!R79,""),IF(ISBLANK('PTA-Mid'!R79)=FALSE,'PTA-Mid'!R79,"")))</f>
        <v>9.6867686685003819E-3</v>
      </c>
      <c r="S79" s="1913">
        <f>IF(CostScenario="Higher cost",IF(ISBLANK('PTA-Hi'!S79)=FALSE,'PTA-Hi'!S79,""),IF(CostScenario="Lower cost",IF(ISBLANK('PTA-Lo'!S79)=FALSE,'PTA-Lo'!S79,""),IF(ISBLANK('PTA-Mid'!S79)=FALSE,'PTA-Mid'!S79,"")))</f>
        <v>1.3668098648176776E-2</v>
      </c>
      <c r="T79" s="1913">
        <f>IF(CostScenario="Higher cost",IF(ISBLANK('PTA-Hi'!T79)=FALSE,'PTA-Hi'!T79,""),IF(CostScenario="Lower cost",IF(ISBLANK('PTA-Lo'!T79)=FALSE,'PTA-Lo'!T79,""),IF(ISBLANK('PTA-Mid'!T79)=FALSE,'PTA-Mid'!T79,"")))</f>
        <v>1.3668098648176776E-2</v>
      </c>
      <c r="U79" s="1913">
        <f>IF(CostScenario="Higher cost",IF(ISBLANK('PTA-Hi'!U79)=FALSE,'PTA-Hi'!U79,""),IF(CostScenario="Lower cost",IF(ISBLANK('PTA-Lo'!U79)=FALSE,'PTA-Lo'!U79,""),IF(ISBLANK('PTA-Mid'!U79)=FALSE,'PTA-Mid'!U79,"")))</f>
        <v>9.6867686685003819E-3</v>
      </c>
      <c r="V79" s="1913">
        <f>IF(CostScenario="Higher cost",IF(ISBLANK('PTA-Hi'!V79)=FALSE,'PTA-Hi'!V79,""),IF(CostScenario="Lower cost",IF(ISBLANK('PTA-Lo'!V79)=FALSE,'PTA-Lo'!V79,""),IF(ISBLANK('PTA-Mid'!V79)=FALSE,'PTA-Mid'!V79,"")))</f>
        <v>9.6867686685003819E-3</v>
      </c>
      <c r="W79" s="1913"/>
      <c r="X79" s="2335"/>
      <c r="Z79" s="2335"/>
      <c r="AA79" s="2335"/>
    </row>
    <row r="80" spans="1:27" s="9" customFormat="1">
      <c r="A80" s="2852"/>
      <c r="B80" s="2855"/>
      <c r="C80" s="2854"/>
      <c r="D80" s="30"/>
      <c r="E80" s="30"/>
      <c r="F80" s="30"/>
      <c r="G80" s="30"/>
      <c r="H80" s="30"/>
      <c r="I80" s="181"/>
      <c r="J80" s="181"/>
      <c r="K80" s="181"/>
      <c r="L80" s="181"/>
      <c r="M80" s="181"/>
      <c r="N80" s="181"/>
      <c r="O80" s="181"/>
      <c r="P80" s="181"/>
      <c r="Q80" s="181"/>
      <c r="R80" s="181"/>
      <c r="S80" s="181"/>
      <c r="T80" s="181"/>
      <c r="U80" s="181"/>
      <c r="V80" s="181"/>
      <c r="W80" s="181"/>
      <c r="X80" s="30"/>
      <c r="Z80" s="30"/>
      <c r="AA80" s="30"/>
    </row>
    <row r="81" spans="1:27" s="9" customFormat="1">
      <c r="A81" s="2857"/>
      <c r="B81" s="2860"/>
      <c r="C81" s="2861"/>
      <c r="D81" s="200"/>
      <c r="E81" s="200"/>
      <c r="F81" s="200"/>
      <c r="G81" s="200"/>
      <c r="H81" s="200"/>
      <c r="I81" s="200"/>
      <c r="J81" s="200"/>
      <c r="K81" s="200"/>
      <c r="L81" s="200"/>
      <c r="M81" s="200"/>
      <c r="N81" s="200"/>
      <c r="O81" s="200"/>
      <c r="P81" s="200"/>
      <c r="Q81" s="200"/>
      <c r="R81" s="200"/>
      <c r="S81" s="200"/>
      <c r="T81" s="200"/>
      <c r="U81" s="200"/>
      <c r="V81" s="200"/>
      <c r="W81" s="200"/>
      <c r="X81" s="39"/>
      <c r="Z81" s="39"/>
      <c r="AA81" s="30"/>
    </row>
    <row r="82" spans="1:27" s="2332" customFormat="1">
      <c r="A82" s="2857"/>
      <c r="B82" s="2860"/>
      <c r="C82" s="2861"/>
      <c r="D82" s="200"/>
      <c r="E82" s="200"/>
      <c r="F82" s="200"/>
      <c r="G82" s="200"/>
      <c r="H82" s="200"/>
      <c r="I82" s="200"/>
      <c r="J82" s="200"/>
      <c r="K82" s="200"/>
      <c r="L82" s="200"/>
      <c r="M82" s="200"/>
      <c r="N82" s="200"/>
      <c r="O82" s="200"/>
      <c r="P82" s="200"/>
      <c r="Q82" s="200"/>
      <c r="R82" s="200"/>
      <c r="S82" s="200"/>
      <c r="T82" s="200"/>
      <c r="U82" s="200"/>
      <c r="V82" s="200"/>
      <c r="W82" s="200"/>
      <c r="X82" s="39"/>
      <c r="Z82" s="39"/>
      <c r="AA82" s="2335"/>
    </row>
    <row r="83" spans="1:27" s="7" customFormat="1">
      <c r="A83" s="2857"/>
      <c r="B83" s="2860"/>
      <c r="C83" s="2861"/>
      <c r="D83" s="30"/>
      <c r="E83" s="30"/>
      <c r="F83" s="30"/>
      <c r="G83" s="30"/>
      <c r="H83" s="30"/>
      <c r="I83" s="30"/>
      <c r="J83" s="30"/>
      <c r="K83" s="30"/>
      <c r="L83" s="30"/>
      <c r="M83" s="30"/>
      <c r="N83" s="2335"/>
      <c r="O83" s="2335"/>
      <c r="P83" s="2335"/>
      <c r="Q83" s="2335"/>
      <c r="R83" s="30"/>
      <c r="S83" s="2335"/>
      <c r="T83" s="2335"/>
      <c r="U83" s="30"/>
      <c r="V83" s="30"/>
      <c r="W83" s="2335"/>
      <c r="X83" s="30"/>
      <c r="Z83" s="30"/>
      <c r="AA83" s="30"/>
    </row>
    <row r="84" spans="1:27" s="7" customFormat="1">
      <c r="A84" s="216"/>
      <c r="B84" s="28"/>
      <c r="C84" s="86" t="s">
        <v>298</v>
      </c>
      <c r="D84" s="30"/>
      <c r="E84" s="30"/>
      <c r="F84" s="30"/>
      <c r="G84" s="30"/>
      <c r="H84" s="251"/>
      <c r="I84" s="1918"/>
      <c r="J84" s="30"/>
      <c r="K84" s="30"/>
      <c r="L84" s="30"/>
      <c r="M84" s="30"/>
      <c r="N84" s="2335"/>
      <c r="O84" s="2335"/>
      <c r="P84" s="2335"/>
      <c r="Q84" s="2335"/>
      <c r="R84" s="30"/>
      <c r="S84" s="2335"/>
      <c r="T84" s="2335"/>
      <c r="U84" s="1920"/>
      <c r="V84" s="1920"/>
      <c r="W84" s="1920"/>
      <c r="X84" s="30"/>
      <c r="Z84" s="30"/>
      <c r="AA84" s="30"/>
    </row>
    <row r="85" spans="1:27" s="7" customFormat="1">
      <c r="A85" s="907"/>
      <c r="B85" s="908"/>
      <c r="C85" s="1547" t="s">
        <v>1662</v>
      </c>
      <c r="D85" s="464">
        <f>IF(CostScenario="Higher cost",IF(ISBLANK('PTA-Hi'!D85)=FALSE,'PTA-Hi'!D85,""),IF(CostScenario="Lower cost",IF(ISBLANK('PTA-Lo'!D85)=FALSE,'PTA-Lo'!D85,""),IF(ISBLANK('PTA-Mid'!D85)=FALSE,'PTA-Mid'!D85,"")))</f>
        <v>921.01806919284843</v>
      </c>
      <c r="E85" s="464">
        <f>IF(CostScenario="Higher cost",IF(ISBLANK('PTA-Hi'!E85)=FALSE,'PTA-Hi'!E85,""),IF(CostScenario="Lower cost",IF(ISBLANK('PTA-Lo'!E85)=FALSE,'PTA-Lo'!E85,""),IF(ISBLANK('PTA-Mid'!E85)=FALSE,'PTA-Mid'!E85,"")))</f>
        <v>993.36700706859995</v>
      </c>
      <c r="F85" s="464">
        <f>IF(CostScenario="Higher cost",IF(ISBLANK('PTA-Hi'!F85)=FALSE,'PTA-Hi'!F85,""),IF(CostScenario="Lower cost",IF(ISBLANK('PTA-Lo'!F85)=FALSE,'PTA-Lo'!F85,""),IF(ISBLANK('PTA-Mid'!F85)=FALSE,'PTA-Mid'!F85,"")))</f>
        <v>738.31262694493603</v>
      </c>
      <c r="G85" s="464">
        <f>IF(CostScenario="Higher cost",IF(ISBLANK('PTA-Hi'!G85)=FALSE,'PTA-Hi'!G85,""),IF(CostScenario="Lower cost",IF(ISBLANK('PTA-Lo'!G85)=FALSE,'PTA-Lo'!G85,""),IF(ISBLANK('PTA-Mid'!G85)=FALSE,'PTA-Mid'!G85,"")))</f>
        <v>840.83251053842014</v>
      </c>
      <c r="H85" s="464">
        <f>IF(CostScenario="Higher cost",IF(ISBLANK('PTA-Hi'!H85)=FALSE,'PTA-Hi'!H85,""),IF(CostScenario="Lower cost",IF(ISBLANK('PTA-Lo'!H85)=FALSE,'PTA-Lo'!H85,""),IF(ISBLANK('PTA-Mid'!H85)=FALSE,'PTA-Mid'!H85,"")))</f>
        <v>824.10026008387456</v>
      </c>
      <c r="I85" s="464">
        <f>IF(CostScenario="Higher cost",IF(ISBLANK('PTA-Hi'!I85)=FALSE,'PTA-Hi'!I85,""),IF(CostScenario="Lower cost",IF(ISBLANK('PTA-Lo'!I85)=FALSE,'PTA-Lo'!I85,""),IF(ISBLANK('PTA-Mid'!I85)=FALSE,'PTA-Mid'!I85,"")))</f>
        <v>4031.85</v>
      </c>
      <c r="J85" s="464">
        <f>IF(CostScenario="Higher cost",IF(ISBLANK('PTA-Hi'!J85)=FALSE,'PTA-Hi'!J85,""),IF(CostScenario="Lower cost",IF(ISBLANK('PTA-Lo'!J85)=FALSE,'PTA-Lo'!J85,""),IF(ISBLANK('PTA-Mid'!J85)=FALSE,'PTA-Mid'!J85,"")))</f>
        <v>4727.75</v>
      </c>
      <c r="K85" s="464">
        <f>IF(CostScenario="Higher cost",IF(ISBLANK('PTA-Hi'!K85)=FALSE,'PTA-Hi'!K85,""),IF(CostScenario="Lower cost",IF(ISBLANK('PTA-Lo'!K85)=FALSE,'PTA-Lo'!K85,""),IF(ISBLANK('PTA-Mid'!K85)=FALSE,'PTA-Mid'!K85,"")))</f>
        <v>5356.75</v>
      </c>
      <c r="L85" s="464">
        <f>IF(CostScenario="Higher cost",IF(ISBLANK('PTA-Hi'!L85)=FALSE,'PTA-Hi'!L85,""),IF(CostScenario="Lower cost",IF(ISBLANK('PTA-Lo'!L85)=FALSE,'PTA-Lo'!L85,""),IF(ISBLANK('PTA-Mid'!L85)=FALSE,'PTA-Mid'!L85,"")))</f>
        <v>3460.7041340522765</v>
      </c>
      <c r="M85" s="464">
        <f>IF(CostScenario="Higher cost",IF(ISBLANK('PTA-Hi'!M85)=FALSE,'PTA-Hi'!M85,""),IF(CostScenario="Lower cost",IF(ISBLANK('PTA-Lo'!M85)=FALSE,'PTA-Lo'!M85,""),IF(ISBLANK('PTA-Mid'!M85)=FALSE,'PTA-Mid'!M85,"")))</f>
        <v>5033.3352983646391</v>
      </c>
      <c r="N85" s="464">
        <f>IF(CostScenario="Higher cost",IF(ISBLANK('PTA-Hi'!N85)=FALSE,'PTA-Hi'!N85,""),IF(CostScenario="Lower cost",IF(ISBLANK('PTA-Lo'!N85)=FALSE,'PTA-Lo'!N85,""),IF(ISBLANK('PTA-Mid'!N85)=FALSE,'PTA-Mid'!N85,"")))</f>
        <v>3827.1790061044694</v>
      </c>
      <c r="O85" s="464">
        <f>IF(CostScenario="Higher cost",IF(ISBLANK('PTA-Hi'!O85)=FALSE,'PTA-Hi'!O85,""),IF(CostScenario="Lower cost",IF(ISBLANK('PTA-Lo'!O85)=FALSE,'PTA-Lo'!O85,""),IF(ISBLANK('PTA-Mid'!O85)=FALSE,'PTA-Mid'!O85,"")))</f>
        <v>5419.265756969452</v>
      </c>
      <c r="P85" s="464">
        <f>IF(CostScenario="Higher cost",IF(ISBLANK('PTA-Hi'!P85)=FALSE,'PTA-Hi'!P85,""),IF(CostScenario="Lower cost",IF(ISBLANK('PTA-Lo'!P85)=FALSE,'PTA-Lo'!P85,""),IF(ISBLANK('PTA-Mid'!P85)=FALSE,'PTA-Mid'!P85,"")))</f>
        <v>6044.0419600841233</v>
      </c>
      <c r="Q85" s="464">
        <f>IF(CostScenario="Higher cost",IF(ISBLANK('PTA-Hi'!Q85)=FALSE,'PTA-Hi'!Q85,""),IF(CostScenario="Lower cost",IF(ISBLANK('PTA-Lo'!Q85)=FALSE,'PTA-Lo'!Q85,""),IF(ISBLANK('PTA-Mid'!Q85)=FALSE,'PTA-Mid'!Q85,"")))</f>
        <v>2850.5238059285593</v>
      </c>
      <c r="R85" s="464">
        <f>IF(CostScenario="Higher cost",IF(ISBLANK('PTA-Hi'!R85)=FALSE,'PTA-Hi'!R85,""),IF(CostScenario="Lower cost",IF(ISBLANK('PTA-Lo'!R85)=FALSE,'PTA-Lo'!R85,""),IF(ISBLANK('PTA-Mid'!R85)=FALSE,'PTA-Mid'!R85,"")))</f>
        <v>3343.0610286970905</v>
      </c>
      <c r="S85" s="464">
        <f>IF(CostScenario="Higher cost",IF(ISBLANK('PTA-Hi'!S85)=FALSE,'PTA-Hi'!S85,""),IF(CostScenario="Lower cost",IF(ISBLANK('PTA-Lo'!S85)=FALSE,'PTA-Lo'!S85,""),IF(ISBLANK('PTA-Mid'!S85)=FALSE,'PTA-Mid'!S85,"")))</f>
        <v>2850.5238059285593</v>
      </c>
      <c r="T85" s="464">
        <f>IF(CostScenario="Higher cost",IF(ISBLANK('PTA-Hi'!T85)=FALSE,'PTA-Hi'!T85,""),IF(CostScenario="Lower cost",IF(ISBLANK('PTA-Lo'!T85)=FALSE,'PTA-Lo'!T85,""),IF(ISBLANK('PTA-Mid'!T85)=FALSE,'PTA-Mid'!T85,"")))</f>
        <v>3343.0610286970905</v>
      </c>
      <c r="U85" s="464">
        <f>IF(CostScenario="Higher cost",IF(ISBLANK('PTA-Hi'!U85)=FALSE,'PTA-Hi'!U85,""),IF(CostScenario="Lower cost",IF(ISBLANK('PTA-Lo'!U85)=FALSE,'PTA-Lo'!U85,""),IF(ISBLANK('PTA-Mid'!U85)=FALSE,'PTA-Mid'!U85,"")))</f>
        <v>1528.0312982560222</v>
      </c>
      <c r="V85" s="464">
        <f>IF(CostScenario="Higher cost",IF(ISBLANK('PTA-Hi'!V85)=FALSE,'PTA-Hi'!V85,""),IF(CostScenario="Lower cost",IF(ISBLANK('PTA-Lo'!V85)=FALSE,'PTA-Lo'!V85,""),IF(ISBLANK('PTA-Mid'!V85)=FALSE,'PTA-Mid'!V85,"")))</f>
        <v>1443.6648165963838</v>
      </c>
      <c r="W85" s="464"/>
      <c r="X85" s="30"/>
      <c r="Z85" s="30"/>
      <c r="AA85" s="30"/>
    </row>
    <row r="86" spans="1:27" s="144" customFormat="1">
      <c r="A86" s="936" t="s">
        <v>865</v>
      </c>
      <c r="B86" s="937" t="s">
        <v>724</v>
      </c>
      <c r="C86" s="938" t="s">
        <v>660</v>
      </c>
      <c r="D86" s="464">
        <f>IF(CostScenario="Higher cost",IF(ISBLANK('PTA-Hi'!D86)=FALSE,'PTA-Hi'!D86,""),IF(CostScenario="Lower cost",IF(ISBLANK('PTA-Lo'!D86)=FALSE,'PTA-Lo'!D86,""),IF(ISBLANK('PTA-Mid'!D86)=FALSE,'PTA-Mid'!D86,"")))</f>
        <v>45958801.652723134</v>
      </c>
      <c r="E86" s="464">
        <f>IF(CostScenario="Higher cost",IF(ISBLANK('PTA-Hi'!E86)=FALSE,'PTA-Hi'!E86,""),IF(CostScenario="Lower cost",IF(ISBLANK('PTA-Lo'!E86)=FALSE,'PTA-Lo'!E86,""),IF(ISBLANK('PTA-Mid'!E86)=FALSE,'PTA-Mid'!E86,"")))</f>
        <v>99336700.706859991</v>
      </c>
      <c r="F86" s="464">
        <f>IF(CostScenario="Higher cost",IF(ISBLANK('PTA-Hi'!F86)=FALSE,'PTA-Hi'!F86,""),IF(CostScenario="Lower cost",IF(ISBLANK('PTA-Lo'!F86)=FALSE,'PTA-Lo'!F86,""),IF(ISBLANK('PTA-Mid'!F86)=FALSE,'PTA-Mid'!F86,"")))</f>
        <v>147662525.38898721</v>
      </c>
      <c r="G86" s="464">
        <f>IF(CostScenario="Higher cost",IF(ISBLANK('PTA-Hi'!G86)=FALSE,'PTA-Hi'!G86,""),IF(CostScenario="Lower cost",IF(ISBLANK('PTA-Lo'!G86)=FALSE,'PTA-Lo'!G86,""),IF(ISBLANK('PTA-Mid'!G86)=FALSE,'PTA-Mid'!G86,"")))</f>
        <v>420416255.2692101</v>
      </c>
      <c r="H86" s="464">
        <f>IF(CostScenario="Higher cost",IF(ISBLANK('PTA-Hi'!H86)=FALSE,'PTA-Hi'!H86,""),IF(CostScenario="Lower cost",IF(ISBLANK('PTA-Lo'!H86)=FALSE,'PTA-Lo'!H86,""),IF(ISBLANK('PTA-Mid'!H86)=FALSE,'PTA-Mid'!H86,"")))</f>
        <v>453255143.04613101</v>
      </c>
      <c r="I86" s="1915">
        <f>IF(CostScenario="Higher cost",IF(ISBLANK('PTA-Hi'!I86)=FALSE,'PTA-Hi'!I86,""),IF(CostScenario="Lower cost",IF(ISBLANK('PTA-Lo'!I86)=FALSE,'PTA-Lo'!I86,""),IF(ISBLANK('PTA-Mid'!I86)=FALSE,'PTA-Mid'!I86,"")))</f>
        <v>201592500</v>
      </c>
      <c r="J86" s="3009">
        <f>IF(CostScenario="Higher cost",IF(ISBLANK('PTA-Hi'!J86)=FALSE,'PTA-Hi'!J86,""),IF(CostScenario="Lower cost",IF(ISBLANK('PTA-Lo'!J86)=FALSE,'PTA-Lo'!J86,""),IF(ISBLANK('PTA-Mid'!J86)=FALSE,'PTA-Mid'!J86,"")))</f>
        <v>141832500</v>
      </c>
      <c r="K86" s="3009">
        <f>IF(CostScenario="Higher cost",IF(ISBLANK('PTA-Hi'!K86)=FALSE,'PTA-Hi'!K86,""),IF(CostScenario="Lower cost",IF(ISBLANK('PTA-Lo'!K86)=FALSE,'PTA-Lo'!K86,""),IF(ISBLANK('PTA-Mid'!K86)=FALSE,'PTA-Mid'!K86,"")))</f>
        <v>160702500</v>
      </c>
      <c r="L86" s="1919">
        <f>IF(CostScenario="Higher cost",IF(ISBLANK('PTA-Hi'!L86)=FALSE,'PTA-Hi'!L86,""),IF(CostScenario="Lower cost",IF(ISBLANK('PTA-Lo'!L86)=FALSE,'PTA-Lo'!L86,""),IF(ISBLANK('PTA-Mid'!L86)=FALSE,'PTA-Mid'!L86,"")))</f>
        <v>865176033.51306915</v>
      </c>
      <c r="M86" s="1919">
        <f>IF(CostScenario="Higher cost",IF(ISBLANK('PTA-Hi'!M86)=FALSE,'PTA-Hi'!M86,""),IF(CostScenario="Lower cost",IF(ISBLANK('PTA-Lo'!M86)=FALSE,'PTA-Lo'!M86,""),IF(ISBLANK('PTA-Mid'!M86)=FALSE,'PTA-Mid'!M86,"")))</f>
        <v>1258333824.5911598</v>
      </c>
      <c r="N86" s="1919">
        <f>IF(CostScenario="Higher cost",IF(ISBLANK('PTA-Hi'!N86)=FALSE,'PTA-Hi'!N86,""),IF(CostScenario="Lower cost",IF(ISBLANK('PTA-Lo'!N86)=FALSE,'PTA-Lo'!N86,""),IF(ISBLANK('PTA-Mid'!N86)=FALSE,'PTA-Mid'!N86,"")))</f>
        <v>382717900.61044693</v>
      </c>
      <c r="O86" s="1919">
        <f>IF(CostScenario="Higher cost",IF(ISBLANK('PTA-Hi'!O86)=FALSE,'PTA-Hi'!O86,""),IF(CostScenario="Lower cost",IF(ISBLANK('PTA-Lo'!O86)=FALSE,'PTA-Lo'!O86,""),IF(ISBLANK('PTA-Mid'!O86)=FALSE,'PTA-Mid'!O86,"")))</f>
        <v>541926575.69694519</v>
      </c>
      <c r="P86" s="1919">
        <f>IF(CostScenario="Higher cost",IF(ISBLANK('PTA-Hi'!P86)=FALSE,'PTA-Hi'!P86,""),IF(CostScenario="Lower cost",IF(ISBLANK('PTA-Lo'!P86)=FALSE,'PTA-Lo'!P86,""),IF(ISBLANK('PTA-Mid'!P86)=FALSE,'PTA-Mid'!P86,"")))</f>
        <v>604404196.00841236</v>
      </c>
      <c r="Q86" s="1919">
        <f>IF(CostScenario="Higher cost",IF(ISBLANK('PTA-Hi'!Q86)=FALSE,'PTA-Hi'!Q86,""),IF(CostScenario="Lower cost",IF(ISBLANK('PTA-Lo'!Q86)=FALSE,'PTA-Lo'!Q86,""),IF(ISBLANK('PTA-Mid'!Q86)=FALSE,'PTA-Mid'!Q86,"")))</f>
        <v>285052380.59285593</v>
      </c>
      <c r="R86" s="1919">
        <f>IF(CostScenario="Higher cost",IF(ISBLANK('PTA-Hi'!R86)=FALSE,'PTA-Hi'!R86,""),IF(CostScenario="Lower cost",IF(ISBLANK('PTA-Lo'!R86)=FALSE,'PTA-Lo'!R86,""),IF(ISBLANK('PTA-Mid'!R86)=FALSE,'PTA-Mid'!R86,"")))</f>
        <v>334306102.86970907</v>
      </c>
      <c r="S86" s="1919">
        <f>IF(CostScenario="Higher cost",IF(ISBLANK('PTA-Hi'!S86)=FALSE,'PTA-Hi'!S86,""),IF(CostScenario="Lower cost",IF(ISBLANK('PTA-Lo'!S86)=FALSE,'PTA-Lo'!S86,""),IF(ISBLANK('PTA-Mid'!S86)=FALSE,'PTA-Mid'!S86,"")))</f>
        <v>57010476.118571192</v>
      </c>
      <c r="T86" s="1919">
        <f>IF(CostScenario="Higher cost",IF(ISBLANK('PTA-Hi'!T86)=FALSE,'PTA-Hi'!T86,""),IF(CostScenario="Lower cost",IF(ISBLANK('PTA-Lo'!T86)=FALSE,'PTA-Lo'!T86,""),IF(ISBLANK('PTA-Mid'!T86)=FALSE,'PTA-Mid'!T86,"")))</f>
        <v>66861220.573941812</v>
      </c>
      <c r="U86" s="1916">
        <f>IF(CostScenario="Higher cost",IF(ISBLANK('PTA-Hi'!U86)=FALSE,'PTA-Hi'!U86,""),IF(CostScenario="Lower cost",IF(ISBLANK('PTA-Lo'!U86)=FALSE,'PTA-Lo'!U86,""),IF(ISBLANK('PTA-Mid'!U86)=FALSE,'PTA-Mid'!U86,"")))</f>
        <v>152803129.8256022</v>
      </c>
      <c r="V86" s="1916">
        <f>IF(CostScenario="Higher cost",IF(ISBLANK('PTA-Hi'!V86)=FALSE,'PTA-Hi'!V86,""),IF(CostScenario="Lower cost",IF(ISBLANK('PTA-Lo'!V86)=FALSE,'PTA-Lo'!V86,""),IF(ISBLANK('PTA-Mid'!V86)=FALSE,'PTA-Mid'!V86,"")))</f>
        <v>144366481.6596384</v>
      </c>
      <c r="W86" s="1916"/>
      <c r="X86" s="464"/>
      <c r="Z86" s="464"/>
      <c r="AA86" s="464"/>
    </row>
    <row r="87" spans="1:27" s="144" customFormat="1">
      <c r="A87" s="936" t="s">
        <v>866</v>
      </c>
      <c r="B87" s="937" t="s">
        <v>725</v>
      </c>
      <c r="C87" s="939" t="s">
        <v>661</v>
      </c>
      <c r="D87" s="464" t="str">
        <f>IF(CostScenario="Higher cost",IF(ISBLANK('PTA-Hi'!D87)=FALSE,'PTA-Hi'!D87,""),IF(CostScenario="Lower cost",IF(ISBLANK('PTA-Lo'!D87)=FALSE,'PTA-Lo'!D87,""),IF(ISBLANK('PTA-Mid'!D87)=FALSE,'PTA-Mid'!D87,"")))</f>
        <v/>
      </c>
      <c r="E87" s="464" t="str">
        <f>IF(CostScenario="Higher cost",IF(ISBLANK('PTA-Hi'!E87)=FALSE,'PTA-Hi'!E87,""),IF(CostScenario="Lower cost",IF(ISBLANK('PTA-Lo'!E87)=FALSE,'PTA-Lo'!E87,""),IF(ISBLANK('PTA-Mid'!E87)=FALSE,'PTA-Mid'!E87,"")))</f>
        <v/>
      </c>
      <c r="F87" s="464" t="str">
        <f>IF(CostScenario="Higher cost",IF(ISBLANK('PTA-Hi'!F87)=FALSE,'PTA-Hi'!F87,""),IF(CostScenario="Lower cost",IF(ISBLANK('PTA-Lo'!F87)=FALSE,'PTA-Lo'!F87,""),IF(ISBLANK('PTA-Mid'!F87)=FALSE,'PTA-Mid'!F87,"")))</f>
        <v/>
      </c>
      <c r="G87" s="464" t="str">
        <f>IF(CostScenario="Higher cost",IF(ISBLANK('PTA-Hi'!G87)=FALSE,'PTA-Hi'!G87,""),IF(CostScenario="Lower cost",IF(ISBLANK('PTA-Lo'!G87)=FALSE,'PTA-Lo'!G87,""),IF(ISBLANK('PTA-Mid'!G87)=FALSE,'PTA-Mid'!G87,"")))</f>
        <v/>
      </c>
      <c r="H87" s="464" t="str">
        <f>IF(CostScenario="Higher cost",IF(ISBLANK('PTA-Hi'!H87)=FALSE,'PTA-Hi'!H87,""),IF(CostScenario="Lower cost",IF(ISBLANK('PTA-Lo'!H87)=FALSE,'PTA-Lo'!H87,""),IF(ISBLANK('PTA-Mid'!H87)=FALSE,'PTA-Mid'!H87,"")))</f>
        <v/>
      </c>
      <c r="I87" s="66" t="str">
        <f>IF(CostScenario="Higher cost",IF(ISBLANK('PTA-Hi'!I87)=FALSE,'PTA-Hi'!I87,""),IF(CostScenario="Lower cost",IF(ISBLANK('PTA-Lo'!I87)=FALSE,'PTA-Lo'!I87,""),IF(ISBLANK('PTA-Mid'!I87)=FALSE,'PTA-Mid'!I87,"")))</f>
        <v/>
      </c>
      <c r="J87" s="66" t="str">
        <f>IF(CostScenario="Higher cost",IF(ISBLANK('PTA-Hi'!J87)=FALSE,'PTA-Hi'!J87,""),IF(CostScenario="Lower cost",IF(ISBLANK('PTA-Lo'!J87)=FALSE,'PTA-Lo'!J87,""),IF(ISBLANK('PTA-Mid'!J87)=FALSE,'PTA-Mid'!J87,"")))</f>
        <v/>
      </c>
      <c r="K87" s="66" t="str">
        <f>IF(CostScenario="Higher cost",IF(ISBLANK('PTA-Hi'!K87)=FALSE,'PTA-Hi'!K87,""),IF(CostScenario="Lower cost",IF(ISBLANK('PTA-Lo'!K87)=FALSE,'PTA-Lo'!K87,""),IF(ISBLANK('PTA-Mid'!K87)=FALSE,'PTA-Mid'!K87,"")))</f>
        <v/>
      </c>
      <c r="L87" s="464"/>
      <c r="M87" s="464"/>
      <c r="N87" s="464"/>
      <c r="O87" s="464"/>
      <c r="P87" s="464"/>
      <c r="Q87" s="464"/>
      <c r="R87" s="464"/>
      <c r="S87" s="464"/>
      <c r="T87" s="464"/>
      <c r="U87" s="464" t="str">
        <f>IF(CostScenario="Higher cost",IF(ISBLANK('PTA-Hi'!U87)=FALSE,'PTA-Hi'!U87,""),IF(CostScenario="Lower cost",IF(ISBLANK('PTA-Lo'!U87)=FALSE,'PTA-Lo'!U87,""),IF(ISBLANK('PTA-Mid'!U87)=FALSE,'PTA-Mid'!U87,"")))</f>
        <v/>
      </c>
      <c r="V87" s="464" t="str">
        <f>IF(CostScenario="Higher cost",IF(ISBLANK('PTA-Hi'!V87)=FALSE,'PTA-Hi'!V87,""),IF(CostScenario="Lower cost",IF(ISBLANK('PTA-Lo'!V87)=FALSE,'PTA-Lo'!V87,""),IF(ISBLANK('PTA-Mid'!V87)=FALSE,'PTA-Mid'!V87,"")))</f>
        <v/>
      </c>
      <c r="W87" s="464"/>
      <c r="X87" s="464"/>
      <c r="Z87" s="464"/>
      <c r="AA87" s="464"/>
    </row>
    <row r="88" spans="1:27" s="143" customFormat="1">
      <c r="A88" s="936" t="s">
        <v>867</v>
      </c>
      <c r="B88" s="937" t="s">
        <v>726</v>
      </c>
      <c r="C88" s="939" t="s">
        <v>662</v>
      </c>
      <c r="D88" s="464" t="str">
        <f>IF(CostScenario="Higher cost",IF(ISBLANK('PTA-Hi'!D88)=FALSE,'PTA-Hi'!D88,""),IF(CostScenario="Lower cost",IF(ISBLANK('PTA-Lo'!D88)=FALSE,'PTA-Lo'!D88,""),IF(ISBLANK('PTA-Mid'!D88)=FALSE,'PTA-Mid'!D88,"")))</f>
        <v/>
      </c>
      <c r="E88" s="464" t="str">
        <f>IF(CostScenario="Higher cost",IF(ISBLANK('PTA-Hi'!E88)=FALSE,'PTA-Hi'!E88,""),IF(CostScenario="Lower cost",IF(ISBLANK('PTA-Lo'!E88)=FALSE,'PTA-Lo'!E88,""),IF(ISBLANK('PTA-Mid'!E88)=FALSE,'PTA-Mid'!E88,"")))</f>
        <v/>
      </c>
      <c r="F88" s="464" t="str">
        <f>IF(CostScenario="Higher cost",IF(ISBLANK('PTA-Hi'!F88)=FALSE,'PTA-Hi'!F88,""),IF(CostScenario="Lower cost",IF(ISBLANK('PTA-Lo'!F88)=FALSE,'PTA-Lo'!F88,""),IF(ISBLANK('PTA-Mid'!F88)=FALSE,'PTA-Mid'!F88,"")))</f>
        <v/>
      </c>
      <c r="G88" s="464" t="str">
        <f>IF(CostScenario="Higher cost",IF(ISBLANK('PTA-Hi'!G88)=FALSE,'PTA-Hi'!G88,""),IF(CostScenario="Lower cost",IF(ISBLANK('PTA-Lo'!G88)=FALSE,'PTA-Lo'!G88,""),IF(ISBLANK('PTA-Mid'!G88)=FALSE,'PTA-Mid'!G88,"")))</f>
        <v/>
      </c>
      <c r="H88" s="464" t="str">
        <f>IF(CostScenario="Higher cost",IF(ISBLANK('PTA-Hi'!H88)=FALSE,'PTA-Hi'!H88,""),IF(CostScenario="Lower cost",IF(ISBLANK('PTA-Lo'!H88)=FALSE,'PTA-Lo'!H88,""),IF(ISBLANK('PTA-Mid'!H88)=FALSE,'PTA-Mid'!H88,"")))</f>
        <v/>
      </c>
      <c r="I88" s="66" t="str">
        <f>IF(CostScenario="Higher cost",IF(ISBLANK('PTA-Hi'!I88)=FALSE,'PTA-Hi'!I88,""),IF(CostScenario="Lower cost",IF(ISBLANK('PTA-Lo'!I88)=FALSE,'PTA-Lo'!I88,""),IF(ISBLANK('PTA-Mid'!I88)=FALSE,'PTA-Mid'!I88,"")))</f>
        <v/>
      </c>
      <c r="J88" s="66" t="str">
        <f>IF(CostScenario="Higher cost",IF(ISBLANK('PTA-Hi'!J88)=FALSE,'PTA-Hi'!J88,""),IF(CostScenario="Lower cost",IF(ISBLANK('PTA-Lo'!J88)=FALSE,'PTA-Lo'!J88,""),IF(ISBLANK('PTA-Mid'!J88)=FALSE,'PTA-Mid'!J88,"")))</f>
        <v/>
      </c>
      <c r="K88" s="66" t="str">
        <f>IF(CostScenario="Higher cost",IF(ISBLANK('PTA-Hi'!K88)=FALSE,'PTA-Hi'!K88,""),IF(CostScenario="Lower cost",IF(ISBLANK('PTA-Lo'!K88)=FALSE,'PTA-Lo'!K88,""),IF(ISBLANK('PTA-Mid'!K88)=FALSE,'PTA-Mid'!K88,"")))</f>
        <v/>
      </c>
      <c r="L88" s="464"/>
      <c r="M88" s="464"/>
      <c r="N88" s="464"/>
      <c r="O88" s="464"/>
      <c r="P88" s="464"/>
      <c r="Q88" s="464"/>
      <c r="R88" s="464"/>
      <c r="S88" s="464"/>
      <c r="T88" s="464"/>
      <c r="U88" s="464" t="str">
        <f>IF(CostScenario="Higher cost",IF(ISBLANK('PTA-Hi'!U88)=FALSE,'PTA-Hi'!U88,""),IF(CostScenario="Lower cost",IF(ISBLANK('PTA-Lo'!U88)=FALSE,'PTA-Lo'!U88,""),IF(ISBLANK('PTA-Mid'!U88)=FALSE,'PTA-Mid'!U88,"")))</f>
        <v/>
      </c>
      <c r="V88" s="464" t="str">
        <f>IF(CostScenario="Higher cost",IF(ISBLANK('PTA-Hi'!V88)=FALSE,'PTA-Hi'!V88,""),IF(CostScenario="Lower cost",IF(ISBLANK('PTA-Lo'!V88)=FALSE,'PTA-Lo'!V88,""),IF(ISBLANK('PTA-Mid'!V88)=FALSE,'PTA-Mid'!V88,"")))</f>
        <v/>
      </c>
      <c r="W88" s="464"/>
      <c r="X88" s="464"/>
      <c r="Z88" s="464"/>
      <c r="AA88" s="464"/>
    </row>
    <row r="89" spans="1:27" s="143" customFormat="1">
      <c r="A89" s="936" t="s">
        <v>868</v>
      </c>
      <c r="B89" s="937" t="s">
        <v>727</v>
      </c>
      <c r="C89" s="939" t="s">
        <v>663</v>
      </c>
      <c r="D89" s="464" t="str">
        <f>IF(CostScenario="Higher cost",IF(ISBLANK('PTA-Hi'!D89)=FALSE,'PTA-Hi'!D89,""),IF(CostScenario="Lower cost",IF(ISBLANK('PTA-Lo'!D89)=FALSE,'PTA-Lo'!D89,""),IF(ISBLANK('PTA-Mid'!D89)=FALSE,'PTA-Mid'!D89,"")))</f>
        <v/>
      </c>
      <c r="E89" s="464" t="str">
        <f>IF(CostScenario="Higher cost",IF(ISBLANK('PTA-Hi'!E89)=FALSE,'PTA-Hi'!E89,""),IF(CostScenario="Lower cost",IF(ISBLANK('PTA-Lo'!E89)=FALSE,'PTA-Lo'!E89,""),IF(ISBLANK('PTA-Mid'!E89)=FALSE,'PTA-Mid'!E89,"")))</f>
        <v/>
      </c>
      <c r="F89" s="464" t="str">
        <f>IF(CostScenario="Higher cost",IF(ISBLANK('PTA-Hi'!F89)=FALSE,'PTA-Hi'!F89,""),IF(CostScenario="Lower cost",IF(ISBLANK('PTA-Lo'!F89)=FALSE,'PTA-Lo'!F89,""),IF(ISBLANK('PTA-Mid'!F89)=FALSE,'PTA-Mid'!F89,"")))</f>
        <v/>
      </c>
      <c r="G89" s="464" t="str">
        <f>IF(CostScenario="Higher cost",IF(ISBLANK('PTA-Hi'!G89)=FALSE,'PTA-Hi'!G89,""),IF(CostScenario="Lower cost",IF(ISBLANK('PTA-Lo'!G89)=FALSE,'PTA-Lo'!G89,""),IF(ISBLANK('PTA-Mid'!G89)=FALSE,'PTA-Mid'!G89,"")))</f>
        <v/>
      </c>
      <c r="H89" s="464" t="str">
        <f>IF(CostScenario="Higher cost",IF(ISBLANK('PTA-Hi'!H89)=FALSE,'PTA-Hi'!H89,""),IF(CostScenario="Lower cost",IF(ISBLANK('PTA-Lo'!H89)=FALSE,'PTA-Lo'!H89,""),IF(ISBLANK('PTA-Mid'!H89)=FALSE,'PTA-Mid'!H89,"")))</f>
        <v/>
      </c>
      <c r="I89" s="464" t="str">
        <f>IF(CostScenario="Higher cost",IF(ISBLANK('PTA-Hi'!I89)=FALSE,'PTA-Hi'!I89,""),IF(CostScenario="Lower cost",IF(ISBLANK('PTA-Lo'!I89)=FALSE,'PTA-Lo'!I89,""),IF(ISBLANK('PTA-Mid'!I89)=FALSE,'PTA-Mid'!I89,"")))</f>
        <v/>
      </c>
      <c r="J89" s="464" t="str">
        <f>IF(CostScenario="Higher cost",IF(ISBLANK('PTA-Hi'!J89)=FALSE,'PTA-Hi'!J89,""),IF(CostScenario="Lower cost",IF(ISBLANK('PTA-Lo'!J89)=FALSE,'PTA-Lo'!J89,""),IF(ISBLANK('PTA-Mid'!J89)=FALSE,'PTA-Mid'!J89,"")))</f>
        <v/>
      </c>
      <c r="K89" s="464" t="str">
        <f>IF(CostScenario="Higher cost",IF(ISBLANK('PTA-Hi'!K89)=FALSE,'PTA-Hi'!K89,""),IF(CostScenario="Lower cost",IF(ISBLANK('PTA-Lo'!K89)=FALSE,'PTA-Lo'!K89,""),IF(ISBLANK('PTA-Mid'!K89)=FALSE,'PTA-Mid'!K89,"")))</f>
        <v/>
      </c>
      <c r="L89" s="464"/>
      <c r="M89" s="464"/>
      <c r="N89" s="464"/>
      <c r="O89" s="464"/>
      <c r="P89" s="464"/>
      <c r="Q89" s="464"/>
      <c r="R89" s="464"/>
      <c r="S89" s="464"/>
      <c r="T89" s="464"/>
      <c r="U89" s="464" t="str">
        <f>IF(CostScenario="Higher cost",IF(ISBLANK('PTA-Hi'!U89)=FALSE,'PTA-Hi'!U89,""),IF(CostScenario="Lower cost",IF(ISBLANK('PTA-Lo'!U89)=FALSE,'PTA-Lo'!U89,""),IF(ISBLANK('PTA-Mid'!U89)=FALSE,'PTA-Mid'!U89,"")))</f>
        <v/>
      </c>
      <c r="V89" s="464" t="str">
        <f>IF(CostScenario="Higher cost",IF(ISBLANK('PTA-Hi'!V89)=FALSE,'PTA-Hi'!V89,""),IF(CostScenario="Lower cost",IF(ISBLANK('PTA-Lo'!V89)=FALSE,'PTA-Lo'!V89,""),IF(ISBLANK('PTA-Mid'!V89)=FALSE,'PTA-Mid'!V89,"")))</f>
        <v/>
      </c>
      <c r="W89" s="464"/>
      <c r="X89" s="464"/>
      <c r="Z89" s="464"/>
      <c r="AA89" s="464"/>
    </row>
    <row r="90" spans="1:27" s="143" customFormat="1">
      <c r="A90" s="936" t="s">
        <v>869</v>
      </c>
      <c r="B90" s="937" t="s">
        <v>728</v>
      </c>
      <c r="C90" s="939" t="s">
        <v>664</v>
      </c>
      <c r="D90" s="464" t="str">
        <f>IF(CostScenario="Higher cost",IF(ISBLANK('PTA-Hi'!D90)=FALSE,'PTA-Hi'!D90,""),IF(CostScenario="Lower cost",IF(ISBLANK('PTA-Lo'!D90)=FALSE,'PTA-Lo'!D90,""),IF(ISBLANK('PTA-Mid'!D90)=FALSE,'PTA-Mid'!D90,"")))</f>
        <v/>
      </c>
      <c r="E90" s="464" t="str">
        <f>IF(CostScenario="Higher cost",IF(ISBLANK('PTA-Hi'!E90)=FALSE,'PTA-Hi'!E90,""),IF(CostScenario="Lower cost",IF(ISBLANK('PTA-Lo'!E90)=FALSE,'PTA-Lo'!E90,""),IF(ISBLANK('PTA-Mid'!E90)=FALSE,'PTA-Mid'!E90,"")))</f>
        <v/>
      </c>
      <c r="F90" s="464" t="str">
        <f>IF(CostScenario="Higher cost",IF(ISBLANK('PTA-Hi'!F90)=FALSE,'PTA-Hi'!F90,""),IF(CostScenario="Lower cost",IF(ISBLANK('PTA-Lo'!F90)=FALSE,'PTA-Lo'!F90,""),IF(ISBLANK('PTA-Mid'!F90)=FALSE,'PTA-Mid'!F90,"")))</f>
        <v/>
      </c>
      <c r="G90" s="464" t="str">
        <f>IF(CostScenario="Higher cost",IF(ISBLANK('PTA-Hi'!G90)=FALSE,'PTA-Hi'!G90,""),IF(CostScenario="Lower cost",IF(ISBLANK('PTA-Lo'!G90)=FALSE,'PTA-Lo'!G90,""),IF(ISBLANK('PTA-Mid'!G90)=FALSE,'PTA-Mid'!G90,"")))</f>
        <v/>
      </c>
      <c r="H90" s="464" t="str">
        <f>IF(CostScenario="Higher cost",IF(ISBLANK('PTA-Hi'!H90)=FALSE,'PTA-Hi'!H90,""),IF(CostScenario="Lower cost",IF(ISBLANK('PTA-Lo'!H90)=FALSE,'PTA-Lo'!H90,""),IF(ISBLANK('PTA-Mid'!H90)=FALSE,'PTA-Mid'!H90,"")))</f>
        <v/>
      </c>
      <c r="I90" s="464" t="str">
        <f>IF(CostScenario="Higher cost",IF(ISBLANK('PTA-Hi'!I90)=FALSE,'PTA-Hi'!I90,""),IF(CostScenario="Lower cost",IF(ISBLANK('PTA-Lo'!I90)=FALSE,'PTA-Lo'!I90,""),IF(ISBLANK('PTA-Mid'!I90)=FALSE,'PTA-Mid'!I90,"")))</f>
        <v/>
      </c>
      <c r="J90" s="464" t="str">
        <f>IF(CostScenario="Higher cost",IF(ISBLANK('PTA-Hi'!J90)=FALSE,'PTA-Hi'!J90,""),IF(CostScenario="Lower cost",IF(ISBLANK('PTA-Lo'!J90)=FALSE,'PTA-Lo'!J90,""),IF(ISBLANK('PTA-Mid'!J90)=FALSE,'PTA-Mid'!J90,"")))</f>
        <v/>
      </c>
      <c r="K90" s="464" t="str">
        <f>IF(CostScenario="Higher cost",IF(ISBLANK('PTA-Hi'!K90)=FALSE,'PTA-Hi'!K90,""),IF(CostScenario="Lower cost",IF(ISBLANK('PTA-Lo'!K90)=FALSE,'PTA-Lo'!K90,""),IF(ISBLANK('PTA-Mid'!K90)=FALSE,'PTA-Mid'!K90,"")))</f>
        <v/>
      </c>
      <c r="L90" s="464" t="str">
        <f>IF(CostScenario="Higher cost",IF(ISBLANK('PTA-Hi'!L90)=FALSE,'PTA-Hi'!L90,""),IF(CostScenario="Lower cost",IF(ISBLANK('PTA-Lo'!L90)=FALSE,'PTA-Lo'!L90,""),IF(ISBLANK('PTA-Mid'!L90)=FALSE,'PTA-Mid'!L90,"")))</f>
        <v/>
      </c>
      <c r="M90" s="464" t="str">
        <f>IF(CostScenario="Higher cost",IF(ISBLANK('PTA-Hi'!M90)=FALSE,'PTA-Hi'!M90,""),IF(CostScenario="Lower cost",IF(ISBLANK('PTA-Lo'!M90)=FALSE,'PTA-Lo'!M90,""),IF(ISBLANK('PTA-Mid'!M90)=FALSE,'PTA-Mid'!M90,"")))</f>
        <v/>
      </c>
      <c r="N90" s="464" t="str">
        <f>IF(CostScenario="Higher cost",IF(ISBLANK('PTA-Hi'!N90)=FALSE,'PTA-Hi'!N90,""),IF(CostScenario="Lower cost",IF(ISBLANK('PTA-Lo'!N90)=FALSE,'PTA-Lo'!N90,""),IF(ISBLANK('PTA-Mid'!N90)=FALSE,'PTA-Mid'!N90,"")))</f>
        <v/>
      </c>
      <c r="O90" s="464" t="str">
        <f>IF(CostScenario="Higher cost",IF(ISBLANK('PTA-Hi'!O90)=FALSE,'PTA-Hi'!O90,""),IF(CostScenario="Lower cost",IF(ISBLANK('PTA-Lo'!O90)=FALSE,'PTA-Lo'!O90,""),IF(ISBLANK('PTA-Mid'!O90)=FALSE,'PTA-Mid'!O90,"")))</f>
        <v/>
      </c>
      <c r="P90" s="464" t="str">
        <f>IF(CostScenario="Higher cost",IF(ISBLANK('PTA-Hi'!P90)=FALSE,'PTA-Hi'!P90,""),IF(CostScenario="Lower cost",IF(ISBLANK('PTA-Lo'!P90)=FALSE,'PTA-Lo'!P90,""),IF(ISBLANK('PTA-Mid'!P90)=FALSE,'PTA-Mid'!P90,"")))</f>
        <v/>
      </c>
      <c r="Q90" s="464" t="str">
        <f>IF(CostScenario="Higher cost",IF(ISBLANK('PTA-Hi'!Q90)=FALSE,'PTA-Hi'!Q90,""),IF(CostScenario="Lower cost",IF(ISBLANK('PTA-Lo'!Q90)=FALSE,'PTA-Lo'!Q90,""),IF(ISBLANK('PTA-Mid'!Q90)=FALSE,'PTA-Mid'!Q90,"")))</f>
        <v/>
      </c>
      <c r="R90" s="464" t="str">
        <f>IF(CostScenario="Higher cost",IF(ISBLANK('PTA-Hi'!R90)=FALSE,'PTA-Hi'!R90,""),IF(CostScenario="Lower cost",IF(ISBLANK('PTA-Lo'!R90)=FALSE,'PTA-Lo'!R90,""),IF(ISBLANK('PTA-Mid'!R90)=FALSE,'PTA-Mid'!R90,"")))</f>
        <v/>
      </c>
      <c r="S90" s="464" t="str">
        <f>IF(CostScenario="Higher cost",IF(ISBLANK('PTA-Hi'!S90)=FALSE,'PTA-Hi'!S90,""),IF(CostScenario="Lower cost",IF(ISBLANK('PTA-Lo'!S90)=FALSE,'PTA-Lo'!S90,""),IF(ISBLANK('PTA-Mid'!S90)=FALSE,'PTA-Mid'!S90,"")))</f>
        <v/>
      </c>
      <c r="T90" s="464" t="str">
        <f>IF(CostScenario="Higher cost",IF(ISBLANK('PTA-Hi'!T90)=FALSE,'PTA-Hi'!T90,""),IF(CostScenario="Lower cost",IF(ISBLANK('PTA-Lo'!T90)=FALSE,'PTA-Lo'!T90,""),IF(ISBLANK('PTA-Mid'!T90)=FALSE,'PTA-Mid'!T90,"")))</f>
        <v/>
      </c>
      <c r="U90" s="464" t="str">
        <f>IF(CostScenario="Higher cost",IF(ISBLANK('PTA-Hi'!U90)=FALSE,'PTA-Hi'!U90,""),IF(CostScenario="Lower cost",IF(ISBLANK('PTA-Lo'!U90)=FALSE,'PTA-Lo'!U90,""),IF(ISBLANK('PTA-Mid'!U90)=FALSE,'PTA-Mid'!U90,"")))</f>
        <v/>
      </c>
      <c r="V90" s="464" t="str">
        <f>IF(CostScenario="Higher cost",IF(ISBLANK('PTA-Hi'!V90)=FALSE,'PTA-Hi'!V90,""),IF(CostScenario="Lower cost",IF(ISBLANK('PTA-Lo'!V90)=FALSE,'PTA-Lo'!V90,""),IF(ISBLANK('PTA-Mid'!V90)=FALSE,'PTA-Mid'!V90,"")))</f>
        <v/>
      </c>
      <c r="W90" s="464"/>
      <c r="X90" s="464"/>
      <c r="Z90" s="464"/>
      <c r="AA90" s="464"/>
    </row>
    <row r="91" spans="1:27" s="143" customFormat="1">
      <c r="A91" s="936" t="s">
        <v>870</v>
      </c>
      <c r="B91" s="937" t="s">
        <v>729</v>
      </c>
      <c r="C91" s="939" t="s">
        <v>665</v>
      </c>
      <c r="D91" s="464" t="str">
        <f>IF(CostScenario="Higher cost",IF(ISBLANK('PTA-Hi'!D91)=FALSE,'PTA-Hi'!D91,""),IF(CostScenario="Lower cost",IF(ISBLANK('PTA-Lo'!D91)=FALSE,'PTA-Lo'!D91,""),IF(ISBLANK('PTA-Mid'!D91)=FALSE,'PTA-Mid'!D91,"")))</f>
        <v/>
      </c>
      <c r="E91" s="464" t="str">
        <f>IF(CostScenario="Higher cost",IF(ISBLANK('PTA-Hi'!E91)=FALSE,'PTA-Hi'!E91,""),IF(CostScenario="Lower cost",IF(ISBLANK('PTA-Lo'!E91)=FALSE,'PTA-Lo'!E91,""),IF(ISBLANK('PTA-Mid'!E91)=FALSE,'PTA-Mid'!E91,"")))</f>
        <v/>
      </c>
      <c r="F91" s="464" t="str">
        <f>IF(CostScenario="Higher cost",IF(ISBLANK('PTA-Hi'!F91)=FALSE,'PTA-Hi'!F91,""),IF(CostScenario="Lower cost",IF(ISBLANK('PTA-Lo'!F91)=FALSE,'PTA-Lo'!F91,""),IF(ISBLANK('PTA-Mid'!F91)=FALSE,'PTA-Mid'!F91,"")))</f>
        <v/>
      </c>
      <c r="G91" s="464" t="str">
        <f>IF(CostScenario="Higher cost",IF(ISBLANK('PTA-Hi'!G91)=FALSE,'PTA-Hi'!G91,""),IF(CostScenario="Lower cost",IF(ISBLANK('PTA-Lo'!G91)=FALSE,'PTA-Lo'!G91,""),IF(ISBLANK('PTA-Mid'!G91)=FALSE,'PTA-Mid'!G91,"")))</f>
        <v/>
      </c>
      <c r="H91" s="464" t="str">
        <f>IF(CostScenario="Higher cost",IF(ISBLANK('PTA-Hi'!H91)=FALSE,'PTA-Hi'!H91,""),IF(CostScenario="Lower cost",IF(ISBLANK('PTA-Lo'!H91)=FALSE,'PTA-Lo'!H91,""),IF(ISBLANK('PTA-Mid'!H91)=FALSE,'PTA-Mid'!H91,"")))</f>
        <v/>
      </c>
      <c r="I91" s="464" t="str">
        <f>IF(CostScenario="Higher cost",IF(ISBLANK('PTA-Hi'!I91)=FALSE,'PTA-Hi'!I91,""),IF(CostScenario="Lower cost",IF(ISBLANK('PTA-Lo'!I91)=FALSE,'PTA-Lo'!I91,""),IF(ISBLANK('PTA-Mid'!I91)=FALSE,'PTA-Mid'!I91,"")))</f>
        <v/>
      </c>
      <c r="J91" s="464" t="str">
        <f>IF(CostScenario="Higher cost",IF(ISBLANK('PTA-Hi'!J91)=FALSE,'PTA-Hi'!J91,""),IF(CostScenario="Lower cost",IF(ISBLANK('PTA-Lo'!J91)=FALSE,'PTA-Lo'!J91,""),IF(ISBLANK('PTA-Mid'!J91)=FALSE,'PTA-Mid'!J91,"")))</f>
        <v/>
      </c>
      <c r="K91" s="464" t="str">
        <f>IF(CostScenario="Higher cost",IF(ISBLANK('PTA-Hi'!K91)=FALSE,'PTA-Hi'!K91,""),IF(CostScenario="Lower cost",IF(ISBLANK('PTA-Lo'!K91)=FALSE,'PTA-Lo'!K91,""),IF(ISBLANK('PTA-Mid'!K91)=FALSE,'PTA-Mid'!K91,"")))</f>
        <v/>
      </c>
      <c r="L91" s="464" t="str">
        <f>IF(CostScenario="Higher cost",IF(ISBLANK('PTA-Hi'!L91)=FALSE,'PTA-Hi'!L91,""),IF(CostScenario="Lower cost",IF(ISBLANK('PTA-Lo'!L91)=FALSE,'PTA-Lo'!L91,""),IF(ISBLANK('PTA-Mid'!L91)=FALSE,'PTA-Mid'!L91,"")))</f>
        <v/>
      </c>
      <c r="M91" s="165" t="str">
        <f>IF(CostScenario="Higher cost",IF(ISBLANK('PTA-Hi'!M91)=FALSE,'PTA-Hi'!M91,""),IF(CostScenario="Lower cost",IF(ISBLANK('PTA-Lo'!M91)=FALSE,'PTA-Lo'!M91,""),IF(ISBLANK('PTA-Mid'!M91)=FALSE,'PTA-Mid'!M91,"")))</f>
        <v/>
      </c>
      <c r="N91" s="165" t="str">
        <f>IF(CostScenario="Higher cost",IF(ISBLANK('PTA-Hi'!N91)=FALSE,'PTA-Hi'!N91,""),IF(CostScenario="Lower cost",IF(ISBLANK('PTA-Lo'!N91)=FALSE,'PTA-Lo'!N91,""),IF(ISBLANK('PTA-Mid'!N91)=FALSE,'PTA-Mid'!N91,"")))</f>
        <v/>
      </c>
      <c r="O91" s="165" t="str">
        <f>IF(CostScenario="Higher cost",IF(ISBLANK('PTA-Hi'!O91)=FALSE,'PTA-Hi'!O91,""),IF(CostScenario="Lower cost",IF(ISBLANK('PTA-Lo'!O91)=FALSE,'PTA-Lo'!O91,""),IF(ISBLANK('PTA-Mid'!O91)=FALSE,'PTA-Mid'!O91,"")))</f>
        <v/>
      </c>
      <c r="P91" s="165" t="str">
        <f>IF(CostScenario="Higher cost",IF(ISBLANK('PTA-Hi'!P91)=FALSE,'PTA-Hi'!P91,""),IF(CostScenario="Lower cost",IF(ISBLANK('PTA-Lo'!P91)=FALSE,'PTA-Lo'!P91,""),IF(ISBLANK('PTA-Mid'!P91)=FALSE,'PTA-Mid'!P91,"")))</f>
        <v/>
      </c>
      <c r="Q91" s="165" t="str">
        <f>IF(CostScenario="Higher cost",IF(ISBLANK('PTA-Hi'!Q91)=FALSE,'PTA-Hi'!Q91,""),IF(CostScenario="Lower cost",IF(ISBLANK('PTA-Lo'!Q91)=FALSE,'PTA-Lo'!Q91,""),IF(ISBLANK('PTA-Mid'!Q91)=FALSE,'PTA-Mid'!Q91,"")))</f>
        <v/>
      </c>
      <c r="R91" s="66" t="str">
        <f>IF(CostScenario="Higher cost",IF(ISBLANK('PTA-Hi'!R91)=FALSE,'PTA-Hi'!R91,""),IF(CostScenario="Lower cost",IF(ISBLANK('PTA-Lo'!R91)=FALSE,'PTA-Lo'!R91,""),IF(ISBLANK('PTA-Mid'!R91)=FALSE,'PTA-Mid'!R91,"")))</f>
        <v/>
      </c>
      <c r="S91" s="165" t="str">
        <f>IF(CostScenario="Higher cost",IF(ISBLANK('PTA-Hi'!S91)=FALSE,'PTA-Hi'!S91,""),IF(CostScenario="Lower cost",IF(ISBLANK('PTA-Lo'!S91)=FALSE,'PTA-Lo'!S91,""),IF(ISBLANK('PTA-Mid'!S91)=FALSE,'PTA-Mid'!S91,"")))</f>
        <v/>
      </c>
      <c r="T91" s="2336" t="str">
        <f>IF(CostScenario="Higher cost",IF(ISBLANK('PTA-Hi'!T91)=FALSE,'PTA-Hi'!T91,""),IF(CostScenario="Lower cost",IF(ISBLANK('PTA-Lo'!T91)=FALSE,'PTA-Lo'!T91,""),IF(ISBLANK('PTA-Mid'!T91)=FALSE,'PTA-Mid'!T91,"")))</f>
        <v/>
      </c>
      <c r="U91" s="66" t="str">
        <f>IF(CostScenario="Higher cost",IF(ISBLANK('PTA-Hi'!U91)=FALSE,'PTA-Hi'!U91,""),IF(CostScenario="Lower cost",IF(ISBLANK('PTA-Lo'!U91)=FALSE,'PTA-Lo'!U91,""),IF(ISBLANK('PTA-Mid'!U91)=FALSE,'PTA-Mid'!U91,"")))</f>
        <v/>
      </c>
      <c r="V91" s="66" t="str">
        <f>IF(CostScenario="Higher cost",IF(ISBLANK('PTA-Hi'!V91)=FALSE,'PTA-Hi'!V91,""),IF(CostScenario="Lower cost",IF(ISBLANK('PTA-Lo'!V91)=FALSE,'PTA-Lo'!V91,""),IF(ISBLANK('PTA-Mid'!V91)=FALSE,'PTA-Mid'!V91,"")))</f>
        <v/>
      </c>
      <c r="W91" s="2336"/>
      <c r="X91" s="464"/>
      <c r="Z91" s="464"/>
      <c r="AA91" s="464"/>
    </row>
    <row r="92" spans="1:27" s="143" customFormat="1">
      <c r="A92" s="936" t="s">
        <v>871</v>
      </c>
      <c r="B92" s="937" t="s">
        <v>730</v>
      </c>
      <c r="C92" s="939" t="s">
        <v>666</v>
      </c>
      <c r="D92" s="464" t="str">
        <f>IF(CostScenario="Higher cost",IF(ISBLANK('PTA-Hi'!D92)=FALSE,'PTA-Hi'!D92,""),IF(CostScenario="Lower cost",IF(ISBLANK('PTA-Lo'!D92)=FALSE,'PTA-Lo'!D92,""),IF(ISBLANK('PTA-Mid'!D92)=FALSE,'PTA-Mid'!D92,"")))</f>
        <v/>
      </c>
      <c r="E92" s="464" t="str">
        <f>IF(CostScenario="Higher cost",IF(ISBLANK('PTA-Hi'!E92)=FALSE,'PTA-Hi'!E92,""),IF(CostScenario="Lower cost",IF(ISBLANK('PTA-Lo'!E92)=FALSE,'PTA-Lo'!E92,""),IF(ISBLANK('PTA-Mid'!E92)=FALSE,'PTA-Mid'!E92,"")))</f>
        <v/>
      </c>
      <c r="F92" s="464" t="str">
        <f>IF(CostScenario="Higher cost",IF(ISBLANK('PTA-Hi'!F92)=FALSE,'PTA-Hi'!F92,""),IF(CostScenario="Lower cost",IF(ISBLANK('PTA-Lo'!F92)=FALSE,'PTA-Lo'!F92,""),IF(ISBLANK('PTA-Mid'!F92)=FALSE,'PTA-Mid'!F92,"")))</f>
        <v/>
      </c>
      <c r="G92" s="464" t="str">
        <f>IF(CostScenario="Higher cost",IF(ISBLANK('PTA-Hi'!G92)=FALSE,'PTA-Hi'!G92,""),IF(CostScenario="Lower cost",IF(ISBLANK('PTA-Lo'!G92)=FALSE,'PTA-Lo'!G92,""),IF(ISBLANK('PTA-Mid'!G92)=FALSE,'PTA-Mid'!G92,"")))</f>
        <v/>
      </c>
      <c r="H92" s="464" t="str">
        <f>IF(CostScenario="Higher cost",IF(ISBLANK('PTA-Hi'!H92)=FALSE,'PTA-Hi'!H92,""),IF(CostScenario="Lower cost",IF(ISBLANK('PTA-Lo'!H92)=FALSE,'PTA-Lo'!H92,""),IF(ISBLANK('PTA-Mid'!H92)=FALSE,'PTA-Mid'!H92,"")))</f>
        <v/>
      </c>
      <c r="I92" s="464" t="str">
        <f>IF(CostScenario="Higher cost",IF(ISBLANK('PTA-Hi'!I92)=FALSE,'PTA-Hi'!I92,""),IF(CostScenario="Lower cost",IF(ISBLANK('PTA-Lo'!I92)=FALSE,'PTA-Lo'!I92,""),IF(ISBLANK('PTA-Mid'!I92)=FALSE,'PTA-Mid'!I92,"")))</f>
        <v/>
      </c>
      <c r="J92" s="464" t="str">
        <f>IF(CostScenario="Higher cost",IF(ISBLANK('PTA-Hi'!J92)=FALSE,'PTA-Hi'!J92,""),IF(CostScenario="Lower cost",IF(ISBLANK('PTA-Lo'!J92)=FALSE,'PTA-Lo'!J92,""),IF(ISBLANK('PTA-Mid'!J92)=FALSE,'PTA-Mid'!J92,"")))</f>
        <v/>
      </c>
      <c r="K92" s="464" t="str">
        <f>IF(CostScenario="Higher cost",IF(ISBLANK('PTA-Hi'!K92)=FALSE,'PTA-Hi'!K92,""),IF(CostScenario="Lower cost",IF(ISBLANK('PTA-Lo'!K92)=FALSE,'PTA-Lo'!K92,""),IF(ISBLANK('PTA-Mid'!K92)=FALSE,'PTA-Mid'!K92,"")))</f>
        <v/>
      </c>
      <c r="L92" s="464" t="str">
        <f>IF(CostScenario="Higher cost",IF(ISBLANK('PTA-Hi'!L92)=FALSE,'PTA-Hi'!L92,""),IF(CostScenario="Lower cost",IF(ISBLANK('PTA-Lo'!L92)=FALSE,'PTA-Lo'!L92,""),IF(ISBLANK('PTA-Mid'!L92)=FALSE,'PTA-Mid'!L92,"")))</f>
        <v/>
      </c>
      <c r="M92" s="464" t="str">
        <f>IF(CostScenario="Higher cost",IF(ISBLANK('PTA-Hi'!M92)=FALSE,'PTA-Hi'!M92,""),IF(CostScenario="Lower cost",IF(ISBLANK('PTA-Lo'!M92)=FALSE,'PTA-Lo'!M92,""),IF(ISBLANK('PTA-Mid'!M92)=FALSE,'PTA-Mid'!M92,"")))</f>
        <v/>
      </c>
      <c r="N92" s="464" t="str">
        <f>IF(CostScenario="Higher cost",IF(ISBLANK('PTA-Hi'!N92)=FALSE,'PTA-Hi'!N92,""),IF(CostScenario="Lower cost",IF(ISBLANK('PTA-Lo'!N92)=FALSE,'PTA-Lo'!N92,""),IF(ISBLANK('PTA-Mid'!N92)=FALSE,'PTA-Mid'!N92,"")))</f>
        <v/>
      </c>
      <c r="O92" s="464" t="str">
        <f>IF(CostScenario="Higher cost",IF(ISBLANK('PTA-Hi'!O92)=FALSE,'PTA-Hi'!O92,""),IF(CostScenario="Lower cost",IF(ISBLANK('PTA-Lo'!O92)=FALSE,'PTA-Lo'!O92,""),IF(ISBLANK('PTA-Mid'!O92)=FALSE,'PTA-Mid'!O92,"")))</f>
        <v/>
      </c>
      <c r="P92" s="464" t="str">
        <f>IF(CostScenario="Higher cost",IF(ISBLANK('PTA-Hi'!P92)=FALSE,'PTA-Hi'!P92,""),IF(CostScenario="Lower cost",IF(ISBLANK('PTA-Lo'!P92)=FALSE,'PTA-Lo'!P92,""),IF(ISBLANK('PTA-Mid'!P92)=FALSE,'PTA-Mid'!P92,"")))</f>
        <v/>
      </c>
      <c r="Q92" s="464" t="str">
        <f>IF(CostScenario="Higher cost",IF(ISBLANK('PTA-Hi'!Q92)=FALSE,'PTA-Hi'!Q92,""),IF(CostScenario="Lower cost",IF(ISBLANK('PTA-Lo'!Q92)=FALSE,'PTA-Lo'!Q92,""),IF(ISBLANK('PTA-Mid'!Q92)=FALSE,'PTA-Mid'!Q92,"")))</f>
        <v/>
      </c>
      <c r="R92" s="464" t="str">
        <f>IF(CostScenario="Higher cost",IF(ISBLANK('PTA-Hi'!R92)=FALSE,'PTA-Hi'!R92,""),IF(CostScenario="Lower cost",IF(ISBLANK('PTA-Lo'!R92)=FALSE,'PTA-Lo'!R92,""),IF(ISBLANK('PTA-Mid'!R92)=FALSE,'PTA-Mid'!R92,"")))</f>
        <v/>
      </c>
      <c r="S92" s="464" t="str">
        <f>IF(CostScenario="Higher cost",IF(ISBLANK('PTA-Hi'!S92)=FALSE,'PTA-Hi'!S92,""),IF(CostScenario="Lower cost",IF(ISBLANK('PTA-Lo'!S92)=FALSE,'PTA-Lo'!S92,""),IF(ISBLANK('PTA-Mid'!S92)=FALSE,'PTA-Mid'!S92,"")))</f>
        <v/>
      </c>
      <c r="T92" s="464" t="str">
        <f>IF(CostScenario="Higher cost",IF(ISBLANK('PTA-Hi'!T92)=FALSE,'PTA-Hi'!T92,""),IF(CostScenario="Lower cost",IF(ISBLANK('PTA-Lo'!T92)=FALSE,'PTA-Lo'!T92,""),IF(ISBLANK('PTA-Mid'!T92)=FALSE,'PTA-Mid'!T92,"")))</f>
        <v/>
      </c>
      <c r="U92" s="464" t="str">
        <f>IF(CostScenario="Higher cost",IF(ISBLANK('PTA-Hi'!U92)=FALSE,'PTA-Hi'!U92,""),IF(CostScenario="Lower cost",IF(ISBLANK('PTA-Lo'!U92)=FALSE,'PTA-Lo'!U92,""),IF(ISBLANK('PTA-Mid'!U92)=FALSE,'PTA-Mid'!U92,"")))</f>
        <v/>
      </c>
      <c r="V92" s="464" t="str">
        <f>IF(CostScenario="Higher cost",IF(ISBLANK('PTA-Hi'!V92)=FALSE,'PTA-Hi'!V92,""),IF(CostScenario="Lower cost",IF(ISBLANK('PTA-Lo'!V92)=FALSE,'PTA-Lo'!V92,""),IF(ISBLANK('PTA-Mid'!V92)=FALSE,'PTA-Mid'!V92,"")))</f>
        <v/>
      </c>
      <c r="W92" s="464"/>
      <c r="X92" s="464"/>
      <c r="Z92" s="464"/>
      <c r="AA92" s="464"/>
    </row>
    <row r="93" spans="1:27" s="143" customFormat="1">
      <c r="A93" s="940" t="s">
        <v>873</v>
      </c>
      <c r="B93" s="937" t="s">
        <v>731</v>
      </c>
      <c r="C93" s="939" t="s">
        <v>667</v>
      </c>
      <c r="D93" s="464" t="str">
        <f>IF(CostScenario="Higher cost",IF(ISBLANK('PTA-Hi'!D93)=FALSE,'PTA-Hi'!D93,""),IF(CostScenario="Lower cost",IF(ISBLANK('PTA-Lo'!D93)=FALSE,'PTA-Lo'!D93,""),IF(ISBLANK('PTA-Mid'!D93)=FALSE,'PTA-Mid'!D93,"")))</f>
        <v/>
      </c>
      <c r="E93" s="464" t="str">
        <f>IF(CostScenario="Higher cost",IF(ISBLANK('PTA-Hi'!E93)=FALSE,'PTA-Hi'!E93,""),IF(CostScenario="Lower cost",IF(ISBLANK('PTA-Lo'!E93)=FALSE,'PTA-Lo'!E93,""),IF(ISBLANK('PTA-Mid'!E93)=FALSE,'PTA-Mid'!E93,"")))</f>
        <v/>
      </c>
      <c r="F93" s="464" t="str">
        <f>IF(CostScenario="Higher cost",IF(ISBLANK('PTA-Hi'!F93)=FALSE,'PTA-Hi'!F93,""),IF(CostScenario="Lower cost",IF(ISBLANK('PTA-Lo'!F93)=FALSE,'PTA-Lo'!F93,""),IF(ISBLANK('PTA-Mid'!F93)=FALSE,'PTA-Mid'!F93,"")))</f>
        <v/>
      </c>
      <c r="G93" s="464" t="str">
        <f>IF(CostScenario="Higher cost",IF(ISBLANK('PTA-Hi'!G93)=FALSE,'PTA-Hi'!G93,""),IF(CostScenario="Lower cost",IF(ISBLANK('PTA-Lo'!G93)=FALSE,'PTA-Lo'!G93,""),IF(ISBLANK('PTA-Mid'!G93)=FALSE,'PTA-Mid'!G93,"")))</f>
        <v/>
      </c>
      <c r="H93" s="464" t="str">
        <f>IF(CostScenario="Higher cost",IF(ISBLANK('PTA-Hi'!H93)=FALSE,'PTA-Hi'!H93,""),IF(CostScenario="Lower cost",IF(ISBLANK('PTA-Lo'!H93)=FALSE,'PTA-Lo'!H93,""),IF(ISBLANK('PTA-Mid'!H93)=FALSE,'PTA-Mid'!H93,"")))</f>
        <v/>
      </c>
      <c r="I93" s="464" t="str">
        <f>IF(CostScenario="Higher cost",IF(ISBLANK('PTA-Hi'!I93)=FALSE,'PTA-Hi'!I93,""),IF(CostScenario="Lower cost",IF(ISBLANK('PTA-Lo'!I93)=FALSE,'PTA-Lo'!I93,""),IF(ISBLANK('PTA-Mid'!I93)=FALSE,'PTA-Mid'!I93,"")))</f>
        <v/>
      </c>
      <c r="J93" s="464" t="str">
        <f>IF(CostScenario="Higher cost",IF(ISBLANK('PTA-Hi'!J93)=FALSE,'PTA-Hi'!J93,""),IF(CostScenario="Lower cost",IF(ISBLANK('PTA-Lo'!J93)=FALSE,'PTA-Lo'!J93,""),IF(ISBLANK('PTA-Mid'!J93)=FALSE,'PTA-Mid'!J93,"")))</f>
        <v/>
      </c>
      <c r="K93" s="464" t="str">
        <f>IF(CostScenario="Higher cost",IF(ISBLANK('PTA-Hi'!K93)=FALSE,'PTA-Hi'!K93,""),IF(CostScenario="Lower cost",IF(ISBLANK('PTA-Lo'!K93)=FALSE,'PTA-Lo'!K93,""),IF(ISBLANK('PTA-Mid'!K93)=FALSE,'PTA-Mid'!K93,"")))</f>
        <v/>
      </c>
      <c r="L93" s="464" t="str">
        <f>IF(CostScenario="Higher cost",IF(ISBLANK('PTA-Hi'!L93)=FALSE,'PTA-Hi'!L93,""),IF(CostScenario="Lower cost",IF(ISBLANK('PTA-Lo'!L93)=FALSE,'PTA-Lo'!L93,""),IF(ISBLANK('PTA-Mid'!L93)=FALSE,'PTA-Mid'!L93,"")))</f>
        <v/>
      </c>
      <c r="M93" s="464" t="str">
        <f>IF(CostScenario="Higher cost",IF(ISBLANK('PTA-Hi'!M93)=FALSE,'PTA-Hi'!M93,""),IF(CostScenario="Lower cost",IF(ISBLANK('PTA-Lo'!M93)=FALSE,'PTA-Lo'!M93,""),IF(ISBLANK('PTA-Mid'!M93)=FALSE,'PTA-Mid'!M93,"")))</f>
        <v/>
      </c>
      <c r="N93" s="464" t="str">
        <f>IF(CostScenario="Higher cost",IF(ISBLANK('PTA-Hi'!N93)=FALSE,'PTA-Hi'!N93,""),IF(CostScenario="Lower cost",IF(ISBLANK('PTA-Lo'!N93)=FALSE,'PTA-Lo'!N93,""),IF(ISBLANK('PTA-Mid'!N93)=FALSE,'PTA-Mid'!N93,"")))</f>
        <v/>
      </c>
      <c r="O93" s="464" t="str">
        <f>IF(CostScenario="Higher cost",IF(ISBLANK('PTA-Hi'!O93)=FALSE,'PTA-Hi'!O93,""),IF(CostScenario="Lower cost",IF(ISBLANK('PTA-Lo'!O93)=FALSE,'PTA-Lo'!O93,""),IF(ISBLANK('PTA-Mid'!O93)=FALSE,'PTA-Mid'!O93,"")))</f>
        <v/>
      </c>
      <c r="P93" s="464" t="str">
        <f>IF(CostScenario="Higher cost",IF(ISBLANK('PTA-Hi'!P93)=FALSE,'PTA-Hi'!P93,""),IF(CostScenario="Lower cost",IF(ISBLANK('PTA-Lo'!P93)=FALSE,'PTA-Lo'!P93,""),IF(ISBLANK('PTA-Mid'!P93)=FALSE,'PTA-Mid'!P93,"")))</f>
        <v/>
      </c>
      <c r="Q93" s="464" t="str">
        <f>IF(CostScenario="Higher cost",IF(ISBLANK('PTA-Hi'!Q93)=FALSE,'PTA-Hi'!Q93,""),IF(CostScenario="Lower cost",IF(ISBLANK('PTA-Lo'!Q93)=FALSE,'PTA-Lo'!Q93,""),IF(ISBLANK('PTA-Mid'!Q93)=FALSE,'PTA-Mid'!Q93,"")))</f>
        <v/>
      </c>
      <c r="R93" s="464" t="str">
        <f>IF(CostScenario="Higher cost",IF(ISBLANK('PTA-Hi'!R93)=FALSE,'PTA-Hi'!R93,""),IF(CostScenario="Lower cost",IF(ISBLANK('PTA-Lo'!R93)=FALSE,'PTA-Lo'!R93,""),IF(ISBLANK('PTA-Mid'!R93)=FALSE,'PTA-Mid'!R93,"")))</f>
        <v/>
      </c>
      <c r="S93" s="464" t="str">
        <f>IF(CostScenario="Higher cost",IF(ISBLANK('PTA-Hi'!S93)=FALSE,'PTA-Hi'!S93,""),IF(CostScenario="Lower cost",IF(ISBLANK('PTA-Lo'!S93)=FALSE,'PTA-Lo'!S93,""),IF(ISBLANK('PTA-Mid'!S93)=FALSE,'PTA-Mid'!S93,"")))</f>
        <v/>
      </c>
      <c r="T93" s="464" t="str">
        <f>IF(CostScenario="Higher cost",IF(ISBLANK('PTA-Hi'!T93)=FALSE,'PTA-Hi'!T93,""),IF(CostScenario="Lower cost",IF(ISBLANK('PTA-Lo'!T93)=FALSE,'PTA-Lo'!T93,""),IF(ISBLANK('PTA-Mid'!T93)=FALSE,'PTA-Mid'!T93,"")))</f>
        <v/>
      </c>
      <c r="U93" s="464" t="str">
        <f>IF(CostScenario="Higher cost",IF(ISBLANK('PTA-Hi'!U93)=FALSE,'PTA-Hi'!U93,""),IF(CostScenario="Lower cost",IF(ISBLANK('PTA-Lo'!U93)=FALSE,'PTA-Lo'!U93,""),IF(ISBLANK('PTA-Mid'!U93)=FALSE,'PTA-Mid'!U93,"")))</f>
        <v/>
      </c>
      <c r="V93" s="464" t="str">
        <f>IF(CostScenario="Higher cost",IF(ISBLANK('PTA-Hi'!V93)=FALSE,'PTA-Hi'!V93,""),IF(CostScenario="Lower cost",IF(ISBLANK('PTA-Lo'!V93)=FALSE,'PTA-Lo'!V93,""),IF(ISBLANK('PTA-Mid'!V93)=FALSE,'PTA-Mid'!V93,"")))</f>
        <v/>
      </c>
      <c r="W93" s="464"/>
      <c r="X93" s="464"/>
      <c r="Z93" s="464"/>
      <c r="AA93" s="464"/>
    </row>
    <row r="94" spans="1:27" s="143" customFormat="1">
      <c r="A94" s="936" t="s">
        <v>874</v>
      </c>
      <c r="B94" s="937" t="s">
        <v>732</v>
      </c>
      <c r="C94" s="939" t="s">
        <v>668</v>
      </c>
      <c r="D94" s="464" t="str">
        <f>IF(CostScenario="Higher cost",IF(ISBLANK('PTA-Hi'!D94)=FALSE,'PTA-Hi'!D94,""),IF(CostScenario="Lower cost",IF(ISBLANK('PTA-Lo'!D94)=FALSE,'PTA-Lo'!D94,""),IF(ISBLANK('PTA-Mid'!D94)=FALSE,'PTA-Mid'!D94,"")))</f>
        <v/>
      </c>
      <c r="E94" s="464" t="str">
        <f>IF(CostScenario="Higher cost",IF(ISBLANK('PTA-Hi'!E94)=FALSE,'PTA-Hi'!E94,""),IF(CostScenario="Lower cost",IF(ISBLANK('PTA-Lo'!E94)=FALSE,'PTA-Lo'!E94,""),IF(ISBLANK('PTA-Mid'!E94)=FALSE,'PTA-Mid'!E94,"")))</f>
        <v/>
      </c>
      <c r="F94" s="464" t="str">
        <f>IF(CostScenario="Higher cost",IF(ISBLANK('PTA-Hi'!F94)=FALSE,'PTA-Hi'!F94,""),IF(CostScenario="Lower cost",IF(ISBLANK('PTA-Lo'!F94)=FALSE,'PTA-Lo'!F94,""),IF(ISBLANK('PTA-Mid'!F94)=FALSE,'PTA-Mid'!F94,"")))</f>
        <v/>
      </c>
      <c r="G94" s="464" t="str">
        <f>IF(CostScenario="Higher cost",IF(ISBLANK('PTA-Hi'!G94)=FALSE,'PTA-Hi'!G94,""),IF(CostScenario="Lower cost",IF(ISBLANK('PTA-Lo'!G94)=FALSE,'PTA-Lo'!G94,""),IF(ISBLANK('PTA-Mid'!G94)=FALSE,'PTA-Mid'!G94,"")))</f>
        <v/>
      </c>
      <c r="H94" s="464" t="str">
        <f>IF(CostScenario="Higher cost",IF(ISBLANK('PTA-Hi'!H94)=FALSE,'PTA-Hi'!H94,""),IF(CostScenario="Lower cost",IF(ISBLANK('PTA-Lo'!H94)=FALSE,'PTA-Lo'!H94,""),IF(ISBLANK('PTA-Mid'!H94)=FALSE,'PTA-Mid'!H94,"")))</f>
        <v/>
      </c>
      <c r="I94" s="464" t="str">
        <f>IF(CostScenario="Higher cost",IF(ISBLANK('PTA-Hi'!I94)=FALSE,'PTA-Hi'!I94,""),IF(CostScenario="Lower cost",IF(ISBLANK('PTA-Lo'!I94)=FALSE,'PTA-Lo'!I94,""),IF(ISBLANK('PTA-Mid'!I94)=FALSE,'PTA-Mid'!I94,"")))</f>
        <v/>
      </c>
      <c r="J94" s="464" t="str">
        <f>IF(CostScenario="Higher cost",IF(ISBLANK('PTA-Hi'!J94)=FALSE,'PTA-Hi'!J94,""),IF(CostScenario="Lower cost",IF(ISBLANK('PTA-Lo'!J94)=FALSE,'PTA-Lo'!J94,""),IF(ISBLANK('PTA-Mid'!J94)=FALSE,'PTA-Mid'!J94,"")))</f>
        <v/>
      </c>
      <c r="K94" s="464" t="str">
        <f>IF(CostScenario="Higher cost",IF(ISBLANK('PTA-Hi'!K94)=FALSE,'PTA-Hi'!K94,""),IF(CostScenario="Lower cost",IF(ISBLANK('PTA-Lo'!K94)=FALSE,'PTA-Lo'!K94,""),IF(ISBLANK('PTA-Mid'!K94)=FALSE,'PTA-Mid'!K94,"")))</f>
        <v/>
      </c>
      <c r="L94" s="464" t="str">
        <f>IF(CostScenario="Higher cost",IF(ISBLANK('PTA-Hi'!L94)=FALSE,'PTA-Hi'!L94,""),IF(CostScenario="Lower cost",IF(ISBLANK('PTA-Lo'!L94)=FALSE,'PTA-Lo'!L94,""),IF(ISBLANK('PTA-Mid'!L94)=FALSE,'PTA-Mid'!L94,"")))</f>
        <v/>
      </c>
      <c r="M94" s="464" t="str">
        <f>IF(CostScenario="Higher cost",IF(ISBLANK('PTA-Hi'!M94)=FALSE,'PTA-Hi'!M94,""),IF(CostScenario="Lower cost",IF(ISBLANK('PTA-Lo'!M94)=FALSE,'PTA-Lo'!M94,""),IF(ISBLANK('PTA-Mid'!M94)=FALSE,'PTA-Mid'!M94,"")))</f>
        <v/>
      </c>
      <c r="N94" s="464" t="str">
        <f>IF(CostScenario="Higher cost",IF(ISBLANK('PTA-Hi'!N94)=FALSE,'PTA-Hi'!N94,""),IF(CostScenario="Lower cost",IF(ISBLANK('PTA-Lo'!N94)=FALSE,'PTA-Lo'!N94,""),IF(ISBLANK('PTA-Mid'!N94)=FALSE,'PTA-Mid'!N94,"")))</f>
        <v/>
      </c>
      <c r="O94" s="464" t="str">
        <f>IF(CostScenario="Higher cost",IF(ISBLANK('PTA-Hi'!O94)=FALSE,'PTA-Hi'!O94,""),IF(CostScenario="Lower cost",IF(ISBLANK('PTA-Lo'!O94)=FALSE,'PTA-Lo'!O94,""),IF(ISBLANK('PTA-Mid'!O94)=FALSE,'PTA-Mid'!O94,"")))</f>
        <v/>
      </c>
      <c r="P94" s="464" t="str">
        <f>IF(CostScenario="Higher cost",IF(ISBLANK('PTA-Hi'!P94)=FALSE,'PTA-Hi'!P94,""),IF(CostScenario="Lower cost",IF(ISBLANK('PTA-Lo'!P94)=FALSE,'PTA-Lo'!P94,""),IF(ISBLANK('PTA-Mid'!P94)=FALSE,'PTA-Mid'!P94,"")))</f>
        <v/>
      </c>
      <c r="Q94" s="464" t="str">
        <f>IF(CostScenario="Higher cost",IF(ISBLANK('PTA-Hi'!Q94)=FALSE,'PTA-Hi'!Q94,""),IF(CostScenario="Lower cost",IF(ISBLANK('PTA-Lo'!Q94)=FALSE,'PTA-Lo'!Q94,""),IF(ISBLANK('PTA-Mid'!Q94)=FALSE,'PTA-Mid'!Q94,"")))</f>
        <v/>
      </c>
      <c r="R94" s="464" t="str">
        <f>IF(CostScenario="Higher cost",IF(ISBLANK('PTA-Hi'!R94)=FALSE,'PTA-Hi'!R94,""),IF(CostScenario="Lower cost",IF(ISBLANK('PTA-Lo'!R94)=FALSE,'PTA-Lo'!R94,""),IF(ISBLANK('PTA-Mid'!R94)=FALSE,'PTA-Mid'!R94,"")))</f>
        <v/>
      </c>
      <c r="S94" s="464" t="str">
        <f>IF(CostScenario="Higher cost",IF(ISBLANK('PTA-Hi'!S94)=FALSE,'PTA-Hi'!S94,""),IF(CostScenario="Lower cost",IF(ISBLANK('PTA-Lo'!S94)=FALSE,'PTA-Lo'!S94,""),IF(ISBLANK('PTA-Mid'!S94)=FALSE,'PTA-Mid'!S94,"")))</f>
        <v/>
      </c>
      <c r="T94" s="464" t="str">
        <f>IF(CostScenario="Higher cost",IF(ISBLANK('PTA-Hi'!T94)=FALSE,'PTA-Hi'!T94,""),IF(CostScenario="Lower cost",IF(ISBLANK('PTA-Lo'!T94)=FALSE,'PTA-Lo'!T94,""),IF(ISBLANK('PTA-Mid'!T94)=FALSE,'PTA-Mid'!T94,"")))</f>
        <v/>
      </c>
      <c r="U94" s="464" t="str">
        <f>IF(CostScenario="Higher cost",IF(ISBLANK('PTA-Hi'!U94)=FALSE,'PTA-Hi'!U94,""),IF(CostScenario="Lower cost",IF(ISBLANK('PTA-Lo'!U94)=FALSE,'PTA-Lo'!U94,""),IF(ISBLANK('PTA-Mid'!U94)=FALSE,'PTA-Mid'!U94,"")))</f>
        <v/>
      </c>
      <c r="V94" s="464" t="str">
        <f>IF(CostScenario="Higher cost",IF(ISBLANK('PTA-Hi'!V94)=FALSE,'PTA-Hi'!V94,""),IF(CostScenario="Lower cost",IF(ISBLANK('PTA-Lo'!V94)=FALSE,'PTA-Lo'!V94,""),IF(ISBLANK('PTA-Mid'!V94)=FALSE,'PTA-Mid'!V94,"")))</f>
        <v/>
      </c>
      <c r="W94" s="464"/>
      <c r="X94" s="464"/>
      <c r="Z94" s="464"/>
      <c r="AA94" s="464"/>
    </row>
    <row r="95" spans="1:27" s="7" customFormat="1">
      <c r="A95" s="907" t="s">
        <v>875</v>
      </c>
      <c r="B95" s="908" t="s">
        <v>733</v>
      </c>
      <c r="C95" s="941" t="s">
        <v>669</v>
      </c>
      <c r="D95" s="30" t="str">
        <f>IF(CostScenario="Higher cost",IF(ISBLANK('PTA-Hi'!D95)=FALSE,'PTA-Hi'!D95,""),IF(CostScenario="Lower cost",IF(ISBLANK('PTA-Lo'!D95)=FALSE,'PTA-Lo'!D95,""),IF(ISBLANK('PTA-Mid'!D95)=FALSE,'PTA-Mid'!D95,"")))</f>
        <v>Total Overnight Cost</v>
      </c>
      <c r="E95" s="30" t="str">
        <f>IF(CostScenario="Higher cost",IF(ISBLANK('PTA-Hi'!E95)=FALSE,'PTA-Hi'!E95,""),IF(CostScenario="Lower cost",IF(ISBLANK('PTA-Lo'!E95)=FALSE,'PTA-Lo'!E95,""),IF(ISBLANK('PTA-Mid'!E95)=FALSE,'PTA-Mid'!E95,"")))</f>
        <v>Total Overnight Cost</v>
      </c>
      <c r="F95" s="30" t="str">
        <f>IF(CostScenario="Higher cost",IF(ISBLANK('PTA-Hi'!F95)=FALSE,'PTA-Hi'!F95,""),IF(CostScenario="Lower cost",IF(ISBLANK('PTA-Lo'!F95)=FALSE,'PTA-Lo'!F95,""),IF(ISBLANK('PTA-Mid'!F95)=FALSE,'PTA-Mid'!F95,"")))</f>
        <v>Total Overnight Cost</v>
      </c>
      <c r="G95" s="30" t="str">
        <f>IF(CostScenario="Higher cost",IF(ISBLANK('PTA-Hi'!G95)=FALSE,'PTA-Hi'!G95,""),IF(CostScenario="Lower cost",IF(ISBLANK('PTA-Lo'!G95)=FALSE,'PTA-Lo'!G95,""),IF(ISBLANK('PTA-Mid'!G95)=FALSE,'PTA-Mid'!G95,"")))</f>
        <v>Total Overnight Cost</v>
      </c>
      <c r="H95" s="30" t="str">
        <f>IF(CostScenario="Higher cost",IF(ISBLANK('PTA-Hi'!H95)=FALSE,'PTA-Hi'!H95,""),IF(CostScenario="Lower cost",IF(ISBLANK('PTA-Lo'!H95)=FALSE,'PTA-Lo'!H95,""),IF(ISBLANK('PTA-Mid'!H95)=FALSE,'PTA-Mid'!H95,"")))</f>
        <v>Total Overnight Cost</v>
      </c>
      <c r="I95" s="30" t="str">
        <f>IF(CostScenario="Higher cost",IF(ISBLANK('PTA-Hi'!I95)=FALSE,'PTA-Hi'!I95,""),IF(CostScenario="Lower cost",IF(ISBLANK('PTA-Lo'!I95)=FALSE,'PTA-Lo'!I95,""),IF(ISBLANK('PTA-Mid'!I95)=FALSE,'PTA-Mid'!I95,"")))</f>
        <v>Total Overnight Cost</v>
      </c>
      <c r="J95" s="30" t="str">
        <f>IF(CostScenario="Higher cost",IF(ISBLANK('PTA-Hi'!J95)=FALSE,'PTA-Hi'!J95,""),IF(CostScenario="Lower cost",IF(ISBLANK('PTA-Lo'!J95)=FALSE,'PTA-Lo'!J95,""),IF(ISBLANK('PTA-Mid'!J95)=FALSE,'PTA-Mid'!J95,"")))</f>
        <v>Total Overnight Cost</v>
      </c>
      <c r="K95" s="30" t="str">
        <f>IF(CostScenario="Higher cost",IF(ISBLANK('PTA-Hi'!K95)=FALSE,'PTA-Hi'!K95,""),IF(CostScenario="Lower cost",IF(ISBLANK('PTA-Lo'!K95)=FALSE,'PTA-Lo'!K95,""),IF(ISBLANK('PTA-Mid'!K95)=FALSE,'PTA-Mid'!K95,"")))</f>
        <v>Total Overnight Cost</v>
      </c>
      <c r="L95" s="30" t="str">
        <f>IF(CostScenario="Higher cost",IF(ISBLANK('PTA-Hi'!L95)=FALSE,'PTA-Hi'!L95,""),IF(CostScenario="Lower cost",IF(ISBLANK('PTA-Lo'!L95)=FALSE,'PTA-Lo'!L95,""),IF(ISBLANK('PTA-Mid'!L95)=FALSE,'PTA-Mid'!L95,"")))</f>
        <v>Total Overnight Cost</v>
      </c>
      <c r="M95" s="30" t="str">
        <f>IF(CostScenario="Higher cost",IF(ISBLANK('PTA-Hi'!M95)=FALSE,'PTA-Hi'!M95,""),IF(CostScenario="Lower cost",IF(ISBLANK('PTA-Lo'!M95)=FALSE,'PTA-Lo'!M95,""),IF(ISBLANK('PTA-Mid'!M95)=FALSE,'PTA-Mid'!M95,"")))</f>
        <v>Total Overnight Cost</v>
      </c>
      <c r="N95" s="2335" t="str">
        <f>IF(CostScenario="Higher cost",IF(ISBLANK('PTA-Hi'!N95)=FALSE,'PTA-Hi'!N95,""),IF(CostScenario="Lower cost",IF(ISBLANK('PTA-Lo'!N95)=FALSE,'PTA-Lo'!N95,""),IF(ISBLANK('PTA-Mid'!N95)=FALSE,'PTA-Mid'!N95,"")))</f>
        <v>Total Overnight Cost</v>
      </c>
      <c r="O95" s="2335" t="str">
        <f>IF(CostScenario="Higher cost",IF(ISBLANK('PTA-Hi'!O95)=FALSE,'PTA-Hi'!O95,""),IF(CostScenario="Lower cost",IF(ISBLANK('PTA-Lo'!O95)=FALSE,'PTA-Lo'!O95,""),IF(ISBLANK('PTA-Mid'!O95)=FALSE,'PTA-Mid'!O95,"")))</f>
        <v>Total Overnight Cost</v>
      </c>
      <c r="P95" s="2335" t="str">
        <f>IF(CostScenario="Higher cost",IF(ISBLANK('PTA-Hi'!P95)=FALSE,'PTA-Hi'!P95,""),IF(CostScenario="Lower cost",IF(ISBLANK('PTA-Lo'!P95)=FALSE,'PTA-Lo'!P95,""),IF(ISBLANK('PTA-Mid'!P95)=FALSE,'PTA-Mid'!P95,"")))</f>
        <v>Total Overnight Cost</v>
      </c>
      <c r="Q95" s="2335" t="str">
        <f>IF(CostScenario="Higher cost",IF(ISBLANK('PTA-Hi'!Q95)=FALSE,'PTA-Hi'!Q95,""),IF(CostScenario="Lower cost",IF(ISBLANK('PTA-Lo'!Q95)=FALSE,'PTA-Lo'!Q95,""),IF(ISBLANK('PTA-Mid'!Q95)=FALSE,'PTA-Mid'!Q95,"")))</f>
        <v>Total Overnight Cost</v>
      </c>
      <c r="R95" s="30" t="str">
        <f>IF(CostScenario="Higher cost",IF(ISBLANK('PTA-Hi'!R95)=FALSE,'PTA-Hi'!R95,""),IF(CostScenario="Lower cost",IF(ISBLANK('PTA-Lo'!R95)=FALSE,'PTA-Lo'!R95,""),IF(ISBLANK('PTA-Mid'!R95)=FALSE,'PTA-Mid'!R95,"")))</f>
        <v>Total Overnight Cost</v>
      </c>
      <c r="S95" s="2335" t="str">
        <f>IF(CostScenario="Higher cost",IF(ISBLANK('PTA-Hi'!S95)=FALSE,'PTA-Hi'!S95,""),IF(CostScenario="Lower cost",IF(ISBLANK('PTA-Lo'!S95)=FALSE,'PTA-Lo'!S95,""),IF(ISBLANK('PTA-Mid'!S95)=FALSE,'PTA-Mid'!S95,"")))</f>
        <v>Total Overnight Cost</v>
      </c>
      <c r="T95" s="2335" t="str">
        <f>IF(CostScenario="Higher cost",IF(ISBLANK('PTA-Hi'!T95)=FALSE,'PTA-Hi'!T95,""),IF(CostScenario="Lower cost",IF(ISBLANK('PTA-Lo'!T95)=FALSE,'PTA-Lo'!T95,""),IF(ISBLANK('PTA-Mid'!T95)=FALSE,'PTA-Mid'!T95,"")))</f>
        <v>Total Overnight Cost</v>
      </c>
      <c r="U95" s="30" t="str">
        <f>IF(CostScenario="Higher cost",IF(ISBLANK('PTA-Hi'!U95)=FALSE,'PTA-Hi'!U95,""),IF(CostScenario="Lower cost",IF(ISBLANK('PTA-Lo'!U95)=FALSE,'PTA-Lo'!U95,""),IF(ISBLANK('PTA-Mid'!U95)=FALSE,'PTA-Mid'!U95,"")))</f>
        <v>Total Overnight Cost</v>
      </c>
      <c r="V95" s="30" t="str">
        <f>IF(CostScenario="Higher cost",IF(ISBLANK('PTA-Hi'!V95)=FALSE,'PTA-Hi'!V95,""),IF(CostScenario="Lower cost",IF(ISBLANK('PTA-Lo'!V95)=FALSE,'PTA-Lo'!V95,""),IF(ISBLANK('PTA-Mid'!V95)=FALSE,'PTA-Mid'!V95,"")))</f>
        <v>Total Overnight Cost</v>
      </c>
      <c r="W95" s="2335"/>
      <c r="X95" s="30"/>
      <c r="Z95" s="30"/>
      <c r="AA95" s="30"/>
    </row>
    <row r="96" spans="1:27" s="7" customFormat="1">
      <c r="A96" s="907" t="s">
        <v>876</v>
      </c>
      <c r="B96" s="908" t="s">
        <v>734</v>
      </c>
      <c r="C96" s="941" t="s">
        <v>670</v>
      </c>
      <c r="D96" s="30" t="str">
        <f>IF(CostScenario="Higher cost",IF(ISBLANK('PTA-Hi'!D96)=FALSE,'PTA-Hi'!D96,""),IF(CostScenario="Lower cost",IF(ISBLANK('PTA-Lo'!D96)=FALSE,'PTA-Lo'!D96,""),IF(ISBLANK('PTA-Mid'!D96)=FALSE,'PTA-Mid'!D96,"")))</f>
        <v/>
      </c>
      <c r="E96" s="30" t="str">
        <f>IF(CostScenario="Higher cost",IF(ISBLANK('PTA-Hi'!E96)=FALSE,'PTA-Hi'!E96,""),IF(CostScenario="Lower cost",IF(ISBLANK('PTA-Lo'!E96)=FALSE,'PTA-Lo'!E96,""),IF(ISBLANK('PTA-Mid'!E96)=FALSE,'PTA-Mid'!E96,"")))</f>
        <v/>
      </c>
      <c r="F96" s="30" t="str">
        <f>IF(CostScenario="Higher cost",IF(ISBLANK('PTA-Hi'!F96)=FALSE,'PTA-Hi'!F96,""),IF(CostScenario="Lower cost",IF(ISBLANK('PTA-Lo'!F96)=FALSE,'PTA-Lo'!F96,""),IF(ISBLANK('PTA-Mid'!F96)=FALSE,'PTA-Mid'!F96,"")))</f>
        <v/>
      </c>
      <c r="G96" s="30" t="str">
        <f>IF(CostScenario="Higher cost",IF(ISBLANK('PTA-Hi'!G96)=FALSE,'PTA-Hi'!G96,""),IF(CostScenario="Lower cost",IF(ISBLANK('PTA-Lo'!G96)=FALSE,'PTA-Lo'!G96,""),IF(ISBLANK('PTA-Mid'!G96)=FALSE,'PTA-Mid'!G96,"")))</f>
        <v/>
      </c>
      <c r="H96" s="30" t="str">
        <f>IF(CostScenario="Higher cost",IF(ISBLANK('PTA-Hi'!H96)=FALSE,'PTA-Hi'!H96,""),IF(CostScenario="Lower cost",IF(ISBLANK('PTA-Lo'!H96)=FALSE,'PTA-Lo'!H96,""),IF(ISBLANK('PTA-Mid'!H96)=FALSE,'PTA-Mid'!H96,"")))</f>
        <v/>
      </c>
      <c r="I96" s="30" t="str">
        <f>IF(CostScenario="Higher cost",IF(ISBLANK('PTA-Hi'!I96)=FALSE,'PTA-Hi'!I96,""),IF(CostScenario="Lower cost",IF(ISBLANK('PTA-Lo'!I96)=FALSE,'PTA-Lo'!I96,""),IF(ISBLANK('PTA-Mid'!I96)=FALSE,'PTA-Mid'!I96,"")))</f>
        <v/>
      </c>
      <c r="J96" s="1507" t="str">
        <f>IF(CostScenario="Higher cost",IF(ISBLANK('PTA-Hi'!J96)=FALSE,'PTA-Hi'!J96,""),IF(CostScenario="Lower cost",IF(ISBLANK('PTA-Lo'!J96)=FALSE,'PTA-Lo'!J96,""),IF(ISBLANK('PTA-Mid'!J96)=FALSE,'PTA-Mid'!J96,"")))</f>
        <v/>
      </c>
      <c r="K96" s="1507" t="str">
        <f>IF(CostScenario="Higher cost",IF(ISBLANK('PTA-Hi'!K96)=FALSE,'PTA-Hi'!K96,""),IF(CostScenario="Lower cost",IF(ISBLANK('PTA-Lo'!K96)=FALSE,'PTA-Lo'!K96,""),IF(ISBLANK('PTA-Mid'!K96)=FALSE,'PTA-Mid'!K96,"")))</f>
        <v/>
      </c>
      <c r="L96" s="1508" t="str">
        <f>IF(CostScenario="Higher cost",IF(ISBLANK('PTA-Hi'!L96)=FALSE,'PTA-Hi'!L96,""),IF(CostScenario="Lower cost",IF(ISBLANK('PTA-Lo'!L96)=FALSE,'PTA-Lo'!L96,""),IF(ISBLANK('PTA-Mid'!L96)=FALSE,'PTA-Mid'!L96,"")))</f>
        <v/>
      </c>
      <c r="M96" s="1508" t="str">
        <f>IF(CostScenario="Higher cost",IF(ISBLANK('PTA-Hi'!M96)=FALSE,'PTA-Hi'!M96,""),IF(CostScenario="Lower cost",IF(ISBLANK('PTA-Lo'!M96)=FALSE,'PTA-Lo'!M96,""),IF(ISBLANK('PTA-Mid'!M96)=FALSE,'PTA-Mid'!M96,"")))</f>
        <v/>
      </c>
      <c r="N96" s="1508" t="str">
        <f>IF(CostScenario="Higher cost",IF(ISBLANK('PTA-Hi'!N96)=FALSE,'PTA-Hi'!N96,""),IF(CostScenario="Lower cost",IF(ISBLANK('PTA-Lo'!N96)=FALSE,'PTA-Lo'!N96,""),IF(ISBLANK('PTA-Mid'!N96)=FALSE,'PTA-Mid'!N96,"")))</f>
        <v/>
      </c>
      <c r="O96" s="1508" t="str">
        <f>IF(CostScenario="Higher cost",IF(ISBLANK('PTA-Hi'!O96)=FALSE,'PTA-Hi'!O96,""),IF(CostScenario="Lower cost",IF(ISBLANK('PTA-Lo'!O96)=FALSE,'PTA-Lo'!O96,""),IF(ISBLANK('PTA-Mid'!O96)=FALSE,'PTA-Mid'!O96,"")))</f>
        <v/>
      </c>
      <c r="P96" s="1508" t="str">
        <f>IF(CostScenario="Higher cost",IF(ISBLANK('PTA-Hi'!P96)=FALSE,'PTA-Hi'!P96,""),IF(CostScenario="Lower cost",IF(ISBLANK('PTA-Lo'!P96)=FALSE,'PTA-Lo'!P96,""),IF(ISBLANK('PTA-Mid'!P96)=FALSE,'PTA-Mid'!P96,"")))</f>
        <v/>
      </c>
      <c r="Q96" s="1508" t="str">
        <f>IF(CostScenario="Higher cost",IF(ISBLANK('PTA-Hi'!Q96)=FALSE,'PTA-Hi'!Q96,""),IF(CostScenario="Lower cost",IF(ISBLANK('PTA-Lo'!Q96)=FALSE,'PTA-Lo'!Q96,""),IF(ISBLANK('PTA-Mid'!Q96)=FALSE,'PTA-Mid'!Q96,"")))</f>
        <v/>
      </c>
      <c r="R96" s="1507" t="str">
        <f>IF(CostScenario="Higher cost",IF(ISBLANK('PTA-Hi'!R96)=FALSE,'PTA-Hi'!R96,""),IF(CostScenario="Lower cost",IF(ISBLANK('PTA-Lo'!R96)=FALSE,'PTA-Lo'!R96,""),IF(ISBLANK('PTA-Mid'!R96)=FALSE,'PTA-Mid'!R96,"")))</f>
        <v/>
      </c>
      <c r="S96" s="1508" t="str">
        <f>IF(CostScenario="Higher cost",IF(ISBLANK('PTA-Hi'!S96)=FALSE,'PTA-Hi'!S96,""),IF(CostScenario="Lower cost",IF(ISBLANK('PTA-Lo'!S96)=FALSE,'PTA-Lo'!S96,""),IF(ISBLANK('PTA-Mid'!S96)=FALSE,'PTA-Mid'!S96,"")))</f>
        <v/>
      </c>
      <c r="T96" s="1507" t="str">
        <f>IF(CostScenario="Higher cost",IF(ISBLANK('PTA-Hi'!T96)=FALSE,'PTA-Hi'!T96,""),IF(CostScenario="Lower cost",IF(ISBLANK('PTA-Lo'!T96)=FALSE,'PTA-Lo'!T96,""),IF(ISBLANK('PTA-Mid'!T96)=FALSE,'PTA-Mid'!T96,"")))</f>
        <v/>
      </c>
      <c r="U96" s="1507" t="str">
        <f>IF(CostScenario="Higher cost",IF(ISBLANK('PTA-Hi'!U96)=FALSE,'PTA-Hi'!U96,""),IF(CostScenario="Lower cost",IF(ISBLANK('PTA-Lo'!U96)=FALSE,'PTA-Lo'!U96,""),IF(ISBLANK('PTA-Mid'!U96)=FALSE,'PTA-Mid'!U96,"")))</f>
        <v/>
      </c>
      <c r="V96" s="1507" t="str">
        <f>IF(CostScenario="Higher cost",IF(ISBLANK('PTA-Hi'!V96)=FALSE,'PTA-Hi'!V96,""),IF(CostScenario="Lower cost",IF(ISBLANK('PTA-Lo'!V96)=FALSE,'PTA-Lo'!V96,""),IF(ISBLANK('PTA-Mid'!V96)=FALSE,'PTA-Mid'!V96,"")))</f>
        <v/>
      </c>
      <c r="W96" s="1507"/>
      <c r="X96" s="30"/>
      <c r="Z96" s="30"/>
      <c r="AA96" s="30"/>
    </row>
    <row r="97" spans="1:27" s="7" customFormat="1">
      <c r="A97" s="907" t="s">
        <v>877</v>
      </c>
      <c r="B97" s="908" t="s">
        <v>735</v>
      </c>
      <c r="C97" s="941" t="s">
        <v>671</v>
      </c>
      <c r="D97" s="30" t="str">
        <f>IF(CostScenario="Higher cost",IF(ISBLANK('PTA-Hi'!D97)=FALSE,'PTA-Hi'!D97,""),IF(CostScenario="Lower cost",IF(ISBLANK('PTA-Lo'!D97)=FALSE,'PTA-Lo'!D97,""),IF(ISBLANK('PTA-Mid'!D97)=FALSE,'PTA-Mid'!D97,"")))</f>
        <v/>
      </c>
      <c r="E97" s="30" t="str">
        <f>IF(CostScenario="Higher cost",IF(ISBLANK('PTA-Hi'!E97)=FALSE,'PTA-Hi'!E97,""),IF(CostScenario="Lower cost",IF(ISBLANK('PTA-Lo'!E97)=FALSE,'PTA-Lo'!E97,""),IF(ISBLANK('PTA-Mid'!E97)=FALSE,'PTA-Mid'!E97,"")))</f>
        <v/>
      </c>
      <c r="F97" s="30" t="str">
        <f>IF(CostScenario="Higher cost",IF(ISBLANK('PTA-Hi'!F97)=FALSE,'PTA-Hi'!F97,""),IF(CostScenario="Lower cost",IF(ISBLANK('PTA-Lo'!F97)=FALSE,'PTA-Lo'!F97,""),IF(ISBLANK('PTA-Mid'!F97)=FALSE,'PTA-Mid'!F97,"")))</f>
        <v/>
      </c>
      <c r="G97" s="30" t="str">
        <f>IF(CostScenario="Higher cost",IF(ISBLANK('PTA-Hi'!G97)=FALSE,'PTA-Hi'!G97,""),IF(CostScenario="Lower cost",IF(ISBLANK('PTA-Lo'!G97)=FALSE,'PTA-Lo'!G97,""),IF(ISBLANK('PTA-Mid'!G97)=FALSE,'PTA-Mid'!G97,"")))</f>
        <v/>
      </c>
      <c r="H97" s="30" t="str">
        <f>IF(CostScenario="Higher cost",IF(ISBLANK('PTA-Hi'!H97)=FALSE,'PTA-Hi'!H97,""),IF(CostScenario="Lower cost",IF(ISBLANK('PTA-Lo'!H97)=FALSE,'PTA-Lo'!H97,""),IF(ISBLANK('PTA-Mid'!H97)=FALSE,'PTA-Mid'!H97,"")))</f>
        <v/>
      </c>
      <c r="I97" s="30" t="str">
        <f>IF(CostScenario="Higher cost",IF(ISBLANK('PTA-Hi'!I97)=FALSE,'PTA-Hi'!I97,""),IF(CostScenario="Lower cost",IF(ISBLANK('PTA-Lo'!I97)=FALSE,'PTA-Lo'!I97,""),IF(ISBLANK('PTA-Mid'!I97)=FALSE,'PTA-Mid'!I97,"")))</f>
        <v/>
      </c>
      <c r="J97" s="30" t="str">
        <f>IF(CostScenario="Higher cost",IF(ISBLANK('PTA-Hi'!J97)=FALSE,'PTA-Hi'!J97,""),IF(CostScenario="Lower cost",IF(ISBLANK('PTA-Lo'!J97)=FALSE,'PTA-Lo'!J97,""),IF(ISBLANK('PTA-Mid'!J97)=FALSE,'PTA-Mid'!J97,"")))</f>
        <v/>
      </c>
      <c r="K97" s="30" t="str">
        <f>IF(CostScenario="Higher cost",IF(ISBLANK('PTA-Hi'!K97)=FALSE,'PTA-Hi'!K97,""),IF(CostScenario="Lower cost",IF(ISBLANK('PTA-Lo'!K97)=FALSE,'PTA-Lo'!K97,""),IF(ISBLANK('PTA-Mid'!K97)=FALSE,'PTA-Mid'!K97,"")))</f>
        <v/>
      </c>
      <c r="L97" s="1508" t="str">
        <f>IF(CostScenario="Higher cost",IF(ISBLANK('PTA-Hi'!L97)=FALSE,'PTA-Hi'!L97,""),IF(CostScenario="Lower cost",IF(ISBLANK('PTA-Lo'!L97)=FALSE,'PTA-Lo'!L97,""),IF(ISBLANK('PTA-Mid'!L97)=FALSE,'PTA-Mid'!L97,"")))</f>
        <v/>
      </c>
      <c r="M97" s="1508" t="str">
        <f>IF(CostScenario="Higher cost",IF(ISBLANK('PTA-Hi'!M97)=FALSE,'PTA-Hi'!M97,""),IF(CostScenario="Lower cost",IF(ISBLANK('PTA-Lo'!M97)=FALSE,'PTA-Lo'!M97,""),IF(ISBLANK('PTA-Mid'!M97)=FALSE,'PTA-Mid'!M97,"")))</f>
        <v/>
      </c>
      <c r="N97" s="1508" t="str">
        <f>IF(CostScenario="Higher cost",IF(ISBLANK('PTA-Hi'!N97)=FALSE,'PTA-Hi'!N97,""),IF(CostScenario="Lower cost",IF(ISBLANK('PTA-Lo'!N97)=FALSE,'PTA-Lo'!N97,""),IF(ISBLANK('PTA-Mid'!N97)=FALSE,'PTA-Mid'!N97,"")))</f>
        <v/>
      </c>
      <c r="O97" s="1508" t="str">
        <f>IF(CostScenario="Higher cost",IF(ISBLANK('PTA-Hi'!O97)=FALSE,'PTA-Hi'!O97,""),IF(CostScenario="Lower cost",IF(ISBLANK('PTA-Lo'!O97)=FALSE,'PTA-Lo'!O97,""),IF(ISBLANK('PTA-Mid'!O97)=FALSE,'PTA-Mid'!O97,"")))</f>
        <v/>
      </c>
      <c r="P97" s="1508" t="str">
        <f>IF(CostScenario="Higher cost",IF(ISBLANK('PTA-Hi'!P97)=FALSE,'PTA-Hi'!P97,""),IF(CostScenario="Lower cost",IF(ISBLANK('PTA-Lo'!P97)=FALSE,'PTA-Lo'!P97,""),IF(ISBLANK('PTA-Mid'!P97)=FALSE,'PTA-Mid'!P97,"")))</f>
        <v/>
      </c>
      <c r="Q97" s="1508" t="str">
        <f>IF(CostScenario="Higher cost",IF(ISBLANK('PTA-Hi'!Q97)=FALSE,'PTA-Hi'!Q97,""),IF(CostScenario="Lower cost",IF(ISBLANK('PTA-Lo'!Q97)=FALSE,'PTA-Lo'!Q97,""),IF(ISBLANK('PTA-Mid'!Q97)=FALSE,'PTA-Mid'!Q97,"")))</f>
        <v/>
      </c>
      <c r="R97" s="1507" t="str">
        <f>IF(CostScenario="Higher cost",IF(ISBLANK('PTA-Hi'!R97)=FALSE,'PTA-Hi'!R97,""),IF(CostScenario="Lower cost",IF(ISBLANK('PTA-Lo'!R97)=FALSE,'PTA-Lo'!R97,""),IF(ISBLANK('PTA-Mid'!R97)=FALSE,'PTA-Mid'!R97,"")))</f>
        <v/>
      </c>
      <c r="S97" s="1508" t="str">
        <f>IF(CostScenario="Higher cost",IF(ISBLANK('PTA-Hi'!S97)=FALSE,'PTA-Hi'!S97,""),IF(CostScenario="Lower cost",IF(ISBLANK('PTA-Lo'!S97)=FALSE,'PTA-Lo'!S97,""),IF(ISBLANK('PTA-Mid'!S97)=FALSE,'PTA-Mid'!S97,"")))</f>
        <v/>
      </c>
      <c r="T97" s="1507" t="str">
        <f>IF(CostScenario="Higher cost",IF(ISBLANK('PTA-Hi'!T97)=FALSE,'PTA-Hi'!T97,""),IF(CostScenario="Lower cost",IF(ISBLANK('PTA-Lo'!T97)=FALSE,'PTA-Lo'!T97,""),IF(ISBLANK('PTA-Mid'!T97)=FALSE,'PTA-Mid'!T97,"")))</f>
        <v/>
      </c>
      <c r="U97" s="30" t="str">
        <f>IF(CostScenario="Higher cost",IF(ISBLANK('PTA-Hi'!U97)=FALSE,'PTA-Hi'!U97,""),IF(CostScenario="Lower cost",IF(ISBLANK('PTA-Lo'!U97)=FALSE,'PTA-Lo'!U97,""),IF(ISBLANK('PTA-Mid'!U97)=FALSE,'PTA-Mid'!U97,"")))</f>
        <v/>
      </c>
      <c r="V97" s="30" t="str">
        <f>IF(CostScenario="Higher cost",IF(ISBLANK('PTA-Hi'!V97)=FALSE,'PTA-Hi'!V97,""),IF(CostScenario="Lower cost",IF(ISBLANK('PTA-Lo'!V97)=FALSE,'PTA-Lo'!V97,""),IF(ISBLANK('PTA-Mid'!V97)=FALSE,'PTA-Mid'!V97,"")))</f>
        <v/>
      </c>
      <c r="W97" s="2335"/>
      <c r="X97" s="30"/>
      <c r="Z97" s="30"/>
      <c r="AA97" s="30"/>
    </row>
    <row r="98" spans="1:27" s="7" customFormat="1">
      <c r="A98" s="907" t="s">
        <v>878</v>
      </c>
      <c r="B98" s="908" t="s">
        <v>736</v>
      </c>
      <c r="C98" s="941" t="s">
        <v>672</v>
      </c>
      <c r="D98" s="30" t="str">
        <f>IF(CostScenario="Higher cost",IF(ISBLANK('PTA-Hi'!D98)=FALSE,'PTA-Hi'!D98,""),IF(CostScenario="Lower cost",IF(ISBLANK('PTA-Lo'!D98)=FALSE,'PTA-Lo'!D98,""),IF(ISBLANK('PTA-Mid'!D98)=FALSE,'PTA-Mid'!D98,"")))</f>
        <v/>
      </c>
      <c r="E98" s="30" t="str">
        <f>IF(CostScenario="Higher cost",IF(ISBLANK('PTA-Hi'!E98)=FALSE,'PTA-Hi'!E98,""),IF(CostScenario="Lower cost",IF(ISBLANK('PTA-Lo'!E98)=FALSE,'PTA-Lo'!E98,""),IF(ISBLANK('PTA-Mid'!E98)=FALSE,'PTA-Mid'!E98,"")))</f>
        <v/>
      </c>
      <c r="F98" s="30" t="str">
        <f>IF(CostScenario="Higher cost",IF(ISBLANK('PTA-Hi'!F98)=FALSE,'PTA-Hi'!F98,""),IF(CostScenario="Lower cost",IF(ISBLANK('PTA-Lo'!F98)=FALSE,'PTA-Lo'!F98,""),IF(ISBLANK('PTA-Mid'!F98)=FALSE,'PTA-Mid'!F98,"")))</f>
        <v/>
      </c>
      <c r="G98" s="30" t="str">
        <f>IF(CostScenario="Higher cost",IF(ISBLANK('PTA-Hi'!G98)=FALSE,'PTA-Hi'!G98,""),IF(CostScenario="Lower cost",IF(ISBLANK('PTA-Lo'!G98)=FALSE,'PTA-Lo'!G98,""),IF(ISBLANK('PTA-Mid'!G98)=FALSE,'PTA-Mid'!G98,"")))</f>
        <v/>
      </c>
      <c r="H98" s="30" t="str">
        <f>IF(CostScenario="Higher cost",IF(ISBLANK('PTA-Hi'!H98)=FALSE,'PTA-Hi'!H98,""),IF(CostScenario="Lower cost",IF(ISBLANK('PTA-Lo'!H98)=FALSE,'PTA-Lo'!H98,""),IF(ISBLANK('PTA-Mid'!H98)=FALSE,'PTA-Mid'!H98,"")))</f>
        <v/>
      </c>
      <c r="I98" s="30" t="str">
        <f>IF(CostScenario="Higher cost",IF(ISBLANK('PTA-Hi'!I98)=FALSE,'PTA-Hi'!I98,""),IF(CostScenario="Lower cost",IF(ISBLANK('PTA-Lo'!I98)=FALSE,'PTA-Lo'!I98,""),IF(ISBLANK('PTA-Mid'!I98)=FALSE,'PTA-Mid'!I98,"")))</f>
        <v/>
      </c>
      <c r="J98" s="30" t="str">
        <f>IF(CostScenario="Higher cost",IF(ISBLANK('PTA-Hi'!J98)=FALSE,'PTA-Hi'!J98,""),IF(CostScenario="Lower cost",IF(ISBLANK('PTA-Lo'!J98)=FALSE,'PTA-Lo'!J98,""),IF(ISBLANK('PTA-Mid'!J98)=FALSE,'PTA-Mid'!J98,"")))</f>
        <v/>
      </c>
      <c r="K98" s="30" t="str">
        <f>IF(CostScenario="Higher cost",IF(ISBLANK('PTA-Hi'!K98)=FALSE,'PTA-Hi'!K98,""),IF(CostScenario="Lower cost",IF(ISBLANK('PTA-Lo'!K98)=FALSE,'PTA-Lo'!K98,""),IF(ISBLANK('PTA-Mid'!K98)=FALSE,'PTA-Mid'!K98,"")))</f>
        <v/>
      </c>
      <c r="L98" s="1508" t="str">
        <f>IF(CostScenario="Higher cost",IF(ISBLANK('PTA-Hi'!L98)=FALSE,'PTA-Hi'!L98,""),IF(CostScenario="Lower cost",IF(ISBLANK('PTA-Lo'!L98)=FALSE,'PTA-Lo'!L98,""),IF(ISBLANK('PTA-Mid'!L98)=FALSE,'PTA-Mid'!L98,"")))</f>
        <v/>
      </c>
      <c r="M98" s="1508" t="str">
        <f>IF(CostScenario="Higher cost",IF(ISBLANK('PTA-Hi'!M98)=FALSE,'PTA-Hi'!M98,""),IF(CostScenario="Lower cost",IF(ISBLANK('PTA-Lo'!M98)=FALSE,'PTA-Lo'!M98,""),IF(ISBLANK('PTA-Mid'!M98)=FALSE,'PTA-Mid'!M98,"")))</f>
        <v/>
      </c>
      <c r="N98" s="1508" t="str">
        <f>IF(CostScenario="Higher cost",IF(ISBLANK('PTA-Hi'!N98)=FALSE,'PTA-Hi'!N98,""),IF(CostScenario="Lower cost",IF(ISBLANK('PTA-Lo'!N98)=FALSE,'PTA-Lo'!N98,""),IF(ISBLANK('PTA-Mid'!N98)=FALSE,'PTA-Mid'!N98,"")))</f>
        <v/>
      </c>
      <c r="O98" s="1508" t="str">
        <f>IF(CostScenario="Higher cost",IF(ISBLANK('PTA-Hi'!O98)=FALSE,'PTA-Hi'!O98,""),IF(CostScenario="Lower cost",IF(ISBLANK('PTA-Lo'!O98)=FALSE,'PTA-Lo'!O98,""),IF(ISBLANK('PTA-Mid'!O98)=FALSE,'PTA-Mid'!O98,"")))</f>
        <v/>
      </c>
      <c r="P98" s="1508" t="str">
        <f>IF(CostScenario="Higher cost",IF(ISBLANK('PTA-Hi'!P98)=FALSE,'PTA-Hi'!P98,""),IF(CostScenario="Lower cost",IF(ISBLANK('PTA-Lo'!P98)=FALSE,'PTA-Lo'!P98,""),IF(ISBLANK('PTA-Mid'!P98)=FALSE,'PTA-Mid'!P98,"")))</f>
        <v/>
      </c>
      <c r="Q98" s="1508" t="str">
        <f>IF(CostScenario="Higher cost",IF(ISBLANK('PTA-Hi'!Q98)=FALSE,'PTA-Hi'!Q98,""),IF(CostScenario="Lower cost",IF(ISBLANK('PTA-Lo'!Q98)=FALSE,'PTA-Lo'!Q98,""),IF(ISBLANK('PTA-Mid'!Q98)=FALSE,'PTA-Mid'!Q98,"")))</f>
        <v/>
      </c>
      <c r="R98" s="1507" t="str">
        <f>IF(CostScenario="Higher cost",IF(ISBLANK('PTA-Hi'!R98)=FALSE,'PTA-Hi'!R98,""),IF(CostScenario="Lower cost",IF(ISBLANK('PTA-Lo'!R98)=FALSE,'PTA-Lo'!R98,""),IF(ISBLANK('PTA-Mid'!R98)=FALSE,'PTA-Mid'!R98,"")))</f>
        <v/>
      </c>
      <c r="S98" s="1508" t="str">
        <f>IF(CostScenario="Higher cost",IF(ISBLANK('PTA-Hi'!S98)=FALSE,'PTA-Hi'!S98,""),IF(CostScenario="Lower cost",IF(ISBLANK('PTA-Lo'!S98)=FALSE,'PTA-Lo'!S98,""),IF(ISBLANK('PTA-Mid'!S98)=FALSE,'PTA-Mid'!S98,"")))</f>
        <v/>
      </c>
      <c r="T98" s="1507" t="str">
        <f>IF(CostScenario="Higher cost",IF(ISBLANK('PTA-Hi'!T98)=FALSE,'PTA-Hi'!T98,""),IF(CostScenario="Lower cost",IF(ISBLANK('PTA-Lo'!T98)=FALSE,'PTA-Lo'!T98,""),IF(ISBLANK('PTA-Mid'!T98)=FALSE,'PTA-Mid'!T98,"")))</f>
        <v/>
      </c>
      <c r="U98" s="30" t="str">
        <f>IF(CostScenario="Higher cost",IF(ISBLANK('PTA-Hi'!U98)=FALSE,'PTA-Hi'!U98,""),IF(CostScenario="Lower cost",IF(ISBLANK('PTA-Lo'!U98)=FALSE,'PTA-Lo'!U98,""),IF(ISBLANK('PTA-Mid'!U98)=FALSE,'PTA-Mid'!U98,"")))</f>
        <v/>
      </c>
      <c r="V98" s="30" t="str">
        <f>IF(CostScenario="Higher cost",IF(ISBLANK('PTA-Hi'!V98)=FALSE,'PTA-Hi'!V98,""),IF(CostScenario="Lower cost",IF(ISBLANK('PTA-Lo'!V98)=FALSE,'PTA-Lo'!V98,""),IF(ISBLANK('PTA-Mid'!V98)=FALSE,'PTA-Mid'!V98,"")))</f>
        <v/>
      </c>
      <c r="W98" s="2335"/>
      <c r="X98" s="30"/>
      <c r="Z98" s="30"/>
      <c r="AA98" s="30"/>
    </row>
    <row r="99" spans="1:27" s="7" customFormat="1">
      <c r="A99" s="907" t="s">
        <v>879</v>
      </c>
      <c r="B99" s="908" t="s">
        <v>737</v>
      </c>
      <c r="C99" s="941" t="s">
        <v>673</v>
      </c>
      <c r="D99" s="30" t="str">
        <f>IF(CostScenario="Higher cost",IF(ISBLANK('PTA-Hi'!D99)=FALSE,'PTA-Hi'!D99,""),IF(CostScenario="Lower cost",IF(ISBLANK('PTA-Lo'!D99)=FALSE,'PTA-Lo'!D99,""),IF(ISBLANK('PTA-Mid'!D99)=FALSE,'PTA-Mid'!D99,"")))</f>
        <v/>
      </c>
      <c r="E99" s="30" t="str">
        <f>IF(CostScenario="Higher cost",IF(ISBLANK('PTA-Hi'!E99)=FALSE,'PTA-Hi'!E99,""),IF(CostScenario="Lower cost",IF(ISBLANK('PTA-Lo'!E99)=FALSE,'PTA-Lo'!E99,""),IF(ISBLANK('PTA-Mid'!E99)=FALSE,'PTA-Mid'!E99,"")))</f>
        <v/>
      </c>
      <c r="F99" s="30" t="str">
        <f>IF(CostScenario="Higher cost",IF(ISBLANK('PTA-Hi'!F99)=FALSE,'PTA-Hi'!F99,""),IF(CostScenario="Lower cost",IF(ISBLANK('PTA-Lo'!F99)=FALSE,'PTA-Lo'!F99,""),IF(ISBLANK('PTA-Mid'!F99)=FALSE,'PTA-Mid'!F99,"")))</f>
        <v/>
      </c>
      <c r="G99" s="30" t="str">
        <f>IF(CostScenario="Higher cost",IF(ISBLANK('PTA-Hi'!G99)=FALSE,'PTA-Hi'!G99,""),IF(CostScenario="Lower cost",IF(ISBLANK('PTA-Lo'!G99)=FALSE,'PTA-Lo'!G99,""),IF(ISBLANK('PTA-Mid'!G99)=FALSE,'PTA-Mid'!G99,"")))</f>
        <v/>
      </c>
      <c r="H99" s="30" t="str">
        <f>IF(CostScenario="Higher cost",IF(ISBLANK('PTA-Hi'!H99)=FALSE,'PTA-Hi'!H99,""),IF(CostScenario="Lower cost",IF(ISBLANK('PTA-Lo'!H99)=FALSE,'PTA-Lo'!H99,""),IF(ISBLANK('PTA-Mid'!H99)=FALSE,'PTA-Mid'!H99,"")))</f>
        <v/>
      </c>
      <c r="I99" s="30" t="str">
        <f>IF(CostScenario="Higher cost",IF(ISBLANK('PTA-Hi'!I99)=FALSE,'PTA-Hi'!I99,""),IF(CostScenario="Lower cost",IF(ISBLANK('PTA-Lo'!I99)=FALSE,'PTA-Lo'!I99,""),IF(ISBLANK('PTA-Mid'!I99)=FALSE,'PTA-Mid'!I99,"")))</f>
        <v/>
      </c>
      <c r="J99" s="30" t="str">
        <f>IF(CostScenario="Higher cost",IF(ISBLANK('PTA-Hi'!J99)=FALSE,'PTA-Hi'!J99,""),IF(CostScenario="Lower cost",IF(ISBLANK('PTA-Lo'!J99)=FALSE,'PTA-Lo'!J99,""),IF(ISBLANK('PTA-Mid'!J99)=FALSE,'PTA-Mid'!J99,"")))</f>
        <v/>
      </c>
      <c r="K99" s="30" t="str">
        <f>IF(CostScenario="Higher cost",IF(ISBLANK('PTA-Hi'!K99)=FALSE,'PTA-Hi'!K99,""),IF(CostScenario="Lower cost",IF(ISBLANK('PTA-Lo'!K99)=FALSE,'PTA-Lo'!K99,""),IF(ISBLANK('PTA-Mid'!K99)=FALSE,'PTA-Mid'!K99,"")))</f>
        <v/>
      </c>
      <c r="L99" s="1508" t="str">
        <f>IF(CostScenario="Higher cost",IF(ISBLANK('PTA-Hi'!L99)=FALSE,'PTA-Hi'!L99,""),IF(CostScenario="Lower cost",IF(ISBLANK('PTA-Lo'!L99)=FALSE,'PTA-Lo'!L99,""),IF(ISBLANK('PTA-Mid'!L99)=FALSE,'PTA-Mid'!L99,"")))</f>
        <v/>
      </c>
      <c r="M99" s="1508" t="str">
        <f>IF(CostScenario="Higher cost",IF(ISBLANK('PTA-Hi'!M99)=FALSE,'PTA-Hi'!M99,""),IF(CostScenario="Lower cost",IF(ISBLANK('PTA-Lo'!M99)=FALSE,'PTA-Lo'!M99,""),IF(ISBLANK('PTA-Mid'!M99)=FALSE,'PTA-Mid'!M99,"")))</f>
        <v/>
      </c>
      <c r="N99" s="1508" t="str">
        <f>IF(CostScenario="Higher cost",IF(ISBLANK('PTA-Hi'!N99)=FALSE,'PTA-Hi'!N99,""),IF(CostScenario="Lower cost",IF(ISBLANK('PTA-Lo'!N99)=FALSE,'PTA-Lo'!N99,""),IF(ISBLANK('PTA-Mid'!N99)=FALSE,'PTA-Mid'!N99,"")))</f>
        <v/>
      </c>
      <c r="O99" s="1508" t="str">
        <f>IF(CostScenario="Higher cost",IF(ISBLANK('PTA-Hi'!O99)=FALSE,'PTA-Hi'!O99,""),IF(CostScenario="Lower cost",IF(ISBLANK('PTA-Lo'!O99)=FALSE,'PTA-Lo'!O99,""),IF(ISBLANK('PTA-Mid'!O99)=FALSE,'PTA-Mid'!O99,"")))</f>
        <v/>
      </c>
      <c r="P99" s="1508" t="str">
        <f>IF(CostScenario="Higher cost",IF(ISBLANK('PTA-Hi'!P99)=FALSE,'PTA-Hi'!P99,""),IF(CostScenario="Lower cost",IF(ISBLANK('PTA-Lo'!P99)=FALSE,'PTA-Lo'!P99,""),IF(ISBLANK('PTA-Mid'!P99)=FALSE,'PTA-Mid'!P99,"")))</f>
        <v/>
      </c>
      <c r="Q99" s="1508" t="str">
        <f>IF(CostScenario="Higher cost",IF(ISBLANK('PTA-Hi'!Q99)=FALSE,'PTA-Hi'!Q99,""),IF(CostScenario="Lower cost",IF(ISBLANK('PTA-Lo'!Q99)=FALSE,'PTA-Lo'!Q99,""),IF(ISBLANK('PTA-Mid'!Q99)=FALSE,'PTA-Mid'!Q99,"")))</f>
        <v/>
      </c>
      <c r="R99" s="1507" t="str">
        <f>IF(CostScenario="Higher cost",IF(ISBLANK('PTA-Hi'!R99)=FALSE,'PTA-Hi'!R99,""),IF(CostScenario="Lower cost",IF(ISBLANK('PTA-Lo'!R99)=FALSE,'PTA-Lo'!R99,""),IF(ISBLANK('PTA-Mid'!R99)=FALSE,'PTA-Mid'!R99,"")))</f>
        <v/>
      </c>
      <c r="S99" s="1508" t="str">
        <f>IF(CostScenario="Higher cost",IF(ISBLANK('PTA-Hi'!S99)=FALSE,'PTA-Hi'!S99,""),IF(CostScenario="Lower cost",IF(ISBLANK('PTA-Lo'!S99)=FALSE,'PTA-Lo'!S99,""),IF(ISBLANK('PTA-Mid'!S99)=FALSE,'PTA-Mid'!S99,"")))</f>
        <v/>
      </c>
      <c r="T99" s="1507" t="str">
        <f>IF(CostScenario="Higher cost",IF(ISBLANK('PTA-Hi'!T99)=FALSE,'PTA-Hi'!T99,""),IF(CostScenario="Lower cost",IF(ISBLANK('PTA-Lo'!T99)=FALSE,'PTA-Lo'!T99,""),IF(ISBLANK('PTA-Mid'!T99)=FALSE,'PTA-Mid'!T99,"")))</f>
        <v/>
      </c>
      <c r="U99" s="30" t="str">
        <f>IF(CostScenario="Higher cost",IF(ISBLANK('PTA-Hi'!U99)=FALSE,'PTA-Hi'!U99,""),IF(CostScenario="Lower cost",IF(ISBLANK('PTA-Lo'!U99)=FALSE,'PTA-Lo'!U99,""),IF(ISBLANK('PTA-Mid'!U99)=FALSE,'PTA-Mid'!U99,"")))</f>
        <v/>
      </c>
      <c r="V99" s="30" t="str">
        <f>IF(CostScenario="Higher cost",IF(ISBLANK('PTA-Hi'!V99)=FALSE,'PTA-Hi'!V99,""),IF(CostScenario="Lower cost",IF(ISBLANK('PTA-Lo'!V99)=FALSE,'PTA-Lo'!V99,""),IF(ISBLANK('PTA-Mid'!V99)=FALSE,'PTA-Mid'!V99,"")))</f>
        <v/>
      </c>
      <c r="W99" s="2335"/>
      <c r="X99" s="30"/>
      <c r="Z99" s="30"/>
      <c r="AA99" s="30"/>
    </row>
    <row r="100" spans="1:27" s="7" customFormat="1">
      <c r="A100" s="907" t="s">
        <v>880</v>
      </c>
      <c r="B100" s="908" t="s">
        <v>738</v>
      </c>
      <c r="C100" s="941" t="s">
        <v>674</v>
      </c>
      <c r="D100" s="30" t="str">
        <f>IF(CostScenario="Higher cost",IF(ISBLANK('PTA-Hi'!D100)=FALSE,'PTA-Hi'!D100,""),IF(CostScenario="Lower cost",IF(ISBLANK('PTA-Lo'!D100)=FALSE,'PTA-Lo'!D100,""),IF(ISBLANK('PTA-Mid'!D100)=FALSE,'PTA-Mid'!D100,"")))</f>
        <v/>
      </c>
      <c r="E100" s="30" t="str">
        <f>IF(CostScenario="Higher cost",IF(ISBLANK('PTA-Hi'!E100)=FALSE,'PTA-Hi'!E100,""),IF(CostScenario="Lower cost",IF(ISBLANK('PTA-Lo'!E100)=FALSE,'PTA-Lo'!E100,""),IF(ISBLANK('PTA-Mid'!E100)=FALSE,'PTA-Mid'!E100,"")))</f>
        <v/>
      </c>
      <c r="F100" s="30" t="str">
        <f>IF(CostScenario="Higher cost",IF(ISBLANK('PTA-Hi'!F100)=FALSE,'PTA-Hi'!F100,""),IF(CostScenario="Lower cost",IF(ISBLANK('PTA-Lo'!F100)=FALSE,'PTA-Lo'!F100,""),IF(ISBLANK('PTA-Mid'!F100)=FALSE,'PTA-Mid'!F100,"")))</f>
        <v/>
      </c>
      <c r="G100" s="30" t="str">
        <f>IF(CostScenario="Higher cost",IF(ISBLANK('PTA-Hi'!G100)=FALSE,'PTA-Hi'!G100,""),IF(CostScenario="Lower cost",IF(ISBLANK('PTA-Lo'!G100)=FALSE,'PTA-Lo'!G100,""),IF(ISBLANK('PTA-Mid'!G100)=FALSE,'PTA-Mid'!G100,"")))</f>
        <v/>
      </c>
      <c r="H100" s="30" t="str">
        <f>IF(CostScenario="Higher cost",IF(ISBLANK('PTA-Hi'!H100)=FALSE,'PTA-Hi'!H100,""),IF(CostScenario="Lower cost",IF(ISBLANK('PTA-Lo'!H100)=FALSE,'PTA-Lo'!H100,""),IF(ISBLANK('PTA-Mid'!H100)=FALSE,'PTA-Mid'!H100,"")))</f>
        <v/>
      </c>
      <c r="I100" s="30" t="str">
        <f>IF(CostScenario="Higher cost",IF(ISBLANK('PTA-Hi'!I100)=FALSE,'PTA-Hi'!I100,""),IF(CostScenario="Lower cost",IF(ISBLANK('PTA-Lo'!I100)=FALSE,'PTA-Lo'!I100,""),IF(ISBLANK('PTA-Mid'!I100)=FALSE,'PTA-Mid'!I100,"")))</f>
        <v/>
      </c>
      <c r="J100" s="30" t="str">
        <f>IF(CostScenario="Higher cost",IF(ISBLANK('PTA-Hi'!J100)=FALSE,'PTA-Hi'!J100,""),IF(CostScenario="Lower cost",IF(ISBLANK('PTA-Lo'!J100)=FALSE,'PTA-Lo'!J100,""),IF(ISBLANK('PTA-Mid'!J100)=FALSE,'PTA-Mid'!J100,"")))</f>
        <v/>
      </c>
      <c r="K100" s="30" t="str">
        <f>IF(CostScenario="Higher cost",IF(ISBLANK('PTA-Hi'!K100)=FALSE,'PTA-Hi'!K100,""),IF(CostScenario="Lower cost",IF(ISBLANK('PTA-Lo'!K100)=FALSE,'PTA-Lo'!K100,""),IF(ISBLANK('PTA-Mid'!K100)=FALSE,'PTA-Mid'!K100,"")))</f>
        <v/>
      </c>
      <c r="L100" s="1508" t="str">
        <f>IF(CostScenario="Higher cost",IF(ISBLANK('PTA-Hi'!L100)=FALSE,'PTA-Hi'!L100,""),IF(CostScenario="Lower cost",IF(ISBLANK('PTA-Lo'!L100)=FALSE,'PTA-Lo'!L100,""),IF(ISBLANK('PTA-Mid'!L100)=FALSE,'PTA-Mid'!L100,"")))</f>
        <v/>
      </c>
      <c r="M100" s="1508" t="str">
        <f>IF(CostScenario="Higher cost",IF(ISBLANK('PTA-Hi'!M100)=FALSE,'PTA-Hi'!M100,""),IF(CostScenario="Lower cost",IF(ISBLANK('PTA-Lo'!M100)=FALSE,'PTA-Lo'!M100,""),IF(ISBLANK('PTA-Mid'!M100)=FALSE,'PTA-Mid'!M100,"")))</f>
        <v/>
      </c>
      <c r="N100" s="1508" t="str">
        <f>IF(CostScenario="Higher cost",IF(ISBLANK('PTA-Hi'!N100)=FALSE,'PTA-Hi'!N100,""),IF(CostScenario="Lower cost",IF(ISBLANK('PTA-Lo'!N100)=FALSE,'PTA-Lo'!N100,""),IF(ISBLANK('PTA-Mid'!N100)=FALSE,'PTA-Mid'!N100,"")))</f>
        <v/>
      </c>
      <c r="O100" s="1508" t="str">
        <f>IF(CostScenario="Higher cost",IF(ISBLANK('PTA-Hi'!O100)=FALSE,'PTA-Hi'!O100,""),IF(CostScenario="Lower cost",IF(ISBLANK('PTA-Lo'!O100)=FALSE,'PTA-Lo'!O100,""),IF(ISBLANK('PTA-Mid'!O100)=FALSE,'PTA-Mid'!O100,"")))</f>
        <v/>
      </c>
      <c r="P100" s="1508" t="str">
        <f>IF(CostScenario="Higher cost",IF(ISBLANK('PTA-Hi'!P100)=FALSE,'PTA-Hi'!P100,""),IF(CostScenario="Lower cost",IF(ISBLANK('PTA-Lo'!P100)=FALSE,'PTA-Lo'!P100,""),IF(ISBLANK('PTA-Mid'!P100)=FALSE,'PTA-Mid'!P100,"")))</f>
        <v/>
      </c>
      <c r="Q100" s="1508" t="str">
        <f>IF(CostScenario="Higher cost",IF(ISBLANK('PTA-Hi'!Q100)=FALSE,'PTA-Hi'!Q100,""),IF(CostScenario="Lower cost",IF(ISBLANK('PTA-Lo'!Q100)=FALSE,'PTA-Lo'!Q100,""),IF(ISBLANK('PTA-Mid'!Q100)=FALSE,'PTA-Mid'!Q100,"")))</f>
        <v/>
      </c>
      <c r="R100" s="1507" t="str">
        <f>IF(CostScenario="Higher cost",IF(ISBLANK('PTA-Hi'!R100)=FALSE,'PTA-Hi'!R100,""),IF(CostScenario="Lower cost",IF(ISBLANK('PTA-Lo'!R100)=FALSE,'PTA-Lo'!R100,""),IF(ISBLANK('PTA-Mid'!R100)=FALSE,'PTA-Mid'!R100,"")))</f>
        <v/>
      </c>
      <c r="S100" s="1508" t="str">
        <f>IF(CostScenario="Higher cost",IF(ISBLANK('PTA-Hi'!S100)=FALSE,'PTA-Hi'!S100,""),IF(CostScenario="Lower cost",IF(ISBLANK('PTA-Lo'!S100)=FALSE,'PTA-Lo'!S100,""),IF(ISBLANK('PTA-Mid'!S100)=FALSE,'PTA-Mid'!S100,"")))</f>
        <v/>
      </c>
      <c r="T100" s="1507" t="str">
        <f>IF(CostScenario="Higher cost",IF(ISBLANK('PTA-Hi'!T100)=FALSE,'PTA-Hi'!T100,""),IF(CostScenario="Lower cost",IF(ISBLANK('PTA-Lo'!T100)=FALSE,'PTA-Lo'!T100,""),IF(ISBLANK('PTA-Mid'!T100)=FALSE,'PTA-Mid'!T100,"")))</f>
        <v/>
      </c>
      <c r="U100" s="30" t="str">
        <f>IF(CostScenario="Higher cost",IF(ISBLANK('PTA-Hi'!U100)=FALSE,'PTA-Hi'!U100,""),IF(CostScenario="Lower cost",IF(ISBLANK('PTA-Lo'!U100)=FALSE,'PTA-Lo'!U100,""),IF(ISBLANK('PTA-Mid'!U100)=FALSE,'PTA-Mid'!U100,"")))</f>
        <v/>
      </c>
      <c r="V100" s="30" t="str">
        <f>IF(CostScenario="Higher cost",IF(ISBLANK('PTA-Hi'!V100)=FALSE,'PTA-Hi'!V100,""),IF(CostScenario="Lower cost",IF(ISBLANK('PTA-Lo'!V100)=FALSE,'PTA-Lo'!V100,""),IF(ISBLANK('PTA-Mid'!V100)=FALSE,'PTA-Mid'!V100,"")))</f>
        <v/>
      </c>
      <c r="W100" s="2335"/>
      <c r="X100" s="30"/>
      <c r="Z100" s="30"/>
      <c r="AA100" s="30"/>
    </row>
    <row r="101" spans="1:27" s="7" customFormat="1">
      <c r="A101" s="907" t="s">
        <v>881</v>
      </c>
      <c r="B101" s="908" t="s">
        <v>739</v>
      </c>
      <c r="C101" s="941" t="s">
        <v>675</v>
      </c>
      <c r="D101" s="30" t="str">
        <f>IF(CostScenario="Higher cost",IF(ISBLANK('PTA-Hi'!D101)=FALSE,'PTA-Hi'!D101,""),IF(CostScenario="Lower cost",IF(ISBLANK('PTA-Lo'!D101)=FALSE,'PTA-Lo'!D101,""),IF(ISBLANK('PTA-Mid'!D101)=FALSE,'PTA-Mid'!D101,"")))</f>
        <v/>
      </c>
      <c r="E101" s="30" t="str">
        <f>IF(CostScenario="Higher cost",IF(ISBLANK('PTA-Hi'!E101)=FALSE,'PTA-Hi'!E101,""),IF(CostScenario="Lower cost",IF(ISBLANK('PTA-Lo'!E101)=FALSE,'PTA-Lo'!E101,""),IF(ISBLANK('PTA-Mid'!E101)=FALSE,'PTA-Mid'!E101,"")))</f>
        <v/>
      </c>
      <c r="F101" s="30" t="str">
        <f>IF(CostScenario="Higher cost",IF(ISBLANK('PTA-Hi'!F101)=FALSE,'PTA-Hi'!F101,""),IF(CostScenario="Lower cost",IF(ISBLANK('PTA-Lo'!F101)=FALSE,'PTA-Lo'!F101,""),IF(ISBLANK('PTA-Mid'!F101)=FALSE,'PTA-Mid'!F101,"")))</f>
        <v/>
      </c>
      <c r="G101" s="30" t="str">
        <f>IF(CostScenario="Higher cost",IF(ISBLANK('PTA-Hi'!G101)=FALSE,'PTA-Hi'!G101,""),IF(CostScenario="Lower cost",IF(ISBLANK('PTA-Lo'!G101)=FALSE,'PTA-Lo'!G101,""),IF(ISBLANK('PTA-Mid'!G101)=FALSE,'PTA-Mid'!G101,"")))</f>
        <v/>
      </c>
      <c r="H101" s="30" t="str">
        <f>IF(CostScenario="Higher cost",IF(ISBLANK('PTA-Hi'!H101)=FALSE,'PTA-Hi'!H101,""),IF(CostScenario="Lower cost",IF(ISBLANK('PTA-Lo'!H101)=FALSE,'PTA-Lo'!H101,""),IF(ISBLANK('PTA-Mid'!H101)=FALSE,'PTA-Mid'!H101,"")))</f>
        <v/>
      </c>
      <c r="I101" s="30" t="str">
        <f>IF(CostScenario="Higher cost",IF(ISBLANK('PTA-Hi'!I101)=FALSE,'PTA-Hi'!I101,""),IF(CostScenario="Lower cost",IF(ISBLANK('PTA-Lo'!I101)=FALSE,'PTA-Lo'!I101,""),IF(ISBLANK('PTA-Mid'!I101)=FALSE,'PTA-Mid'!I101,"")))</f>
        <v/>
      </c>
      <c r="J101" s="30" t="str">
        <f>IF(CostScenario="Higher cost",IF(ISBLANK('PTA-Hi'!J101)=FALSE,'PTA-Hi'!J101,""),IF(CostScenario="Lower cost",IF(ISBLANK('PTA-Lo'!J101)=FALSE,'PTA-Lo'!J101,""),IF(ISBLANK('PTA-Mid'!J101)=FALSE,'PTA-Mid'!J101,"")))</f>
        <v/>
      </c>
      <c r="K101" s="30" t="str">
        <f>IF(CostScenario="Higher cost",IF(ISBLANK('PTA-Hi'!K101)=FALSE,'PTA-Hi'!K101,""),IF(CostScenario="Lower cost",IF(ISBLANK('PTA-Lo'!K101)=FALSE,'PTA-Lo'!K101,""),IF(ISBLANK('PTA-Mid'!K101)=FALSE,'PTA-Mid'!K101,"")))</f>
        <v/>
      </c>
      <c r="L101" s="30" t="str">
        <f>IF(CostScenario="Higher cost",IF(ISBLANK('PTA-Hi'!L101)=FALSE,'PTA-Hi'!L101,""),IF(CostScenario="Lower cost",IF(ISBLANK('PTA-Lo'!L101)=FALSE,'PTA-Lo'!L101,""),IF(ISBLANK('PTA-Mid'!L101)=FALSE,'PTA-Mid'!L101,"")))</f>
        <v/>
      </c>
      <c r="M101" s="30" t="str">
        <f>IF(CostScenario="Higher cost",IF(ISBLANK('PTA-Hi'!M101)=FALSE,'PTA-Hi'!M101,""),IF(CostScenario="Lower cost",IF(ISBLANK('PTA-Lo'!M101)=FALSE,'PTA-Lo'!M101,""),IF(ISBLANK('PTA-Mid'!M101)=FALSE,'PTA-Mid'!M101,"")))</f>
        <v/>
      </c>
      <c r="N101" s="2335" t="str">
        <f>IF(CostScenario="Higher cost",IF(ISBLANK('PTA-Hi'!N101)=FALSE,'PTA-Hi'!N101,""),IF(CostScenario="Lower cost",IF(ISBLANK('PTA-Lo'!N101)=FALSE,'PTA-Lo'!N101,""),IF(ISBLANK('PTA-Mid'!N101)=FALSE,'PTA-Mid'!N101,"")))</f>
        <v/>
      </c>
      <c r="O101" s="2335" t="str">
        <f>IF(CostScenario="Higher cost",IF(ISBLANK('PTA-Hi'!O101)=FALSE,'PTA-Hi'!O101,""),IF(CostScenario="Lower cost",IF(ISBLANK('PTA-Lo'!O101)=FALSE,'PTA-Lo'!O101,""),IF(ISBLANK('PTA-Mid'!O101)=FALSE,'PTA-Mid'!O101,"")))</f>
        <v/>
      </c>
      <c r="P101" s="2335" t="str">
        <f>IF(CostScenario="Higher cost",IF(ISBLANK('PTA-Hi'!P101)=FALSE,'PTA-Hi'!P101,""),IF(CostScenario="Lower cost",IF(ISBLANK('PTA-Lo'!P101)=FALSE,'PTA-Lo'!P101,""),IF(ISBLANK('PTA-Mid'!P101)=FALSE,'PTA-Mid'!P101,"")))</f>
        <v/>
      </c>
      <c r="Q101" s="2335" t="str">
        <f>IF(CostScenario="Higher cost",IF(ISBLANK('PTA-Hi'!Q101)=FALSE,'PTA-Hi'!Q101,""),IF(CostScenario="Lower cost",IF(ISBLANK('PTA-Lo'!Q101)=FALSE,'PTA-Lo'!Q101,""),IF(ISBLANK('PTA-Mid'!Q101)=FALSE,'PTA-Mid'!Q101,"")))</f>
        <v/>
      </c>
      <c r="R101" s="30" t="str">
        <f>IF(CostScenario="Higher cost",IF(ISBLANK('PTA-Hi'!R101)=FALSE,'PTA-Hi'!R101,""),IF(CostScenario="Lower cost",IF(ISBLANK('PTA-Lo'!R101)=FALSE,'PTA-Lo'!R101,""),IF(ISBLANK('PTA-Mid'!R101)=FALSE,'PTA-Mid'!R101,"")))</f>
        <v/>
      </c>
      <c r="S101" s="2335" t="str">
        <f>IF(CostScenario="Higher cost",IF(ISBLANK('PTA-Hi'!S101)=FALSE,'PTA-Hi'!S101,""),IF(CostScenario="Lower cost",IF(ISBLANK('PTA-Lo'!S101)=FALSE,'PTA-Lo'!S101,""),IF(ISBLANK('PTA-Mid'!S101)=FALSE,'PTA-Mid'!S101,"")))</f>
        <v/>
      </c>
      <c r="T101" s="2335" t="str">
        <f>IF(CostScenario="Higher cost",IF(ISBLANK('PTA-Hi'!T101)=FALSE,'PTA-Hi'!T101,""),IF(CostScenario="Lower cost",IF(ISBLANK('PTA-Lo'!T101)=FALSE,'PTA-Lo'!T101,""),IF(ISBLANK('PTA-Mid'!T101)=FALSE,'PTA-Mid'!T101,"")))</f>
        <v/>
      </c>
      <c r="U101" s="30" t="str">
        <f>IF(CostScenario="Higher cost",IF(ISBLANK('PTA-Hi'!U101)=FALSE,'PTA-Hi'!U101,""),IF(CostScenario="Lower cost",IF(ISBLANK('PTA-Lo'!U101)=FALSE,'PTA-Lo'!U101,""),IF(ISBLANK('PTA-Mid'!U101)=FALSE,'PTA-Mid'!U101,"")))</f>
        <v/>
      </c>
      <c r="V101" s="30" t="str">
        <f>IF(CostScenario="Higher cost",IF(ISBLANK('PTA-Hi'!V101)=FALSE,'PTA-Hi'!V101,""),IF(CostScenario="Lower cost",IF(ISBLANK('PTA-Lo'!V101)=FALSE,'PTA-Lo'!V101,""),IF(ISBLANK('PTA-Mid'!V101)=FALSE,'PTA-Mid'!V101,"")))</f>
        <v/>
      </c>
      <c r="W101" s="2335"/>
      <c r="X101" s="30"/>
      <c r="Z101" s="30"/>
      <c r="AA101" s="30"/>
    </row>
    <row r="102" spans="1:27" s="7" customFormat="1">
      <c r="A102" s="907" t="s">
        <v>882</v>
      </c>
      <c r="B102" s="908" t="s">
        <v>740</v>
      </c>
      <c r="C102" s="941" t="s">
        <v>676</v>
      </c>
      <c r="D102" s="30" t="str">
        <f>IF(CostScenario="Higher cost",IF(ISBLANK('PTA-Hi'!D102)=FALSE,'PTA-Hi'!D102,""),IF(CostScenario="Lower cost",IF(ISBLANK('PTA-Lo'!D102)=FALSE,'PTA-Lo'!D102,""),IF(ISBLANK('PTA-Mid'!D102)=FALSE,'PTA-Mid'!D102,"")))</f>
        <v/>
      </c>
      <c r="E102" s="30" t="str">
        <f>IF(CostScenario="Higher cost",IF(ISBLANK('PTA-Hi'!E102)=FALSE,'PTA-Hi'!E102,""),IF(CostScenario="Lower cost",IF(ISBLANK('PTA-Lo'!E102)=FALSE,'PTA-Lo'!E102,""),IF(ISBLANK('PTA-Mid'!E102)=FALSE,'PTA-Mid'!E102,"")))</f>
        <v/>
      </c>
      <c r="F102" s="30" t="str">
        <f>IF(CostScenario="Higher cost",IF(ISBLANK('PTA-Hi'!F102)=FALSE,'PTA-Hi'!F102,""),IF(CostScenario="Lower cost",IF(ISBLANK('PTA-Lo'!F102)=FALSE,'PTA-Lo'!F102,""),IF(ISBLANK('PTA-Mid'!F102)=FALSE,'PTA-Mid'!F102,"")))</f>
        <v/>
      </c>
      <c r="G102" s="30" t="str">
        <f>IF(CostScenario="Higher cost",IF(ISBLANK('PTA-Hi'!G102)=FALSE,'PTA-Hi'!G102,""),IF(CostScenario="Lower cost",IF(ISBLANK('PTA-Lo'!G102)=FALSE,'PTA-Lo'!G102,""),IF(ISBLANK('PTA-Mid'!G102)=FALSE,'PTA-Mid'!G102,"")))</f>
        <v/>
      </c>
      <c r="H102" s="30" t="str">
        <f>IF(CostScenario="Higher cost",IF(ISBLANK('PTA-Hi'!H102)=FALSE,'PTA-Hi'!H102,""),IF(CostScenario="Lower cost",IF(ISBLANK('PTA-Lo'!H102)=FALSE,'PTA-Lo'!H102,""),IF(ISBLANK('PTA-Mid'!H102)=FALSE,'PTA-Mid'!H102,"")))</f>
        <v/>
      </c>
      <c r="I102" s="30" t="str">
        <f>IF(CostScenario="Higher cost",IF(ISBLANK('PTA-Hi'!I102)=FALSE,'PTA-Hi'!I102,""),IF(CostScenario="Lower cost",IF(ISBLANK('PTA-Lo'!I102)=FALSE,'PTA-Lo'!I102,""),IF(ISBLANK('PTA-Mid'!I102)=FALSE,'PTA-Mid'!I102,"")))</f>
        <v/>
      </c>
      <c r="J102" s="30" t="str">
        <f>IF(CostScenario="Higher cost",IF(ISBLANK('PTA-Hi'!J102)=FALSE,'PTA-Hi'!J102,""),IF(CostScenario="Lower cost",IF(ISBLANK('PTA-Lo'!J102)=FALSE,'PTA-Lo'!J102,""),IF(ISBLANK('PTA-Mid'!J102)=FALSE,'PTA-Mid'!J102,"")))</f>
        <v/>
      </c>
      <c r="K102" s="30" t="str">
        <f>IF(CostScenario="Higher cost",IF(ISBLANK('PTA-Hi'!K102)=FALSE,'PTA-Hi'!K102,""),IF(CostScenario="Lower cost",IF(ISBLANK('PTA-Lo'!K102)=FALSE,'PTA-Lo'!K102,""),IF(ISBLANK('PTA-Mid'!K102)=FALSE,'PTA-Mid'!K102,"")))</f>
        <v/>
      </c>
      <c r="L102" s="30" t="str">
        <f>IF(CostScenario="Higher cost",IF(ISBLANK('PTA-Hi'!L102)=FALSE,'PTA-Hi'!L102,""),IF(CostScenario="Lower cost",IF(ISBLANK('PTA-Lo'!L102)=FALSE,'PTA-Lo'!L102,""),IF(ISBLANK('PTA-Mid'!L102)=FALSE,'PTA-Mid'!L102,"")))</f>
        <v/>
      </c>
      <c r="M102" s="30" t="str">
        <f>IF(CostScenario="Higher cost",IF(ISBLANK('PTA-Hi'!M102)=FALSE,'PTA-Hi'!M102,""),IF(CostScenario="Lower cost",IF(ISBLANK('PTA-Lo'!M102)=FALSE,'PTA-Lo'!M102,""),IF(ISBLANK('PTA-Mid'!M102)=FALSE,'PTA-Mid'!M102,"")))</f>
        <v/>
      </c>
      <c r="N102" s="2335" t="str">
        <f>IF(CostScenario="Higher cost",IF(ISBLANK('PTA-Hi'!N102)=FALSE,'PTA-Hi'!N102,""),IF(CostScenario="Lower cost",IF(ISBLANK('PTA-Lo'!N102)=FALSE,'PTA-Lo'!N102,""),IF(ISBLANK('PTA-Mid'!N102)=FALSE,'PTA-Mid'!N102,"")))</f>
        <v/>
      </c>
      <c r="O102" s="2335" t="str">
        <f>IF(CostScenario="Higher cost",IF(ISBLANK('PTA-Hi'!O102)=FALSE,'PTA-Hi'!O102,""),IF(CostScenario="Lower cost",IF(ISBLANK('PTA-Lo'!O102)=FALSE,'PTA-Lo'!O102,""),IF(ISBLANK('PTA-Mid'!O102)=FALSE,'PTA-Mid'!O102,"")))</f>
        <v/>
      </c>
      <c r="P102" s="2335" t="str">
        <f>IF(CostScenario="Higher cost",IF(ISBLANK('PTA-Hi'!P102)=FALSE,'PTA-Hi'!P102,""),IF(CostScenario="Lower cost",IF(ISBLANK('PTA-Lo'!P102)=FALSE,'PTA-Lo'!P102,""),IF(ISBLANK('PTA-Mid'!P102)=FALSE,'PTA-Mid'!P102,"")))</f>
        <v/>
      </c>
      <c r="Q102" s="2335" t="str">
        <f>IF(CostScenario="Higher cost",IF(ISBLANK('PTA-Hi'!Q102)=FALSE,'PTA-Hi'!Q102,""),IF(CostScenario="Lower cost",IF(ISBLANK('PTA-Lo'!Q102)=FALSE,'PTA-Lo'!Q102,""),IF(ISBLANK('PTA-Mid'!Q102)=FALSE,'PTA-Mid'!Q102,"")))</f>
        <v/>
      </c>
      <c r="R102" s="30" t="str">
        <f>IF(CostScenario="Higher cost",IF(ISBLANK('PTA-Hi'!R102)=FALSE,'PTA-Hi'!R102,""),IF(CostScenario="Lower cost",IF(ISBLANK('PTA-Lo'!R102)=FALSE,'PTA-Lo'!R102,""),IF(ISBLANK('PTA-Mid'!R102)=FALSE,'PTA-Mid'!R102,"")))</f>
        <v/>
      </c>
      <c r="S102" s="2335" t="str">
        <f>IF(CostScenario="Higher cost",IF(ISBLANK('PTA-Hi'!S102)=FALSE,'PTA-Hi'!S102,""),IF(CostScenario="Lower cost",IF(ISBLANK('PTA-Lo'!S102)=FALSE,'PTA-Lo'!S102,""),IF(ISBLANK('PTA-Mid'!S102)=FALSE,'PTA-Mid'!S102,"")))</f>
        <v/>
      </c>
      <c r="T102" s="2335" t="str">
        <f>IF(CostScenario="Higher cost",IF(ISBLANK('PTA-Hi'!T102)=FALSE,'PTA-Hi'!T102,""),IF(CostScenario="Lower cost",IF(ISBLANK('PTA-Lo'!T102)=FALSE,'PTA-Lo'!T102,""),IF(ISBLANK('PTA-Mid'!T102)=FALSE,'PTA-Mid'!T102,"")))</f>
        <v/>
      </c>
      <c r="U102" s="30" t="str">
        <f>IF(CostScenario="Higher cost",IF(ISBLANK('PTA-Hi'!U102)=FALSE,'PTA-Hi'!U102,""),IF(CostScenario="Lower cost",IF(ISBLANK('PTA-Lo'!U102)=FALSE,'PTA-Lo'!U102,""),IF(ISBLANK('PTA-Mid'!U102)=FALSE,'PTA-Mid'!U102,"")))</f>
        <v/>
      </c>
      <c r="V102" s="30" t="str">
        <f>IF(CostScenario="Higher cost",IF(ISBLANK('PTA-Hi'!V102)=FALSE,'PTA-Hi'!V102,""),IF(CostScenario="Lower cost",IF(ISBLANK('PTA-Lo'!V102)=FALSE,'PTA-Lo'!V102,""),IF(ISBLANK('PTA-Mid'!V102)=FALSE,'PTA-Mid'!V102,"")))</f>
        <v/>
      </c>
      <c r="W102" s="2335"/>
      <c r="X102" s="30"/>
      <c r="Z102" s="30"/>
      <c r="AA102" s="30"/>
    </row>
    <row r="103" spans="1:27" s="7" customFormat="1">
      <c r="A103" s="907" t="s">
        <v>883</v>
      </c>
      <c r="B103" s="908" t="s">
        <v>741</v>
      </c>
      <c r="C103" s="941" t="s">
        <v>677</v>
      </c>
      <c r="D103" s="30" t="str">
        <f>IF(CostScenario="Higher cost",IF(ISBLANK('PTA-Hi'!D103)=FALSE,'PTA-Hi'!D103,""),IF(CostScenario="Lower cost",IF(ISBLANK('PTA-Lo'!D103)=FALSE,'PTA-Lo'!D103,""),IF(ISBLANK('PTA-Mid'!D103)=FALSE,'PTA-Mid'!D103,"")))</f>
        <v/>
      </c>
      <c r="E103" s="30" t="str">
        <f>IF(CostScenario="Higher cost",IF(ISBLANK('PTA-Hi'!E103)=FALSE,'PTA-Hi'!E103,""),IF(CostScenario="Lower cost",IF(ISBLANK('PTA-Lo'!E103)=FALSE,'PTA-Lo'!E103,""),IF(ISBLANK('PTA-Mid'!E103)=FALSE,'PTA-Mid'!E103,"")))</f>
        <v/>
      </c>
      <c r="F103" s="30" t="str">
        <f>IF(CostScenario="Higher cost",IF(ISBLANK('PTA-Hi'!F103)=FALSE,'PTA-Hi'!F103,""),IF(CostScenario="Lower cost",IF(ISBLANK('PTA-Lo'!F103)=FALSE,'PTA-Lo'!F103,""),IF(ISBLANK('PTA-Mid'!F103)=FALSE,'PTA-Mid'!F103,"")))</f>
        <v/>
      </c>
      <c r="G103" s="30" t="str">
        <f>IF(CostScenario="Higher cost",IF(ISBLANK('PTA-Hi'!G103)=FALSE,'PTA-Hi'!G103,""),IF(CostScenario="Lower cost",IF(ISBLANK('PTA-Lo'!G103)=FALSE,'PTA-Lo'!G103,""),IF(ISBLANK('PTA-Mid'!G103)=FALSE,'PTA-Mid'!G103,"")))</f>
        <v/>
      </c>
      <c r="H103" s="30" t="str">
        <f>IF(CostScenario="Higher cost",IF(ISBLANK('PTA-Hi'!H103)=FALSE,'PTA-Hi'!H103,""),IF(CostScenario="Lower cost",IF(ISBLANK('PTA-Lo'!H103)=FALSE,'PTA-Lo'!H103,""),IF(ISBLANK('PTA-Mid'!H103)=FALSE,'PTA-Mid'!H103,"")))</f>
        <v/>
      </c>
      <c r="I103" s="30" t="str">
        <f>IF(CostScenario="Higher cost",IF(ISBLANK('PTA-Hi'!I103)=FALSE,'PTA-Hi'!I103,""),IF(CostScenario="Lower cost",IF(ISBLANK('PTA-Lo'!I103)=FALSE,'PTA-Lo'!I103,""),IF(ISBLANK('PTA-Mid'!I103)=FALSE,'PTA-Mid'!I103,"")))</f>
        <v/>
      </c>
      <c r="J103" s="30" t="str">
        <f>IF(CostScenario="Higher cost",IF(ISBLANK('PTA-Hi'!J103)=FALSE,'PTA-Hi'!J103,""),IF(CostScenario="Lower cost",IF(ISBLANK('PTA-Lo'!J103)=FALSE,'PTA-Lo'!J103,""),IF(ISBLANK('PTA-Mid'!J103)=FALSE,'PTA-Mid'!J103,"")))</f>
        <v/>
      </c>
      <c r="K103" s="30" t="str">
        <f>IF(CostScenario="Higher cost",IF(ISBLANK('PTA-Hi'!K103)=FALSE,'PTA-Hi'!K103,""),IF(CostScenario="Lower cost",IF(ISBLANK('PTA-Lo'!K103)=FALSE,'PTA-Lo'!K103,""),IF(ISBLANK('PTA-Mid'!K103)=FALSE,'PTA-Mid'!K103,"")))</f>
        <v/>
      </c>
      <c r="L103" s="30" t="str">
        <f>IF(CostScenario="Higher cost",IF(ISBLANK('PTA-Hi'!L103)=FALSE,'PTA-Hi'!L103,""),IF(CostScenario="Lower cost",IF(ISBLANK('PTA-Lo'!L103)=FALSE,'PTA-Lo'!L103,""),IF(ISBLANK('PTA-Mid'!L103)=FALSE,'PTA-Mid'!L103,"")))</f>
        <v/>
      </c>
      <c r="M103" s="30" t="str">
        <f>IF(CostScenario="Higher cost",IF(ISBLANK('PTA-Hi'!M103)=FALSE,'PTA-Hi'!M103,""),IF(CostScenario="Lower cost",IF(ISBLANK('PTA-Lo'!M103)=FALSE,'PTA-Lo'!M103,""),IF(ISBLANK('PTA-Mid'!M103)=FALSE,'PTA-Mid'!M103,"")))</f>
        <v/>
      </c>
      <c r="N103" s="2335" t="str">
        <f>IF(CostScenario="Higher cost",IF(ISBLANK('PTA-Hi'!N103)=FALSE,'PTA-Hi'!N103,""),IF(CostScenario="Lower cost",IF(ISBLANK('PTA-Lo'!N103)=FALSE,'PTA-Lo'!N103,""),IF(ISBLANK('PTA-Mid'!N103)=FALSE,'PTA-Mid'!N103,"")))</f>
        <v/>
      </c>
      <c r="O103" s="2335" t="str">
        <f>IF(CostScenario="Higher cost",IF(ISBLANK('PTA-Hi'!O103)=FALSE,'PTA-Hi'!O103,""),IF(CostScenario="Lower cost",IF(ISBLANK('PTA-Lo'!O103)=FALSE,'PTA-Lo'!O103,""),IF(ISBLANK('PTA-Mid'!O103)=FALSE,'PTA-Mid'!O103,"")))</f>
        <v/>
      </c>
      <c r="P103" s="2335" t="str">
        <f>IF(CostScenario="Higher cost",IF(ISBLANK('PTA-Hi'!P103)=FALSE,'PTA-Hi'!P103,""),IF(CostScenario="Lower cost",IF(ISBLANK('PTA-Lo'!P103)=FALSE,'PTA-Lo'!P103,""),IF(ISBLANK('PTA-Mid'!P103)=FALSE,'PTA-Mid'!P103,"")))</f>
        <v/>
      </c>
      <c r="Q103" s="2335" t="str">
        <f>IF(CostScenario="Higher cost",IF(ISBLANK('PTA-Hi'!Q103)=FALSE,'PTA-Hi'!Q103,""),IF(CostScenario="Lower cost",IF(ISBLANK('PTA-Lo'!Q103)=FALSE,'PTA-Lo'!Q103,""),IF(ISBLANK('PTA-Mid'!Q103)=FALSE,'PTA-Mid'!Q103,"")))</f>
        <v/>
      </c>
      <c r="R103" s="30" t="str">
        <f>IF(CostScenario="Higher cost",IF(ISBLANK('PTA-Hi'!R103)=FALSE,'PTA-Hi'!R103,""),IF(CostScenario="Lower cost",IF(ISBLANK('PTA-Lo'!R103)=FALSE,'PTA-Lo'!R103,""),IF(ISBLANK('PTA-Mid'!R103)=FALSE,'PTA-Mid'!R103,"")))</f>
        <v/>
      </c>
      <c r="S103" s="2335" t="str">
        <f>IF(CostScenario="Higher cost",IF(ISBLANK('PTA-Hi'!S103)=FALSE,'PTA-Hi'!S103,""),IF(CostScenario="Lower cost",IF(ISBLANK('PTA-Lo'!S103)=FALSE,'PTA-Lo'!S103,""),IF(ISBLANK('PTA-Mid'!S103)=FALSE,'PTA-Mid'!S103,"")))</f>
        <v/>
      </c>
      <c r="T103" s="2335" t="str">
        <f>IF(CostScenario="Higher cost",IF(ISBLANK('PTA-Hi'!T103)=FALSE,'PTA-Hi'!T103,""),IF(CostScenario="Lower cost",IF(ISBLANK('PTA-Lo'!T103)=FALSE,'PTA-Lo'!T103,""),IF(ISBLANK('PTA-Mid'!T103)=FALSE,'PTA-Mid'!T103,"")))</f>
        <v/>
      </c>
      <c r="U103" s="30" t="str">
        <f>IF(CostScenario="Higher cost",IF(ISBLANK('PTA-Hi'!U103)=FALSE,'PTA-Hi'!U103,""),IF(CostScenario="Lower cost",IF(ISBLANK('PTA-Lo'!U103)=FALSE,'PTA-Lo'!U103,""),IF(ISBLANK('PTA-Mid'!U103)=FALSE,'PTA-Mid'!U103,"")))</f>
        <v/>
      </c>
      <c r="V103" s="30" t="str">
        <f>IF(CostScenario="Higher cost",IF(ISBLANK('PTA-Hi'!V103)=FALSE,'PTA-Hi'!V103,""),IF(CostScenario="Lower cost",IF(ISBLANK('PTA-Lo'!V103)=FALSE,'PTA-Lo'!V103,""),IF(ISBLANK('PTA-Mid'!V103)=FALSE,'PTA-Mid'!V103,"")))</f>
        <v/>
      </c>
      <c r="W103" s="2335"/>
      <c r="X103" s="30"/>
      <c r="Z103" s="30"/>
      <c r="AA103" s="30"/>
    </row>
    <row r="104" spans="1:27" s="1323" customFormat="1">
      <c r="A104" s="1320"/>
      <c r="B104" s="1321"/>
      <c r="C104" s="1322" t="s">
        <v>1394</v>
      </c>
      <c r="D104" s="1913"/>
      <c r="E104" s="1913"/>
      <c r="F104" s="1913"/>
      <c r="G104" s="1913"/>
      <c r="H104" s="1913"/>
      <c r="I104" s="1913"/>
      <c r="J104" s="1913"/>
      <c r="K104" s="1913"/>
      <c r="L104" s="1913"/>
      <c r="M104" s="1913"/>
      <c r="N104" s="1913"/>
      <c r="O104" s="1913"/>
      <c r="P104" s="1913"/>
      <c r="Q104" s="1913"/>
      <c r="R104" s="1913"/>
      <c r="S104" s="1913"/>
      <c r="T104" s="1913"/>
      <c r="U104" s="1913"/>
      <c r="V104" s="1913"/>
      <c r="W104" s="1913"/>
      <c r="X104" s="1913"/>
      <c r="Z104" s="1913"/>
      <c r="AA104" s="1913"/>
    </row>
    <row r="105" spans="1:27" s="1323" customFormat="1">
      <c r="A105" s="1413" t="s">
        <v>1402</v>
      </c>
      <c r="B105" s="1320"/>
      <c r="C105" s="1731" t="s">
        <v>1401</v>
      </c>
      <c r="D105" s="1913" t="str">
        <f>IF(CostScenario="Higher cost",IF(ISBLANK('PTA-Hi'!D105)=FALSE,'PTA-Hi'!D105,""),IF(CostScenario="Lower cost",IF(ISBLANK('PTA-Lo'!D105)=FALSE,'PTA-Lo'!D105,""),IF(ISBLANK('PTA-Mid'!D105)=FALSE,'PTA-Mid'!D105,"")))</f>
        <v/>
      </c>
      <c r="E105" s="1913" t="str">
        <f>IF(CostScenario="Higher cost",IF(ISBLANK('PTA-Hi'!E105)=FALSE,'PTA-Hi'!E105,""),IF(CostScenario="Lower cost",IF(ISBLANK('PTA-Lo'!E105)=FALSE,'PTA-Lo'!E105,""),IF(ISBLANK('PTA-Mid'!E105)=FALSE,'PTA-Mid'!E105,"")))</f>
        <v/>
      </c>
      <c r="F105" s="1913" t="str">
        <f>IF(CostScenario="Higher cost",IF(ISBLANK('PTA-Hi'!F105)=FALSE,'PTA-Hi'!F105,""),IF(CostScenario="Lower cost",IF(ISBLANK('PTA-Lo'!F105)=FALSE,'PTA-Lo'!F105,""),IF(ISBLANK('PTA-Mid'!F105)=FALSE,'PTA-Mid'!F105,"")))</f>
        <v/>
      </c>
      <c r="G105" s="1913" t="str">
        <f>IF(CostScenario="Higher cost",IF(ISBLANK('PTA-Hi'!G105)=FALSE,'PTA-Hi'!G105,""),IF(CostScenario="Lower cost",IF(ISBLANK('PTA-Lo'!G105)=FALSE,'PTA-Lo'!G105,""),IF(ISBLANK('PTA-Mid'!G105)=FALSE,'PTA-Mid'!G105,"")))</f>
        <v/>
      </c>
      <c r="H105" s="1913" t="str">
        <f>IF(CostScenario="Higher cost",IF(ISBLANK('PTA-Hi'!H105)=FALSE,'PTA-Hi'!H105,""),IF(CostScenario="Lower cost",IF(ISBLANK('PTA-Lo'!H105)=FALSE,'PTA-Lo'!H105,""),IF(ISBLANK('PTA-Mid'!H105)=FALSE,'PTA-Mid'!H105,"")))</f>
        <v/>
      </c>
      <c r="I105" s="1913" t="str">
        <f>IF(CostScenario="Higher cost",IF(ISBLANK('PTA-Hi'!I105)=FALSE,'PTA-Hi'!I105,""),IF(CostScenario="Lower cost",IF(ISBLANK('PTA-Lo'!I105)=FALSE,'PTA-Lo'!I105,""),IF(ISBLANK('PTA-Mid'!I105)=FALSE,'PTA-Mid'!I105,"")))</f>
        <v/>
      </c>
      <c r="J105" s="1913" t="str">
        <f>IF(CostScenario="Higher cost",IF(ISBLANK('PTA-Hi'!J105)=FALSE,'PTA-Hi'!J105,""),IF(CostScenario="Lower cost",IF(ISBLANK('PTA-Lo'!J105)=FALSE,'PTA-Lo'!J105,""),IF(ISBLANK('PTA-Mid'!J105)=FALSE,'PTA-Mid'!J105,"")))</f>
        <v/>
      </c>
      <c r="K105" s="1913" t="str">
        <f>IF(CostScenario="Higher cost",IF(ISBLANK('PTA-Hi'!K105)=FALSE,'PTA-Hi'!K105,""),IF(CostScenario="Lower cost",IF(ISBLANK('PTA-Lo'!K105)=FALSE,'PTA-Lo'!K105,""),IF(ISBLANK('PTA-Mid'!K105)=FALSE,'PTA-Mid'!K105,"")))</f>
        <v/>
      </c>
      <c r="L105" s="1913" t="str">
        <f>IF(CostScenario="Higher cost",IF(ISBLANK('PTA-Hi'!L105)=FALSE,'PTA-Hi'!L105,""),IF(CostScenario="Lower cost",IF(ISBLANK('PTA-Lo'!L105)=FALSE,'PTA-Lo'!L105,""),IF(ISBLANK('PTA-Mid'!L105)=FALSE,'PTA-Mid'!L105,"")))</f>
        <v/>
      </c>
      <c r="M105" s="1913" t="str">
        <f>IF(CostScenario="Higher cost",IF(ISBLANK('PTA-Hi'!M105)=FALSE,'PTA-Hi'!M105,""),IF(CostScenario="Lower cost",IF(ISBLANK('PTA-Lo'!M105)=FALSE,'PTA-Lo'!M105,""),IF(ISBLANK('PTA-Mid'!M105)=FALSE,'PTA-Mid'!M105,"")))</f>
        <v/>
      </c>
      <c r="N105" s="1913" t="str">
        <f>IF(CostScenario="Higher cost",IF(ISBLANK('PTA-Hi'!N105)=FALSE,'PTA-Hi'!N105,""),IF(CostScenario="Lower cost",IF(ISBLANK('PTA-Lo'!N105)=FALSE,'PTA-Lo'!N105,""),IF(ISBLANK('PTA-Mid'!N105)=FALSE,'PTA-Mid'!N105,"")))</f>
        <v/>
      </c>
      <c r="O105" s="1913" t="str">
        <f>IF(CostScenario="Higher cost",IF(ISBLANK('PTA-Hi'!O105)=FALSE,'PTA-Hi'!O105,""),IF(CostScenario="Lower cost",IF(ISBLANK('PTA-Lo'!O105)=FALSE,'PTA-Lo'!O105,""),IF(ISBLANK('PTA-Mid'!O105)=FALSE,'PTA-Mid'!O105,"")))</f>
        <v/>
      </c>
      <c r="P105" s="1913" t="str">
        <f>IF(CostScenario="Higher cost",IF(ISBLANK('PTA-Hi'!P105)=FALSE,'PTA-Hi'!P105,""),IF(CostScenario="Lower cost",IF(ISBLANK('PTA-Lo'!P105)=FALSE,'PTA-Lo'!P105,""),IF(ISBLANK('PTA-Mid'!P105)=FALSE,'PTA-Mid'!P105,"")))</f>
        <v/>
      </c>
      <c r="Q105" s="1913" t="str">
        <f>IF(CostScenario="Higher cost",IF(ISBLANK('PTA-Hi'!Q105)=FALSE,'PTA-Hi'!Q105,""),IF(CostScenario="Lower cost",IF(ISBLANK('PTA-Lo'!Q105)=FALSE,'PTA-Lo'!Q105,""),IF(ISBLANK('PTA-Mid'!Q105)=FALSE,'PTA-Mid'!Q105,"")))</f>
        <v/>
      </c>
      <c r="R105" s="1913" t="str">
        <f>IF(CostScenario="Higher cost",IF(ISBLANK('PTA-Hi'!R105)=FALSE,'PTA-Hi'!R105,""),IF(CostScenario="Lower cost",IF(ISBLANK('PTA-Lo'!R105)=FALSE,'PTA-Lo'!R105,""),IF(ISBLANK('PTA-Mid'!R105)=FALSE,'PTA-Mid'!R105,"")))</f>
        <v/>
      </c>
      <c r="S105" s="1913" t="str">
        <f>IF(CostScenario="Higher cost",IF(ISBLANK('PTA-Hi'!S105)=FALSE,'PTA-Hi'!S105,""),IF(CostScenario="Lower cost",IF(ISBLANK('PTA-Lo'!S105)=FALSE,'PTA-Lo'!S105,""),IF(ISBLANK('PTA-Mid'!S105)=FALSE,'PTA-Mid'!S105,"")))</f>
        <v/>
      </c>
      <c r="T105" s="1913" t="str">
        <f>IF(CostScenario="Higher cost",IF(ISBLANK('PTA-Hi'!T105)=FALSE,'PTA-Hi'!T105,""),IF(CostScenario="Lower cost",IF(ISBLANK('PTA-Lo'!T105)=FALSE,'PTA-Lo'!T105,""),IF(ISBLANK('PTA-Mid'!T105)=FALSE,'PTA-Mid'!T105,"")))</f>
        <v/>
      </c>
      <c r="U105" s="1913" t="str">
        <f>IF(CostScenario="Higher cost",IF(ISBLANK('PTA-Hi'!U105)=FALSE,'PTA-Hi'!U105,""),IF(CostScenario="Lower cost",IF(ISBLANK('PTA-Lo'!U105)=FALSE,'PTA-Lo'!U105,""),IF(ISBLANK('PTA-Mid'!U105)=FALSE,'PTA-Mid'!U105,"")))</f>
        <v/>
      </c>
      <c r="V105" s="1913" t="str">
        <f>IF(CostScenario="Higher cost",IF(ISBLANK('PTA-Hi'!V105)=FALSE,'PTA-Hi'!V105,""),IF(CostScenario="Lower cost",IF(ISBLANK('PTA-Lo'!V105)=FALSE,'PTA-Lo'!V105,""),IF(ISBLANK('PTA-Mid'!V105)=FALSE,'PTA-Mid'!V105,"")))</f>
        <v/>
      </c>
      <c r="W105" s="1913"/>
      <c r="X105" s="1913"/>
      <c r="Z105" s="1913"/>
      <c r="AA105" s="1913"/>
    </row>
    <row r="106" spans="1:27" s="7" customFormat="1">
      <c r="A106" s="907"/>
      <c r="B106" s="908"/>
      <c r="C106" s="904" t="s">
        <v>402</v>
      </c>
      <c r="D106" s="30" t="str">
        <f>IF(CostScenario="Higher cost",IF(ISBLANK('PTA-Hi'!D106)=FALSE,'PTA-Hi'!D106,""),IF(CostScenario="Lower cost",IF(ISBLANK('PTA-Lo'!D106)=FALSE,'PTA-Lo'!D106,""),IF(ISBLANK('PTA-Mid'!D106)=FALSE,'PTA-Mid'!D106,"")))</f>
        <v/>
      </c>
      <c r="E106" s="30" t="str">
        <f>IF(CostScenario="Higher cost",IF(ISBLANK('PTA-Hi'!E106)=FALSE,'PTA-Hi'!E106,""),IF(CostScenario="Lower cost",IF(ISBLANK('PTA-Lo'!E106)=FALSE,'PTA-Lo'!E106,""),IF(ISBLANK('PTA-Mid'!E106)=FALSE,'PTA-Mid'!E106,"")))</f>
        <v/>
      </c>
      <c r="F106" s="30" t="str">
        <f>IF(CostScenario="Higher cost",IF(ISBLANK('PTA-Hi'!F106)=FALSE,'PTA-Hi'!F106,""),IF(CostScenario="Lower cost",IF(ISBLANK('PTA-Lo'!F106)=FALSE,'PTA-Lo'!F106,""),IF(ISBLANK('PTA-Mid'!F106)=FALSE,'PTA-Mid'!F106,"")))</f>
        <v/>
      </c>
      <c r="G106" s="30" t="str">
        <f>IF(CostScenario="Higher cost",IF(ISBLANK('PTA-Hi'!G106)=FALSE,'PTA-Hi'!G106,""),IF(CostScenario="Lower cost",IF(ISBLANK('PTA-Lo'!G106)=FALSE,'PTA-Lo'!G106,""),IF(ISBLANK('PTA-Mid'!G106)=FALSE,'PTA-Mid'!G106,"")))</f>
        <v/>
      </c>
      <c r="H106" s="1913" t="str">
        <f>IF(CostScenario="Higher cost",IF(ISBLANK('PTA-Hi'!H106)=FALSE,'PTA-Hi'!H106,""),IF(CostScenario="Lower cost",IF(ISBLANK('PTA-Lo'!H106)=FALSE,'PTA-Lo'!H106,""),IF(ISBLANK('PTA-Mid'!H106)=FALSE,'PTA-Mid'!H106,"")))</f>
        <v/>
      </c>
      <c r="I106" s="30" t="str">
        <f>IF(CostScenario="Higher cost",IF(ISBLANK('PTA-Hi'!I106)=FALSE,'PTA-Hi'!I106,""),IF(CostScenario="Lower cost",IF(ISBLANK('PTA-Lo'!I106)=FALSE,'PTA-Lo'!I106,""),IF(ISBLANK('PTA-Mid'!I106)=FALSE,'PTA-Mid'!I106,"")))</f>
        <v/>
      </c>
      <c r="J106" s="30" t="str">
        <f>IF(CostScenario="Higher cost",IF(ISBLANK('PTA-Hi'!J106)=FALSE,'PTA-Hi'!J106,""),IF(CostScenario="Lower cost",IF(ISBLANK('PTA-Lo'!J106)=FALSE,'PTA-Lo'!J106,""),IF(ISBLANK('PTA-Mid'!J106)=FALSE,'PTA-Mid'!J106,"")))</f>
        <v/>
      </c>
      <c r="K106" s="30" t="str">
        <f>IF(CostScenario="Higher cost",IF(ISBLANK('PTA-Hi'!K106)=FALSE,'PTA-Hi'!K106,""),IF(CostScenario="Lower cost",IF(ISBLANK('PTA-Lo'!K106)=FALSE,'PTA-Lo'!K106,""),IF(ISBLANK('PTA-Mid'!K106)=FALSE,'PTA-Mid'!K106,"")))</f>
        <v/>
      </c>
      <c r="L106" s="30" t="str">
        <f>IF(CostScenario="Higher cost",IF(ISBLANK('PTA-Hi'!L106)=FALSE,'PTA-Hi'!L106,""),IF(CostScenario="Lower cost",IF(ISBLANK('PTA-Lo'!L106)=FALSE,'PTA-Lo'!L106,""),IF(ISBLANK('PTA-Mid'!L106)=FALSE,'PTA-Mid'!L106,"")))</f>
        <v/>
      </c>
      <c r="M106" s="30" t="str">
        <f>IF(CostScenario="Higher cost",IF(ISBLANK('PTA-Hi'!M106)=FALSE,'PTA-Hi'!M106,""),IF(CostScenario="Lower cost",IF(ISBLANK('PTA-Lo'!M106)=FALSE,'PTA-Lo'!M106,""),IF(ISBLANK('PTA-Mid'!M106)=FALSE,'PTA-Mid'!M106,"")))</f>
        <v/>
      </c>
      <c r="N106" s="2335" t="str">
        <f>IF(CostScenario="Higher cost",IF(ISBLANK('PTA-Hi'!N106)=FALSE,'PTA-Hi'!N106,""),IF(CostScenario="Lower cost",IF(ISBLANK('PTA-Lo'!N106)=FALSE,'PTA-Lo'!N106,""),IF(ISBLANK('PTA-Mid'!N106)=FALSE,'PTA-Mid'!N106,"")))</f>
        <v/>
      </c>
      <c r="O106" s="2335" t="str">
        <f>IF(CostScenario="Higher cost",IF(ISBLANK('PTA-Hi'!O106)=FALSE,'PTA-Hi'!O106,""),IF(CostScenario="Lower cost",IF(ISBLANK('PTA-Lo'!O106)=FALSE,'PTA-Lo'!O106,""),IF(ISBLANK('PTA-Mid'!O106)=FALSE,'PTA-Mid'!O106,"")))</f>
        <v/>
      </c>
      <c r="P106" s="2335" t="str">
        <f>IF(CostScenario="Higher cost",IF(ISBLANK('PTA-Hi'!P106)=FALSE,'PTA-Hi'!P106,""),IF(CostScenario="Lower cost",IF(ISBLANK('PTA-Lo'!P106)=FALSE,'PTA-Lo'!P106,""),IF(ISBLANK('PTA-Mid'!P106)=FALSE,'PTA-Mid'!P106,"")))</f>
        <v/>
      </c>
      <c r="Q106" s="2335" t="str">
        <f>IF(CostScenario="Higher cost",IF(ISBLANK('PTA-Hi'!Q106)=FALSE,'PTA-Hi'!Q106,""),IF(CostScenario="Lower cost",IF(ISBLANK('PTA-Lo'!Q106)=FALSE,'PTA-Lo'!Q106,""),IF(ISBLANK('PTA-Mid'!Q106)=FALSE,'PTA-Mid'!Q106,"")))</f>
        <v/>
      </c>
      <c r="R106" s="30" t="str">
        <f>IF(CostScenario="Higher cost",IF(ISBLANK('PTA-Hi'!R106)=FALSE,'PTA-Hi'!R106,""),IF(CostScenario="Lower cost",IF(ISBLANK('PTA-Lo'!R106)=FALSE,'PTA-Lo'!R106,""),IF(ISBLANK('PTA-Mid'!R106)=FALSE,'PTA-Mid'!R106,"")))</f>
        <v/>
      </c>
      <c r="S106" s="2335" t="str">
        <f>IF(CostScenario="Higher cost",IF(ISBLANK('PTA-Hi'!S106)=FALSE,'PTA-Hi'!S106,""),IF(CostScenario="Lower cost",IF(ISBLANK('PTA-Lo'!S106)=FALSE,'PTA-Lo'!S106,""),IF(ISBLANK('PTA-Mid'!S106)=FALSE,'PTA-Mid'!S106,"")))</f>
        <v/>
      </c>
      <c r="T106" s="2335" t="str">
        <f>IF(CostScenario="Higher cost",IF(ISBLANK('PTA-Hi'!T106)=FALSE,'PTA-Hi'!T106,""),IF(CostScenario="Lower cost",IF(ISBLANK('PTA-Lo'!T106)=FALSE,'PTA-Lo'!T106,""),IF(ISBLANK('PTA-Mid'!T106)=FALSE,'PTA-Mid'!T106,"")))</f>
        <v/>
      </c>
      <c r="U106" s="30" t="str">
        <f>IF(CostScenario="Higher cost",IF(ISBLANK('PTA-Hi'!U106)=FALSE,'PTA-Hi'!U106,""),IF(CostScenario="Lower cost",IF(ISBLANK('PTA-Lo'!U106)=FALSE,'PTA-Lo'!U106,""),IF(ISBLANK('PTA-Mid'!U106)=FALSE,'PTA-Mid'!U106,"")))</f>
        <v/>
      </c>
      <c r="V106" s="30" t="str">
        <f>IF(CostScenario="Higher cost",IF(ISBLANK('PTA-Hi'!V106)=FALSE,'PTA-Hi'!V106,""),IF(CostScenario="Lower cost",IF(ISBLANK('PTA-Lo'!V106)=FALSE,'PTA-Lo'!V106,""),IF(ISBLANK('PTA-Mid'!V106)=FALSE,'PTA-Mid'!V106,"")))</f>
        <v/>
      </c>
      <c r="W106" s="2335"/>
      <c r="X106" s="30"/>
      <c r="Z106" s="30"/>
      <c r="AA106" s="30"/>
    </row>
    <row r="107" spans="1:27" s="7" customFormat="1">
      <c r="A107" s="907"/>
      <c r="B107" s="908"/>
      <c r="C107" s="904" t="s">
        <v>437</v>
      </c>
      <c r="D107" s="30" t="str">
        <f>IF(CostScenario="Higher cost",IF(ISBLANK('PTA-Hi'!D107)=FALSE,'PTA-Hi'!D107,""),IF(CostScenario="Lower cost",IF(ISBLANK('PTA-Lo'!D107)=FALSE,'PTA-Lo'!D107,""),IF(ISBLANK('PTA-Mid'!D107)=FALSE,'PTA-Mid'!D107,"")))</f>
        <v/>
      </c>
      <c r="E107" s="30" t="str">
        <f>IF(CostScenario="Higher cost",IF(ISBLANK('PTA-Hi'!E107)=FALSE,'PTA-Hi'!E107,""),IF(CostScenario="Lower cost",IF(ISBLANK('PTA-Lo'!E107)=FALSE,'PTA-Lo'!E107,""),IF(ISBLANK('PTA-Mid'!E107)=FALSE,'PTA-Mid'!E107,"")))</f>
        <v/>
      </c>
      <c r="F107" s="30" t="str">
        <f>IF(CostScenario="Higher cost",IF(ISBLANK('PTA-Hi'!F107)=FALSE,'PTA-Hi'!F107,""),IF(CostScenario="Lower cost",IF(ISBLANK('PTA-Lo'!F107)=FALSE,'PTA-Lo'!F107,""),IF(ISBLANK('PTA-Mid'!F107)=FALSE,'PTA-Mid'!F107,"")))</f>
        <v/>
      </c>
      <c r="G107" s="30" t="str">
        <f>IF(CostScenario="Higher cost",IF(ISBLANK('PTA-Hi'!G107)=FALSE,'PTA-Hi'!G107,""),IF(CostScenario="Lower cost",IF(ISBLANK('PTA-Lo'!G107)=FALSE,'PTA-Lo'!G107,""),IF(ISBLANK('PTA-Mid'!G107)=FALSE,'PTA-Mid'!G107,"")))</f>
        <v/>
      </c>
      <c r="H107" s="30" t="str">
        <f>IF(CostScenario="Higher cost",IF(ISBLANK('PTA-Hi'!H107)=FALSE,'PTA-Hi'!H107,""),IF(CostScenario="Lower cost",IF(ISBLANK('PTA-Lo'!H107)=FALSE,'PTA-Lo'!H107,""),IF(ISBLANK('PTA-Mid'!H107)=FALSE,'PTA-Mid'!H107,"")))</f>
        <v/>
      </c>
      <c r="I107" s="30" t="str">
        <f>IF(CostScenario="Higher cost",IF(ISBLANK('PTA-Hi'!I107)=FALSE,'PTA-Hi'!I107,""),IF(CostScenario="Lower cost",IF(ISBLANK('PTA-Lo'!I107)=FALSE,'PTA-Lo'!I107,""),IF(ISBLANK('PTA-Mid'!I107)=FALSE,'PTA-Mid'!I107,"")))</f>
        <v/>
      </c>
      <c r="J107" s="30" t="str">
        <f>IF(CostScenario="Higher cost",IF(ISBLANK('PTA-Hi'!J107)=FALSE,'PTA-Hi'!J107,""),IF(CostScenario="Lower cost",IF(ISBLANK('PTA-Lo'!J107)=FALSE,'PTA-Lo'!J107,""),IF(ISBLANK('PTA-Mid'!J107)=FALSE,'PTA-Mid'!J107,"")))</f>
        <v/>
      </c>
      <c r="K107" s="30" t="str">
        <f>IF(CostScenario="Higher cost",IF(ISBLANK('PTA-Hi'!K107)=FALSE,'PTA-Hi'!K107,""),IF(CostScenario="Lower cost",IF(ISBLANK('PTA-Lo'!K107)=FALSE,'PTA-Lo'!K107,""),IF(ISBLANK('PTA-Mid'!K107)=FALSE,'PTA-Mid'!K107,"")))</f>
        <v/>
      </c>
      <c r="L107" s="30" t="str">
        <f>IF(CostScenario="Higher cost",IF(ISBLANK('PTA-Hi'!L107)=FALSE,'PTA-Hi'!L107,""),IF(CostScenario="Lower cost",IF(ISBLANK('PTA-Lo'!L107)=FALSE,'PTA-Lo'!L107,""),IF(ISBLANK('PTA-Mid'!L107)=FALSE,'PTA-Mid'!L107,"")))</f>
        <v/>
      </c>
      <c r="M107" s="30" t="str">
        <f>IF(CostScenario="Higher cost",IF(ISBLANK('PTA-Hi'!M107)=FALSE,'PTA-Hi'!M107,""),IF(CostScenario="Lower cost",IF(ISBLANK('PTA-Lo'!M107)=FALSE,'PTA-Lo'!M107,""),IF(ISBLANK('PTA-Mid'!M107)=FALSE,'PTA-Mid'!M107,"")))</f>
        <v/>
      </c>
      <c r="N107" s="2335" t="str">
        <f>IF(CostScenario="Higher cost",IF(ISBLANK('PTA-Hi'!N107)=FALSE,'PTA-Hi'!N107,""),IF(CostScenario="Lower cost",IF(ISBLANK('PTA-Lo'!N107)=FALSE,'PTA-Lo'!N107,""),IF(ISBLANK('PTA-Mid'!N107)=FALSE,'PTA-Mid'!N107,"")))</f>
        <v/>
      </c>
      <c r="O107" s="2335" t="str">
        <f>IF(CostScenario="Higher cost",IF(ISBLANK('PTA-Hi'!O107)=FALSE,'PTA-Hi'!O107,""),IF(CostScenario="Lower cost",IF(ISBLANK('PTA-Lo'!O107)=FALSE,'PTA-Lo'!O107,""),IF(ISBLANK('PTA-Mid'!O107)=FALSE,'PTA-Mid'!O107,"")))</f>
        <v/>
      </c>
      <c r="P107" s="2335" t="str">
        <f>IF(CostScenario="Higher cost",IF(ISBLANK('PTA-Hi'!P107)=FALSE,'PTA-Hi'!P107,""),IF(CostScenario="Lower cost",IF(ISBLANK('PTA-Lo'!P107)=FALSE,'PTA-Lo'!P107,""),IF(ISBLANK('PTA-Mid'!P107)=FALSE,'PTA-Mid'!P107,"")))</f>
        <v/>
      </c>
      <c r="Q107" s="2335" t="str">
        <f>IF(CostScenario="Higher cost",IF(ISBLANK('PTA-Hi'!Q107)=FALSE,'PTA-Hi'!Q107,""),IF(CostScenario="Lower cost",IF(ISBLANK('PTA-Lo'!Q107)=FALSE,'PTA-Lo'!Q107,""),IF(ISBLANK('PTA-Mid'!Q107)=FALSE,'PTA-Mid'!Q107,"")))</f>
        <v/>
      </c>
      <c r="R107" s="30" t="str">
        <f>IF(CostScenario="Higher cost",IF(ISBLANK('PTA-Hi'!R107)=FALSE,'PTA-Hi'!R107,""),IF(CostScenario="Lower cost",IF(ISBLANK('PTA-Lo'!R107)=FALSE,'PTA-Lo'!R107,""),IF(ISBLANK('PTA-Mid'!R107)=FALSE,'PTA-Mid'!R107,"")))</f>
        <v/>
      </c>
      <c r="S107" s="2335" t="str">
        <f>IF(CostScenario="Higher cost",IF(ISBLANK('PTA-Hi'!S107)=FALSE,'PTA-Hi'!S107,""),IF(CostScenario="Lower cost",IF(ISBLANK('PTA-Lo'!S107)=FALSE,'PTA-Lo'!S107,""),IF(ISBLANK('PTA-Mid'!S107)=FALSE,'PTA-Mid'!S107,"")))</f>
        <v/>
      </c>
      <c r="T107" s="2335" t="str">
        <f>IF(CostScenario="Higher cost",IF(ISBLANK('PTA-Hi'!T107)=FALSE,'PTA-Hi'!T107,""),IF(CostScenario="Lower cost",IF(ISBLANK('PTA-Lo'!T107)=FALSE,'PTA-Lo'!T107,""),IF(ISBLANK('PTA-Mid'!T107)=FALSE,'PTA-Mid'!T107,"")))</f>
        <v/>
      </c>
      <c r="U107" s="30" t="str">
        <f>IF(CostScenario="Higher cost",IF(ISBLANK('PTA-Hi'!U107)=FALSE,'PTA-Hi'!U107,""),IF(CostScenario="Lower cost",IF(ISBLANK('PTA-Lo'!U107)=FALSE,'PTA-Lo'!U107,""),IF(ISBLANK('PTA-Mid'!U107)=FALSE,'PTA-Mid'!U107,"")))</f>
        <v/>
      </c>
      <c r="V107" s="30" t="str">
        <f>IF(CostScenario="Higher cost",IF(ISBLANK('PTA-Hi'!V107)=FALSE,'PTA-Hi'!V107,""),IF(CostScenario="Lower cost",IF(ISBLANK('PTA-Lo'!V107)=FALSE,'PTA-Lo'!V107,""),IF(ISBLANK('PTA-Mid'!V107)=FALSE,'PTA-Mid'!V107,"")))</f>
        <v/>
      </c>
      <c r="W107" s="2335"/>
      <c r="X107" s="30"/>
      <c r="Z107" s="30"/>
      <c r="AA107" s="30"/>
    </row>
    <row r="108" spans="1:27" s="7" customFormat="1" ht="14.25">
      <c r="A108" s="907" t="s">
        <v>823</v>
      </c>
      <c r="B108" s="908" t="s">
        <v>742</v>
      </c>
      <c r="C108" s="905" t="s">
        <v>438</v>
      </c>
      <c r="D108" s="30" t="str">
        <f>IF(CostScenario="Higher cost",IF(ISBLANK('PTA-Hi'!D108)=FALSE,'PTA-Hi'!D108,""),IF(CostScenario="Lower cost",IF(ISBLANK('PTA-Lo'!D108)=FALSE,'PTA-Lo'!D108,""),IF(ISBLANK('PTA-Mid'!D108)=FALSE,'PTA-Mid'!D108,"")))</f>
        <v/>
      </c>
      <c r="E108" s="30" t="str">
        <f>IF(CostScenario="Higher cost",IF(ISBLANK('PTA-Hi'!E108)=FALSE,'PTA-Hi'!E108,""),IF(CostScenario="Lower cost",IF(ISBLANK('PTA-Lo'!E108)=FALSE,'PTA-Lo'!E108,""),IF(ISBLANK('PTA-Mid'!E108)=FALSE,'PTA-Mid'!E108,"")))</f>
        <v/>
      </c>
      <c r="F108" s="30" t="str">
        <f>IF(CostScenario="Higher cost",IF(ISBLANK('PTA-Hi'!F108)=FALSE,'PTA-Hi'!F108,""),IF(CostScenario="Lower cost",IF(ISBLANK('PTA-Lo'!F108)=FALSE,'PTA-Lo'!F108,""),IF(ISBLANK('PTA-Mid'!F108)=FALSE,'PTA-Mid'!F108,"")))</f>
        <v/>
      </c>
      <c r="G108" s="30" t="str">
        <f>IF(CostScenario="Higher cost",IF(ISBLANK('PTA-Hi'!G108)=FALSE,'PTA-Hi'!G108,""),IF(CostScenario="Lower cost",IF(ISBLANK('PTA-Lo'!G108)=FALSE,'PTA-Lo'!G108,""),IF(ISBLANK('PTA-Mid'!G108)=FALSE,'PTA-Mid'!G108,"")))</f>
        <v/>
      </c>
      <c r="H108" s="30" t="str">
        <f>IF(CostScenario="Higher cost",IF(ISBLANK('PTA-Hi'!H108)=FALSE,'PTA-Hi'!H108,""),IF(CostScenario="Lower cost",IF(ISBLANK('PTA-Lo'!H108)=FALSE,'PTA-Lo'!H108,""),IF(ISBLANK('PTA-Mid'!H108)=FALSE,'PTA-Mid'!H108,"")))</f>
        <v/>
      </c>
      <c r="I108" s="30" t="str">
        <f>IF(CostScenario="Higher cost",IF(ISBLANK('PTA-Hi'!I108)=FALSE,'PTA-Hi'!I108,""),IF(CostScenario="Lower cost",IF(ISBLANK('PTA-Lo'!I108)=FALSE,'PTA-Lo'!I108,""),IF(ISBLANK('PTA-Mid'!I108)=FALSE,'PTA-Mid'!I108,"")))</f>
        <v/>
      </c>
      <c r="J108" s="1736" t="str">
        <f>IF(CostScenario="Higher cost",IF(ISBLANK('PTA-Hi'!J108)=FALSE,'PTA-Hi'!J108,""),IF(CostScenario="Lower cost",IF(ISBLANK('PTA-Lo'!J108)=FALSE,'PTA-Lo'!J108,""),IF(ISBLANK('PTA-Mid'!J108)=FALSE,'PTA-Mid'!J108,"")))</f>
        <v/>
      </c>
      <c r="K108" s="464" t="str">
        <f>IF(CostScenario="Higher cost",IF(ISBLANK('PTA-Hi'!K108)=FALSE,'PTA-Hi'!K108,""),IF(CostScenario="Lower cost",IF(ISBLANK('PTA-Lo'!K108)=FALSE,'PTA-Lo'!K108,""),IF(ISBLANK('PTA-Mid'!K108)=FALSE,'PTA-Mid'!K108,"")))</f>
        <v/>
      </c>
      <c r="L108" s="30" t="str">
        <f>IF(CostScenario="Higher cost",IF(ISBLANK('PTA-Hi'!L108)=FALSE,'PTA-Hi'!L108,""),IF(CostScenario="Lower cost",IF(ISBLANK('PTA-Lo'!L108)=FALSE,'PTA-Lo'!L108,""),IF(ISBLANK('PTA-Mid'!L108)=FALSE,'PTA-Mid'!L108,"")))</f>
        <v/>
      </c>
      <c r="M108" s="30" t="str">
        <f>IF(CostScenario="Higher cost",IF(ISBLANK('PTA-Hi'!M108)=FALSE,'PTA-Hi'!M108,""),IF(CostScenario="Lower cost",IF(ISBLANK('PTA-Lo'!M108)=FALSE,'PTA-Lo'!M108,""),IF(ISBLANK('PTA-Mid'!M108)=FALSE,'PTA-Mid'!M108,"")))</f>
        <v/>
      </c>
      <c r="N108" s="2335" t="str">
        <f>IF(CostScenario="Higher cost",IF(ISBLANK('PTA-Hi'!N108)=FALSE,'PTA-Hi'!N108,""),IF(CostScenario="Lower cost",IF(ISBLANK('PTA-Lo'!N108)=FALSE,'PTA-Lo'!N108,""),IF(ISBLANK('PTA-Mid'!N108)=FALSE,'PTA-Mid'!N108,"")))</f>
        <v/>
      </c>
      <c r="O108" s="2335" t="str">
        <f>IF(CostScenario="Higher cost",IF(ISBLANK('PTA-Hi'!O108)=FALSE,'PTA-Hi'!O108,""),IF(CostScenario="Lower cost",IF(ISBLANK('PTA-Lo'!O108)=FALSE,'PTA-Lo'!O108,""),IF(ISBLANK('PTA-Mid'!O108)=FALSE,'PTA-Mid'!O108,"")))</f>
        <v/>
      </c>
      <c r="P108" s="2335" t="str">
        <f>IF(CostScenario="Higher cost",IF(ISBLANK('PTA-Hi'!P108)=FALSE,'PTA-Hi'!P108,""),IF(CostScenario="Lower cost",IF(ISBLANK('PTA-Lo'!P108)=FALSE,'PTA-Lo'!P108,""),IF(ISBLANK('PTA-Mid'!P108)=FALSE,'PTA-Mid'!P108,"")))</f>
        <v/>
      </c>
      <c r="Q108" s="2335" t="str">
        <f>IF(CostScenario="Higher cost",IF(ISBLANK('PTA-Hi'!Q108)=FALSE,'PTA-Hi'!Q108,""),IF(CostScenario="Lower cost",IF(ISBLANK('PTA-Lo'!Q108)=FALSE,'PTA-Lo'!Q108,""),IF(ISBLANK('PTA-Mid'!Q108)=FALSE,'PTA-Mid'!Q108,"")))</f>
        <v/>
      </c>
      <c r="R108" s="30" t="str">
        <f>IF(CostScenario="Higher cost",IF(ISBLANK('PTA-Hi'!R108)=FALSE,'PTA-Hi'!R108,""),IF(CostScenario="Lower cost",IF(ISBLANK('PTA-Lo'!R108)=FALSE,'PTA-Lo'!R108,""),IF(ISBLANK('PTA-Mid'!R108)=FALSE,'PTA-Mid'!R108,"")))</f>
        <v/>
      </c>
      <c r="S108" s="2335" t="str">
        <f>IF(CostScenario="Higher cost",IF(ISBLANK('PTA-Hi'!S108)=FALSE,'PTA-Hi'!S108,""),IF(CostScenario="Lower cost",IF(ISBLANK('PTA-Lo'!S108)=FALSE,'PTA-Lo'!S108,""),IF(ISBLANK('PTA-Mid'!S108)=FALSE,'PTA-Mid'!S108,"")))</f>
        <v/>
      </c>
      <c r="T108" s="2335" t="str">
        <f>IF(CostScenario="Higher cost",IF(ISBLANK('PTA-Hi'!T108)=FALSE,'PTA-Hi'!T108,""),IF(CostScenario="Lower cost",IF(ISBLANK('PTA-Lo'!T108)=FALSE,'PTA-Lo'!T108,""),IF(ISBLANK('PTA-Mid'!T108)=FALSE,'PTA-Mid'!T108,"")))</f>
        <v/>
      </c>
      <c r="U108" s="1921" t="str">
        <f>IF(CostScenario="Higher cost",IF(ISBLANK('PTA-Hi'!U108)=FALSE,'PTA-Hi'!U108,""),IF(CostScenario="Lower cost",IF(ISBLANK('PTA-Lo'!U108)=FALSE,'PTA-Lo'!U108,""),IF(ISBLANK('PTA-Mid'!U108)=FALSE,'PTA-Mid'!U108,"")))</f>
        <v/>
      </c>
      <c r="V108" s="1921" t="str">
        <f>IF(CostScenario="Higher cost",IF(ISBLANK('PTA-Hi'!V108)=FALSE,'PTA-Hi'!V108,""),IF(CostScenario="Lower cost",IF(ISBLANK('PTA-Lo'!V108)=FALSE,'PTA-Lo'!V108,""),IF(ISBLANK('PTA-Mid'!V108)=FALSE,'PTA-Mid'!V108,"")))</f>
        <v/>
      </c>
      <c r="W108" s="1921"/>
      <c r="X108" s="30"/>
      <c r="Z108" s="30"/>
      <c r="AA108" s="30"/>
    </row>
    <row r="109" spans="1:27" s="1323" customFormat="1">
      <c r="A109" s="1320" t="s">
        <v>824</v>
      </c>
      <c r="B109" s="1321" t="s">
        <v>743</v>
      </c>
      <c r="C109" s="3296" t="s">
        <v>441</v>
      </c>
      <c r="D109" s="1913">
        <f>IF(CostScenario="Higher cost",IF(ISBLANK('PTA-Hi'!D109)=FALSE,'PTA-Hi'!D109,""),IF(CostScenario="Lower cost",IF(ISBLANK('PTA-Lo'!D109)=FALSE,'PTA-Lo'!D109,""),IF(ISBLANK('PTA-Mid'!D109)=FALSE,'PTA-Mid'!D109,"")))</f>
        <v>2.1999999999999999E-2</v>
      </c>
      <c r="E109" s="1913">
        <f>IF(CostScenario="Higher cost",IF(ISBLANK('PTA-Hi'!E109)=FALSE,'PTA-Hi'!E109,""),IF(CostScenario="Lower cost",IF(ISBLANK('PTA-Lo'!E109)=FALSE,'PTA-Lo'!E109,""),IF(ISBLANK('PTA-Mid'!E109)=FALSE,'PTA-Mid'!E109,"")))</f>
        <v>2.1999999999999999E-2</v>
      </c>
      <c r="F109" s="1913">
        <f>IF(CostScenario="Higher cost",IF(ISBLANK('PTA-Hi'!F109)=FALSE,'PTA-Hi'!F109,""),IF(CostScenario="Lower cost",IF(ISBLANK('PTA-Lo'!F109)=FALSE,'PTA-Lo'!F109,""),IF(ISBLANK('PTA-Mid'!F109)=FALSE,'PTA-Mid'!F109,"")))</f>
        <v>2.1999999999999999E-2</v>
      </c>
      <c r="G109" s="1913">
        <f>IF(CostScenario="Higher cost",IF(ISBLANK('PTA-Hi'!G109)=FALSE,'PTA-Hi'!G109,""),IF(CostScenario="Lower cost",IF(ISBLANK('PTA-Lo'!G109)=FALSE,'PTA-Lo'!G109,""),IF(ISBLANK('PTA-Mid'!G109)=FALSE,'PTA-Mid'!G109,"")))</f>
        <v>2.1999999999999999E-2</v>
      </c>
      <c r="H109" s="1913">
        <f>IF(CostScenario="Higher cost",IF(ISBLANK('PTA-Hi'!H109)=FALSE,'PTA-Hi'!H109,""),IF(CostScenario="Lower cost",IF(ISBLANK('PTA-Lo'!H109)=FALSE,'PTA-Lo'!H109,""),IF(ISBLANK('PTA-Mid'!H109)=FALSE,'PTA-Mid'!H109,"")))</f>
        <v>2.1999999999999999E-2</v>
      </c>
      <c r="I109" s="1913">
        <f>IF(CostScenario="Higher cost",IF(ISBLANK('PTA-Hi'!I109)=FALSE,'PTA-Hi'!I109,""),IF(CostScenario="Lower cost",IF(ISBLANK('PTA-Lo'!I109)=FALSE,'PTA-Lo'!I109,""),IF(ISBLANK('PTA-Mid'!I109)=FALSE,'PTA-Mid'!I109,"")))</f>
        <v>2.1999999999999999E-2</v>
      </c>
      <c r="J109" s="1913">
        <f>IF(CostScenario="Higher cost",IF(ISBLANK('PTA-Hi'!J109)=FALSE,'PTA-Hi'!J109,""),IF(CostScenario="Lower cost",IF(ISBLANK('PTA-Lo'!J109)=FALSE,'PTA-Lo'!J109,""),IF(ISBLANK('PTA-Mid'!J109)=FALSE,'PTA-Mid'!J109,"")))</f>
        <v>2.1999999999999999E-2</v>
      </c>
      <c r="K109" s="1913">
        <f>IF(CostScenario="Higher cost",IF(ISBLANK('PTA-Hi'!K109)=FALSE,'PTA-Hi'!K109,""),IF(CostScenario="Lower cost",IF(ISBLANK('PTA-Lo'!K109)=FALSE,'PTA-Lo'!K109,""),IF(ISBLANK('PTA-Mid'!K109)=FALSE,'PTA-Mid'!K109,"")))</f>
        <v>2.1999999999999999E-2</v>
      </c>
      <c r="L109" s="1913">
        <f>IF(CostScenario="Higher cost",IF(ISBLANK('PTA-Hi'!L109)=FALSE,'PTA-Hi'!L109,""),IF(CostScenario="Lower cost",IF(ISBLANK('PTA-Lo'!L109)=FALSE,'PTA-Lo'!L109,""),IF(ISBLANK('PTA-Mid'!L109)=FALSE,'PTA-Mid'!L109,"")))</f>
        <v>2.1999999999999999E-2</v>
      </c>
      <c r="M109" s="1913">
        <f>IF(CostScenario="Higher cost",IF(ISBLANK('PTA-Hi'!M109)=FALSE,'PTA-Hi'!M109,""),IF(CostScenario="Lower cost",IF(ISBLANK('PTA-Lo'!M109)=FALSE,'PTA-Lo'!M109,""),IF(ISBLANK('PTA-Mid'!M109)=FALSE,'PTA-Mid'!M109,"")))</f>
        <v>2.1999999999999999E-2</v>
      </c>
      <c r="N109" s="1913">
        <f>IF(CostScenario="Higher cost",IF(ISBLANK('PTA-Hi'!N109)=FALSE,'PTA-Hi'!N109,""),IF(CostScenario="Lower cost",IF(ISBLANK('PTA-Lo'!N109)=FALSE,'PTA-Lo'!N109,""),IF(ISBLANK('PTA-Mid'!N109)=FALSE,'PTA-Mid'!N109,"")))</f>
        <v>2.1999999999999999E-2</v>
      </c>
      <c r="O109" s="1913">
        <f>IF(CostScenario="Higher cost",IF(ISBLANK('PTA-Hi'!O109)=FALSE,'PTA-Hi'!O109,""),IF(CostScenario="Lower cost",IF(ISBLANK('PTA-Lo'!O109)=FALSE,'PTA-Lo'!O109,""),IF(ISBLANK('PTA-Mid'!O109)=FALSE,'PTA-Mid'!O109,"")))</f>
        <v>2.1999999999999999E-2</v>
      </c>
      <c r="P109" s="1913">
        <f>IF(CostScenario="Higher cost",IF(ISBLANK('PTA-Hi'!P109)=FALSE,'PTA-Hi'!P109,""),IF(CostScenario="Lower cost",IF(ISBLANK('PTA-Lo'!P109)=FALSE,'PTA-Lo'!P109,""),IF(ISBLANK('PTA-Mid'!P109)=FALSE,'PTA-Mid'!P109,"")))</f>
        <v>2.1999999999999999E-2</v>
      </c>
      <c r="Q109" s="1913">
        <f>IF(CostScenario="Higher cost",IF(ISBLANK('PTA-Hi'!Q109)=FALSE,'PTA-Hi'!Q109,""),IF(CostScenario="Lower cost",IF(ISBLANK('PTA-Lo'!Q109)=FALSE,'PTA-Lo'!Q109,""),IF(ISBLANK('PTA-Mid'!Q109)=FALSE,'PTA-Mid'!Q109,"")))</f>
        <v>2.1999999999999999E-2</v>
      </c>
      <c r="R109" s="1913">
        <f>IF(CostScenario="Higher cost",IF(ISBLANK('PTA-Hi'!R109)=FALSE,'PTA-Hi'!R109,""),IF(CostScenario="Lower cost",IF(ISBLANK('PTA-Lo'!R109)=FALSE,'PTA-Lo'!R109,""),IF(ISBLANK('PTA-Mid'!R109)=FALSE,'PTA-Mid'!R109,"")))</f>
        <v>2.1999999999999999E-2</v>
      </c>
      <c r="S109" s="1913">
        <f>IF(CostScenario="Higher cost",IF(ISBLANK('PTA-Hi'!S109)=FALSE,'PTA-Hi'!S109,""),IF(CostScenario="Lower cost",IF(ISBLANK('PTA-Lo'!S109)=FALSE,'PTA-Lo'!S109,""),IF(ISBLANK('PTA-Mid'!S109)=FALSE,'PTA-Mid'!S109,"")))</f>
        <v>2.1999999999999999E-2</v>
      </c>
      <c r="T109" s="1913">
        <f>IF(CostScenario="Higher cost",IF(ISBLANK('PTA-Hi'!T109)=FALSE,'PTA-Hi'!T109,""),IF(CostScenario="Lower cost",IF(ISBLANK('PTA-Lo'!T109)=FALSE,'PTA-Lo'!T109,""),IF(ISBLANK('PTA-Mid'!T109)=FALSE,'PTA-Mid'!T109,"")))</f>
        <v>2.1999999999999999E-2</v>
      </c>
      <c r="U109" s="1913">
        <f>IF(CostScenario="Higher cost",IF(ISBLANK('PTA-Hi'!U109)=FALSE,'PTA-Hi'!U109,""),IF(CostScenario="Lower cost",IF(ISBLANK('PTA-Lo'!U109)=FALSE,'PTA-Lo'!U109,""),IF(ISBLANK('PTA-Mid'!U109)=FALSE,'PTA-Mid'!U109,"")))</f>
        <v>2.1999999999999999E-2</v>
      </c>
      <c r="V109" s="1913">
        <f>IF(CostScenario="Higher cost",IF(ISBLANK('PTA-Hi'!V109)=FALSE,'PTA-Hi'!V109,""),IF(CostScenario="Lower cost",IF(ISBLANK('PTA-Lo'!V109)=FALSE,'PTA-Lo'!V109,""),IF(ISBLANK('PTA-Mid'!V109)=FALSE,'PTA-Mid'!V109,"")))</f>
        <v>2.1999999999999999E-2</v>
      </c>
      <c r="W109" s="1913"/>
      <c r="X109" s="1913"/>
      <c r="Z109" s="1913"/>
      <c r="AA109" s="1913"/>
    </row>
    <row r="110" spans="1:27" s="7" customFormat="1">
      <c r="A110" s="907" t="s">
        <v>825</v>
      </c>
      <c r="B110" s="908" t="s">
        <v>744</v>
      </c>
      <c r="C110" s="905" t="s">
        <v>439</v>
      </c>
      <c r="D110" s="30" t="str">
        <f>IF(CostScenario="Higher cost",IF(ISBLANK('PTA-Hi'!D110)=FALSE,'PTA-Hi'!D110,""),IF(CostScenario="Lower cost",IF(ISBLANK('PTA-Lo'!D110)=FALSE,'PTA-Lo'!D110,""),IF(ISBLANK('PTA-Mid'!D110)=FALSE,'PTA-Mid'!D110,"")))</f>
        <v/>
      </c>
      <c r="E110" s="30" t="str">
        <f>IF(CostScenario="Higher cost",IF(ISBLANK('PTA-Hi'!E110)=FALSE,'PTA-Hi'!E110,""),IF(CostScenario="Lower cost",IF(ISBLANK('PTA-Lo'!E110)=FALSE,'PTA-Lo'!E110,""),IF(ISBLANK('PTA-Mid'!E110)=FALSE,'PTA-Mid'!E110,"")))</f>
        <v/>
      </c>
      <c r="F110" s="30" t="str">
        <f>IF(CostScenario="Higher cost",IF(ISBLANK('PTA-Hi'!F110)=FALSE,'PTA-Hi'!F110,""),IF(CostScenario="Lower cost",IF(ISBLANK('PTA-Lo'!F110)=FALSE,'PTA-Lo'!F110,""),IF(ISBLANK('PTA-Mid'!F110)=FALSE,'PTA-Mid'!F110,"")))</f>
        <v/>
      </c>
      <c r="G110" s="30" t="str">
        <f>IF(CostScenario="Higher cost",IF(ISBLANK('PTA-Hi'!G110)=FALSE,'PTA-Hi'!G110,""),IF(CostScenario="Lower cost",IF(ISBLANK('PTA-Lo'!G110)=FALSE,'PTA-Lo'!G110,""),IF(ISBLANK('PTA-Mid'!G110)=FALSE,'PTA-Mid'!G110,"")))</f>
        <v/>
      </c>
      <c r="H110" s="30" t="str">
        <f>IF(CostScenario="Higher cost",IF(ISBLANK('PTA-Hi'!H110)=FALSE,'PTA-Hi'!H110,""),IF(CostScenario="Lower cost",IF(ISBLANK('PTA-Lo'!H110)=FALSE,'PTA-Lo'!H110,""),IF(ISBLANK('PTA-Mid'!H110)=FALSE,'PTA-Mid'!H110,"")))</f>
        <v/>
      </c>
      <c r="I110" s="30" t="str">
        <f>IF(CostScenario="Higher cost",IF(ISBLANK('PTA-Hi'!I110)=FALSE,'PTA-Hi'!I110,""),IF(CostScenario="Lower cost",IF(ISBLANK('PTA-Lo'!I110)=FALSE,'PTA-Lo'!I110,""),IF(ISBLANK('PTA-Mid'!I110)=FALSE,'PTA-Mid'!I110,"")))</f>
        <v/>
      </c>
      <c r="J110" s="30" t="str">
        <f>IF(CostScenario="Higher cost",IF(ISBLANK('PTA-Hi'!J110)=FALSE,'PTA-Hi'!J110,""),IF(CostScenario="Lower cost",IF(ISBLANK('PTA-Lo'!J110)=FALSE,'PTA-Lo'!J110,""),IF(ISBLANK('PTA-Mid'!J110)=FALSE,'PTA-Mid'!J110,"")))</f>
        <v/>
      </c>
      <c r="K110" s="30" t="str">
        <f>IF(CostScenario="Higher cost",IF(ISBLANK('PTA-Hi'!K110)=FALSE,'PTA-Hi'!K110,""),IF(CostScenario="Lower cost",IF(ISBLANK('PTA-Lo'!K110)=FALSE,'PTA-Lo'!K110,""),IF(ISBLANK('PTA-Mid'!K110)=FALSE,'PTA-Mid'!K110,"")))</f>
        <v/>
      </c>
      <c r="L110" s="30" t="str">
        <f>IF(CostScenario="Higher cost",IF(ISBLANK('PTA-Hi'!L110)=FALSE,'PTA-Hi'!L110,""),IF(CostScenario="Lower cost",IF(ISBLANK('PTA-Lo'!L110)=FALSE,'PTA-Lo'!L110,""),IF(ISBLANK('PTA-Mid'!L110)=FALSE,'PTA-Mid'!L110,"")))</f>
        <v/>
      </c>
      <c r="M110" s="30" t="str">
        <f>IF(CostScenario="Higher cost",IF(ISBLANK('PTA-Hi'!M110)=FALSE,'PTA-Hi'!M110,""),IF(CostScenario="Lower cost",IF(ISBLANK('PTA-Lo'!M110)=FALSE,'PTA-Lo'!M110,""),IF(ISBLANK('PTA-Mid'!M110)=FALSE,'PTA-Mid'!M110,"")))</f>
        <v/>
      </c>
      <c r="N110" s="2335" t="str">
        <f>IF(CostScenario="Higher cost",IF(ISBLANK('PTA-Hi'!N110)=FALSE,'PTA-Hi'!N110,""),IF(CostScenario="Lower cost",IF(ISBLANK('PTA-Lo'!N110)=FALSE,'PTA-Lo'!N110,""),IF(ISBLANK('PTA-Mid'!N110)=FALSE,'PTA-Mid'!N110,"")))</f>
        <v/>
      </c>
      <c r="O110" s="2335" t="str">
        <f>IF(CostScenario="Higher cost",IF(ISBLANK('PTA-Hi'!O110)=FALSE,'PTA-Hi'!O110,""),IF(CostScenario="Lower cost",IF(ISBLANK('PTA-Lo'!O110)=FALSE,'PTA-Lo'!O110,""),IF(ISBLANK('PTA-Mid'!O110)=FALSE,'PTA-Mid'!O110,"")))</f>
        <v/>
      </c>
      <c r="P110" s="2335" t="str">
        <f>IF(CostScenario="Higher cost",IF(ISBLANK('PTA-Hi'!P110)=FALSE,'PTA-Hi'!P110,""),IF(CostScenario="Lower cost",IF(ISBLANK('PTA-Lo'!P110)=FALSE,'PTA-Lo'!P110,""),IF(ISBLANK('PTA-Mid'!P110)=FALSE,'PTA-Mid'!P110,"")))</f>
        <v/>
      </c>
      <c r="Q110" s="2335" t="str">
        <f>IF(CostScenario="Higher cost",IF(ISBLANK('PTA-Hi'!Q110)=FALSE,'PTA-Hi'!Q110,""),IF(CostScenario="Lower cost",IF(ISBLANK('PTA-Lo'!Q110)=FALSE,'PTA-Lo'!Q110,""),IF(ISBLANK('PTA-Mid'!Q110)=FALSE,'PTA-Mid'!Q110,"")))</f>
        <v/>
      </c>
      <c r="R110" s="30" t="str">
        <f>IF(CostScenario="Higher cost",IF(ISBLANK('PTA-Hi'!R110)=FALSE,'PTA-Hi'!R110,""),IF(CostScenario="Lower cost",IF(ISBLANK('PTA-Lo'!R110)=FALSE,'PTA-Lo'!R110,""),IF(ISBLANK('PTA-Mid'!R110)=FALSE,'PTA-Mid'!R110,"")))</f>
        <v/>
      </c>
      <c r="S110" s="2335" t="str">
        <f>IF(CostScenario="Higher cost",IF(ISBLANK('PTA-Hi'!S110)=FALSE,'PTA-Hi'!S110,""),IF(CostScenario="Lower cost",IF(ISBLANK('PTA-Lo'!S110)=FALSE,'PTA-Lo'!S110,""),IF(ISBLANK('PTA-Mid'!S110)=FALSE,'PTA-Mid'!S110,"")))</f>
        <v/>
      </c>
      <c r="T110" s="2335" t="str">
        <f>IF(CostScenario="Higher cost",IF(ISBLANK('PTA-Hi'!T110)=FALSE,'PTA-Hi'!T110,""),IF(CostScenario="Lower cost",IF(ISBLANK('PTA-Lo'!T110)=FALSE,'PTA-Lo'!T110,""),IF(ISBLANK('PTA-Mid'!T110)=FALSE,'PTA-Mid'!T110,"")))</f>
        <v/>
      </c>
      <c r="U110" s="30" t="str">
        <f>IF(CostScenario="Higher cost",IF(ISBLANK('PTA-Hi'!U110)=FALSE,'PTA-Hi'!U110,""),IF(CostScenario="Lower cost",IF(ISBLANK('PTA-Lo'!U110)=FALSE,'PTA-Lo'!U110,""),IF(ISBLANK('PTA-Mid'!U110)=FALSE,'PTA-Mid'!U110,"")))</f>
        <v/>
      </c>
      <c r="V110" s="30" t="str">
        <f>IF(CostScenario="Higher cost",IF(ISBLANK('PTA-Hi'!V110)=FALSE,'PTA-Hi'!V110,""),IF(CostScenario="Lower cost",IF(ISBLANK('PTA-Lo'!V110)=FALSE,'PTA-Lo'!V110,""),IF(ISBLANK('PTA-Mid'!V110)=FALSE,'PTA-Mid'!V110,"")))</f>
        <v/>
      </c>
      <c r="W110" s="2335"/>
      <c r="X110" s="30"/>
      <c r="Z110" s="30"/>
      <c r="AA110" s="30"/>
    </row>
    <row r="111" spans="1:27" s="1323" customFormat="1">
      <c r="A111" s="1320" t="s">
        <v>1673</v>
      </c>
      <c r="B111" s="1321"/>
      <c r="C111" s="3296" t="s">
        <v>1669</v>
      </c>
      <c r="D111" s="1913">
        <f>IF(CostScenario="Higher cost",IF(ISBLANK('PTA-Hi'!D111)=FALSE,'PTA-Hi'!D111,""),IF(CostScenario="Lower cost",IF(ISBLANK('PTA-Lo'!D111)=FALSE,'PTA-Lo'!D111,""),IF(ISBLANK('PTA-Mid'!D111)=FALSE,'PTA-Mid'!D111,"")))</f>
        <v>0.03</v>
      </c>
      <c r="E111" s="1913">
        <f>IF(CostScenario="Higher cost",IF(ISBLANK('PTA-Hi'!E111)=FALSE,'PTA-Hi'!E111,""),IF(CostScenario="Lower cost",IF(ISBLANK('PTA-Lo'!E111)=FALSE,'PTA-Lo'!E111,""),IF(ISBLANK('PTA-Mid'!E111)=FALSE,'PTA-Mid'!E111,"")))</f>
        <v>0.03</v>
      </c>
      <c r="F111" s="1913">
        <f>IF(CostScenario="Higher cost",IF(ISBLANK('PTA-Hi'!F111)=FALSE,'PTA-Hi'!F111,""),IF(CostScenario="Lower cost",IF(ISBLANK('PTA-Lo'!F111)=FALSE,'PTA-Lo'!F111,""),IF(ISBLANK('PTA-Mid'!F111)=FALSE,'PTA-Mid'!F111,"")))</f>
        <v>0.03</v>
      </c>
      <c r="G111" s="1913">
        <f>IF(CostScenario="Higher cost",IF(ISBLANK('PTA-Hi'!G111)=FALSE,'PTA-Hi'!G111,""),IF(CostScenario="Lower cost",IF(ISBLANK('PTA-Lo'!G111)=FALSE,'PTA-Lo'!G111,""),IF(ISBLANK('PTA-Mid'!G111)=FALSE,'PTA-Mid'!G111,"")))</f>
        <v>0.03</v>
      </c>
      <c r="H111" s="1913">
        <f>IF(CostScenario="Higher cost",IF(ISBLANK('PTA-Hi'!H111)=FALSE,'PTA-Hi'!H111,""),IF(CostScenario="Lower cost",IF(ISBLANK('PTA-Lo'!H111)=FALSE,'PTA-Lo'!H111,""),IF(ISBLANK('PTA-Mid'!H111)=FALSE,'PTA-Mid'!H111,"")))</f>
        <v>0.03</v>
      </c>
      <c r="I111" s="1913">
        <f>IF(CostScenario="Higher cost",IF(ISBLANK('PTA-Hi'!I111)=FALSE,'PTA-Hi'!I111,""),IF(CostScenario="Lower cost",IF(ISBLANK('PTA-Lo'!I111)=FALSE,'PTA-Lo'!I111,""),IF(ISBLANK('PTA-Mid'!I111)=FALSE,'PTA-Mid'!I111,"")))</f>
        <v>0.03</v>
      </c>
      <c r="J111" s="1913">
        <f>IF(CostScenario="Higher cost",IF(ISBLANK('PTA-Hi'!J111)=FALSE,'PTA-Hi'!J111,""),IF(CostScenario="Lower cost",IF(ISBLANK('PTA-Lo'!J111)=FALSE,'PTA-Lo'!J111,""),IF(ISBLANK('PTA-Mid'!J111)=FALSE,'PTA-Mid'!J111,"")))</f>
        <v>0.03</v>
      </c>
      <c r="K111" s="1913">
        <f>IF(CostScenario="Higher cost",IF(ISBLANK('PTA-Hi'!K111)=FALSE,'PTA-Hi'!K111,""),IF(CostScenario="Lower cost",IF(ISBLANK('PTA-Lo'!K111)=FALSE,'PTA-Lo'!K111,""),IF(ISBLANK('PTA-Mid'!K111)=FALSE,'PTA-Mid'!K111,"")))</f>
        <v>0.03</v>
      </c>
      <c r="L111" s="1913">
        <f>IF(CostScenario="Higher cost",IF(ISBLANK('PTA-Hi'!L111)=FALSE,'PTA-Hi'!L111,""),IF(CostScenario="Lower cost",IF(ISBLANK('PTA-Lo'!L111)=FALSE,'PTA-Lo'!L111,""),IF(ISBLANK('PTA-Mid'!L111)=FALSE,'PTA-Mid'!L111,"")))</f>
        <v>0.03</v>
      </c>
      <c r="M111" s="1913">
        <f>IF(CostScenario="Higher cost",IF(ISBLANK('PTA-Hi'!M111)=FALSE,'PTA-Hi'!M111,""),IF(CostScenario="Lower cost",IF(ISBLANK('PTA-Lo'!M111)=FALSE,'PTA-Lo'!M111,""),IF(ISBLANK('PTA-Mid'!M111)=FALSE,'PTA-Mid'!M111,"")))</f>
        <v>0.03</v>
      </c>
      <c r="N111" s="1913">
        <f>IF(CostScenario="Higher cost",IF(ISBLANK('PTA-Hi'!N111)=FALSE,'PTA-Hi'!N111,""),IF(CostScenario="Lower cost",IF(ISBLANK('PTA-Lo'!N111)=FALSE,'PTA-Lo'!N111,""),IF(ISBLANK('PTA-Mid'!N111)=FALSE,'PTA-Mid'!N111,"")))</f>
        <v>0.03</v>
      </c>
      <c r="O111" s="1913">
        <f>IF(CostScenario="Higher cost",IF(ISBLANK('PTA-Hi'!O111)=FALSE,'PTA-Hi'!O111,""),IF(CostScenario="Lower cost",IF(ISBLANK('PTA-Lo'!O111)=FALSE,'PTA-Lo'!O111,""),IF(ISBLANK('PTA-Mid'!O111)=FALSE,'PTA-Mid'!O111,"")))</f>
        <v>0.03</v>
      </c>
      <c r="P111" s="1913">
        <f>IF(CostScenario="Higher cost",IF(ISBLANK('PTA-Hi'!P111)=FALSE,'PTA-Hi'!P111,""),IF(CostScenario="Lower cost",IF(ISBLANK('PTA-Lo'!P111)=FALSE,'PTA-Lo'!P111,""),IF(ISBLANK('PTA-Mid'!P111)=FALSE,'PTA-Mid'!P111,"")))</f>
        <v>0.03</v>
      </c>
      <c r="Q111" s="1913">
        <f>IF(CostScenario="Higher cost",IF(ISBLANK('PTA-Hi'!Q111)=FALSE,'PTA-Hi'!Q111,""),IF(CostScenario="Lower cost",IF(ISBLANK('PTA-Lo'!Q111)=FALSE,'PTA-Lo'!Q111,""),IF(ISBLANK('PTA-Mid'!Q111)=FALSE,'PTA-Mid'!Q111,"")))</f>
        <v>1.7999999999999999E-2</v>
      </c>
      <c r="R111" s="1913">
        <f>IF(CostScenario="Higher cost",IF(ISBLANK('PTA-Hi'!R111)=FALSE,'PTA-Hi'!R111,""),IF(CostScenario="Lower cost",IF(ISBLANK('PTA-Lo'!R111)=FALSE,'PTA-Lo'!R111,""),IF(ISBLANK('PTA-Mid'!R111)=FALSE,'PTA-Mid'!R111,"")))</f>
        <v>1.7999999999999999E-2</v>
      </c>
      <c r="S111" s="1913">
        <f>IF(CostScenario="Higher cost",IF(ISBLANK('PTA-Hi'!S111)=FALSE,'PTA-Hi'!S111,""),IF(CostScenario="Lower cost",IF(ISBLANK('PTA-Lo'!S111)=FALSE,'PTA-Lo'!S111,""),IF(ISBLANK('PTA-Mid'!S111)=FALSE,'PTA-Mid'!S111,"")))</f>
        <v>1.7999999999999999E-2</v>
      </c>
      <c r="T111" s="1913">
        <f>IF(CostScenario="Higher cost",IF(ISBLANK('PTA-Hi'!T111)=FALSE,'PTA-Hi'!T111,""),IF(CostScenario="Lower cost",IF(ISBLANK('PTA-Lo'!T111)=FALSE,'PTA-Lo'!T111,""),IF(ISBLANK('PTA-Mid'!T111)=FALSE,'PTA-Mid'!T111,"")))</f>
        <v>1.7999999999999999E-2</v>
      </c>
      <c r="U111" s="1913">
        <f>IF(CostScenario="Higher cost",IF(ISBLANK('PTA-Hi'!U111)=FALSE,'PTA-Hi'!U111,""),IF(CostScenario="Lower cost",IF(ISBLANK('PTA-Lo'!U111)=FALSE,'PTA-Lo'!U111,""),IF(ISBLANK('PTA-Mid'!U111)=FALSE,'PTA-Mid'!U111,"")))</f>
        <v>0.03</v>
      </c>
      <c r="V111" s="1913">
        <f>IF(CostScenario="Higher cost",IF(ISBLANK('PTA-Hi'!V111)=FALSE,'PTA-Hi'!V111,""),IF(CostScenario="Lower cost",IF(ISBLANK('PTA-Lo'!V111)=FALSE,'PTA-Lo'!V111,""),IF(ISBLANK('PTA-Mid'!V111)=FALSE,'PTA-Mid'!V111,"")))</f>
        <v>0.03</v>
      </c>
      <c r="W111" s="1913"/>
      <c r="X111" s="1913"/>
      <c r="Z111" s="1913"/>
      <c r="AA111" s="1913"/>
    </row>
    <row r="112" spans="1:27" s="7" customFormat="1">
      <c r="A112" s="907"/>
      <c r="B112" s="908"/>
      <c r="C112" s="904" t="s">
        <v>1324</v>
      </c>
      <c r="D112" s="30"/>
      <c r="E112" s="30"/>
      <c r="F112" s="30"/>
      <c r="G112" s="30"/>
      <c r="H112" s="30"/>
      <c r="I112" s="30"/>
      <c r="J112" s="30"/>
      <c r="K112" s="30"/>
      <c r="L112" s="30"/>
      <c r="M112" s="30"/>
      <c r="N112" s="2335"/>
      <c r="O112" s="2335"/>
      <c r="P112" s="2335"/>
      <c r="Q112" s="2335"/>
      <c r="R112" s="30"/>
      <c r="S112" s="2335"/>
      <c r="T112" s="2335"/>
      <c r="U112" s="30"/>
      <c r="V112" s="30"/>
      <c r="W112" s="2335"/>
      <c r="X112" s="30"/>
      <c r="Z112" s="30"/>
      <c r="AA112" s="30"/>
    </row>
    <row r="113" spans="1:27" s="7" customFormat="1">
      <c r="A113" s="907" t="s">
        <v>826</v>
      </c>
      <c r="B113" s="908" t="s">
        <v>745</v>
      </c>
      <c r="C113" s="941" t="s">
        <v>442</v>
      </c>
      <c r="D113" s="30" t="str">
        <f>IF(CostScenario="Higher cost",IF(ISBLANK('PTA-Hi'!D113)=FALSE,'PTA-Hi'!D113,""),IF(CostScenario="Lower cost",IF(ISBLANK('PTA-Lo'!D113)=FALSE,'PTA-Lo'!D113,""),IF(ISBLANK('PTA-Mid'!D113)=FALSE,'PTA-Mid'!D113,"")))</f>
        <v/>
      </c>
      <c r="E113" s="30" t="str">
        <f>IF(CostScenario="Higher cost",IF(ISBLANK('PTA-Hi'!E113)=FALSE,'PTA-Hi'!E113,""),IF(CostScenario="Lower cost",IF(ISBLANK('PTA-Lo'!E113)=FALSE,'PTA-Lo'!E113,""),IF(ISBLANK('PTA-Mid'!E113)=FALSE,'PTA-Mid'!E113,"")))</f>
        <v/>
      </c>
      <c r="F113" s="30" t="str">
        <f>IF(CostScenario="Higher cost",IF(ISBLANK('PTA-Hi'!F113)=FALSE,'PTA-Hi'!F113,""),IF(CostScenario="Lower cost",IF(ISBLANK('PTA-Lo'!F113)=FALSE,'PTA-Lo'!F113,""),IF(ISBLANK('PTA-Mid'!F113)=FALSE,'PTA-Mid'!F113,"")))</f>
        <v/>
      </c>
      <c r="G113" s="30" t="str">
        <f>IF(CostScenario="Higher cost",IF(ISBLANK('PTA-Hi'!G113)=FALSE,'PTA-Hi'!G113,""),IF(CostScenario="Lower cost",IF(ISBLANK('PTA-Lo'!G113)=FALSE,'PTA-Lo'!G113,""),IF(ISBLANK('PTA-Mid'!G113)=FALSE,'PTA-Mid'!G113,"")))</f>
        <v/>
      </c>
      <c r="H113" s="30" t="str">
        <f>IF(CostScenario="Higher cost",IF(ISBLANK('PTA-Hi'!H113)=FALSE,'PTA-Hi'!H113,""),IF(CostScenario="Lower cost",IF(ISBLANK('PTA-Lo'!H113)=FALSE,'PTA-Lo'!H113,""),IF(ISBLANK('PTA-Mid'!H113)=FALSE,'PTA-Mid'!H113,"")))</f>
        <v/>
      </c>
      <c r="I113" s="30">
        <f>IF(CostScenario="Higher cost",IF(ISBLANK('PTA-Hi'!I113)=FALSE,'PTA-Hi'!I113,""),IF(CostScenario="Lower cost",IF(ISBLANK('PTA-Lo'!I113)=FALSE,'PTA-Lo'!I113,""),IF(ISBLANK('PTA-Mid'!I113)=FALSE,'PTA-Mid'!I113,"")))</f>
        <v>2.5</v>
      </c>
      <c r="J113" s="30">
        <f>IF(CostScenario="Higher cost",IF(ISBLANK('PTA-Hi'!J113)=FALSE,'PTA-Hi'!J113,""),IF(CostScenario="Lower cost",IF(ISBLANK('PTA-Lo'!J113)=FALSE,'PTA-Lo'!J113,""),IF(ISBLANK('PTA-Mid'!J113)=FALSE,'PTA-Mid'!J113,"")))</f>
        <v>6</v>
      </c>
      <c r="K113" s="30">
        <f>IF(CostScenario="Higher cost",IF(ISBLANK('PTA-Hi'!K113)=FALSE,'PTA-Hi'!K113,""),IF(CostScenario="Lower cost",IF(ISBLANK('PTA-Lo'!K113)=FALSE,'PTA-Lo'!K113,""),IF(ISBLANK('PTA-Mid'!K113)=FALSE,'PTA-Mid'!K113,"")))</f>
        <v>6</v>
      </c>
      <c r="L113" s="30">
        <f>IF(CostScenario="Higher cost",IF(ISBLANK('PTA-Hi'!L113)=FALSE,'PTA-Hi'!L113,""),IF(CostScenario="Lower cost",IF(ISBLANK('PTA-Lo'!L113)=FALSE,'PTA-Lo'!L113,""),IF(ISBLANK('PTA-Mid'!L113)=FALSE,'PTA-Mid'!L113,"")))</f>
        <v>7</v>
      </c>
      <c r="M113" s="30">
        <f>IF(CostScenario="Higher cost",IF(ISBLANK('PTA-Hi'!M113)=FALSE,'PTA-Hi'!M113,""),IF(CostScenario="Lower cost",IF(ISBLANK('PTA-Lo'!M113)=FALSE,'PTA-Lo'!M113,""),IF(ISBLANK('PTA-Mid'!M113)=FALSE,'PTA-Mid'!M113,"")))</f>
        <v>7</v>
      </c>
      <c r="N113" s="2335">
        <f>IF(CostScenario="Higher cost",IF(ISBLANK('PTA-Hi'!N113)=FALSE,'PTA-Hi'!N113,""),IF(CostScenario="Lower cost",IF(ISBLANK('PTA-Lo'!N113)=FALSE,'PTA-Lo'!N113,""),IF(ISBLANK('PTA-Mid'!N113)=FALSE,'PTA-Mid'!N113,"")))</f>
        <v>7</v>
      </c>
      <c r="O113" s="2335">
        <f>IF(CostScenario="Higher cost",IF(ISBLANK('PTA-Hi'!O113)=FALSE,'PTA-Hi'!O113,""),IF(CostScenario="Lower cost",IF(ISBLANK('PTA-Lo'!O113)=FALSE,'PTA-Lo'!O113,""),IF(ISBLANK('PTA-Mid'!O113)=FALSE,'PTA-Mid'!O113,"")))</f>
        <v>7</v>
      </c>
      <c r="P113" s="2335">
        <f>IF(CostScenario="Higher cost",IF(ISBLANK('PTA-Hi'!P113)=FALSE,'PTA-Hi'!P113,""),IF(CostScenario="Lower cost",IF(ISBLANK('PTA-Lo'!P113)=FALSE,'PTA-Lo'!P113,""),IF(ISBLANK('PTA-Mid'!P113)=FALSE,'PTA-Mid'!P113,"")))</f>
        <v>7</v>
      </c>
      <c r="Q113" s="2335">
        <f>IF(CostScenario="Higher cost",IF(ISBLANK('PTA-Hi'!Q113)=FALSE,'PTA-Hi'!Q113,""),IF(CostScenario="Lower cost",IF(ISBLANK('PTA-Lo'!Q113)=FALSE,'PTA-Lo'!Q113,""),IF(ISBLANK('PTA-Mid'!Q113)=FALSE,'PTA-Mid'!Q113,"")))</f>
        <v>7</v>
      </c>
      <c r="R113" s="30">
        <f>IF(CostScenario="Higher cost",IF(ISBLANK('PTA-Hi'!R113)=FALSE,'PTA-Hi'!R113,""),IF(CostScenario="Lower cost",IF(ISBLANK('PTA-Lo'!R113)=FALSE,'PTA-Lo'!R113,""),IF(ISBLANK('PTA-Mid'!R113)=FALSE,'PTA-Mid'!R113,"")))</f>
        <v>7</v>
      </c>
      <c r="S113" s="2335">
        <f>IF(CostScenario="Higher cost",IF(ISBLANK('PTA-Hi'!S113)=FALSE,'PTA-Hi'!S113,""),IF(CostScenario="Lower cost",IF(ISBLANK('PTA-Lo'!S113)=FALSE,'PTA-Lo'!S113,""),IF(ISBLANK('PTA-Mid'!S113)=FALSE,'PTA-Mid'!S113,"")))</f>
        <v>7</v>
      </c>
      <c r="T113" s="2335">
        <f>IF(CostScenario="Higher cost",IF(ISBLANK('PTA-Hi'!T113)=FALSE,'PTA-Hi'!T113,""),IF(CostScenario="Lower cost",IF(ISBLANK('PTA-Lo'!T113)=FALSE,'PTA-Lo'!T113,""),IF(ISBLANK('PTA-Mid'!T113)=FALSE,'PTA-Mid'!T113,"")))</f>
        <v>7</v>
      </c>
      <c r="U113" s="30">
        <f>IF(CostScenario="Higher cost",IF(ISBLANK('PTA-Hi'!U113)=FALSE,'PTA-Hi'!U113,""),IF(CostScenario="Lower cost",IF(ISBLANK('PTA-Lo'!U113)=FALSE,'PTA-Lo'!U113,""),IF(ISBLANK('PTA-Mid'!U113)=FALSE,'PTA-Mid'!U113,"")))</f>
        <v>40</v>
      </c>
      <c r="V113" s="30">
        <f>IF(CostScenario="Higher cost",IF(ISBLANK('PTA-Hi'!V113)=FALSE,'PTA-Hi'!V113,""),IF(CostScenario="Lower cost",IF(ISBLANK('PTA-Lo'!V113)=FALSE,'PTA-Lo'!V113,""),IF(ISBLANK('PTA-Mid'!V113)=FALSE,'PTA-Mid'!V113,"")))</f>
        <v>40</v>
      </c>
      <c r="W113" s="2335"/>
      <c r="X113" s="30"/>
      <c r="Z113" s="30"/>
      <c r="AA113" s="30"/>
    </row>
    <row r="114" spans="1:27" s="7" customFormat="1">
      <c r="A114" s="907" t="s">
        <v>827</v>
      </c>
      <c r="B114" s="942" t="s">
        <v>746</v>
      </c>
      <c r="C114" s="941" t="s">
        <v>329</v>
      </c>
      <c r="D114" s="508">
        <f>IF(CostScenario="Higher cost",IF(ISBLANK('PTA-Hi'!D114)=FALSE,'PTA-Hi'!D114,""),IF(CostScenario="Lower cost",IF(ISBLANK('PTA-Lo'!D114)=FALSE,'PTA-Lo'!D114,""),IF(ISBLANK('PTA-Mid'!D114)=FALSE,'PTA-Mid'!D114,"")))</f>
        <v>8</v>
      </c>
      <c r="E114" s="508">
        <f>IF(CostScenario="Higher cost",IF(ISBLANK('PTA-Hi'!E114)=FALSE,'PTA-Hi'!E114,""),IF(CostScenario="Lower cost",IF(ISBLANK('PTA-Lo'!E114)=FALSE,'PTA-Lo'!E114,""),IF(ISBLANK('PTA-Mid'!E114)=FALSE,'PTA-Mid'!E114,"")))</f>
        <v>8</v>
      </c>
      <c r="F114" s="508">
        <f>IF(CostScenario="Higher cost",IF(ISBLANK('PTA-Hi'!F114)=FALSE,'PTA-Hi'!F114,""),IF(CostScenario="Lower cost",IF(ISBLANK('PTA-Lo'!F114)=FALSE,'PTA-Lo'!F114,""),IF(ISBLANK('PTA-Mid'!F114)=FALSE,'PTA-Mid'!F114,"")))</f>
        <v>8</v>
      </c>
      <c r="G114" s="508">
        <f>IF(CostScenario="Higher cost",IF(ISBLANK('PTA-Hi'!G114)=FALSE,'PTA-Hi'!G114,""),IF(CostScenario="Lower cost",IF(ISBLANK('PTA-Lo'!G114)=FALSE,'PTA-Lo'!G114,""),IF(ISBLANK('PTA-Mid'!G114)=FALSE,'PTA-Mid'!G114,"")))</f>
        <v>25</v>
      </c>
      <c r="H114" s="508">
        <f>IF(CostScenario="Higher cost",IF(ISBLANK('PTA-Hi'!H114)=FALSE,'PTA-Hi'!H114,""),IF(CostScenario="Lower cost",IF(ISBLANK('PTA-Lo'!H114)=FALSE,'PTA-Lo'!H114,""),IF(ISBLANK('PTA-Mid'!H114)=FALSE,'PTA-Mid'!H114,"")))</f>
        <v>25</v>
      </c>
      <c r="I114" s="30">
        <f>IF(CostScenario="Higher cost",IF(ISBLANK('PTA-Hi'!I114)=FALSE,'PTA-Hi'!I114,""),IF(CostScenario="Lower cost",IF(ISBLANK('PTA-Lo'!I114)=FALSE,'PTA-Lo'!I114,""),IF(ISBLANK('PTA-Mid'!I114)=FALSE,'PTA-Mid'!I114,"")))</f>
        <v>125</v>
      </c>
      <c r="J114" s="508">
        <f>IF(CostScenario="Higher cost",IF(ISBLANK('PTA-Hi'!J114)=FALSE,'PTA-Hi'!J114,""),IF(CostScenario="Lower cost",IF(ISBLANK('PTA-Lo'!J114)=FALSE,'PTA-Lo'!J114,""),IF(ISBLANK('PTA-Mid'!J114)=FALSE,'PTA-Mid'!J114,"")))</f>
        <v>180</v>
      </c>
      <c r="K114" s="508">
        <f>IF(CostScenario="Higher cost",IF(ISBLANK('PTA-Hi'!K114)=FALSE,'PTA-Hi'!K114,""),IF(CostScenario="Lower cost",IF(ISBLANK('PTA-Lo'!K114)=FALSE,'PTA-Lo'!K114,""),IF(ISBLANK('PTA-Mid'!K114)=FALSE,'PTA-Mid'!K114,"")))</f>
        <v>180</v>
      </c>
      <c r="L114" s="508">
        <f>IF(CostScenario="Higher cost",IF(ISBLANK('PTA-Hi'!L114)=FALSE,'PTA-Hi'!L114,""),IF(CostScenario="Lower cost",IF(ISBLANK('PTA-Lo'!L114)=FALSE,'PTA-Lo'!L114,""),IF(ISBLANK('PTA-Mid'!L114)=FALSE,'PTA-Mid'!L114,"")))</f>
        <v>1750</v>
      </c>
      <c r="M114" s="508">
        <f>IF(CostScenario="Higher cost",IF(ISBLANK('PTA-Hi'!M114)=FALSE,'PTA-Hi'!M114,""),IF(CostScenario="Lower cost",IF(ISBLANK('PTA-Lo'!M114)=FALSE,'PTA-Lo'!M114,""),IF(ISBLANK('PTA-Mid'!M114)=FALSE,'PTA-Mid'!M114,"")))</f>
        <v>1750</v>
      </c>
      <c r="N114" s="508">
        <f>IF(CostScenario="Higher cost",IF(ISBLANK('PTA-Hi'!N114)=FALSE,'PTA-Hi'!N114,""),IF(CostScenario="Lower cost",IF(ISBLANK('PTA-Lo'!N114)=FALSE,'PTA-Lo'!N114,""),IF(ISBLANK('PTA-Mid'!N114)=FALSE,'PTA-Mid'!N114,"")))</f>
        <v>700</v>
      </c>
      <c r="O114" s="508">
        <f>IF(CostScenario="Higher cost",IF(ISBLANK('PTA-Hi'!O114)=FALSE,'PTA-Hi'!O114,""),IF(CostScenario="Lower cost",IF(ISBLANK('PTA-Lo'!O114)=FALSE,'PTA-Lo'!O114,""),IF(ISBLANK('PTA-Mid'!O114)=FALSE,'PTA-Mid'!O114,"")))</f>
        <v>700</v>
      </c>
      <c r="P114" s="508">
        <f>IF(CostScenario="Higher cost",IF(ISBLANK('PTA-Hi'!P114)=FALSE,'PTA-Hi'!P114,""),IF(CostScenario="Lower cost",IF(ISBLANK('PTA-Lo'!P114)=FALSE,'PTA-Lo'!P114,""),IF(ISBLANK('PTA-Mid'!P114)=FALSE,'PTA-Mid'!P114,"")))</f>
        <v>700</v>
      </c>
      <c r="Q114" s="508">
        <f>IF(CostScenario="Higher cost",IF(ISBLANK('PTA-Hi'!Q114)=FALSE,'PTA-Hi'!Q114,""),IF(CostScenario="Lower cost",IF(ISBLANK('PTA-Lo'!Q114)=FALSE,'PTA-Lo'!Q114,""),IF(ISBLANK('PTA-Mid'!Q114)=FALSE,'PTA-Mid'!Q114,"")))</f>
        <v>700</v>
      </c>
      <c r="R114" s="508">
        <f>IF(CostScenario="Higher cost",IF(ISBLANK('PTA-Hi'!R114)=FALSE,'PTA-Hi'!R114,""),IF(CostScenario="Lower cost",IF(ISBLANK('PTA-Lo'!R114)=FALSE,'PTA-Lo'!R114,""),IF(ISBLANK('PTA-Mid'!R114)=FALSE,'PTA-Mid'!R114,"")))</f>
        <v>700</v>
      </c>
      <c r="S114" s="508">
        <f>IF(CostScenario="Higher cost",IF(ISBLANK('PTA-Hi'!S114)=FALSE,'PTA-Hi'!S114,""),IF(CostScenario="Lower cost",IF(ISBLANK('PTA-Lo'!S114)=FALSE,'PTA-Lo'!S114,""),IF(ISBLANK('PTA-Mid'!S114)=FALSE,'PTA-Mid'!S114,"")))</f>
        <v>140</v>
      </c>
      <c r="T114" s="508">
        <f>IF(CostScenario="Higher cost",IF(ISBLANK('PTA-Hi'!T114)=FALSE,'PTA-Hi'!T114,""),IF(CostScenario="Lower cost",IF(ISBLANK('PTA-Lo'!T114)=FALSE,'PTA-Lo'!T114,""),IF(ISBLANK('PTA-Mid'!T114)=FALSE,'PTA-Mid'!T114,"")))</f>
        <v>140</v>
      </c>
      <c r="U114" s="508">
        <f>IF(CostScenario="Higher cost",IF(ISBLANK('PTA-Hi'!U114)=FALSE,'PTA-Hi'!U114,""),IF(CostScenario="Lower cost",IF(ISBLANK('PTA-Lo'!U114)=FALSE,'PTA-Lo'!U114,""),IF(ISBLANK('PTA-Mid'!U114)=FALSE,'PTA-Mid'!U114,"")))</f>
        <v>4000</v>
      </c>
      <c r="V114" s="508">
        <f>IF(CostScenario="Higher cost",IF(ISBLANK('PTA-Hi'!V114)=FALSE,'PTA-Hi'!V114,""),IF(CostScenario="Lower cost",IF(ISBLANK('PTA-Lo'!V114)=FALSE,'PTA-Lo'!V114,""),IF(ISBLANK('PTA-Mid'!V114)=FALSE,'PTA-Mid'!V114,"")))</f>
        <v>4000</v>
      </c>
      <c r="W114" s="508"/>
      <c r="X114" s="30"/>
      <c r="Z114" s="30"/>
      <c r="AA114" s="30"/>
    </row>
    <row r="115" spans="1:27" s="7" customFormat="1">
      <c r="A115" s="907" t="s">
        <v>831</v>
      </c>
      <c r="B115" s="908" t="s">
        <v>747</v>
      </c>
      <c r="C115" s="941" t="s">
        <v>460</v>
      </c>
      <c r="D115" s="30" t="str">
        <f>IF(CostScenario="Higher cost",IF(ISBLANK('PTA-Hi'!D115)=FALSE,'PTA-Hi'!D115,""),IF(CostScenario="Lower cost",IF(ISBLANK('PTA-Lo'!D115)=FALSE,'PTA-Lo'!D115,""),IF(ISBLANK('PTA-Mid'!D115)=FALSE,'PTA-Mid'!D115,"")))</f>
        <v/>
      </c>
      <c r="E115" s="30" t="str">
        <f>IF(CostScenario="Higher cost",IF(ISBLANK('PTA-Hi'!E115)=FALSE,'PTA-Hi'!E115,""),IF(CostScenario="Lower cost",IF(ISBLANK('PTA-Lo'!E115)=FALSE,'PTA-Lo'!E115,""),IF(ISBLANK('PTA-Mid'!E115)=FALSE,'PTA-Mid'!E115,"")))</f>
        <v/>
      </c>
      <c r="F115" s="30" t="str">
        <f>IF(CostScenario="Higher cost",IF(ISBLANK('PTA-Hi'!F115)=FALSE,'PTA-Hi'!F115,""),IF(CostScenario="Lower cost",IF(ISBLANK('PTA-Lo'!F115)=FALSE,'PTA-Lo'!F115,""),IF(ISBLANK('PTA-Mid'!F115)=FALSE,'PTA-Mid'!F115,"")))</f>
        <v/>
      </c>
      <c r="G115" s="30" t="str">
        <f>IF(CostScenario="Higher cost",IF(ISBLANK('PTA-Hi'!G115)=FALSE,'PTA-Hi'!G115,""),IF(CostScenario="Lower cost",IF(ISBLANK('PTA-Lo'!G115)=FALSE,'PTA-Lo'!G115,""),IF(ISBLANK('PTA-Mid'!G115)=FALSE,'PTA-Mid'!G115,"")))</f>
        <v/>
      </c>
      <c r="H115" s="30" t="str">
        <f>IF(CostScenario="Higher cost",IF(ISBLANK('PTA-Hi'!H115)=FALSE,'PTA-Hi'!H115,""),IF(CostScenario="Lower cost",IF(ISBLANK('PTA-Lo'!H115)=FALSE,'PTA-Lo'!H115,""),IF(ISBLANK('PTA-Mid'!H115)=FALSE,'PTA-Mid'!H115,"")))</f>
        <v/>
      </c>
      <c r="I115" s="30" t="str">
        <f>IF(CostScenario="Higher cost",IF(ISBLANK('PTA-Hi'!I115)=FALSE,'PTA-Hi'!I115,""),IF(CostScenario="Lower cost",IF(ISBLANK('PTA-Lo'!I115)=FALSE,'PTA-Lo'!I115,""),IF(ISBLANK('PTA-Mid'!I115)=FALSE,'PTA-Mid'!I115,"")))</f>
        <v/>
      </c>
      <c r="J115" s="30" t="str">
        <f>IF(CostScenario="Higher cost",IF(ISBLANK('PTA-Hi'!J115)=FALSE,'PTA-Hi'!J115,""),IF(CostScenario="Lower cost",IF(ISBLANK('PTA-Lo'!J115)=FALSE,'PTA-Lo'!J115,""),IF(ISBLANK('PTA-Mid'!J115)=FALSE,'PTA-Mid'!J115,"")))</f>
        <v/>
      </c>
      <c r="K115" s="30" t="str">
        <f>IF(CostScenario="Higher cost",IF(ISBLANK('PTA-Hi'!K115)=FALSE,'PTA-Hi'!K115,""),IF(CostScenario="Lower cost",IF(ISBLANK('PTA-Lo'!K115)=FALSE,'PTA-Lo'!K115,""),IF(ISBLANK('PTA-Mid'!K115)=FALSE,'PTA-Mid'!K115,"")))</f>
        <v/>
      </c>
      <c r="L115" s="30" t="str">
        <f>IF(CostScenario="Higher cost",IF(ISBLANK('PTA-Hi'!L115)=FALSE,'PTA-Hi'!L115,""),IF(CostScenario="Lower cost",IF(ISBLANK('PTA-Lo'!L115)=FALSE,'PTA-Lo'!L115,""),IF(ISBLANK('PTA-Mid'!L115)=FALSE,'PTA-Mid'!L115,"")))</f>
        <v/>
      </c>
      <c r="M115" s="30" t="str">
        <f>IF(CostScenario="Higher cost",IF(ISBLANK('PTA-Hi'!M115)=FALSE,'PTA-Hi'!M115,""),IF(CostScenario="Lower cost",IF(ISBLANK('PTA-Lo'!M115)=FALSE,'PTA-Lo'!M115,""),IF(ISBLANK('PTA-Mid'!M115)=FALSE,'PTA-Mid'!M115,"")))</f>
        <v/>
      </c>
      <c r="N115" s="2335" t="str">
        <f>IF(CostScenario="Higher cost",IF(ISBLANK('PTA-Hi'!N115)=FALSE,'PTA-Hi'!N115,""),IF(CostScenario="Lower cost",IF(ISBLANK('PTA-Lo'!N115)=FALSE,'PTA-Lo'!N115,""),IF(ISBLANK('PTA-Mid'!N115)=FALSE,'PTA-Mid'!N115,"")))</f>
        <v/>
      </c>
      <c r="O115" s="2335" t="str">
        <f>IF(CostScenario="Higher cost",IF(ISBLANK('PTA-Hi'!O115)=FALSE,'PTA-Hi'!O115,""),IF(CostScenario="Lower cost",IF(ISBLANK('PTA-Lo'!O115)=FALSE,'PTA-Lo'!O115,""),IF(ISBLANK('PTA-Mid'!O115)=FALSE,'PTA-Mid'!O115,"")))</f>
        <v/>
      </c>
      <c r="P115" s="2335" t="str">
        <f>IF(CostScenario="Higher cost",IF(ISBLANK('PTA-Hi'!P115)=FALSE,'PTA-Hi'!P115,""),IF(CostScenario="Lower cost",IF(ISBLANK('PTA-Lo'!P115)=FALSE,'PTA-Lo'!P115,""),IF(ISBLANK('PTA-Mid'!P115)=FALSE,'PTA-Mid'!P115,"")))</f>
        <v/>
      </c>
      <c r="Q115" s="2335" t="str">
        <f>IF(CostScenario="Higher cost",IF(ISBLANK('PTA-Hi'!Q115)=FALSE,'PTA-Hi'!Q115,""),IF(CostScenario="Lower cost",IF(ISBLANK('PTA-Lo'!Q115)=FALSE,'PTA-Lo'!Q115,""),IF(ISBLANK('PTA-Mid'!Q115)=FALSE,'PTA-Mid'!Q115,"")))</f>
        <v/>
      </c>
      <c r="R115" s="30" t="str">
        <f>IF(CostScenario="Higher cost",IF(ISBLANK('PTA-Hi'!R115)=FALSE,'PTA-Hi'!R115,""),IF(CostScenario="Lower cost",IF(ISBLANK('PTA-Lo'!R115)=FALSE,'PTA-Lo'!R115,""),IF(ISBLANK('PTA-Mid'!R115)=FALSE,'PTA-Mid'!R115,"")))</f>
        <v/>
      </c>
      <c r="S115" s="2335" t="str">
        <f>IF(CostScenario="Higher cost",IF(ISBLANK('PTA-Hi'!S115)=FALSE,'PTA-Hi'!S115,""),IF(CostScenario="Lower cost",IF(ISBLANK('PTA-Lo'!S115)=FALSE,'PTA-Lo'!S115,""),IF(ISBLANK('PTA-Mid'!S115)=FALSE,'PTA-Mid'!S115,"")))</f>
        <v/>
      </c>
      <c r="T115" s="2335" t="str">
        <f>IF(CostScenario="Higher cost",IF(ISBLANK('PTA-Hi'!T115)=FALSE,'PTA-Hi'!T115,""),IF(CostScenario="Lower cost",IF(ISBLANK('PTA-Lo'!T115)=FALSE,'PTA-Lo'!T115,""),IF(ISBLANK('PTA-Mid'!T115)=FALSE,'PTA-Mid'!T115,"")))</f>
        <v/>
      </c>
      <c r="U115" s="30" t="str">
        <f>IF(CostScenario="Higher cost",IF(ISBLANK('PTA-Hi'!U115)=FALSE,'PTA-Hi'!U115,""),IF(CostScenario="Lower cost",IF(ISBLANK('PTA-Lo'!U115)=FALSE,'PTA-Lo'!U115,""),IF(ISBLANK('PTA-Mid'!U115)=FALSE,'PTA-Mid'!U115,"")))</f>
        <v/>
      </c>
      <c r="V115" s="30" t="str">
        <f>IF(CostScenario="Higher cost",IF(ISBLANK('PTA-Hi'!V115)=FALSE,'PTA-Hi'!V115,""),IF(CostScenario="Lower cost",IF(ISBLANK('PTA-Lo'!V115)=FALSE,'PTA-Lo'!V115,""),IF(ISBLANK('PTA-Mid'!V115)=FALSE,'PTA-Mid'!V115,"")))</f>
        <v/>
      </c>
      <c r="W115" s="2335"/>
      <c r="X115" s="30"/>
      <c r="Z115" s="30"/>
      <c r="AA115" s="30"/>
    </row>
    <row r="116" spans="1:27" s="7" customFormat="1">
      <c r="A116" s="907" t="s">
        <v>832</v>
      </c>
      <c r="B116" s="908" t="s">
        <v>748</v>
      </c>
      <c r="C116" s="943" t="s">
        <v>330</v>
      </c>
      <c r="D116" s="123">
        <f>IF(CostScenario="Higher cost",IF(ISBLANK('PTA-Hi'!D116)=FALSE,'PTA-Hi'!D116,""),IF(CostScenario="Lower cost",IF(ISBLANK('PTA-Lo'!D116)=FALSE,'PTA-Lo'!D116,""),IF(ISBLANK('PTA-Mid'!D116)=FALSE,'PTA-Mid'!D116,"")))</f>
        <v>50000</v>
      </c>
      <c r="E116" s="123">
        <f>IF(CostScenario="Higher cost",IF(ISBLANK('PTA-Hi'!E116)=FALSE,'PTA-Hi'!E116,""),IF(CostScenario="Lower cost",IF(ISBLANK('PTA-Lo'!E116)=FALSE,'PTA-Lo'!E116,""),IF(ISBLANK('PTA-Mid'!E116)=FALSE,'PTA-Mid'!E116,"")))</f>
        <v>50000</v>
      </c>
      <c r="F116" s="123">
        <f>IF(CostScenario="Higher cost",IF(ISBLANK('PTA-Hi'!F116)=FALSE,'PTA-Hi'!F116,""),IF(CostScenario="Lower cost",IF(ISBLANK('PTA-Lo'!F116)=FALSE,'PTA-Lo'!F116,""),IF(ISBLANK('PTA-Mid'!F116)=FALSE,'PTA-Mid'!F116,"")))</f>
        <v>50000</v>
      </c>
      <c r="G116" s="123">
        <f>IF(CostScenario="Higher cost",IF(ISBLANK('PTA-Hi'!G116)=FALSE,'PTA-Hi'!G116,""),IF(CostScenario="Lower cost",IF(ISBLANK('PTA-Lo'!G116)=FALSE,'PTA-Lo'!G116,""),IF(ISBLANK('PTA-Mid'!G116)=FALSE,'PTA-Mid'!G116,"")))</f>
        <v>70000</v>
      </c>
      <c r="H116" s="123">
        <f>IF(CostScenario="Higher cost",IF(ISBLANK('PTA-Hi'!H116)=FALSE,'PTA-Hi'!H116,""),IF(CostScenario="Lower cost",IF(ISBLANK('PTA-Lo'!H116)=FALSE,'PTA-Lo'!H116,""),IF(ISBLANK('PTA-Mid'!H116)=FALSE,'PTA-Mid'!H116,"")))</f>
        <v>70000</v>
      </c>
      <c r="I116" s="39">
        <f>IF(CostScenario="Higher cost",IF(ISBLANK('PTA-Hi'!I116)=FALSE,'PTA-Hi'!I116,""),IF(CostScenario="Lower cost",IF(ISBLANK('PTA-Lo'!I116)=FALSE,'PTA-Lo'!I116,""),IF(ISBLANK('PTA-Mid'!I116)=FALSE,'PTA-Mid'!I116,"")))</f>
        <v>15000</v>
      </c>
      <c r="J116" s="123">
        <f>IF(CostScenario="Higher cost",IF(ISBLANK('PTA-Hi'!J116)=FALSE,'PTA-Hi'!J116,""),IF(CostScenario="Lower cost",IF(ISBLANK('PTA-Lo'!J116)=FALSE,'PTA-Lo'!J116,""),IF(ISBLANK('PTA-Mid'!J116)=FALSE,'PTA-Mid'!J116,"")))</f>
        <v>15000</v>
      </c>
      <c r="K116" s="123">
        <f>IF(CostScenario="Higher cost",IF(ISBLANK('PTA-Hi'!K116)=FALSE,'PTA-Hi'!K116,""),IF(CostScenario="Lower cost",IF(ISBLANK('PTA-Lo'!K116)=FALSE,'PTA-Lo'!K116,""),IF(ISBLANK('PTA-Mid'!K116)=FALSE,'PTA-Mid'!K116,"")))</f>
        <v>15000</v>
      </c>
      <c r="L116" s="123">
        <f>IF(CostScenario="Higher cost",IF(ISBLANK('PTA-Hi'!L116)=FALSE,'PTA-Hi'!L116,""),IF(CostScenario="Lower cost",IF(ISBLANK('PTA-Lo'!L116)=FALSE,'PTA-Lo'!L116,""),IF(ISBLANK('PTA-Mid'!L116)=FALSE,'PTA-Mid'!L116,"")))</f>
        <v>5000</v>
      </c>
      <c r="M116" s="123">
        <f>IF(CostScenario="Higher cost",IF(ISBLANK('PTA-Hi'!M116)=FALSE,'PTA-Hi'!M116,""),IF(CostScenario="Lower cost",IF(ISBLANK('PTA-Lo'!M116)=FALSE,'PTA-Lo'!M116,""),IF(ISBLANK('PTA-Mid'!M116)=FALSE,'PTA-Mid'!M116,"")))</f>
        <v>5000</v>
      </c>
      <c r="N116" s="123">
        <f>IF(CostScenario="Higher cost",IF(ISBLANK('PTA-Hi'!N116)=FALSE,'PTA-Hi'!N116,""),IF(CostScenario="Lower cost",IF(ISBLANK('PTA-Lo'!N116)=FALSE,'PTA-Lo'!N116,""),IF(ISBLANK('PTA-Mid'!N116)=FALSE,'PTA-Mid'!N116,"")))</f>
        <v>5000</v>
      </c>
      <c r="O116" s="123">
        <f>IF(CostScenario="Higher cost",IF(ISBLANK('PTA-Hi'!O116)=FALSE,'PTA-Hi'!O116,""),IF(CostScenario="Lower cost",IF(ISBLANK('PTA-Lo'!O116)=FALSE,'PTA-Lo'!O116,""),IF(ISBLANK('PTA-Mid'!O116)=FALSE,'PTA-Mid'!O116,"")))</f>
        <v>5000</v>
      </c>
      <c r="P116" s="123">
        <f>IF(CostScenario="Higher cost",IF(ISBLANK('PTA-Hi'!P116)=FALSE,'PTA-Hi'!P116,""),IF(CostScenario="Lower cost",IF(ISBLANK('PTA-Lo'!P116)=FALSE,'PTA-Lo'!P116,""),IF(ISBLANK('PTA-Mid'!P116)=FALSE,'PTA-Mid'!P116,"")))</f>
        <v>5000</v>
      </c>
      <c r="Q116" s="123">
        <f>IF(CostScenario="Higher cost",IF(ISBLANK('PTA-Hi'!Q116)=FALSE,'PTA-Hi'!Q116,""),IF(CostScenario="Lower cost",IF(ISBLANK('PTA-Lo'!Q116)=FALSE,'PTA-Lo'!Q116,""),IF(ISBLANK('PTA-Mid'!Q116)=FALSE,'PTA-Mid'!Q116,"")))</f>
        <v>5000</v>
      </c>
      <c r="R116" s="123">
        <f>IF(CostScenario="Higher cost",IF(ISBLANK('PTA-Hi'!R116)=FALSE,'PTA-Hi'!R116,""),IF(CostScenario="Lower cost",IF(ISBLANK('PTA-Lo'!R116)=FALSE,'PTA-Lo'!R116,""),IF(ISBLANK('PTA-Mid'!R116)=FALSE,'PTA-Mid'!R116,"")))</f>
        <v>5000</v>
      </c>
      <c r="S116" s="123">
        <f>IF(CostScenario="Higher cost",IF(ISBLANK('PTA-Hi'!S116)=FALSE,'PTA-Hi'!S116,""),IF(CostScenario="Lower cost",IF(ISBLANK('PTA-Lo'!S116)=FALSE,'PTA-Lo'!S116,""),IF(ISBLANK('PTA-Mid'!S116)=FALSE,'PTA-Mid'!S116,"")))</f>
        <v>5000</v>
      </c>
      <c r="T116" s="123">
        <f>IF(CostScenario="Higher cost",IF(ISBLANK('PTA-Hi'!T116)=FALSE,'PTA-Hi'!T116,""),IF(CostScenario="Lower cost",IF(ISBLANK('PTA-Lo'!T116)=FALSE,'PTA-Lo'!T116,""),IF(ISBLANK('PTA-Mid'!T116)=FALSE,'PTA-Mid'!T116,"")))</f>
        <v>5000</v>
      </c>
      <c r="U116" s="123">
        <f>IF(CostScenario="Higher cost",IF(ISBLANK('PTA-Hi'!U116)=FALSE,'PTA-Hi'!U116,""),IF(CostScenario="Lower cost",IF(ISBLANK('PTA-Lo'!U116)=FALSE,'PTA-Lo'!U116,""),IF(ISBLANK('PTA-Mid'!U116)=FALSE,'PTA-Mid'!U116,"")))</f>
        <v>5000</v>
      </c>
      <c r="V116" s="123">
        <f>IF(CostScenario="Higher cost",IF(ISBLANK('PTA-Hi'!V116)=FALSE,'PTA-Hi'!V116,""),IF(CostScenario="Lower cost",IF(ISBLANK('PTA-Lo'!V116)=FALSE,'PTA-Lo'!V116,""),IF(ISBLANK('PTA-Mid'!V116)=FALSE,'PTA-Mid'!V116,"")))</f>
        <v>5000</v>
      </c>
      <c r="W116" s="123"/>
      <c r="X116" s="39"/>
      <c r="Z116" s="30"/>
      <c r="AA116" s="30"/>
    </row>
    <row r="117" spans="1:27" s="7" customFormat="1">
      <c r="A117" s="907" t="s">
        <v>833</v>
      </c>
      <c r="B117" s="944" t="s">
        <v>749</v>
      </c>
      <c r="C117" s="943" t="s">
        <v>1325</v>
      </c>
      <c r="D117" s="123" t="str">
        <f>IF(CostScenario="Higher cost",IF(ISBLANK('PTA-Hi'!D117)=FALSE,'PTA-Hi'!D117,""),IF(CostScenario="Lower cost",IF(ISBLANK('PTA-Lo'!D117)=FALSE,'PTA-Lo'!D117,""),IF(ISBLANK('PTA-Mid'!D117)=FALSE,'PTA-Mid'!D117,"")))</f>
        <v/>
      </c>
      <c r="E117" s="123" t="str">
        <f>IF(CostScenario="Higher cost",IF(ISBLANK('PTA-Hi'!E117)=FALSE,'PTA-Hi'!E117,""),IF(CostScenario="Lower cost",IF(ISBLANK('PTA-Lo'!E117)=FALSE,'PTA-Lo'!E117,""),IF(ISBLANK('PTA-Mid'!E117)=FALSE,'PTA-Mid'!E117,"")))</f>
        <v/>
      </c>
      <c r="F117" s="123" t="str">
        <f>IF(CostScenario="Higher cost",IF(ISBLANK('PTA-Hi'!F117)=FALSE,'PTA-Hi'!F117,""),IF(CostScenario="Lower cost",IF(ISBLANK('PTA-Lo'!F117)=FALSE,'PTA-Lo'!F117,""),IF(ISBLANK('PTA-Mid'!F117)=FALSE,'PTA-Mid'!F117,"")))</f>
        <v/>
      </c>
      <c r="G117" s="123" t="str">
        <f>IF(CostScenario="Higher cost",IF(ISBLANK('PTA-Hi'!G117)=FALSE,'PTA-Hi'!G117,""),IF(CostScenario="Lower cost",IF(ISBLANK('PTA-Lo'!G117)=FALSE,'PTA-Lo'!G117,""),IF(ISBLANK('PTA-Mid'!G117)=FALSE,'PTA-Mid'!G117,"")))</f>
        <v/>
      </c>
      <c r="H117" s="123" t="str">
        <f>IF(CostScenario="Higher cost",IF(ISBLANK('PTA-Hi'!H117)=FALSE,'PTA-Hi'!H117,""),IF(CostScenario="Lower cost",IF(ISBLANK('PTA-Lo'!H117)=FALSE,'PTA-Lo'!H117,""),IF(ISBLANK('PTA-Mid'!H117)=FALSE,'PTA-Mid'!H117,"")))</f>
        <v/>
      </c>
      <c r="I117" s="39" t="str">
        <f>IF(CostScenario="Higher cost",IF(ISBLANK('PTA-Hi'!I117)=FALSE,'PTA-Hi'!I117,""),IF(CostScenario="Lower cost",IF(ISBLANK('PTA-Lo'!I117)=FALSE,'PTA-Lo'!I117,""),IF(ISBLANK('PTA-Mid'!I117)=FALSE,'PTA-Mid'!I117,"")))</f>
        <v/>
      </c>
      <c r="J117" s="123" t="str">
        <f>IF(CostScenario="Higher cost",IF(ISBLANK('PTA-Hi'!J117)=FALSE,'PTA-Hi'!J117,""),IF(CostScenario="Lower cost",IF(ISBLANK('PTA-Lo'!J117)=FALSE,'PTA-Lo'!J117,""),IF(ISBLANK('PTA-Mid'!J117)=FALSE,'PTA-Mid'!J117,"")))</f>
        <v/>
      </c>
      <c r="K117" s="123" t="str">
        <f>IF(CostScenario="Higher cost",IF(ISBLANK('PTA-Hi'!K117)=FALSE,'PTA-Hi'!K117,""),IF(CostScenario="Lower cost",IF(ISBLANK('PTA-Lo'!K117)=FALSE,'PTA-Lo'!K117,""),IF(ISBLANK('PTA-Mid'!K117)=FALSE,'PTA-Mid'!K117,"")))</f>
        <v/>
      </c>
      <c r="L117" s="123" t="str">
        <f>IF(CostScenario="Higher cost",IF(ISBLANK('PTA-Hi'!L117)=FALSE,'PTA-Hi'!L117,""),IF(CostScenario="Lower cost",IF(ISBLANK('PTA-Lo'!L117)=FALSE,'PTA-Lo'!L117,""),IF(ISBLANK('PTA-Mid'!L117)=FALSE,'PTA-Mid'!L117,"")))</f>
        <v/>
      </c>
      <c r="M117" s="123" t="str">
        <f>IF(CostScenario="Higher cost",IF(ISBLANK('PTA-Hi'!M117)=FALSE,'PTA-Hi'!M117,""),IF(CostScenario="Lower cost",IF(ISBLANK('PTA-Lo'!M117)=FALSE,'PTA-Lo'!M117,""),IF(ISBLANK('PTA-Mid'!M117)=FALSE,'PTA-Mid'!M117,"")))</f>
        <v/>
      </c>
      <c r="N117" s="123" t="str">
        <f>IF(CostScenario="Higher cost",IF(ISBLANK('PTA-Hi'!N117)=FALSE,'PTA-Hi'!N117,""),IF(CostScenario="Lower cost",IF(ISBLANK('PTA-Lo'!N117)=FALSE,'PTA-Lo'!N117,""),IF(ISBLANK('PTA-Mid'!N117)=FALSE,'PTA-Mid'!N117,"")))</f>
        <v/>
      </c>
      <c r="O117" s="123" t="str">
        <f>IF(CostScenario="Higher cost",IF(ISBLANK('PTA-Hi'!O117)=FALSE,'PTA-Hi'!O117,""),IF(CostScenario="Lower cost",IF(ISBLANK('PTA-Lo'!O117)=FALSE,'PTA-Lo'!O117,""),IF(ISBLANK('PTA-Mid'!O117)=FALSE,'PTA-Mid'!O117,"")))</f>
        <v/>
      </c>
      <c r="P117" s="123" t="str">
        <f>IF(CostScenario="Higher cost",IF(ISBLANK('PTA-Hi'!P117)=FALSE,'PTA-Hi'!P117,""),IF(CostScenario="Lower cost",IF(ISBLANK('PTA-Lo'!P117)=FALSE,'PTA-Lo'!P117,""),IF(ISBLANK('PTA-Mid'!P117)=FALSE,'PTA-Mid'!P117,"")))</f>
        <v/>
      </c>
      <c r="Q117" s="123" t="str">
        <f>IF(CostScenario="Higher cost",IF(ISBLANK('PTA-Hi'!Q117)=FALSE,'PTA-Hi'!Q117,""),IF(CostScenario="Lower cost",IF(ISBLANK('PTA-Lo'!Q117)=FALSE,'PTA-Lo'!Q117,""),IF(ISBLANK('PTA-Mid'!Q117)=FALSE,'PTA-Mid'!Q117,"")))</f>
        <v/>
      </c>
      <c r="R117" s="123" t="str">
        <f>IF(CostScenario="Higher cost",IF(ISBLANK('PTA-Hi'!R117)=FALSE,'PTA-Hi'!R117,""),IF(CostScenario="Lower cost",IF(ISBLANK('PTA-Lo'!R117)=FALSE,'PTA-Lo'!R117,""),IF(ISBLANK('PTA-Mid'!R117)=FALSE,'PTA-Mid'!R117,"")))</f>
        <v/>
      </c>
      <c r="S117" s="123" t="str">
        <f>IF(CostScenario="Higher cost",IF(ISBLANK('PTA-Hi'!S117)=FALSE,'PTA-Hi'!S117,""),IF(CostScenario="Lower cost",IF(ISBLANK('PTA-Lo'!S117)=FALSE,'PTA-Lo'!S117,""),IF(ISBLANK('PTA-Mid'!S117)=FALSE,'PTA-Mid'!S117,"")))</f>
        <v/>
      </c>
      <c r="T117" s="123" t="str">
        <f>IF(CostScenario="Higher cost",IF(ISBLANK('PTA-Hi'!T117)=FALSE,'PTA-Hi'!T117,""),IF(CostScenario="Lower cost",IF(ISBLANK('PTA-Lo'!T117)=FALSE,'PTA-Lo'!T117,""),IF(ISBLANK('PTA-Mid'!T117)=FALSE,'PTA-Mid'!T117,"")))</f>
        <v/>
      </c>
      <c r="U117" s="123" t="str">
        <f>IF(CostScenario="Higher cost",IF(ISBLANK('PTA-Hi'!U117)=FALSE,'PTA-Hi'!U117,""),IF(CostScenario="Lower cost",IF(ISBLANK('PTA-Lo'!U117)=FALSE,'PTA-Lo'!U117,""),IF(ISBLANK('PTA-Mid'!U117)=FALSE,'PTA-Mid'!U117,"")))</f>
        <v/>
      </c>
      <c r="V117" s="123" t="str">
        <f>IF(CostScenario="Higher cost",IF(ISBLANK('PTA-Hi'!V117)=FALSE,'PTA-Hi'!V117,""),IF(CostScenario="Lower cost",IF(ISBLANK('PTA-Lo'!V117)=FALSE,'PTA-Lo'!V117,""),IF(ISBLANK('PTA-Mid'!V117)=FALSE,'PTA-Mid'!V117,"")))</f>
        <v/>
      </c>
      <c r="W117" s="123"/>
      <c r="X117" s="39"/>
      <c r="Z117" s="30"/>
      <c r="AA117" s="30"/>
    </row>
    <row r="118" spans="1:27" s="7" customFormat="1">
      <c r="A118" s="907"/>
      <c r="B118" s="908"/>
      <c r="C118" s="904" t="s">
        <v>1327</v>
      </c>
      <c r="D118" s="30"/>
      <c r="E118" s="30"/>
      <c r="F118" s="30"/>
      <c r="G118" s="30"/>
      <c r="H118" s="30"/>
      <c r="I118" s="30"/>
      <c r="J118" s="30"/>
      <c r="K118" s="30"/>
      <c r="L118" s="30"/>
      <c r="M118" s="30"/>
      <c r="N118" s="2335"/>
      <c r="O118" s="2335"/>
      <c r="P118" s="2335"/>
      <c r="Q118" s="2335"/>
      <c r="R118" s="30"/>
      <c r="S118" s="2335"/>
      <c r="T118" s="2335"/>
      <c r="U118" s="30"/>
      <c r="V118" s="30"/>
      <c r="W118" s="2335"/>
      <c r="X118" s="30"/>
      <c r="Z118" s="30"/>
      <c r="AA118" s="30"/>
    </row>
    <row r="119" spans="1:27" s="7" customFormat="1">
      <c r="A119" s="907" t="s">
        <v>834</v>
      </c>
      <c r="B119" s="908" t="s">
        <v>750</v>
      </c>
      <c r="C119" s="905" t="s">
        <v>332</v>
      </c>
      <c r="D119" s="30" t="str">
        <f>IF(CostScenario="Higher cost",IF(ISBLANK('PTA-Hi'!D119)=FALSE,'PTA-Hi'!D119,""),IF(CostScenario="Lower cost",IF(ISBLANK('PTA-Lo'!D119)=FALSE,'PTA-Lo'!D119,""),IF(ISBLANK('PTA-Mid'!D119)=FALSE,'PTA-Mid'!D119,"")))</f>
        <v/>
      </c>
      <c r="E119" s="30" t="str">
        <f>IF(CostScenario="Higher cost",IF(ISBLANK('PTA-Hi'!E119)=FALSE,'PTA-Hi'!E119,""),IF(CostScenario="Lower cost",IF(ISBLANK('PTA-Lo'!E119)=FALSE,'PTA-Lo'!E119,""),IF(ISBLANK('PTA-Mid'!E119)=FALSE,'PTA-Mid'!E119,"")))</f>
        <v/>
      </c>
      <c r="F119" s="30" t="str">
        <f>IF(CostScenario="Higher cost",IF(ISBLANK('PTA-Hi'!F119)=FALSE,'PTA-Hi'!F119,""),IF(CostScenario="Lower cost",IF(ISBLANK('PTA-Lo'!F119)=FALSE,'PTA-Lo'!F119,""),IF(ISBLANK('PTA-Mid'!F119)=FALSE,'PTA-Mid'!F119,"")))</f>
        <v/>
      </c>
      <c r="G119" s="30" t="str">
        <f>IF(CostScenario="Higher cost",IF(ISBLANK('PTA-Hi'!G119)=FALSE,'PTA-Hi'!G119,""),IF(CostScenario="Lower cost",IF(ISBLANK('PTA-Lo'!G119)=FALSE,'PTA-Lo'!G119,""),IF(ISBLANK('PTA-Mid'!G119)=FALSE,'PTA-Mid'!G119,"")))</f>
        <v/>
      </c>
      <c r="H119" s="30" t="str">
        <f>IF(CostScenario="Higher cost",IF(ISBLANK('PTA-Hi'!H119)=FALSE,'PTA-Hi'!H119,""),IF(CostScenario="Lower cost",IF(ISBLANK('PTA-Lo'!H119)=FALSE,'PTA-Lo'!H119,""),IF(ISBLANK('PTA-Mid'!H119)=FALSE,'PTA-Mid'!H119,"")))</f>
        <v/>
      </c>
      <c r="I119" s="30">
        <f>IF(CostScenario="Higher cost",IF(ISBLANK('PTA-Hi'!I119)=FALSE,'PTA-Hi'!I119,""),IF(CostScenario="Lower cost",IF(ISBLANK('PTA-Lo'!I119)=FALSE,'PTA-Lo'!I119,""),IF(ISBLANK('PTA-Mid'!I119)=FALSE,'PTA-Mid'!I119,"")))</f>
        <v>500000</v>
      </c>
      <c r="J119" s="30">
        <f>IF(CostScenario="Higher cost",IF(ISBLANK('PTA-Hi'!J119)=FALSE,'PTA-Hi'!J119,""),IF(CostScenario="Lower cost",IF(ISBLANK('PTA-Lo'!J119)=FALSE,'PTA-Lo'!J119,""),IF(ISBLANK('PTA-Mid'!J119)=FALSE,'PTA-Mid'!J119,"")))</f>
        <v>600000</v>
      </c>
      <c r="K119" s="30">
        <f>IF(CostScenario="Higher cost",IF(ISBLANK('PTA-Hi'!K119)=FALSE,'PTA-Hi'!K119,""),IF(CostScenario="Lower cost",IF(ISBLANK('PTA-Lo'!K119)=FALSE,'PTA-Lo'!K119,""),IF(ISBLANK('PTA-Mid'!K119)=FALSE,'PTA-Mid'!K119,"")))</f>
        <v>600000</v>
      </c>
      <c r="L119" s="30" t="str">
        <f>IF(CostScenario="Higher cost",IF(ISBLANK('PTA-Hi'!L119)=FALSE,'PTA-Hi'!L119,""),IF(CostScenario="Lower cost",IF(ISBLANK('PTA-Lo'!L119)=FALSE,'PTA-Lo'!L119,""),IF(ISBLANK('PTA-Mid'!L119)=FALSE,'PTA-Mid'!L119,"")))</f>
        <v/>
      </c>
      <c r="M119" s="30" t="str">
        <f>IF(CostScenario="Higher cost",IF(ISBLANK('PTA-Hi'!M119)=FALSE,'PTA-Hi'!M119,""),IF(CostScenario="Lower cost",IF(ISBLANK('PTA-Lo'!M119)=FALSE,'PTA-Lo'!M119,""),IF(ISBLANK('PTA-Mid'!M119)=FALSE,'PTA-Mid'!M119,"")))</f>
        <v/>
      </c>
      <c r="N119" s="2335" t="str">
        <f>IF(CostScenario="Higher cost",IF(ISBLANK('PTA-Hi'!N119)=FALSE,'PTA-Hi'!N119,""),IF(CostScenario="Lower cost",IF(ISBLANK('PTA-Lo'!N119)=FALSE,'PTA-Lo'!N119,""),IF(ISBLANK('PTA-Mid'!N119)=FALSE,'PTA-Mid'!N119,"")))</f>
        <v/>
      </c>
      <c r="O119" s="2335" t="str">
        <f>IF(CostScenario="Higher cost",IF(ISBLANK('PTA-Hi'!O119)=FALSE,'PTA-Hi'!O119,""),IF(CostScenario="Lower cost",IF(ISBLANK('PTA-Lo'!O119)=FALSE,'PTA-Lo'!O119,""),IF(ISBLANK('PTA-Mid'!O119)=FALSE,'PTA-Mid'!O119,"")))</f>
        <v/>
      </c>
      <c r="P119" s="2335" t="str">
        <f>IF(CostScenario="Higher cost",IF(ISBLANK('PTA-Hi'!P119)=FALSE,'PTA-Hi'!P119,""),IF(CostScenario="Lower cost",IF(ISBLANK('PTA-Lo'!P119)=FALSE,'PTA-Lo'!P119,""),IF(ISBLANK('PTA-Mid'!P119)=FALSE,'PTA-Mid'!P119,"")))</f>
        <v/>
      </c>
      <c r="Q119" s="2335" t="str">
        <f>IF(CostScenario="Higher cost",IF(ISBLANK('PTA-Hi'!Q119)=FALSE,'PTA-Hi'!Q119,""),IF(CostScenario="Lower cost",IF(ISBLANK('PTA-Lo'!Q119)=FALSE,'PTA-Lo'!Q119,""),IF(ISBLANK('PTA-Mid'!Q119)=FALSE,'PTA-Mid'!Q119,"")))</f>
        <v/>
      </c>
      <c r="R119" s="30" t="str">
        <f>IF(CostScenario="Higher cost",IF(ISBLANK('PTA-Hi'!R119)=FALSE,'PTA-Hi'!R119,""),IF(CostScenario="Lower cost",IF(ISBLANK('PTA-Lo'!R119)=FALSE,'PTA-Lo'!R119,""),IF(ISBLANK('PTA-Mid'!R119)=FALSE,'PTA-Mid'!R119,"")))</f>
        <v/>
      </c>
      <c r="S119" s="2335" t="str">
        <f>IF(CostScenario="Higher cost",IF(ISBLANK('PTA-Hi'!S119)=FALSE,'PTA-Hi'!S119,""),IF(CostScenario="Lower cost",IF(ISBLANK('PTA-Lo'!S119)=FALSE,'PTA-Lo'!S119,""),IF(ISBLANK('PTA-Mid'!S119)=FALSE,'PTA-Mid'!S119,"")))</f>
        <v/>
      </c>
      <c r="T119" s="2335" t="str">
        <f>IF(CostScenario="Higher cost",IF(ISBLANK('PTA-Hi'!T119)=FALSE,'PTA-Hi'!T119,""),IF(CostScenario="Lower cost",IF(ISBLANK('PTA-Lo'!T119)=FALSE,'PTA-Lo'!T119,""),IF(ISBLANK('PTA-Mid'!T119)=FALSE,'PTA-Mid'!T119,"")))</f>
        <v/>
      </c>
      <c r="U119" s="30">
        <f>IF(CostScenario="Higher cost",IF(ISBLANK('PTA-Hi'!U119)=FALSE,'PTA-Hi'!U119,""),IF(CostScenario="Lower cost",IF(ISBLANK('PTA-Lo'!U119)=FALSE,'PTA-Lo'!U119,""),IF(ISBLANK('PTA-Mid'!U119)=FALSE,'PTA-Mid'!U119,"")))</f>
        <v>1000000</v>
      </c>
      <c r="V119" s="30">
        <f>IF(CostScenario="Higher cost",IF(ISBLANK('PTA-Hi'!V119)=FALSE,'PTA-Hi'!V119,""),IF(CostScenario="Lower cost",IF(ISBLANK('PTA-Lo'!V119)=FALSE,'PTA-Lo'!V119,""),IF(ISBLANK('PTA-Mid'!V119)=FALSE,'PTA-Mid'!V119,"")))</f>
        <v>1000000</v>
      </c>
      <c r="W119" s="39"/>
      <c r="X119" s="30"/>
      <c r="Z119" s="30"/>
      <c r="AA119" s="30"/>
    </row>
    <row r="120" spans="1:27" s="7" customFormat="1">
      <c r="A120" s="907" t="s">
        <v>835</v>
      </c>
      <c r="B120" s="908" t="s">
        <v>751</v>
      </c>
      <c r="C120" s="905" t="s">
        <v>1328</v>
      </c>
      <c r="D120" s="339">
        <f>IF(CostScenario="Higher cost",IF(ISBLANK('PTA-Hi'!D120)=FALSE,'PTA-Hi'!D120,""),IF(CostScenario="Lower cost",IF(ISBLANK('PTA-Lo'!D120)=FALSE,'PTA-Lo'!D120,""),IF(ISBLANK('PTA-Mid'!D120)=FALSE,'PTA-Mid'!D120,"")))</f>
        <v>1451591</v>
      </c>
      <c r="E120" s="339">
        <f>IF(CostScenario="Higher cost",IF(ISBLANK('PTA-Hi'!E120)=FALSE,'PTA-Hi'!E120,""),IF(CostScenario="Lower cost",IF(ISBLANK('PTA-Lo'!E120)=FALSE,'PTA-Lo'!E120,""),IF(ISBLANK('PTA-Mid'!E120)=FALSE,'PTA-Mid'!E120,"")))</f>
        <v>2909000</v>
      </c>
      <c r="F120" s="339">
        <f>IF(CostScenario="Higher cost",IF(ISBLANK('PTA-Hi'!F120)=FALSE,'PTA-Hi'!F120,""),IF(CostScenario="Lower cost",IF(ISBLANK('PTA-Lo'!F120)=FALSE,'PTA-Lo'!F120,""),IF(ISBLANK('PTA-Mid'!F120)=FALSE,'PTA-Mid'!F120,"")))</f>
        <v>5818000</v>
      </c>
      <c r="G120" s="339">
        <f>IF(CostScenario="Higher cost",IF(ISBLANK('PTA-Hi'!G120)=FALSE,'PTA-Hi'!G120,""),IF(CostScenario="Lower cost",IF(ISBLANK('PTA-Lo'!G120)=FALSE,'PTA-Lo'!G120,""),IF(ISBLANK('PTA-Mid'!G120)=FALSE,'PTA-Mid'!G120,"")))</f>
        <v>6900000</v>
      </c>
      <c r="H120" s="339">
        <f>IF(CostScenario="Higher cost",IF(ISBLANK('PTA-Hi'!H120)=FALSE,'PTA-Hi'!H120,""),IF(CostScenario="Lower cost",IF(ISBLANK('PTA-Lo'!H120)=FALSE,'PTA-Lo'!H120,""),IF(ISBLANK('PTA-Mid'!H120)=FALSE,'PTA-Mid'!H120,"")))</f>
        <v>7590000</v>
      </c>
      <c r="I120" s="339" t="str">
        <f>IF(CostScenario="Higher cost",IF(ISBLANK('PTA-Hi'!I120)=FALSE,'PTA-Hi'!I120,""),IF(CostScenario="Lower cost",IF(ISBLANK('PTA-Lo'!I120)=FALSE,'PTA-Lo'!I120,""),IF(ISBLANK('PTA-Mid'!I120)=FALSE,'PTA-Mid'!I120,"")))</f>
        <v/>
      </c>
      <c r="J120" s="339" t="str">
        <f>IF(CostScenario="Higher cost",IF(ISBLANK('PTA-Hi'!J120)=FALSE,'PTA-Hi'!J120,""),IF(CostScenario="Lower cost",IF(ISBLANK('PTA-Lo'!J120)=FALSE,'PTA-Lo'!J120,""),IF(ISBLANK('PTA-Mid'!J120)=FALSE,'PTA-Mid'!J120,"")))</f>
        <v/>
      </c>
      <c r="K120" s="339" t="str">
        <f>IF(CostScenario="Higher cost",IF(ISBLANK('PTA-Hi'!K120)=FALSE,'PTA-Hi'!K120,""),IF(CostScenario="Lower cost",IF(ISBLANK('PTA-Lo'!K120)=FALSE,'PTA-Lo'!K120,""),IF(ISBLANK('PTA-Mid'!K120)=FALSE,'PTA-Mid'!K120,"")))</f>
        <v/>
      </c>
      <c r="L120" s="339">
        <f>IF(CostScenario="Higher cost",IF(ISBLANK('PTA-Hi'!L120)=FALSE,'PTA-Hi'!L120,""),IF(CostScenario="Lower cost",IF(ISBLANK('PTA-Lo'!L120)=FALSE,'PTA-Lo'!L120,""),IF(ISBLANK('PTA-Mid'!L120)=FALSE,'PTA-Mid'!L120,"")))</f>
        <v>7700000</v>
      </c>
      <c r="M120" s="339">
        <f>IF(CostScenario="Higher cost",IF(ISBLANK('PTA-Hi'!M120)=FALSE,'PTA-Hi'!M120,""),IF(CostScenario="Lower cost",IF(ISBLANK('PTA-Lo'!M120)=FALSE,'PTA-Lo'!M120,""),IF(ISBLANK('PTA-Mid'!M120)=FALSE,'PTA-Mid'!M120,"")))</f>
        <v>7700000</v>
      </c>
      <c r="N120" s="339">
        <f>IF(CostScenario="Higher cost",IF(ISBLANK('PTA-Hi'!N120)=FALSE,'PTA-Hi'!N120,""),IF(CostScenario="Lower cost",IF(ISBLANK('PTA-Lo'!N120)=FALSE,'PTA-Lo'!N120,""),IF(ISBLANK('PTA-Mid'!N120)=FALSE,'PTA-Mid'!N120,"")))</f>
        <v>3080000</v>
      </c>
      <c r="O120" s="339">
        <f>IF(CostScenario="Higher cost",IF(ISBLANK('PTA-Hi'!O120)=FALSE,'PTA-Hi'!O120,""),IF(CostScenario="Lower cost",IF(ISBLANK('PTA-Lo'!O120)=FALSE,'PTA-Lo'!O120,""),IF(ISBLANK('PTA-Mid'!O120)=FALSE,'PTA-Mid'!O120,"")))</f>
        <v>3080000</v>
      </c>
      <c r="P120" s="339">
        <f>IF(CostScenario="Higher cost",IF(ISBLANK('PTA-Hi'!P120)=FALSE,'PTA-Hi'!P120,""),IF(CostScenario="Lower cost",IF(ISBLANK('PTA-Lo'!P120)=FALSE,'PTA-Lo'!P120,""),IF(ISBLANK('PTA-Mid'!P120)=FALSE,'PTA-Mid'!P120,"")))</f>
        <v>3080000</v>
      </c>
      <c r="Q120" s="339">
        <f>IF(CostScenario="Higher cost",IF(ISBLANK('PTA-Hi'!Q120)=FALSE,'PTA-Hi'!Q120,""),IF(CostScenario="Lower cost",IF(ISBLANK('PTA-Lo'!Q120)=FALSE,'PTA-Lo'!Q120,""),IF(ISBLANK('PTA-Mid'!Q120)=FALSE,'PTA-Mid'!Q120,"")))</f>
        <v>3080000</v>
      </c>
      <c r="R120" s="339">
        <f>IF(CostScenario="Higher cost",IF(ISBLANK('PTA-Hi'!R120)=FALSE,'PTA-Hi'!R120,""),IF(CostScenario="Lower cost",IF(ISBLANK('PTA-Lo'!R120)=FALSE,'PTA-Lo'!R120,""),IF(ISBLANK('PTA-Mid'!R120)=FALSE,'PTA-Mid'!R120,"")))</f>
        <v>3080000</v>
      </c>
      <c r="S120" s="339">
        <f>IF(CostScenario="Higher cost",IF(ISBLANK('PTA-Hi'!S120)=FALSE,'PTA-Hi'!S120,""),IF(CostScenario="Lower cost",IF(ISBLANK('PTA-Lo'!S120)=FALSE,'PTA-Lo'!S120,""),IF(ISBLANK('PTA-Mid'!S120)=FALSE,'PTA-Mid'!S120,"")))</f>
        <v>616000</v>
      </c>
      <c r="T120" s="339">
        <f>IF(CostScenario="Higher cost",IF(ISBLANK('PTA-Hi'!T120)=FALSE,'PTA-Hi'!T120,""),IF(CostScenario="Lower cost",IF(ISBLANK('PTA-Lo'!T120)=FALSE,'PTA-Lo'!T120,""),IF(ISBLANK('PTA-Mid'!T120)=FALSE,'PTA-Mid'!T120,"")))</f>
        <v>616000</v>
      </c>
      <c r="U120" s="339" t="str">
        <f>IF(CostScenario="Higher cost",IF(ISBLANK('PTA-Hi'!U120)=FALSE,'PTA-Hi'!U120,""),IF(CostScenario="Lower cost",IF(ISBLANK('PTA-Lo'!U120)=FALSE,'PTA-Lo'!U120,""),IF(ISBLANK('PTA-Mid'!U120)=FALSE,'PTA-Mid'!U120,"")))</f>
        <v/>
      </c>
      <c r="V120" s="339" t="str">
        <f>IF(CostScenario="Higher cost",IF(ISBLANK('PTA-Hi'!V120)=FALSE,'PTA-Hi'!V120,""),IF(CostScenario="Lower cost",IF(ISBLANK('PTA-Lo'!V120)=FALSE,'PTA-Lo'!V120,""),IF(ISBLANK('PTA-Mid'!V120)=FALSE,'PTA-Mid'!V120,"")))</f>
        <v/>
      </c>
      <c r="W120" s="2335"/>
      <c r="X120" s="39"/>
      <c r="Z120" s="39"/>
      <c r="AA120" s="30"/>
    </row>
    <row r="121" spans="1:27" s="7" customFormat="1">
      <c r="A121" s="907"/>
      <c r="B121" s="908"/>
      <c r="C121" s="904" t="s">
        <v>1329</v>
      </c>
      <c r="D121" s="30"/>
      <c r="E121" s="30"/>
      <c r="F121" s="30"/>
      <c r="G121" s="30"/>
      <c r="H121" s="30"/>
      <c r="I121" s="30"/>
      <c r="J121" s="30"/>
      <c r="K121" s="30"/>
      <c r="L121" s="30"/>
      <c r="M121" s="30"/>
      <c r="N121" s="2335"/>
      <c r="O121" s="2335"/>
      <c r="P121" s="2335"/>
      <c r="Q121" s="2335"/>
      <c r="R121" s="30"/>
      <c r="S121" s="2335"/>
      <c r="T121" s="2335"/>
      <c r="U121" s="30"/>
      <c r="V121" s="30"/>
      <c r="W121" s="2335"/>
      <c r="X121" s="30"/>
      <c r="Z121" s="30"/>
      <c r="AA121" s="30"/>
    </row>
    <row r="122" spans="1:27" s="7" customFormat="1" ht="14.25">
      <c r="A122" s="902" t="s">
        <v>914</v>
      </c>
      <c r="B122" s="944" t="s">
        <v>752</v>
      </c>
      <c r="C122" s="905" t="s">
        <v>912</v>
      </c>
      <c r="D122" s="339">
        <f>IF(CostScenario="Higher cost",IF(ISBLANK('PTA-Hi'!D122)=FALSE,'PTA-Hi'!D122,""),IF(CostScenario="Lower cost",IF(ISBLANK('PTA-Lo'!D122)=FALSE,'PTA-Lo'!D122,""),IF(ISBLANK('PTA-Mid'!D122)=FALSE,'PTA-Mid'!D122,"")))</f>
        <v>7957500</v>
      </c>
      <c r="E122" s="339">
        <f>IF(CostScenario="Higher cost",IF(ISBLANK('PTA-Hi'!E122)=FALSE,'PTA-Hi'!E122,""),IF(CostScenario="Lower cost",IF(ISBLANK('PTA-Lo'!E122)=FALSE,'PTA-Lo'!E122,""),IF(ISBLANK('PTA-Mid'!E122)=FALSE,'PTA-Mid'!E122,"")))</f>
        <v>8712000</v>
      </c>
      <c r="F122" s="339">
        <f>IF(CostScenario="Higher cost",IF(ISBLANK('PTA-Hi'!F122)=FALSE,'PTA-Hi'!F122,""),IF(CostScenario="Lower cost",IF(ISBLANK('PTA-Lo'!F122)=FALSE,'PTA-Lo'!F122,""),IF(ISBLANK('PTA-Mid'!F122)=FALSE,'PTA-Mid'!F122,"")))</f>
        <v>30445500</v>
      </c>
      <c r="G122" s="339">
        <f>IF(CostScenario="Higher cost",IF(ISBLANK('PTA-Hi'!G122)=FALSE,'PTA-Hi'!G122,""),IF(CostScenario="Lower cost",IF(ISBLANK('PTA-Lo'!G122)=FALSE,'PTA-Lo'!G122,""),IF(ISBLANK('PTA-Mid'!G122)=FALSE,'PTA-Mid'!G122,"")))</f>
        <v>30445500</v>
      </c>
      <c r="H122" s="339">
        <f>IF(CostScenario="Higher cost",IF(ISBLANK('PTA-Hi'!H122)=FALSE,'PTA-Hi'!H122,""),IF(CostScenario="Lower cost",IF(ISBLANK('PTA-Lo'!H122)=FALSE,'PTA-Lo'!H122,""),IF(ISBLANK('PTA-Mid'!H122)=FALSE,'PTA-Mid'!H122,"")))</f>
        <v>31000500</v>
      </c>
      <c r="I122" s="39">
        <f>IF(CostScenario="Higher cost",IF(ISBLANK('PTA-Hi'!I122)=FALSE,'PTA-Hi'!I122,""),IF(CostScenario="Lower cost",IF(ISBLANK('PTA-Lo'!I122)=FALSE,'PTA-Lo'!I122,""),IF(ISBLANK('PTA-Mid'!I122)=FALSE,'PTA-Mid'!I122,"")))</f>
        <v>7957500</v>
      </c>
      <c r="J122" s="1736">
        <f>IF(CostScenario="Higher cost",IF(ISBLANK('PTA-Hi'!J122)=FALSE,'PTA-Hi'!J122,""),IF(CostScenario="Lower cost",IF(ISBLANK('PTA-Lo'!J122)=FALSE,'PTA-Lo'!J122,""),IF(ISBLANK('PTA-Mid'!J122)=FALSE,'PTA-Mid'!J122,"")))</f>
        <v>7957500</v>
      </c>
      <c r="K122" s="464">
        <f>IF(CostScenario="Higher cost",IF(ISBLANK('PTA-Hi'!K122)=FALSE,'PTA-Hi'!K122,""),IF(CostScenario="Lower cost",IF(ISBLANK('PTA-Lo'!K122)=FALSE,'PTA-Lo'!K122,""),IF(ISBLANK('PTA-Mid'!K122)=FALSE,'PTA-Mid'!K122,"")))</f>
        <v>7957500</v>
      </c>
      <c r="L122" s="30">
        <f>IF(CostScenario="Higher cost",IF(ISBLANK('PTA-Hi'!L122)=FALSE,'PTA-Hi'!L122,""),IF(CostScenario="Lower cost",IF(ISBLANK('PTA-Lo'!L122)=FALSE,'PTA-Lo'!L122,""),IF(ISBLANK('PTA-Mid'!L122)=FALSE,'PTA-Mid'!L122,"")))</f>
        <v>30445500</v>
      </c>
      <c r="M122" s="30">
        <f>IF(CostScenario="Higher cost",IF(ISBLANK('PTA-Hi'!M122)=FALSE,'PTA-Hi'!M122,""),IF(CostScenario="Lower cost",IF(ISBLANK('PTA-Lo'!M122)=FALSE,'PTA-Lo'!M122,""),IF(ISBLANK('PTA-Mid'!M122)=FALSE,'PTA-Mid'!M122,"")))</f>
        <v>30445500</v>
      </c>
      <c r="N122" s="2335">
        <f>IF(CostScenario="Higher cost",IF(ISBLANK('PTA-Hi'!N122)=FALSE,'PTA-Hi'!N122,""),IF(CostScenario="Lower cost",IF(ISBLANK('PTA-Lo'!N122)=FALSE,'PTA-Lo'!N122,""),IF(ISBLANK('PTA-Mid'!N122)=FALSE,'PTA-Mid'!N122,"")))</f>
        <v>8712000</v>
      </c>
      <c r="O122" s="2335">
        <f>IF(CostScenario="Higher cost",IF(ISBLANK('PTA-Hi'!O122)=FALSE,'PTA-Hi'!O122,""),IF(CostScenario="Lower cost",IF(ISBLANK('PTA-Lo'!O122)=FALSE,'PTA-Lo'!O122,""),IF(ISBLANK('PTA-Mid'!O122)=FALSE,'PTA-Mid'!O122,"")))</f>
        <v>8712000</v>
      </c>
      <c r="P122" s="2335">
        <f>IF(CostScenario="Higher cost",IF(ISBLANK('PTA-Hi'!P122)=FALSE,'PTA-Hi'!P122,""),IF(CostScenario="Lower cost",IF(ISBLANK('PTA-Lo'!P122)=FALSE,'PTA-Lo'!P122,""),IF(ISBLANK('PTA-Mid'!P122)=FALSE,'PTA-Mid'!P122,"")))</f>
        <v>8712000</v>
      </c>
      <c r="Q122" s="2335">
        <f>IF(CostScenario="Higher cost",IF(ISBLANK('PTA-Hi'!Q122)=FALSE,'PTA-Hi'!Q122,""),IF(CostScenario="Lower cost",IF(ISBLANK('PTA-Lo'!Q122)=FALSE,'PTA-Lo'!Q122,""),IF(ISBLANK('PTA-Mid'!Q122)=FALSE,'PTA-Mid'!Q122,"")))</f>
        <v>8712000</v>
      </c>
      <c r="R122" s="30">
        <f>IF(CostScenario="Higher cost",IF(ISBLANK('PTA-Hi'!R122)=FALSE,'PTA-Hi'!R122,""),IF(CostScenario="Lower cost",IF(ISBLANK('PTA-Lo'!R122)=FALSE,'PTA-Lo'!R122,""),IF(ISBLANK('PTA-Mid'!R122)=FALSE,'PTA-Mid'!R122,"")))</f>
        <v>8712000</v>
      </c>
      <c r="S122" s="2335">
        <f>IF(CostScenario="Higher cost",IF(ISBLANK('PTA-Hi'!S122)=FALSE,'PTA-Hi'!S122,""),IF(CostScenario="Lower cost",IF(ISBLANK('PTA-Lo'!S122)=FALSE,'PTA-Lo'!S122,""),IF(ISBLANK('PTA-Mid'!S122)=FALSE,'PTA-Mid'!S122,"")))</f>
        <v>7957500</v>
      </c>
      <c r="T122" s="2335">
        <f>IF(CostScenario="Higher cost",IF(ISBLANK('PTA-Hi'!T122)=FALSE,'PTA-Hi'!T122,""),IF(CostScenario="Lower cost",IF(ISBLANK('PTA-Lo'!T122)=FALSE,'PTA-Lo'!T122,""),IF(ISBLANK('PTA-Mid'!T122)=FALSE,'PTA-Mid'!T122,"")))</f>
        <v>7957500</v>
      </c>
      <c r="U122" s="1513">
        <f>IF(CostScenario="Higher cost",IF(ISBLANK('PTA-Hi'!U122)=FALSE,'PTA-Hi'!U122,""),IF(CostScenario="Lower cost",IF(ISBLANK('PTA-Lo'!U122)=FALSE,'PTA-Lo'!U122,""),IF(ISBLANK('PTA-Mid'!U122)=FALSE,'PTA-Mid'!U122,"")))</f>
        <v>8712000</v>
      </c>
      <c r="V122" s="1513">
        <f>IF(CostScenario="Higher cost",IF(ISBLANK('PTA-Hi'!V122)=FALSE,'PTA-Hi'!V122,""),IF(CostScenario="Lower cost",IF(ISBLANK('PTA-Lo'!V122)=FALSE,'PTA-Lo'!V122,""),IF(ISBLANK('PTA-Mid'!V122)=FALSE,'PTA-Mid'!V122,"")))</f>
        <v>8712000</v>
      </c>
      <c r="W122" s="1513"/>
      <c r="X122" s="39"/>
      <c r="Z122" s="30"/>
      <c r="AA122" s="30"/>
    </row>
    <row r="123" spans="1:27" s="7" customFormat="1">
      <c r="A123" s="907" t="s">
        <v>917</v>
      </c>
      <c r="B123" s="944" t="s">
        <v>753</v>
      </c>
      <c r="C123" s="905" t="s">
        <v>915</v>
      </c>
      <c r="D123" s="30" t="str">
        <f>IF(CostScenario="Higher cost",IF(ISBLANK('PTA-Hi'!D123)=FALSE,'PTA-Hi'!D123,""),IF(CostScenario="Lower cost",IF(ISBLANK('PTA-Lo'!D123)=FALSE,'PTA-Lo'!D123,""),IF(ISBLANK('PTA-Mid'!D123)=FALSE,'PTA-Mid'!D123,"")))</f>
        <v/>
      </c>
      <c r="E123" s="30" t="str">
        <f>IF(CostScenario="Higher cost",IF(ISBLANK('PTA-Hi'!E123)=FALSE,'PTA-Hi'!E123,""),IF(CostScenario="Lower cost",IF(ISBLANK('PTA-Lo'!E123)=FALSE,'PTA-Lo'!E123,""),IF(ISBLANK('PTA-Mid'!E123)=FALSE,'PTA-Mid'!E123,"")))</f>
        <v/>
      </c>
      <c r="F123" s="30" t="str">
        <f>IF(CostScenario="Higher cost",IF(ISBLANK('PTA-Hi'!F123)=FALSE,'PTA-Hi'!F123,""),IF(CostScenario="Lower cost",IF(ISBLANK('PTA-Lo'!F123)=FALSE,'PTA-Lo'!F123,""),IF(ISBLANK('PTA-Mid'!F123)=FALSE,'PTA-Mid'!F123,"")))</f>
        <v/>
      </c>
      <c r="G123" s="30" t="str">
        <f>IF(CostScenario="Higher cost",IF(ISBLANK('PTA-Hi'!G123)=FALSE,'PTA-Hi'!G123,""),IF(CostScenario="Lower cost",IF(ISBLANK('PTA-Lo'!G123)=FALSE,'PTA-Lo'!G123,""),IF(ISBLANK('PTA-Mid'!G123)=FALSE,'PTA-Mid'!G123,"")))</f>
        <v/>
      </c>
      <c r="H123" s="30" t="str">
        <f>IF(CostScenario="Higher cost",IF(ISBLANK('PTA-Hi'!H123)=FALSE,'PTA-Hi'!H123,""),IF(CostScenario="Lower cost",IF(ISBLANK('PTA-Lo'!H123)=FALSE,'PTA-Lo'!H123,""),IF(ISBLANK('PTA-Mid'!H123)=FALSE,'PTA-Mid'!H123,"")))</f>
        <v/>
      </c>
      <c r="I123" s="30" t="str">
        <f>IF(CostScenario="Higher cost",IF(ISBLANK('PTA-Hi'!I123)=FALSE,'PTA-Hi'!I123,""),IF(CostScenario="Lower cost",IF(ISBLANK('PTA-Lo'!I123)=FALSE,'PTA-Lo'!I123,""),IF(ISBLANK('PTA-Mid'!I123)=FALSE,'PTA-Mid'!I123,"")))</f>
        <v/>
      </c>
      <c r="J123" s="30" t="str">
        <f>IF(CostScenario="Higher cost",IF(ISBLANK('PTA-Hi'!J123)=FALSE,'PTA-Hi'!J123,""),IF(CostScenario="Lower cost",IF(ISBLANK('PTA-Lo'!J123)=FALSE,'PTA-Lo'!J123,""),IF(ISBLANK('PTA-Mid'!J123)=FALSE,'PTA-Mid'!J123,"")))</f>
        <v/>
      </c>
      <c r="K123" s="30" t="str">
        <f>IF(CostScenario="Higher cost",IF(ISBLANK('PTA-Hi'!K123)=FALSE,'PTA-Hi'!K123,""),IF(CostScenario="Lower cost",IF(ISBLANK('PTA-Lo'!K123)=FALSE,'PTA-Lo'!K123,""),IF(ISBLANK('PTA-Mid'!K123)=FALSE,'PTA-Mid'!K123,"")))</f>
        <v/>
      </c>
      <c r="L123" s="30" t="str">
        <f>IF(CostScenario="Higher cost",IF(ISBLANK('PTA-Hi'!L123)=FALSE,'PTA-Hi'!L123,""),IF(CostScenario="Lower cost",IF(ISBLANK('PTA-Lo'!L123)=FALSE,'PTA-Lo'!L123,""),IF(ISBLANK('PTA-Mid'!L123)=FALSE,'PTA-Mid'!L123,"")))</f>
        <v/>
      </c>
      <c r="M123" s="30" t="str">
        <f>IF(CostScenario="Higher cost",IF(ISBLANK('PTA-Hi'!M123)=FALSE,'PTA-Hi'!M123,""),IF(CostScenario="Lower cost",IF(ISBLANK('PTA-Lo'!M123)=FALSE,'PTA-Lo'!M123,""),IF(ISBLANK('PTA-Mid'!M123)=FALSE,'PTA-Mid'!M123,"")))</f>
        <v/>
      </c>
      <c r="N123" s="2335" t="str">
        <f>IF(CostScenario="Higher cost",IF(ISBLANK('PTA-Hi'!N123)=FALSE,'PTA-Hi'!N123,""),IF(CostScenario="Lower cost",IF(ISBLANK('PTA-Lo'!N123)=FALSE,'PTA-Lo'!N123,""),IF(ISBLANK('PTA-Mid'!N123)=FALSE,'PTA-Mid'!N123,"")))</f>
        <v/>
      </c>
      <c r="O123" s="2335" t="str">
        <f>IF(CostScenario="Higher cost",IF(ISBLANK('PTA-Hi'!O123)=FALSE,'PTA-Hi'!O123,""),IF(CostScenario="Lower cost",IF(ISBLANK('PTA-Lo'!O123)=FALSE,'PTA-Lo'!O123,""),IF(ISBLANK('PTA-Mid'!O123)=FALSE,'PTA-Mid'!O123,"")))</f>
        <v/>
      </c>
      <c r="P123" s="2335" t="str">
        <f>IF(CostScenario="Higher cost",IF(ISBLANK('PTA-Hi'!P123)=FALSE,'PTA-Hi'!P123,""),IF(CostScenario="Lower cost",IF(ISBLANK('PTA-Lo'!P123)=FALSE,'PTA-Lo'!P123,""),IF(ISBLANK('PTA-Mid'!P123)=FALSE,'PTA-Mid'!P123,"")))</f>
        <v/>
      </c>
      <c r="Q123" s="2335" t="str">
        <f>IF(CostScenario="Higher cost",IF(ISBLANK('PTA-Hi'!Q123)=FALSE,'PTA-Hi'!Q123,""),IF(CostScenario="Lower cost",IF(ISBLANK('PTA-Lo'!Q123)=FALSE,'PTA-Lo'!Q123,""),IF(ISBLANK('PTA-Mid'!Q123)=FALSE,'PTA-Mid'!Q123,"")))</f>
        <v/>
      </c>
      <c r="R123" s="30" t="str">
        <f>IF(CostScenario="Higher cost",IF(ISBLANK('PTA-Hi'!R123)=FALSE,'PTA-Hi'!R123,""),IF(CostScenario="Lower cost",IF(ISBLANK('PTA-Lo'!R123)=FALSE,'PTA-Lo'!R123,""),IF(ISBLANK('PTA-Mid'!R123)=FALSE,'PTA-Mid'!R123,"")))</f>
        <v/>
      </c>
      <c r="S123" s="2335" t="str">
        <f>IF(CostScenario="Higher cost",IF(ISBLANK('PTA-Hi'!S123)=FALSE,'PTA-Hi'!S123,""),IF(CostScenario="Lower cost",IF(ISBLANK('PTA-Lo'!S123)=FALSE,'PTA-Lo'!S123,""),IF(ISBLANK('PTA-Mid'!S123)=FALSE,'PTA-Mid'!S123,"")))</f>
        <v/>
      </c>
      <c r="T123" s="2335" t="str">
        <f>IF(CostScenario="Higher cost",IF(ISBLANK('PTA-Hi'!T123)=FALSE,'PTA-Hi'!T123,""),IF(CostScenario="Lower cost",IF(ISBLANK('PTA-Lo'!T123)=FALSE,'PTA-Lo'!T123,""),IF(ISBLANK('PTA-Mid'!T123)=FALSE,'PTA-Mid'!T123,"")))</f>
        <v/>
      </c>
      <c r="U123" s="30" t="str">
        <f>IF(CostScenario="Higher cost",IF(ISBLANK('PTA-Hi'!U123)=FALSE,'PTA-Hi'!U123,""),IF(CostScenario="Lower cost",IF(ISBLANK('PTA-Lo'!U123)=FALSE,'PTA-Lo'!U123,""),IF(ISBLANK('PTA-Mid'!U123)=FALSE,'PTA-Mid'!U123,"")))</f>
        <v/>
      </c>
      <c r="V123" s="30" t="str">
        <f>IF(CostScenario="Higher cost",IF(ISBLANK('PTA-Hi'!V123)=FALSE,'PTA-Hi'!V123,""),IF(CostScenario="Lower cost",IF(ISBLANK('PTA-Lo'!V123)=FALSE,'PTA-Lo'!V123,""),IF(ISBLANK('PTA-Mid'!V123)=FALSE,'PTA-Mid'!V123,"")))</f>
        <v/>
      </c>
      <c r="W123" s="2335"/>
      <c r="X123" s="30"/>
      <c r="Z123" s="30"/>
      <c r="AA123" s="30"/>
    </row>
    <row r="124" spans="1:27" s="7" customFormat="1">
      <c r="A124" s="907" t="s">
        <v>918</v>
      </c>
      <c r="B124" s="908" t="s">
        <v>754</v>
      </c>
      <c r="C124" s="905" t="s">
        <v>913</v>
      </c>
      <c r="D124" s="30" t="str">
        <f>IF(CostScenario="Higher cost",IF(ISBLANK('PTA-Hi'!D124)=FALSE,'PTA-Hi'!D124,""),IF(CostScenario="Lower cost",IF(ISBLANK('PTA-Lo'!D124)=FALSE,'PTA-Lo'!D124,""),IF(ISBLANK('PTA-Mid'!D124)=FALSE,'PTA-Mid'!D124,"")))</f>
        <v/>
      </c>
      <c r="E124" s="30" t="str">
        <f>IF(CostScenario="Higher cost",IF(ISBLANK('PTA-Hi'!E124)=FALSE,'PTA-Hi'!E124,""),IF(CostScenario="Lower cost",IF(ISBLANK('PTA-Lo'!E124)=FALSE,'PTA-Lo'!E124,""),IF(ISBLANK('PTA-Mid'!E124)=FALSE,'PTA-Mid'!E124,"")))</f>
        <v/>
      </c>
      <c r="F124" s="30" t="str">
        <f>IF(CostScenario="Higher cost",IF(ISBLANK('PTA-Hi'!F124)=FALSE,'PTA-Hi'!F124,""),IF(CostScenario="Lower cost",IF(ISBLANK('PTA-Lo'!F124)=FALSE,'PTA-Lo'!F124,""),IF(ISBLANK('PTA-Mid'!F124)=FALSE,'PTA-Mid'!F124,"")))</f>
        <v/>
      </c>
      <c r="G124" s="30" t="str">
        <f>IF(CostScenario="Higher cost",IF(ISBLANK('PTA-Hi'!G124)=FALSE,'PTA-Hi'!G124,""),IF(CostScenario="Lower cost",IF(ISBLANK('PTA-Lo'!G124)=FALSE,'PTA-Lo'!G124,""),IF(ISBLANK('PTA-Mid'!G124)=FALSE,'PTA-Mid'!G124,"")))</f>
        <v/>
      </c>
      <c r="H124" s="30" t="str">
        <f>IF(CostScenario="Higher cost",IF(ISBLANK('PTA-Hi'!H124)=FALSE,'PTA-Hi'!H124,""),IF(CostScenario="Lower cost",IF(ISBLANK('PTA-Lo'!H124)=FALSE,'PTA-Lo'!H124,""),IF(ISBLANK('PTA-Mid'!H124)=FALSE,'PTA-Mid'!H124,"")))</f>
        <v/>
      </c>
      <c r="I124" s="30" t="str">
        <f>IF(CostScenario="Higher cost",IF(ISBLANK('PTA-Hi'!I124)=FALSE,'PTA-Hi'!I124,""),IF(CostScenario="Lower cost",IF(ISBLANK('PTA-Lo'!I124)=FALSE,'PTA-Lo'!I124,""),IF(ISBLANK('PTA-Mid'!I124)=FALSE,'PTA-Mid'!I124,"")))</f>
        <v/>
      </c>
      <c r="J124" s="30" t="str">
        <f>IF(CostScenario="Higher cost",IF(ISBLANK('PTA-Hi'!J124)=FALSE,'PTA-Hi'!J124,""),IF(CostScenario="Lower cost",IF(ISBLANK('PTA-Lo'!J124)=FALSE,'PTA-Lo'!J124,""),IF(ISBLANK('PTA-Mid'!J124)=FALSE,'PTA-Mid'!J124,"")))</f>
        <v/>
      </c>
      <c r="K124" s="30" t="str">
        <f>IF(CostScenario="Higher cost",IF(ISBLANK('PTA-Hi'!K124)=FALSE,'PTA-Hi'!K124,""),IF(CostScenario="Lower cost",IF(ISBLANK('PTA-Lo'!K124)=FALSE,'PTA-Lo'!K124,""),IF(ISBLANK('PTA-Mid'!K124)=FALSE,'PTA-Mid'!K124,"")))</f>
        <v/>
      </c>
      <c r="L124" s="30" t="str">
        <f>IF(CostScenario="Higher cost",IF(ISBLANK('PTA-Hi'!L124)=FALSE,'PTA-Hi'!L124,""),IF(CostScenario="Lower cost",IF(ISBLANK('PTA-Lo'!L124)=FALSE,'PTA-Lo'!L124,""),IF(ISBLANK('PTA-Mid'!L124)=FALSE,'PTA-Mid'!L124,"")))</f>
        <v/>
      </c>
      <c r="M124" s="30" t="str">
        <f>IF(CostScenario="Higher cost",IF(ISBLANK('PTA-Hi'!M124)=FALSE,'PTA-Hi'!M124,""),IF(CostScenario="Lower cost",IF(ISBLANK('PTA-Lo'!M124)=FALSE,'PTA-Lo'!M124,""),IF(ISBLANK('PTA-Mid'!M124)=FALSE,'PTA-Mid'!M124,"")))</f>
        <v/>
      </c>
      <c r="N124" s="2335" t="str">
        <f>IF(CostScenario="Higher cost",IF(ISBLANK('PTA-Hi'!N124)=FALSE,'PTA-Hi'!N124,""),IF(CostScenario="Lower cost",IF(ISBLANK('PTA-Lo'!N124)=FALSE,'PTA-Lo'!N124,""),IF(ISBLANK('PTA-Mid'!N124)=FALSE,'PTA-Mid'!N124,"")))</f>
        <v/>
      </c>
      <c r="O124" s="2335" t="str">
        <f>IF(CostScenario="Higher cost",IF(ISBLANK('PTA-Hi'!O124)=FALSE,'PTA-Hi'!O124,""),IF(CostScenario="Lower cost",IF(ISBLANK('PTA-Lo'!O124)=FALSE,'PTA-Lo'!O124,""),IF(ISBLANK('PTA-Mid'!O124)=FALSE,'PTA-Mid'!O124,"")))</f>
        <v/>
      </c>
      <c r="P124" s="2335" t="str">
        <f>IF(CostScenario="Higher cost",IF(ISBLANK('PTA-Hi'!P124)=FALSE,'PTA-Hi'!P124,""),IF(CostScenario="Lower cost",IF(ISBLANK('PTA-Lo'!P124)=FALSE,'PTA-Lo'!P124,""),IF(ISBLANK('PTA-Mid'!P124)=FALSE,'PTA-Mid'!P124,"")))</f>
        <v/>
      </c>
      <c r="Q124" s="2335" t="str">
        <f>IF(CostScenario="Higher cost",IF(ISBLANK('PTA-Hi'!Q124)=FALSE,'PTA-Hi'!Q124,""),IF(CostScenario="Lower cost",IF(ISBLANK('PTA-Lo'!Q124)=FALSE,'PTA-Lo'!Q124,""),IF(ISBLANK('PTA-Mid'!Q124)=FALSE,'PTA-Mid'!Q124,"")))</f>
        <v/>
      </c>
      <c r="R124" s="30" t="str">
        <f>IF(CostScenario="Higher cost",IF(ISBLANK('PTA-Hi'!R124)=FALSE,'PTA-Hi'!R124,""),IF(CostScenario="Lower cost",IF(ISBLANK('PTA-Lo'!R124)=FALSE,'PTA-Lo'!R124,""),IF(ISBLANK('PTA-Mid'!R124)=FALSE,'PTA-Mid'!R124,"")))</f>
        <v/>
      </c>
      <c r="S124" s="2335" t="str">
        <f>IF(CostScenario="Higher cost",IF(ISBLANK('PTA-Hi'!S124)=FALSE,'PTA-Hi'!S124,""),IF(CostScenario="Lower cost",IF(ISBLANK('PTA-Lo'!S124)=FALSE,'PTA-Lo'!S124,""),IF(ISBLANK('PTA-Mid'!S124)=FALSE,'PTA-Mid'!S124,"")))</f>
        <v/>
      </c>
      <c r="T124" s="2335" t="str">
        <f>IF(CostScenario="Higher cost",IF(ISBLANK('PTA-Hi'!T124)=FALSE,'PTA-Hi'!T124,""),IF(CostScenario="Lower cost",IF(ISBLANK('PTA-Lo'!T124)=FALSE,'PTA-Lo'!T124,""),IF(ISBLANK('PTA-Mid'!T124)=FALSE,'PTA-Mid'!T124,"")))</f>
        <v/>
      </c>
      <c r="U124" s="30" t="str">
        <f>IF(CostScenario="Higher cost",IF(ISBLANK('PTA-Hi'!U124)=FALSE,'PTA-Hi'!U124,""),IF(CostScenario="Lower cost",IF(ISBLANK('PTA-Lo'!U124)=FALSE,'PTA-Lo'!U124,""),IF(ISBLANK('PTA-Mid'!U124)=FALSE,'PTA-Mid'!U124,"")))</f>
        <v/>
      </c>
      <c r="V124" s="30" t="str">
        <f>IF(CostScenario="Higher cost",IF(ISBLANK('PTA-Hi'!V124)=FALSE,'PTA-Hi'!V124,""),IF(CostScenario="Lower cost",IF(ISBLANK('PTA-Lo'!V124)=FALSE,'PTA-Lo'!V124,""),IF(ISBLANK('PTA-Mid'!V124)=FALSE,'PTA-Mid'!V124,"")))</f>
        <v/>
      </c>
      <c r="W124" s="2335"/>
      <c r="X124" s="30"/>
      <c r="Z124" s="30"/>
      <c r="AA124" s="30"/>
    </row>
    <row r="125" spans="1:27" s="7" customFormat="1">
      <c r="A125" s="546"/>
      <c r="B125" s="40" t="s">
        <v>756</v>
      </c>
      <c r="C125" s="547"/>
      <c r="D125" s="30"/>
      <c r="E125" s="30"/>
      <c r="F125" s="30"/>
      <c r="G125" s="30"/>
      <c r="H125" s="30"/>
      <c r="I125" s="30"/>
      <c r="J125" s="30"/>
      <c r="K125" s="30"/>
      <c r="L125" s="30"/>
      <c r="M125" s="30"/>
      <c r="N125" s="2335"/>
      <c r="O125" s="2335"/>
      <c r="P125" s="2335"/>
      <c r="Q125" s="2335"/>
      <c r="R125" s="30"/>
      <c r="S125" s="2335"/>
      <c r="T125" s="2335"/>
      <c r="U125" s="30"/>
      <c r="V125" s="30"/>
      <c r="W125" s="2335"/>
      <c r="X125" s="30"/>
      <c r="Z125" s="30"/>
      <c r="AA125" s="30"/>
    </row>
    <row r="126" spans="1:27" s="7" customFormat="1">
      <c r="A126" s="216"/>
      <c r="B126" s="28"/>
      <c r="C126" s="86" t="s">
        <v>990</v>
      </c>
      <c r="D126" s="30"/>
      <c r="E126" s="30"/>
      <c r="F126" s="30"/>
      <c r="G126" s="30"/>
      <c r="H126" s="30"/>
      <c r="I126" s="30"/>
      <c r="J126" s="30"/>
      <c r="K126" s="30"/>
      <c r="L126" s="30"/>
      <c r="M126" s="30"/>
      <c r="N126" s="2335"/>
      <c r="O126" s="2335"/>
      <c r="P126" s="2335"/>
      <c r="Q126" s="2335"/>
      <c r="R126" s="30"/>
      <c r="S126" s="2335"/>
      <c r="T126" s="2335"/>
      <c r="U126" s="30"/>
      <c r="V126" s="30"/>
      <c r="W126" s="2335"/>
      <c r="X126" s="30"/>
      <c r="Z126" s="30"/>
      <c r="AA126" s="30"/>
    </row>
    <row r="127" spans="1:27" s="7" customFormat="1">
      <c r="A127" s="915"/>
      <c r="B127" s="916"/>
      <c r="C127" s="945" t="s">
        <v>461</v>
      </c>
      <c r="D127" s="30"/>
      <c r="E127" s="30"/>
      <c r="F127" s="30"/>
      <c r="G127" s="30"/>
      <c r="H127" s="30"/>
      <c r="I127" s="30"/>
      <c r="J127" s="30"/>
      <c r="K127" s="30"/>
      <c r="L127" s="30"/>
      <c r="M127" s="30"/>
      <c r="N127" s="2335"/>
      <c r="O127" s="2335"/>
      <c r="P127" s="2335"/>
      <c r="Q127" s="2335"/>
      <c r="R127" s="30"/>
      <c r="S127" s="2335"/>
      <c r="T127" s="2335"/>
      <c r="U127" s="30"/>
      <c r="V127" s="30"/>
      <c r="W127" s="2335"/>
      <c r="X127" s="30"/>
      <c r="Z127" s="30"/>
      <c r="AA127" s="30"/>
    </row>
    <row r="128" spans="1:27" s="7" customFormat="1">
      <c r="A128" s="915" t="s">
        <v>1219</v>
      </c>
      <c r="B128" s="916"/>
      <c r="C128" s="920" t="s">
        <v>1017</v>
      </c>
      <c r="D128" s="30" t="s">
        <v>521</v>
      </c>
      <c r="E128" s="30" t="s">
        <v>521</v>
      </c>
      <c r="F128" s="30" t="s">
        <v>521</v>
      </c>
      <c r="G128" s="30" t="s">
        <v>521</v>
      </c>
      <c r="H128" s="30" t="s">
        <v>521</v>
      </c>
      <c r="I128" s="30"/>
      <c r="J128" s="30"/>
      <c r="K128" s="30"/>
      <c r="L128" s="30"/>
      <c r="M128" s="30"/>
      <c r="N128" s="2335"/>
      <c r="O128" s="2335"/>
      <c r="P128" s="2335"/>
      <c r="Q128" s="2335"/>
      <c r="R128" s="30"/>
      <c r="S128" s="2335"/>
      <c r="T128" s="2335"/>
      <c r="U128" s="30"/>
      <c r="V128" s="30"/>
      <c r="W128" s="2335"/>
      <c r="X128" s="30"/>
      <c r="Z128" s="30"/>
      <c r="AA128" s="30"/>
    </row>
    <row r="129" spans="1:27" s="7" customFormat="1">
      <c r="A129" s="915" t="s">
        <v>1220</v>
      </c>
      <c r="B129" s="916"/>
      <c r="C129" s="920" t="s">
        <v>1031</v>
      </c>
      <c r="D129" s="30"/>
      <c r="E129" s="30"/>
      <c r="F129" s="30"/>
      <c r="G129" s="30"/>
      <c r="H129" s="30"/>
      <c r="I129" s="30"/>
      <c r="J129" s="30"/>
      <c r="K129" s="30"/>
      <c r="L129" s="30"/>
      <c r="M129" s="30"/>
      <c r="N129" s="2335"/>
      <c r="O129" s="2335"/>
      <c r="P129" s="2335"/>
      <c r="Q129" s="2335"/>
      <c r="R129" s="30"/>
      <c r="S129" s="2335"/>
      <c r="T129" s="2335"/>
      <c r="U129" s="30"/>
      <c r="V129" s="30"/>
      <c r="W129" s="2335"/>
      <c r="X129" s="30"/>
      <c r="Z129" s="30"/>
      <c r="AA129" s="30"/>
    </row>
    <row r="130" spans="1:27" s="7" customFormat="1">
      <c r="A130" s="915" t="s">
        <v>1221</v>
      </c>
      <c r="B130" s="946" t="s">
        <v>763</v>
      </c>
      <c r="C130" s="920" t="s">
        <v>471</v>
      </c>
      <c r="D130" s="30"/>
      <c r="E130" s="30"/>
      <c r="F130" s="30"/>
      <c r="G130" s="30"/>
      <c r="H130" s="30"/>
      <c r="I130" s="30"/>
      <c r="J130" s="30"/>
      <c r="K130" s="30"/>
      <c r="L130" s="30"/>
      <c r="M130" s="30"/>
      <c r="N130" s="2335"/>
      <c r="O130" s="2335"/>
      <c r="P130" s="2335"/>
      <c r="Q130" s="2335"/>
      <c r="R130" s="30"/>
      <c r="S130" s="2335"/>
      <c r="T130" s="2335"/>
      <c r="U130" s="30"/>
      <c r="V130" s="30"/>
      <c r="W130" s="2335"/>
      <c r="X130" s="30"/>
      <c r="Z130" s="30"/>
      <c r="AA130" s="30"/>
    </row>
    <row r="131" spans="1:27" s="7" customFormat="1">
      <c r="A131" s="915" t="s">
        <v>1222</v>
      </c>
      <c r="B131" s="916"/>
      <c r="C131" s="920" t="s">
        <v>1032</v>
      </c>
      <c r="D131" s="30"/>
      <c r="E131" s="30"/>
      <c r="F131" s="30"/>
      <c r="G131" s="30"/>
      <c r="H131" s="30"/>
      <c r="I131" s="39"/>
      <c r="J131" s="39"/>
      <c r="K131" s="39"/>
      <c r="L131" s="30"/>
      <c r="M131" s="30"/>
      <c r="N131" s="2335"/>
      <c r="O131" s="2335"/>
      <c r="P131" s="2335"/>
      <c r="Q131" s="2335"/>
      <c r="R131" s="30"/>
      <c r="S131" s="2335"/>
      <c r="T131" s="2335"/>
      <c r="U131" s="39"/>
      <c r="V131" s="39"/>
      <c r="W131" s="39"/>
      <c r="X131" s="39"/>
      <c r="Z131" s="30"/>
      <c r="AA131" s="30"/>
    </row>
    <row r="132" spans="1:27" s="7" customFormat="1">
      <c r="A132" s="915" t="s">
        <v>1223</v>
      </c>
      <c r="B132" s="916"/>
      <c r="C132" s="920" t="s">
        <v>1033</v>
      </c>
      <c r="D132" s="30"/>
      <c r="E132" s="30"/>
      <c r="F132" s="30"/>
      <c r="G132" s="30"/>
      <c r="H132" s="30"/>
      <c r="I132" s="30"/>
      <c r="J132" s="30"/>
      <c r="K132" s="30"/>
      <c r="L132" s="30"/>
      <c r="M132" s="30"/>
      <c r="N132" s="2335"/>
      <c r="O132" s="2335"/>
      <c r="P132" s="2335"/>
      <c r="Q132" s="2335"/>
      <c r="R132" s="30"/>
      <c r="S132" s="2335"/>
      <c r="T132" s="2335"/>
      <c r="U132" s="30"/>
      <c r="V132" s="30"/>
      <c r="W132" s="2335"/>
      <c r="X132" s="30"/>
      <c r="Z132" s="30"/>
      <c r="AA132" s="30"/>
    </row>
    <row r="133" spans="1:27" s="7" customFormat="1">
      <c r="A133" s="915" t="s">
        <v>1224</v>
      </c>
      <c r="B133" s="916"/>
      <c r="C133" s="920" t="s">
        <v>1034</v>
      </c>
      <c r="D133" s="464">
        <v>0</v>
      </c>
      <c r="E133" s="464">
        <v>0</v>
      </c>
      <c r="F133" s="464">
        <v>0</v>
      </c>
      <c r="G133" s="464">
        <f>0.35*G7*8760*(1-G8)*G40</f>
        <v>848469.50999999989</v>
      </c>
      <c r="H133" s="464">
        <f>0.35*H7*8760*(1-H8)*H40</f>
        <v>933316.46099999989</v>
      </c>
      <c r="I133" s="339">
        <f>IF(CostScenario="Higher cost",IF(ISBLANK('PTA-Hi'!I133)=FALSE,'PTA-Hi'!I133,""),IF(CostScenario="Lower cost",IF(ISBLANK('PTA-Lo'!I133)=FALSE,'PTA-Lo'!I133,""),IF(ISBLANK('PTA-Mid'!I133)=FALSE,'PTA-Mid'!I133,"")))</f>
        <v>0</v>
      </c>
      <c r="J133" s="339">
        <f>IF(CostScenario="Higher cost",IF(ISBLANK('PTA-Hi'!J133)=FALSE,'PTA-Hi'!J133,""),IF(CostScenario="Lower cost",IF(ISBLANK('PTA-Lo'!J133)=FALSE,'PTA-Lo'!J133,""),IF(ISBLANK('PTA-Mid'!J133)=FALSE,'PTA-Mid'!J133,"")))</f>
        <v>0</v>
      </c>
      <c r="K133" s="339">
        <f>IF(CostScenario="Higher cost",IF(ISBLANK('PTA-Hi'!K133)=FALSE,'PTA-Hi'!K133,""),IF(CostScenario="Lower cost",IF(ISBLANK('PTA-Lo'!K133)=FALSE,'PTA-Lo'!K133,""),IF(ISBLANK('PTA-Mid'!K133)=FALSE,'PTA-Mid'!K133,"")))</f>
        <v>0</v>
      </c>
      <c r="L133" s="339">
        <f>IF(CostScenario="Higher cost",IF(ISBLANK('PTA-Hi'!L133)=FALSE,'PTA-Hi'!L133,""),IF(CostScenario="Lower cost",IF(ISBLANK('PTA-Lo'!L133)=FALSE,'PTA-Lo'!L133,""),IF(ISBLANK('PTA-Mid'!L133)=FALSE,'PTA-Mid'!L133,"")))</f>
        <v>0</v>
      </c>
      <c r="M133" s="339">
        <f>IF(CostScenario="Higher cost",IF(ISBLANK('PTA-Hi'!M133)=FALSE,'PTA-Hi'!M133,""),IF(CostScenario="Lower cost",IF(ISBLANK('PTA-Lo'!M133)=FALSE,'PTA-Lo'!M133,""),IF(ISBLANK('PTA-Mid'!M133)=FALSE,'PTA-Mid'!M133,"")))</f>
        <v>0</v>
      </c>
      <c r="N133" s="339">
        <f>IF(CostScenario="Higher cost",IF(ISBLANK('PTA-Hi'!N133)=FALSE,'PTA-Hi'!N133,""),IF(CostScenario="Lower cost",IF(ISBLANK('PTA-Lo'!N133)=FALSE,'PTA-Lo'!N133,""),IF(ISBLANK('PTA-Mid'!N133)=FALSE,'PTA-Mid'!N133,"")))</f>
        <v>0</v>
      </c>
      <c r="O133" s="339">
        <f>IF(CostScenario="Higher cost",IF(ISBLANK('PTA-Hi'!O133)=FALSE,'PTA-Hi'!O133,""),IF(CostScenario="Lower cost",IF(ISBLANK('PTA-Lo'!O133)=FALSE,'PTA-Lo'!O133,""),IF(ISBLANK('PTA-Mid'!O133)=FALSE,'PTA-Mid'!O133,"")))</f>
        <v>0</v>
      </c>
      <c r="P133" s="339">
        <f>IF(CostScenario="Higher cost",IF(ISBLANK('PTA-Hi'!P133)=FALSE,'PTA-Hi'!P133,""),IF(CostScenario="Lower cost",IF(ISBLANK('PTA-Lo'!P133)=FALSE,'PTA-Lo'!P133,""),IF(ISBLANK('PTA-Mid'!P133)=FALSE,'PTA-Mid'!P133,"")))</f>
        <v>0</v>
      </c>
      <c r="Q133" s="339">
        <f>IF(CostScenario="Higher cost",IF(ISBLANK('PTA-Hi'!Q133)=FALSE,'PTA-Hi'!Q133,""),IF(CostScenario="Lower cost",IF(ISBLANK('PTA-Lo'!Q133)=FALSE,'PTA-Lo'!Q133,""),IF(ISBLANK('PTA-Mid'!Q133)=FALSE,'PTA-Mid'!Q133,"")))</f>
        <v>0</v>
      </c>
      <c r="R133" s="339">
        <f>IF(CostScenario="Higher cost",IF(ISBLANK('PTA-Hi'!R133)=FALSE,'PTA-Hi'!R133,""),IF(CostScenario="Lower cost",IF(ISBLANK('PTA-Lo'!R133)=FALSE,'PTA-Lo'!R133,""),IF(ISBLANK('PTA-Mid'!R133)=FALSE,'PTA-Mid'!R133,"")))</f>
        <v>0</v>
      </c>
      <c r="S133" s="339">
        <f>IF(CostScenario="Higher cost",IF(ISBLANK('PTA-Hi'!S133)=FALSE,'PTA-Hi'!S133,""),IF(CostScenario="Lower cost",IF(ISBLANK('PTA-Lo'!S133)=FALSE,'PTA-Lo'!S133,""),IF(ISBLANK('PTA-Mid'!S133)=FALSE,'PTA-Mid'!S133,"")))</f>
        <v>0</v>
      </c>
      <c r="T133" s="339">
        <f>IF(CostScenario="Higher cost",IF(ISBLANK('PTA-Hi'!T133)=FALSE,'PTA-Hi'!T133,""),IF(CostScenario="Lower cost",IF(ISBLANK('PTA-Lo'!T133)=FALSE,'PTA-Lo'!T133,""),IF(ISBLANK('PTA-Mid'!T133)=FALSE,'PTA-Mid'!T133,"")))</f>
        <v>0</v>
      </c>
      <c r="U133" s="339">
        <f>IF(CostScenario="Higher cost",IF(ISBLANK('PTA-Hi'!U133)=FALSE,'PTA-Hi'!U133,""),IF(CostScenario="Lower cost",IF(ISBLANK('PTA-Lo'!U133)=FALSE,'PTA-Lo'!U133,""),IF(ISBLANK('PTA-Mid'!U133)=FALSE,'PTA-Mid'!U133,"")))</f>
        <v>0</v>
      </c>
      <c r="V133" s="339">
        <f>IF(CostScenario="Higher cost",IF(ISBLANK('PTA-Hi'!V133)=FALSE,'PTA-Hi'!V133,""),IF(CostScenario="Lower cost",IF(ISBLANK('PTA-Lo'!V133)=FALSE,'PTA-Lo'!V133,""),IF(ISBLANK('PTA-Mid'!V133)=FALSE,'PTA-Mid'!V133,"")))</f>
        <v>0</v>
      </c>
      <c r="W133" s="39"/>
      <c r="X133" s="39"/>
      <c r="Z133" s="39"/>
      <c r="AA133" s="30"/>
    </row>
    <row r="134" spans="1:27" s="7" customFormat="1">
      <c r="A134" s="915"/>
      <c r="B134" s="916"/>
      <c r="C134" s="945" t="s">
        <v>462</v>
      </c>
      <c r="D134" s="30"/>
      <c r="E134" s="30"/>
      <c r="F134" s="30"/>
      <c r="G134" s="339"/>
      <c r="H134" s="30"/>
      <c r="I134" s="30"/>
      <c r="J134" s="30"/>
      <c r="K134" s="30"/>
      <c r="L134" s="30"/>
      <c r="M134" s="30"/>
      <c r="N134" s="2335"/>
      <c r="O134" s="2335"/>
      <c r="P134" s="2335"/>
      <c r="Q134" s="2335"/>
      <c r="R134" s="30"/>
      <c r="S134" s="2335"/>
      <c r="T134" s="2335"/>
      <c r="U134" s="30"/>
      <c r="V134" s="30"/>
      <c r="W134" s="2335"/>
      <c r="X134" s="30"/>
      <c r="Z134" s="30"/>
      <c r="AA134" s="30"/>
    </row>
    <row r="135" spans="1:27" s="7" customFormat="1">
      <c r="A135" s="935" t="s">
        <v>906</v>
      </c>
      <c r="B135" s="947"/>
      <c r="C135" s="920" t="s">
        <v>884</v>
      </c>
      <c r="D135" s="339">
        <f>IF(CostScenario="Higher cost",IF(ISBLANK('PTA-Hi'!D135)=FALSE,'PTA-Hi'!D135,""),IF(CostScenario="Lower cost",IF(ISBLANK('PTA-Lo'!D135)=FALSE,'PTA-Lo'!D135,""),IF(ISBLANK('PTA-Mid'!D135)=FALSE,'PTA-Mid'!D135,"")))</f>
        <v>925728.59135610424</v>
      </c>
      <c r="E135" s="339">
        <f>IF(CostScenario="Higher cost",IF(ISBLANK('PTA-Hi'!E135)=FALSE,'PTA-Hi'!E135,""),IF(CostScenario="Lower cost",IF(ISBLANK('PTA-Lo'!E135)=FALSE,'PTA-Lo'!E135,""),IF(ISBLANK('PTA-Mid'!E135)=FALSE,'PTA-Mid'!E135,"")))</f>
        <v>1855167.5177477042</v>
      </c>
      <c r="F135" s="339">
        <f>IF(CostScenario="Higher cost",IF(ISBLANK('PTA-Hi'!F135)=FALSE,'PTA-Hi'!F135,""),IF(CostScenario="Lower cost",IF(ISBLANK('PTA-Lo'!F135)=FALSE,'PTA-Lo'!F135,""),IF(ISBLANK('PTA-Mid'!F135)=FALSE,'PTA-Mid'!F135,"")))</f>
        <v>3710335.0354954083</v>
      </c>
      <c r="G135" s="339">
        <f>IF(CostScenario="Higher cost",IF(ISBLANK('PTA-Hi'!G135)=FALSE,'PTA-Hi'!G135,""),IF(CostScenario="Lower cost",IF(ISBLANK('PTA-Lo'!G135)=FALSE,'PTA-Lo'!G135,""),IF(ISBLANK('PTA-Mid'!G135)=FALSE,'PTA-Mid'!G135,"")))</f>
        <v>14083984.932487164</v>
      </c>
      <c r="H135" s="339">
        <f>IF(CostScenario="Higher cost",IF(ISBLANK('PTA-Hi'!H135)=FALSE,'PTA-Hi'!H135,""),IF(CostScenario="Lower cost",IF(ISBLANK('PTA-Lo'!H135)=FALSE,'PTA-Lo'!H135,""),IF(ISBLANK('PTA-Mid'!H135)=FALSE,'PTA-Mid'!H135,"")))</f>
        <v>15492383.425735878</v>
      </c>
      <c r="I135" s="30" t="str">
        <f>IF(CostScenario="Higher cost",IF(ISBLANK('PTA-Hi'!I135)=FALSE,'PTA-Hi'!I135,""),IF(CostScenario="Lower cost",IF(ISBLANK('PTA-Lo'!I135)=FALSE,'PTA-Lo'!I135,""),IF(ISBLANK('PTA-Mid'!I135)=FALSE,'PTA-Mid'!I135,"")))</f>
        <v/>
      </c>
      <c r="J135" s="122" t="str">
        <f>IF(CostScenario="Higher cost",IF(ISBLANK('PTA-Hi'!J135)=FALSE,'PTA-Hi'!J135,""),IF(CostScenario="Lower cost",IF(ISBLANK('PTA-Lo'!J135)=FALSE,'PTA-Lo'!J135,""),IF(ISBLANK('PTA-Mid'!J135)=FALSE,'PTA-Mid'!J135,"")))</f>
        <v/>
      </c>
      <c r="K135" s="122" t="str">
        <f>IF(CostScenario="Higher cost",IF(ISBLANK('PTA-Hi'!K135)=FALSE,'PTA-Hi'!K135,""),IF(CostScenario="Lower cost",IF(ISBLANK('PTA-Lo'!K135)=FALSE,'PTA-Lo'!K135,""),IF(ISBLANK('PTA-Mid'!K135)=FALSE,'PTA-Mid'!K135,"")))</f>
        <v/>
      </c>
      <c r="L135" s="30" t="str">
        <f>IF(CostScenario="Higher cost",IF(ISBLANK('PTA-Hi'!L135)=FALSE,'PTA-Hi'!L135,""),IF(CostScenario="Lower cost",IF(ISBLANK('PTA-Lo'!L135)=FALSE,'PTA-Lo'!L135,""),IF(ISBLANK('PTA-Mid'!L135)=FALSE,'PTA-Mid'!L135,"")))</f>
        <v/>
      </c>
      <c r="M135" s="30" t="str">
        <f>IF(CostScenario="Higher cost",IF(ISBLANK('PTA-Hi'!M135)=FALSE,'PTA-Hi'!M135,""),IF(CostScenario="Lower cost",IF(ISBLANK('PTA-Lo'!M135)=FALSE,'PTA-Lo'!M135,""),IF(ISBLANK('PTA-Mid'!M135)=FALSE,'PTA-Mid'!M135,"")))</f>
        <v/>
      </c>
      <c r="N135" s="2335" t="str">
        <f>IF(CostScenario="Higher cost",IF(ISBLANK('PTA-Hi'!N135)=FALSE,'PTA-Hi'!N135,""),IF(CostScenario="Lower cost",IF(ISBLANK('PTA-Lo'!N135)=FALSE,'PTA-Lo'!N135,""),IF(ISBLANK('PTA-Mid'!N135)=FALSE,'PTA-Mid'!N135,"")))</f>
        <v/>
      </c>
      <c r="O135" s="2335" t="str">
        <f>IF(CostScenario="Higher cost",IF(ISBLANK('PTA-Hi'!O135)=FALSE,'PTA-Hi'!O135,""),IF(CostScenario="Lower cost",IF(ISBLANK('PTA-Lo'!O135)=FALSE,'PTA-Lo'!O135,""),IF(ISBLANK('PTA-Mid'!O135)=FALSE,'PTA-Mid'!O135,"")))</f>
        <v/>
      </c>
      <c r="P135" s="2335" t="str">
        <f>IF(CostScenario="Higher cost",IF(ISBLANK('PTA-Hi'!P135)=FALSE,'PTA-Hi'!P135,""),IF(CostScenario="Lower cost",IF(ISBLANK('PTA-Lo'!P135)=FALSE,'PTA-Lo'!P135,""),IF(ISBLANK('PTA-Mid'!P135)=FALSE,'PTA-Mid'!P135,"")))</f>
        <v/>
      </c>
      <c r="Q135" s="2335" t="str">
        <f>IF(CostScenario="Higher cost",IF(ISBLANK('PTA-Hi'!Q135)=FALSE,'PTA-Hi'!Q135,""),IF(CostScenario="Lower cost",IF(ISBLANK('PTA-Lo'!Q135)=FALSE,'PTA-Lo'!Q135,""),IF(ISBLANK('PTA-Mid'!Q135)=FALSE,'PTA-Mid'!Q135,"")))</f>
        <v/>
      </c>
      <c r="R135" s="30" t="str">
        <f>IF(CostScenario="Higher cost",IF(ISBLANK('PTA-Hi'!R135)=FALSE,'PTA-Hi'!R135,""),IF(CostScenario="Lower cost",IF(ISBLANK('PTA-Lo'!R135)=FALSE,'PTA-Lo'!R135,""),IF(ISBLANK('PTA-Mid'!R135)=FALSE,'PTA-Mid'!R135,"")))</f>
        <v/>
      </c>
      <c r="S135" s="2335" t="str">
        <f>IF(CostScenario="Higher cost",IF(ISBLANK('PTA-Hi'!S135)=FALSE,'PTA-Hi'!S135,""),IF(CostScenario="Lower cost",IF(ISBLANK('PTA-Lo'!S135)=FALSE,'PTA-Lo'!S135,""),IF(ISBLANK('PTA-Mid'!S135)=FALSE,'PTA-Mid'!S135,"")))</f>
        <v/>
      </c>
      <c r="T135" s="2335" t="str">
        <f>IF(CostScenario="Higher cost",IF(ISBLANK('PTA-Hi'!T135)=FALSE,'PTA-Hi'!T135,""),IF(CostScenario="Lower cost",IF(ISBLANK('PTA-Lo'!T135)=FALSE,'PTA-Lo'!T135,""),IF(ISBLANK('PTA-Mid'!T135)=FALSE,'PTA-Mid'!T135,"")))</f>
        <v/>
      </c>
      <c r="U135" s="30" t="str">
        <f>IF(CostScenario="Higher cost",IF(ISBLANK('PTA-Hi'!U135)=FALSE,'PTA-Hi'!U135,""),IF(CostScenario="Lower cost",IF(ISBLANK('PTA-Lo'!U135)=FALSE,'PTA-Lo'!U135,""),IF(ISBLANK('PTA-Mid'!U135)=FALSE,'PTA-Mid'!U135,"")))</f>
        <v/>
      </c>
      <c r="V135" s="30" t="str">
        <f>IF(CostScenario="Higher cost",IF(ISBLANK('PTA-Hi'!V135)=FALSE,'PTA-Hi'!V135,""),IF(CostScenario="Lower cost",IF(ISBLANK('PTA-Lo'!V135)=FALSE,'PTA-Lo'!V135,""),IF(ISBLANK('PTA-Mid'!V135)=FALSE,'PTA-Mid'!V135,"")))</f>
        <v/>
      </c>
      <c r="W135" s="2335"/>
      <c r="X135" s="39"/>
      <c r="Z135" s="39"/>
      <c r="AA135" s="30"/>
    </row>
    <row r="136" spans="1:27" s="7" customFormat="1">
      <c r="A136" s="935" t="s">
        <v>920</v>
      </c>
      <c r="B136" s="947"/>
      <c r="C136" s="920" t="s">
        <v>885</v>
      </c>
      <c r="D136" s="30" t="str">
        <f>IF(CostScenario="Higher cost",IF(ISBLANK('PTA-Hi'!D136)=FALSE,'PTA-Hi'!D136,""),IF(CostScenario="Lower cost",IF(ISBLANK('PTA-Lo'!D136)=FALSE,'PTA-Lo'!D136,""),IF(ISBLANK('PTA-Mid'!D136)=FALSE,'PTA-Mid'!D136,"")))</f>
        <v/>
      </c>
      <c r="E136" s="30" t="str">
        <f>IF(CostScenario="Higher cost",IF(ISBLANK('PTA-Hi'!E136)=FALSE,'PTA-Hi'!E136,""),IF(CostScenario="Lower cost",IF(ISBLANK('PTA-Lo'!E136)=FALSE,'PTA-Lo'!E136,""),IF(ISBLANK('PTA-Mid'!E136)=FALSE,'PTA-Mid'!E136,"")))</f>
        <v/>
      </c>
      <c r="F136" s="30" t="str">
        <f>IF(CostScenario="Higher cost",IF(ISBLANK('PTA-Hi'!F136)=FALSE,'PTA-Hi'!F136,""),IF(CostScenario="Lower cost",IF(ISBLANK('PTA-Lo'!F136)=FALSE,'PTA-Lo'!F136,""),IF(ISBLANK('PTA-Mid'!F136)=FALSE,'PTA-Mid'!F136,"")))</f>
        <v/>
      </c>
      <c r="G136" s="30" t="str">
        <f>IF(CostScenario="Higher cost",IF(ISBLANK('PTA-Hi'!G136)=FALSE,'PTA-Hi'!G136,""),IF(CostScenario="Lower cost",IF(ISBLANK('PTA-Lo'!G136)=FALSE,'PTA-Lo'!G136,""),IF(ISBLANK('PTA-Mid'!G136)=FALSE,'PTA-Mid'!G136,"")))</f>
        <v/>
      </c>
      <c r="H136" s="30" t="str">
        <f>IF(CostScenario="Higher cost",IF(ISBLANK('PTA-Hi'!H136)=FALSE,'PTA-Hi'!H136,""),IF(CostScenario="Lower cost",IF(ISBLANK('PTA-Lo'!H136)=FALSE,'PTA-Lo'!H136,""),IF(ISBLANK('PTA-Mid'!H136)=FALSE,'PTA-Mid'!H136,"")))</f>
        <v/>
      </c>
      <c r="I136" s="30" t="str">
        <f>IF(CostScenario="Higher cost",IF(ISBLANK('PTA-Hi'!I136)=FALSE,'PTA-Hi'!I136,""),IF(CostScenario="Lower cost",IF(ISBLANK('PTA-Lo'!I136)=FALSE,'PTA-Lo'!I136,""),IF(ISBLANK('PTA-Mid'!I136)=FALSE,'PTA-Mid'!I136,"")))</f>
        <v/>
      </c>
      <c r="J136" s="122" t="str">
        <f>IF(CostScenario="Higher cost",IF(ISBLANK('PTA-Hi'!J136)=FALSE,'PTA-Hi'!J136,""),IF(CostScenario="Lower cost",IF(ISBLANK('PTA-Lo'!J136)=FALSE,'PTA-Lo'!J136,""),IF(ISBLANK('PTA-Mid'!J136)=FALSE,'PTA-Mid'!J136,"")))</f>
        <v/>
      </c>
      <c r="K136" s="122" t="str">
        <f>IF(CostScenario="Higher cost",IF(ISBLANK('PTA-Hi'!K136)=FALSE,'PTA-Hi'!K136,""),IF(CostScenario="Lower cost",IF(ISBLANK('PTA-Lo'!K136)=FALSE,'PTA-Lo'!K136,""),IF(ISBLANK('PTA-Mid'!K136)=FALSE,'PTA-Mid'!K136,"")))</f>
        <v/>
      </c>
      <c r="L136" s="30" t="str">
        <f>IF(CostScenario="Higher cost",IF(ISBLANK('PTA-Hi'!L136)=FALSE,'PTA-Hi'!L136,""),IF(CostScenario="Lower cost",IF(ISBLANK('PTA-Lo'!L136)=FALSE,'PTA-Lo'!L136,""),IF(ISBLANK('PTA-Mid'!L136)=FALSE,'PTA-Mid'!L136,"")))</f>
        <v/>
      </c>
      <c r="M136" s="30" t="str">
        <f>IF(CostScenario="Higher cost",IF(ISBLANK('PTA-Hi'!M136)=FALSE,'PTA-Hi'!M136,""),IF(CostScenario="Lower cost",IF(ISBLANK('PTA-Lo'!M136)=FALSE,'PTA-Lo'!M136,""),IF(ISBLANK('PTA-Mid'!M136)=FALSE,'PTA-Mid'!M136,"")))</f>
        <v/>
      </c>
      <c r="N136" s="2335" t="str">
        <f>IF(CostScenario="Higher cost",IF(ISBLANK('PTA-Hi'!N136)=FALSE,'PTA-Hi'!N136,""),IF(CostScenario="Lower cost",IF(ISBLANK('PTA-Lo'!N136)=FALSE,'PTA-Lo'!N136,""),IF(ISBLANK('PTA-Mid'!N136)=FALSE,'PTA-Mid'!N136,"")))</f>
        <v/>
      </c>
      <c r="O136" s="2335" t="str">
        <f>IF(CostScenario="Higher cost",IF(ISBLANK('PTA-Hi'!O136)=FALSE,'PTA-Hi'!O136,""),IF(CostScenario="Lower cost",IF(ISBLANK('PTA-Lo'!O136)=FALSE,'PTA-Lo'!O136,""),IF(ISBLANK('PTA-Mid'!O136)=FALSE,'PTA-Mid'!O136,"")))</f>
        <v/>
      </c>
      <c r="P136" s="2335" t="str">
        <f>IF(CostScenario="Higher cost",IF(ISBLANK('PTA-Hi'!P136)=FALSE,'PTA-Hi'!P136,""),IF(CostScenario="Lower cost",IF(ISBLANK('PTA-Lo'!P136)=FALSE,'PTA-Lo'!P136,""),IF(ISBLANK('PTA-Mid'!P136)=FALSE,'PTA-Mid'!P136,"")))</f>
        <v/>
      </c>
      <c r="Q136" s="2335" t="str">
        <f>IF(CostScenario="Higher cost",IF(ISBLANK('PTA-Hi'!Q136)=FALSE,'PTA-Hi'!Q136,""),IF(CostScenario="Lower cost",IF(ISBLANK('PTA-Lo'!Q136)=FALSE,'PTA-Lo'!Q136,""),IF(ISBLANK('PTA-Mid'!Q136)=FALSE,'PTA-Mid'!Q136,"")))</f>
        <v/>
      </c>
      <c r="R136" s="30" t="str">
        <f>IF(CostScenario="Higher cost",IF(ISBLANK('PTA-Hi'!R136)=FALSE,'PTA-Hi'!R136,""),IF(CostScenario="Lower cost",IF(ISBLANK('PTA-Lo'!R136)=FALSE,'PTA-Lo'!R136,""),IF(ISBLANK('PTA-Mid'!R136)=FALSE,'PTA-Mid'!R136,"")))</f>
        <v/>
      </c>
      <c r="S136" s="2335" t="str">
        <f>IF(CostScenario="Higher cost",IF(ISBLANK('PTA-Hi'!S136)=FALSE,'PTA-Hi'!S136,""),IF(CostScenario="Lower cost",IF(ISBLANK('PTA-Lo'!S136)=FALSE,'PTA-Lo'!S136,""),IF(ISBLANK('PTA-Mid'!S136)=FALSE,'PTA-Mid'!S136,"")))</f>
        <v/>
      </c>
      <c r="T136" s="2335" t="str">
        <f>IF(CostScenario="Higher cost",IF(ISBLANK('PTA-Hi'!T136)=FALSE,'PTA-Hi'!T136,""),IF(CostScenario="Lower cost",IF(ISBLANK('PTA-Lo'!T136)=FALSE,'PTA-Lo'!T136,""),IF(ISBLANK('PTA-Mid'!T136)=FALSE,'PTA-Mid'!T136,"")))</f>
        <v/>
      </c>
      <c r="U136" s="30" t="str">
        <f>IF(CostScenario="Higher cost",IF(ISBLANK('PTA-Hi'!U136)=FALSE,'PTA-Hi'!U136,""),IF(CostScenario="Lower cost",IF(ISBLANK('PTA-Lo'!U136)=FALSE,'PTA-Lo'!U136,""),IF(ISBLANK('PTA-Mid'!U136)=FALSE,'PTA-Mid'!U136,"")))</f>
        <v/>
      </c>
      <c r="V136" s="30" t="str">
        <f>IF(CostScenario="Higher cost",IF(ISBLANK('PTA-Hi'!V136)=FALSE,'PTA-Hi'!V136,""),IF(CostScenario="Lower cost",IF(ISBLANK('PTA-Lo'!V136)=FALSE,'PTA-Lo'!V136,""),IF(ISBLANK('PTA-Mid'!V136)=FALSE,'PTA-Mid'!V136,"")))</f>
        <v/>
      </c>
      <c r="W136" s="2335"/>
      <c r="X136" s="30"/>
      <c r="Z136" s="30"/>
      <c r="AA136" s="30"/>
    </row>
    <row r="137" spans="1:27" s="7" customFormat="1">
      <c r="A137" s="935" t="s">
        <v>921</v>
      </c>
      <c r="B137" s="947"/>
      <c r="C137" s="920" t="s">
        <v>886</v>
      </c>
      <c r="D137" s="30" t="str">
        <f>IF(CostScenario="Higher cost",IF(ISBLANK('PTA-Hi'!D137)=FALSE,'PTA-Hi'!D137,""),IF(CostScenario="Lower cost",IF(ISBLANK('PTA-Lo'!D137)=FALSE,'PTA-Lo'!D137,""),IF(ISBLANK('PTA-Mid'!D137)=FALSE,'PTA-Mid'!D137,"")))</f>
        <v/>
      </c>
      <c r="E137" s="30" t="str">
        <f>IF(CostScenario="Higher cost",IF(ISBLANK('PTA-Hi'!E137)=FALSE,'PTA-Hi'!E137,""),IF(CostScenario="Lower cost",IF(ISBLANK('PTA-Lo'!E137)=FALSE,'PTA-Lo'!E137,""),IF(ISBLANK('PTA-Mid'!E137)=FALSE,'PTA-Mid'!E137,"")))</f>
        <v/>
      </c>
      <c r="F137" s="30" t="str">
        <f>IF(CostScenario="Higher cost",IF(ISBLANK('PTA-Hi'!F137)=FALSE,'PTA-Hi'!F137,""),IF(CostScenario="Lower cost",IF(ISBLANK('PTA-Lo'!F137)=FALSE,'PTA-Lo'!F137,""),IF(ISBLANK('PTA-Mid'!F137)=FALSE,'PTA-Mid'!F137,"")))</f>
        <v/>
      </c>
      <c r="G137" s="30" t="str">
        <f>IF(CostScenario="Higher cost",IF(ISBLANK('PTA-Hi'!G137)=FALSE,'PTA-Hi'!G137,""),IF(CostScenario="Lower cost",IF(ISBLANK('PTA-Lo'!G137)=FALSE,'PTA-Lo'!G137,""),IF(ISBLANK('PTA-Mid'!G137)=FALSE,'PTA-Mid'!G137,"")))</f>
        <v/>
      </c>
      <c r="H137" s="30" t="str">
        <f>IF(CostScenario="Higher cost",IF(ISBLANK('PTA-Hi'!H137)=FALSE,'PTA-Hi'!H137,""),IF(CostScenario="Lower cost",IF(ISBLANK('PTA-Lo'!H137)=FALSE,'PTA-Lo'!H137,""),IF(ISBLANK('PTA-Mid'!H137)=FALSE,'PTA-Mid'!H137,"")))</f>
        <v/>
      </c>
      <c r="I137" s="30" t="str">
        <f>IF(CostScenario="Higher cost",IF(ISBLANK('PTA-Hi'!I137)=FALSE,'PTA-Hi'!I137,""),IF(CostScenario="Lower cost",IF(ISBLANK('PTA-Lo'!I137)=FALSE,'PTA-Lo'!I137,""),IF(ISBLANK('PTA-Mid'!I137)=FALSE,'PTA-Mid'!I137,"")))</f>
        <v/>
      </c>
      <c r="J137" s="122" t="str">
        <f>IF(CostScenario="Higher cost",IF(ISBLANK('PTA-Hi'!J137)=FALSE,'PTA-Hi'!J137,""),IF(CostScenario="Lower cost",IF(ISBLANK('PTA-Lo'!J137)=FALSE,'PTA-Lo'!J137,""),IF(ISBLANK('PTA-Mid'!J137)=FALSE,'PTA-Mid'!J137,"")))</f>
        <v/>
      </c>
      <c r="K137" s="122" t="str">
        <f>IF(CostScenario="Higher cost",IF(ISBLANK('PTA-Hi'!K137)=FALSE,'PTA-Hi'!K137,""),IF(CostScenario="Lower cost",IF(ISBLANK('PTA-Lo'!K137)=FALSE,'PTA-Lo'!K137,""),IF(ISBLANK('PTA-Mid'!K137)=FALSE,'PTA-Mid'!K137,"")))</f>
        <v/>
      </c>
      <c r="L137" s="30" t="str">
        <f>IF(CostScenario="Higher cost",IF(ISBLANK('PTA-Hi'!L137)=FALSE,'PTA-Hi'!L137,""),IF(CostScenario="Lower cost",IF(ISBLANK('PTA-Lo'!L137)=FALSE,'PTA-Lo'!L137,""),IF(ISBLANK('PTA-Mid'!L137)=FALSE,'PTA-Mid'!L137,"")))</f>
        <v/>
      </c>
      <c r="M137" s="30" t="str">
        <f>IF(CostScenario="Higher cost",IF(ISBLANK('PTA-Hi'!M137)=FALSE,'PTA-Hi'!M137,""),IF(CostScenario="Lower cost",IF(ISBLANK('PTA-Lo'!M137)=FALSE,'PTA-Lo'!M137,""),IF(ISBLANK('PTA-Mid'!M137)=FALSE,'PTA-Mid'!M137,"")))</f>
        <v/>
      </c>
      <c r="N137" s="2335" t="str">
        <f>IF(CostScenario="Higher cost",IF(ISBLANK('PTA-Hi'!N137)=FALSE,'PTA-Hi'!N137,""),IF(CostScenario="Lower cost",IF(ISBLANK('PTA-Lo'!N137)=FALSE,'PTA-Lo'!N137,""),IF(ISBLANK('PTA-Mid'!N137)=FALSE,'PTA-Mid'!N137,"")))</f>
        <v/>
      </c>
      <c r="O137" s="2335" t="str">
        <f>IF(CostScenario="Higher cost",IF(ISBLANK('PTA-Hi'!O137)=FALSE,'PTA-Hi'!O137,""),IF(CostScenario="Lower cost",IF(ISBLANK('PTA-Lo'!O137)=FALSE,'PTA-Lo'!O137,""),IF(ISBLANK('PTA-Mid'!O137)=FALSE,'PTA-Mid'!O137,"")))</f>
        <v/>
      </c>
      <c r="P137" s="2335" t="str">
        <f>IF(CostScenario="Higher cost",IF(ISBLANK('PTA-Hi'!P137)=FALSE,'PTA-Hi'!P137,""),IF(CostScenario="Lower cost",IF(ISBLANK('PTA-Lo'!P137)=FALSE,'PTA-Lo'!P137,""),IF(ISBLANK('PTA-Mid'!P137)=FALSE,'PTA-Mid'!P137,"")))</f>
        <v/>
      </c>
      <c r="Q137" s="2335" t="str">
        <f>IF(CostScenario="Higher cost",IF(ISBLANK('PTA-Hi'!Q137)=FALSE,'PTA-Hi'!Q137,""),IF(CostScenario="Lower cost",IF(ISBLANK('PTA-Lo'!Q137)=FALSE,'PTA-Lo'!Q137,""),IF(ISBLANK('PTA-Mid'!Q137)=FALSE,'PTA-Mid'!Q137,"")))</f>
        <v/>
      </c>
      <c r="R137" s="30" t="str">
        <f>IF(CostScenario="Higher cost",IF(ISBLANK('PTA-Hi'!R137)=FALSE,'PTA-Hi'!R137,""),IF(CostScenario="Lower cost",IF(ISBLANK('PTA-Lo'!R137)=FALSE,'PTA-Lo'!R137,""),IF(ISBLANK('PTA-Mid'!R137)=FALSE,'PTA-Mid'!R137,"")))</f>
        <v/>
      </c>
      <c r="S137" s="2335" t="str">
        <f>IF(CostScenario="Higher cost",IF(ISBLANK('PTA-Hi'!S137)=FALSE,'PTA-Hi'!S137,""),IF(CostScenario="Lower cost",IF(ISBLANK('PTA-Lo'!S137)=FALSE,'PTA-Lo'!S137,""),IF(ISBLANK('PTA-Mid'!S137)=FALSE,'PTA-Mid'!S137,"")))</f>
        <v/>
      </c>
      <c r="T137" s="2335" t="str">
        <f>IF(CostScenario="Higher cost",IF(ISBLANK('PTA-Hi'!T137)=FALSE,'PTA-Hi'!T137,""),IF(CostScenario="Lower cost",IF(ISBLANK('PTA-Lo'!T137)=FALSE,'PTA-Lo'!T137,""),IF(ISBLANK('PTA-Mid'!T137)=FALSE,'PTA-Mid'!T137,"")))</f>
        <v/>
      </c>
      <c r="U137" s="30" t="str">
        <f>IF(CostScenario="Higher cost",IF(ISBLANK('PTA-Hi'!U137)=FALSE,'PTA-Hi'!U137,""),IF(CostScenario="Lower cost",IF(ISBLANK('PTA-Lo'!U137)=FALSE,'PTA-Lo'!U137,""),IF(ISBLANK('PTA-Mid'!U137)=FALSE,'PTA-Mid'!U137,"")))</f>
        <v/>
      </c>
      <c r="V137" s="30" t="str">
        <f>IF(CostScenario="Higher cost",IF(ISBLANK('PTA-Hi'!V137)=FALSE,'PTA-Hi'!V137,""),IF(CostScenario="Lower cost",IF(ISBLANK('PTA-Lo'!V137)=FALSE,'PTA-Lo'!V137,""),IF(ISBLANK('PTA-Mid'!V137)=FALSE,'PTA-Mid'!V137,"")))</f>
        <v/>
      </c>
      <c r="W137" s="2335"/>
      <c r="X137" s="30"/>
      <c r="Z137" s="30"/>
      <c r="AA137" s="30"/>
    </row>
    <row r="138" spans="1:27" s="7" customFormat="1">
      <c r="A138" s="935" t="s">
        <v>922</v>
      </c>
      <c r="B138" s="947"/>
      <c r="C138" s="920" t="s">
        <v>887</v>
      </c>
      <c r="D138" s="30" t="str">
        <f>IF(CostScenario="Higher cost",IF(ISBLANK('PTA-Hi'!D138)=FALSE,'PTA-Hi'!D138,""),IF(CostScenario="Lower cost",IF(ISBLANK('PTA-Lo'!D138)=FALSE,'PTA-Lo'!D138,""),IF(ISBLANK('PTA-Mid'!D138)=FALSE,'PTA-Mid'!D138,"")))</f>
        <v/>
      </c>
      <c r="E138" s="30" t="str">
        <f>IF(CostScenario="Higher cost",IF(ISBLANK('PTA-Hi'!E138)=FALSE,'PTA-Hi'!E138,""),IF(CostScenario="Lower cost",IF(ISBLANK('PTA-Lo'!E138)=FALSE,'PTA-Lo'!E138,""),IF(ISBLANK('PTA-Mid'!E138)=FALSE,'PTA-Mid'!E138,"")))</f>
        <v/>
      </c>
      <c r="F138" s="30" t="str">
        <f>IF(CostScenario="Higher cost",IF(ISBLANK('PTA-Hi'!F138)=FALSE,'PTA-Hi'!F138,""),IF(CostScenario="Lower cost",IF(ISBLANK('PTA-Lo'!F138)=FALSE,'PTA-Lo'!F138,""),IF(ISBLANK('PTA-Mid'!F138)=FALSE,'PTA-Mid'!F138,"")))</f>
        <v/>
      </c>
      <c r="G138" s="30" t="str">
        <f>IF(CostScenario="Higher cost",IF(ISBLANK('PTA-Hi'!G138)=FALSE,'PTA-Hi'!G138,""),IF(CostScenario="Lower cost",IF(ISBLANK('PTA-Lo'!G138)=FALSE,'PTA-Lo'!G138,""),IF(ISBLANK('PTA-Mid'!G138)=FALSE,'PTA-Mid'!G138,"")))</f>
        <v/>
      </c>
      <c r="H138" s="30" t="str">
        <f>IF(CostScenario="Higher cost",IF(ISBLANK('PTA-Hi'!H138)=FALSE,'PTA-Hi'!H138,""),IF(CostScenario="Lower cost",IF(ISBLANK('PTA-Lo'!H138)=FALSE,'PTA-Lo'!H138,""),IF(ISBLANK('PTA-Mid'!H138)=FALSE,'PTA-Mid'!H138,"")))</f>
        <v/>
      </c>
      <c r="I138" s="30" t="str">
        <f>IF(CostScenario="Higher cost",IF(ISBLANK('PTA-Hi'!I138)=FALSE,'PTA-Hi'!I138,""),IF(CostScenario="Lower cost",IF(ISBLANK('PTA-Lo'!I138)=FALSE,'PTA-Lo'!I138,""),IF(ISBLANK('PTA-Mid'!I138)=FALSE,'PTA-Mid'!I138,"")))</f>
        <v/>
      </c>
      <c r="J138" s="122" t="str">
        <f>IF(CostScenario="Higher cost",IF(ISBLANK('PTA-Hi'!J138)=FALSE,'PTA-Hi'!J138,""),IF(CostScenario="Lower cost",IF(ISBLANK('PTA-Lo'!J138)=FALSE,'PTA-Lo'!J138,""),IF(ISBLANK('PTA-Mid'!J138)=FALSE,'PTA-Mid'!J138,"")))</f>
        <v/>
      </c>
      <c r="K138" s="122" t="str">
        <f>IF(CostScenario="Higher cost",IF(ISBLANK('PTA-Hi'!K138)=FALSE,'PTA-Hi'!K138,""),IF(CostScenario="Lower cost",IF(ISBLANK('PTA-Lo'!K138)=FALSE,'PTA-Lo'!K138,""),IF(ISBLANK('PTA-Mid'!K138)=FALSE,'PTA-Mid'!K138,"")))</f>
        <v/>
      </c>
      <c r="L138" s="30" t="str">
        <f>IF(CostScenario="Higher cost",IF(ISBLANK('PTA-Hi'!L138)=FALSE,'PTA-Hi'!L138,""),IF(CostScenario="Lower cost",IF(ISBLANK('PTA-Lo'!L138)=FALSE,'PTA-Lo'!L138,""),IF(ISBLANK('PTA-Mid'!L138)=FALSE,'PTA-Mid'!L138,"")))</f>
        <v/>
      </c>
      <c r="M138" s="30" t="str">
        <f>IF(CostScenario="Higher cost",IF(ISBLANK('PTA-Hi'!M138)=FALSE,'PTA-Hi'!M138,""),IF(CostScenario="Lower cost",IF(ISBLANK('PTA-Lo'!M138)=FALSE,'PTA-Lo'!M138,""),IF(ISBLANK('PTA-Mid'!M138)=FALSE,'PTA-Mid'!M138,"")))</f>
        <v/>
      </c>
      <c r="N138" s="2335" t="str">
        <f>IF(CostScenario="Higher cost",IF(ISBLANK('PTA-Hi'!N138)=FALSE,'PTA-Hi'!N138,""),IF(CostScenario="Lower cost",IF(ISBLANK('PTA-Lo'!N138)=FALSE,'PTA-Lo'!N138,""),IF(ISBLANK('PTA-Mid'!N138)=FALSE,'PTA-Mid'!N138,"")))</f>
        <v/>
      </c>
      <c r="O138" s="2335" t="str">
        <f>IF(CostScenario="Higher cost",IF(ISBLANK('PTA-Hi'!O138)=FALSE,'PTA-Hi'!O138,""),IF(CostScenario="Lower cost",IF(ISBLANK('PTA-Lo'!O138)=FALSE,'PTA-Lo'!O138,""),IF(ISBLANK('PTA-Mid'!O138)=FALSE,'PTA-Mid'!O138,"")))</f>
        <v/>
      </c>
      <c r="P138" s="2335" t="str">
        <f>IF(CostScenario="Higher cost",IF(ISBLANK('PTA-Hi'!P138)=FALSE,'PTA-Hi'!P138,""),IF(CostScenario="Lower cost",IF(ISBLANK('PTA-Lo'!P138)=FALSE,'PTA-Lo'!P138,""),IF(ISBLANK('PTA-Mid'!P138)=FALSE,'PTA-Mid'!P138,"")))</f>
        <v/>
      </c>
      <c r="Q138" s="2335" t="str">
        <f>IF(CostScenario="Higher cost",IF(ISBLANK('PTA-Hi'!Q138)=FALSE,'PTA-Hi'!Q138,""),IF(CostScenario="Lower cost",IF(ISBLANK('PTA-Lo'!Q138)=FALSE,'PTA-Lo'!Q138,""),IF(ISBLANK('PTA-Mid'!Q138)=FALSE,'PTA-Mid'!Q138,"")))</f>
        <v/>
      </c>
      <c r="R138" s="30" t="str">
        <f>IF(CostScenario="Higher cost",IF(ISBLANK('PTA-Hi'!R138)=FALSE,'PTA-Hi'!R138,""),IF(CostScenario="Lower cost",IF(ISBLANK('PTA-Lo'!R138)=FALSE,'PTA-Lo'!R138,""),IF(ISBLANK('PTA-Mid'!R138)=FALSE,'PTA-Mid'!R138,"")))</f>
        <v/>
      </c>
      <c r="S138" s="2335" t="str">
        <f>IF(CostScenario="Higher cost",IF(ISBLANK('PTA-Hi'!S138)=FALSE,'PTA-Hi'!S138,""),IF(CostScenario="Lower cost",IF(ISBLANK('PTA-Lo'!S138)=FALSE,'PTA-Lo'!S138,""),IF(ISBLANK('PTA-Mid'!S138)=FALSE,'PTA-Mid'!S138,"")))</f>
        <v/>
      </c>
      <c r="T138" s="2335" t="str">
        <f>IF(CostScenario="Higher cost",IF(ISBLANK('PTA-Hi'!T138)=FALSE,'PTA-Hi'!T138,""),IF(CostScenario="Lower cost",IF(ISBLANK('PTA-Lo'!T138)=FALSE,'PTA-Lo'!T138,""),IF(ISBLANK('PTA-Mid'!T138)=FALSE,'PTA-Mid'!T138,"")))</f>
        <v/>
      </c>
      <c r="U138" s="30" t="str">
        <f>IF(CostScenario="Higher cost",IF(ISBLANK('PTA-Hi'!U138)=FALSE,'PTA-Hi'!U138,""),IF(CostScenario="Lower cost",IF(ISBLANK('PTA-Lo'!U138)=FALSE,'PTA-Lo'!U138,""),IF(ISBLANK('PTA-Mid'!U138)=FALSE,'PTA-Mid'!U138,"")))</f>
        <v/>
      </c>
      <c r="V138" s="30" t="str">
        <f>IF(CostScenario="Higher cost",IF(ISBLANK('PTA-Hi'!V138)=FALSE,'PTA-Hi'!V138,""),IF(CostScenario="Lower cost",IF(ISBLANK('PTA-Lo'!V138)=FALSE,'PTA-Lo'!V138,""),IF(ISBLANK('PTA-Mid'!V138)=FALSE,'PTA-Mid'!V138,"")))</f>
        <v/>
      </c>
      <c r="W138" s="2335"/>
      <c r="X138" s="30"/>
      <c r="Z138" s="30"/>
      <c r="AA138" s="30"/>
    </row>
    <row r="139" spans="1:27" s="7" customFormat="1">
      <c r="A139" s="935" t="s">
        <v>923</v>
      </c>
      <c r="B139" s="947"/>
      <c r="C139" s="920" t="s">
        <v>888</v>
      </c>
      <c r="D139" s="30" t="str">
        <f>IF(CostScenario="Higher cost",IF(ISBLANK('PTA-Hi'!D139)=FALSE,'PTA-Hi'!D139,""),IF(CostScenario="Lower cost",IF(ISBLANK('PTA-Lo'!D139)=FALSE,'PTA-Lo'!D139,""),IF(ISBLANK('PTA-Mid'!D139)=FALSE,'PTA-Mid'!D139,"")))</f>
        <v/>
      </c>
      <c r="E139" s="30" t="str">
        <f>IF(CostScenario="Higher cost",IF(ISBLANK('PTA-Hi'!E139)=FALSE,'PTA-Hi'!E139,""),IF(CostScenario="Lower cost",IF(ISBLANK('PTA-Lo'!E139)=FALSE,'PTA-Lo'!E139,""),IF(ISBLANK('PTA-Mid'!E139)=FALSE,'PTA-Mid'!E139,"")))</f>
        <v/>
      </c>
      <c r="F139" s="30" t="str">
        <f>IF(CostScenario="Higher cost",IF(ISBLANK('PTA-Hi'!F139)=FALSE,'PTA-Hi'!F139,""),IF(CostScenario="Lower cost",IF(ISBLANK('PTA-Lo'!F139)=FALSE,'PTA-Lo'!F139,""),IF(ISBLANK('PTA-Mid'!F139)=FALSE,'PTA-Mid'!F139,"")))</f>
        <v/>
      </c>
      <c r="G139" s="30" t="str">
        <f>IF(CostScenario="Higher cost",IF(ISBLANK('PTA-Hi'!G139)=FALSE,'PTA-Hi'!G139,""),IF(CostScenario="Lower cost",IF(ISBLANK('PTA-Lo'!G139)=FALSE,'PTA-Lo'!G139,""),IF(ISBLANK('PTA-Mid'!G139)=FALSE,'PTA-Mid'!G139,"")))</f>
        <v/>
      </c>
      <c r="H139" s="30" t="str">
        <f>IF(CostScenario="Higher cost",IF(ISBLANK('PTA-Hi'!H139)=FALSE,'PTA-Hi'!H139,""),IF(CostScenario="Lower cost",IF(ISBLANK('PTA-Lo'!H139)=FALSE,'PTA-Lo'!H139,""),IF(ISBLANK('PTA-Mid'!H139)=FALSE,'PTA-Mid'!H139,"")))</f>
        <v/>
      </c>
      <c r="I139" s="30" t="str">
        <f>IF(CostScenario="Higher cost",IF(ISBLANK('PTA-Hi'!I139)=FALSE,'PTA-Hi'!I139,""),IF(CostScenario="Lower cost",IF(ISBLANK('PTA-Lo'!I139)=FALSE,'PTA-Lo'!I139,""),IF(ISBLANK('PTA-Mid'!I139)=FALSE,'PTA-Mid'!I139,"")))</f>
        <v/>
      </c>
      <c r="J139" s="122" t="str">
        <f>IF(CostScenario="Higher cost",IF(ISBLANK('PTA-Hi'!J139)=FALSE,'PTA-Hi'!J139,""),IF(CostScenario="Lower cost",IF(ISBLANK('PTA-Lo'!J139)=FALSE,'PTA-Lo'!J139,""),IF(ISBLANK('PTA-Mid'!J139)=FALSE,'PTA-Mid'!J139,"")))</f>
        <v/>
      </c>
      <c r="K139" s="122" t="str">
        <f>IF(CostScenario="Higher cost",IF(ISBLANK('PTA-Hi'!K139)=FALSE,'PTA-Hi'!K139,""),IF(CostScenario="Lower cost",IF(ISBLANK('PTA-Lo'!K139)=FALSE,'PTA-Lo'!K139,""),IF(ISBLANK('PTA-Mid'!K139)=FALSE,'PTA-Mid'!K139,"")))</f>
        <v/>
      </c>
      <c r="L139" s="30" t="str">
        <f>IF(CostScenario="Higher cost",IF(ISBLANK('PTA-Hi'!L139)=FALSE,'PTA-Hi'!L139,""),IF(CostScenario="Lower cost",IF(ISBLANK('PTA-Lo'!L139)=FALSE,'PTA-Lo'!L139,""),IF(ISBLANK('PTA-Mid'!L139)=FALSE,'PTA-Mid'!L139,"")))</f>
        <v/>
      </c>
      <c r="M139" s="30" t="str">
        <f>IF(CostScenario="Higher cost",IF(ISBLANK('PTA-Hi'!M139)=FALSE,'PTA-Hi'!M139,""),IF(CostScenario="Lower cost",IF(ISBLANK('PTA-Lo'!M139)=FALSE,'PTA-Lo'!M139,""),IF(ISBLANK('PTA-Mid'!M139)=FALSE,'PTA-Mid'!M139,"")))</f>
        <v/>
      </c>
      <c r="N139" s="2335" t="str">
        <f>IF(CostScenario="Higher cost",IF(ISBLANK('PTA-Hi'!N139)=FALSE,'PTA-Hi'!N139,""),IF(CostScenario="Lower cost",IF(ISBLANK('PTA-Lo'!N139)=FALSE,'PTA-Lo'!N139,""),IF(ISBLANK('PTA-Mid'!N139)=FALSE,'PTA-Mid'!N139,"")))</f>
        <v/>
      </c>
      <c r="O139" s="2335" t="str">
        <f>IF(CostScenario="Higher cost",IF(ISBLANK('PTA-Hi'!O139)=FALSE,'PTA-Hi'!O139,""),IF(CostScenario="Lower cost",IF(ISBLANK('PTA-Lo'!O139)=FALSE,'PTA-Lo'!O139,""),IF(ISBLANK('PTA-Mid'!O139)=FALSE,'PTA-Mid'!O139,"")))</f>
        <v/>
      </c>
      <c r="P139" s="2335" t="str">
        <f>IF(CostScenario="Higher cost",IF(ISBLANK('PTA-Hi'!P139)=FALSE,'PTA-Hi'!P139,""),IF(CostScenario="Lower cost",IF(ISBLANK('PTA-Lo'!P139)=FALSE,'PTA-Lo'!P139,""),IF(ISBLANK('PTA-Mid'!P139)=FALSE,'PTA-Mid'!P139,"")))</f>
        <v/>
      </c>
      <c r="Q139" s="2335" t="str">
        <f>IF(CostScenario="Higher cost",IF(ISBLANK('PTA-Hi'!Q139)=FALSE,'PTA-Hi'!Q139,""),IF(CostScenario="Lower cost",IF(ISBLANK('PTA-Lo'!Q139)=FALSE,'PTA-Lo'!Q139,""),IF(ISBLANK('PTA-Mid'!Q139)=FALSE,'PTA-Mid'!Q139,"")))</f>
        <v/>
      </c>
      <c r="R139" s="30" t="str">
        <f>IF(CostScenario="Higher cost",IF(ISBLANK('PTA-Hi'!R139)=FALSE,'PTA-Hi'!R139,""),IF(CostScenario="Lower cost",IF(ISBLANK('PTA-Lo'!R139)=FALSE,'PTA-Lo'!R139,""),IF(ISBLANK('PTA-Mid'!R139)=FALSE,'PTA-Mid'!R139,"")))</f>
        <v/>
      </c>
      <c r="S139" s="2335" t="str">
        <f>IF(CostScenario="Higher cost",IF(ISBLANK('PTA-Hi'!S139)=FALSE,'PTA-Hi'!S139,""),IF(CostScenario="Lower cost",IF(ISBLANK('PTA-Lo'!S139)=FALSE,'PTA-Lo'!S139,""),IF(ISBLANK('PTA-Mid'!S139)=FALSE,'PTA-Mid'!S139,"")))</f>
        <v/>
      </c>
      <c r="T139" s="2335" t="str">
        <f>IF(CostScenario="Higher cost",IF(ISBLANK('PTA-Hi'!T139)=FALSE,'PTA-Hi'!T139,""),IF(CostScenario="Lower cost",IF(ISBLANK('PTA-Lo'!T139)=FALSE,'PTA-Lo'!T139,""),IF(ISBLANK('PTA-Mid'!T139)=FALSE,'PTA-Mid'!T139,"")))</f>
        <v/>
      </c>
      <c r="U139" s="30" t="str">
        <f>IF(CostScenario="Higher cost",IF(ISBLANK('PTA-Hi'!U139)=FALSE,'PTA-Hi'!U139,""),IF(CostScenario="Lower cost",IF(ISBLANK('PTA-Lo'!U139)=FALSE,'PTA-Lo'!U139,""),IF(ISBLANK('PTA-Mid'!U139)=FALSE,'PTA-Mid'!U139,"")))</f>
        <v/>
      </c>
      <c r="V139" s="30" t="str">
        <f>IF(CostScenario="Higher cost",IF(ISBLANK('PTA-Hi'!V139)=FALSE,'PTA-Hi'!V139,""),IF(CostScenario="Lower cost",IF(ISBLANK('PTA-Lo'!V139)=FALSE,'PTA-Lo'!V139,""),IF(ISBLANK('PTA-Mid'!V139)=FALSE,'PTA-Mid'!V139,"")))</f>
        <v/>
      </c>
      <c r="W139" s="2335"/>
      <c r="X139" s="30"/>
      <c r="Z139" s="30"/>
      <c r="AA139" s="30"/>
    </row>
    <row r="140" spans="1:27" s="7" customFormat="1">
      <c r="A140" s="935" t="s">
        <v>924</v>
      </c>
      <c r="B140" s="947"/>
      <c r="C140" s="920" t="s">
        <v>891</v>
      </c>
      <c r="D140" s="30" t="str">
        <f>IF(CostScenario="Higher cost",IF(ISBLANK('PTA-Hi'!D140)=FALSE,'PTA-Hi'!D140,""),IF(CostScenario="Lower cost",IF(ISBLANK('PTA-Lo'!D140)=FALSE,'PTA-Lo'!D140,""),IF(ISBLANK('PTA-Mid'!D140)=FALSE,'PTA-Mid'!D140,"")))</f>
        <v/>
      </c>
      <c r="E140" s="30" t="str">
        <f>IF(CostScenario="Higher cost",IF(ISBLANK('PTA-Hi'!E140)=FALSE,'PTA-Hi'!E140,""),IF(CostScenario="Lower cost",IF(ISBLANK('PTA-Lo'!E140)=FALSE,'PTA-Lo'!E140,""),IF(ISBLANK('PTA-Mid'!E140)=FALSE,'PTA-Mid'!E140,"")))</f>
        <v/>
      </c>
      <c r="F140" s="30" t="str">
        <f>IF(CostScenario="Higher cost",IF(ISBLANK('PTA-Hi'!F140)=FALSE,'PTA-Hi'!F140,""),IF(CostScenario="Lower cost",IF(ISBLANK('PTA-Lo'!F140)=FALSE,'PTA-Lo'!F140,""),IF(ISBLANK('PTA-Mid'!F140)=FALSE,'PTA-Mid'!F140,"")))</f>
        <v/>
      </c>
      <c r="G140" s="30" t="str">
        <f>IF(CostScenario="Higher cost",IF(ISBLANK('PTA-Hi'!G140)=FALSE,'PTA-Hi'!G140,""),IF(CostScenario="Lower cost",IF(ISBLANK('PTA-Lo'!G140)=FALSE,'PTA-Lo'!G140,""),IF(ISBLANK('PTA-Mid'!G140)=FALSE,'PTA-Mid'!G140,"")))</f>
        <v/>
      </c>
      <c r="H140" s="30" t="str">
        <f>IF(CostScenario="Higher cost",IF(ISBLANK('PTA-Hi'!H140)=FALSE,'PTA-Hi'!H140,""),IF(CostScenario="Lower cost",IF(ISBLANK('PTA-Lo'!H140)=FALSE,'PTA-Lo'!H140,""),IF(ISBLANK('PTA-Mid'!H140)=FALSE,'PTA-Mid'!H140,"")))</f>
        <v/>
      </c>
      <c r="I140" s="30" t="str">
        <f>IF(CostScenario="Higher cost",IF(ISBLANK('PTA-Hi'!I140)=FALSE,'PTA-Hi'!I140,""),IF(CostScenario="Lower cost",IF(ISBLANK('PTA-Lo'!I140)=FALSE,'PTA-Lo'!I140,""),IF(ISBLANK('PTA-Mid'!I140)=FALSE,'PTA-Mid'!I140,"")))</f>
        <v/>
      </c>
      <c r="J140" s="122" t="str">
        <f>IF(CostScenario="Higher cost",IF(ISBLANK('PTA-Hi'!J140)=FALSE,'PTA-Hi'!J140,""),IF(CostScenario="Lower cost",IF(ISBLANK('PTA-Lo'!J140)=FALSE,'PTA-Lo'!J140,""),IF(ISBLANK('PTA-Mid'!J140)=FALSE,'PTA-Mid'!J140,"")))</f>
        <v/>
      </c>
      <c r="K140" s="122" t="str">
        <f>IF(CostScenario="Higher cost",IF(ISBLANK('PTA-Hi'!K140)=FALSE,'PTA-Hi'!K140,""),IF(CostScenario="Lower cost",IF(ISBLANK('PTA-Lo'!K140)=FALSE,'PTA-Lo'!K140,""),IF(ISBLANK('PTA-Mid'!K140)=FALSE,'PTA-Mid'!K140,"")))</f>
        <v/>
      </c>
      <c r="L140" s="30" t="str">
        <f>IF(CostScenario="Higher cost",IF(ISBLANK('PTA-Hi'!L140)=FALSE,'PTA-Hi'!L140,""),IF(CostScenario="Lower cost",IF(ISBLANK('PTA-Lo'!L140)=FALSE,'PTA-Lo'!L140,""),IF(ISBLANK('PTA-Mid'!L140)=FALSE,'PTA-Mid'!L140,"")))</f>
        <v/>
      </c>
      <c r="M140" s="30" t="str">
        <f>IF(CostScenario="Higher cost",IF(ISBLANK('PTA-Hi'!M140)=FALSE,'PTA-Hi'!M140,""),IF(CostScenario="Lower cost",IF(ISBLANK('PTA-Lo'!M140)=FALSE,'PTA-Lo'!M140,""),IF(ISBLANK('PTA-Mid'!M140)=FALSE,'PTA-Mid'!M140,"")))</f>
        <v/>
      </c>
      <c r="N140" s="2335" t="str">
        <f>IF(CostScenario="Higher cost",IF(ISBLANK('PTA-Hi'!N140)=FALSE,'PTA-Hi'!N140,""),IF(CostScenario="Lower cost",IF(ISBLANK('PTA-Lo'!N140)=FALSE,'PTA-Lo'!N140,""),IF(ISBLANK('PTA-Mid'!N140)=FALSE,'PTA-Mid'!N140,"")))</f>
        <v/>
      </c>
      <c r="O140" s="2335" t="str">
        <f>IF(CostScenario="Higher cost",IF(ISBLANK('PTA-Hi'!O140)=FALSE,'PTA-Hi'!O140,""),IF(CostScenario="Lower cost",IF(ISBLANK('PTA-Lo'!O140)=FALSE,'PTA-Lo'!O140,""),IF(ISBLANK('PTA-Mid'!O140)=FALSE,'PTA-Mid'!O140,"")))</f>
        <v/>
      </c>
      <c r="P140" s="2335" t="str">
        <f>IF(CostScenario="Higher cost",IF(ISBLANK('PTA-Hi'!P140)=FALSE,'PTA-Hi'!P140,""),IF(CostScenario="Lower cost",IF(ISBLANK('PTA-Lo'!P140)=FALSE,'PTA-Lo'!P140,""),IF(ISBLANK('PTA-Mid'!P140)=FALSE,'PTA-Mid'!P140,"")))</f>
        <v/>
      </c>
      <c r="Q140" s="2335" t="str">
        <f>IF(CostScenario="Higher cost",IF(ISBLANK('PTA-Hi'!Q140)=FALSE,'PTA-Hi'!Q140,""),IF(CostScenario="Lower cost",IF(ISBLANK('PTA-Lo'!Q140)=FALSE,'PTA-Lo'!Q140,""),IF(ISBLANK('PTA-Mid'!Q140)=FALSE,'PTA-Mid'!Q140,"")))</f>
        <v/>
      </c>
      <c r="R140" s="30" t="str">
        <f>IF(CostScenario="Higher cost",IF(ISBLANK('PTA-Hi'!R140)=FALSE,'PTA-Hi'!R140,""),IF(CostScenario="Lower cost",IF(ISBLANK('PTA-Lo'!R140)=FALSE,'PTA-Lo'!R140,""),IF(ISBLANK('PTA-Mid'!R140)=FALSE,'PTA-Mid'!R140,"")))</f>
        <v/>
      </c>
      <c r="S140" s="2335" t="str">
        <f>IF(CostScenario="Higher cost",IF(ISBLANK('PTA-Hi'!S140)=FALSE,'PTA-Hi'!S140,""),IF(CostScenario="Lower cost",IF(ISBLANK('PTA-Lo'!S140)=FALSE,'PTA-Lo'!S140,""),IF(ISBLANK('PTA-Mid'!S140)=FALSE,'PTA-Mid'!S140,"")))</f>
        <v/>
      </c>
      <c r="T140" s="2335" t="str">
        <f>IF(CostScenario="Higher cost",IF(ISBLANK('PTA-Hi'!T140)=FALSE,'PTA-Hi'!T140,""),IF(CostScenario="Lower cost",IF(ISBLANK('PTA-Lo'!T140)=FALSE,'PTA-Lo'!T140,""),IF(ISBLANK('PTA-Mid'!T140)=FALSE,'PTA-Mid'!T140,"")))</f>
        <v/>
      </c>
      <c r="U140" s="30" t="str">
        <f>IF(CostScenario="Higher cost",IF(ISBLANK('PTA-Hi'!U140)=FALSE,'PTA-Hi'!U140,""),IF(CostScenario="Lower cost",IF(ISBLANK('PTA-Lo'!U140)=FALSE,'PTA-Lo'!U140,""),IF(ISBLANK('PTA-Mid'!U140)=FALSE,'PTA-Mid'!U140,"")))</f>
        <v/>
      </c>
      <c r="V140" s="30" t="str">
        <f>IF(CostScenario="Higher cost",IF(ISBLANK('PTA-Hi'!V140)=FALSE,'PTA-Hi'!V140,""),IF(CostScenario="Lower cost",IF(ISBLANK('PTA-Lo'!V140)=FALSE,'PTA-Lo'!V140,""),IF(ISBLANK('PTA-Mid'!V140)=FALSE,'PTA-Mid'!V140,"")))</f>
        <v/>
      </c>
      <c r="W140" s="2335"/>
      <c r="X140" s="30"/>
      <c r="Z140" s="30"/>
      <c r="AA140" s="30"/>
    </row>
    <row r="141" spans="1:27" s="7" customFormat="1">
      <c r="A141" s="935" t="s">
        <v>925</v>
      </c>
      <c r="B141" s="947"/>
      <c r="C141" s="920" t="s">
        <v>892</v>
      </c>
      <c r="D141" s="30" t="str">
        <f>IF(CostScenario="Higher cost",IF(ISBLANK('PTA-Hi'!D141)=FALSE,'PTA-Hi'!D141,""),IF(CostScenario="Lower cost",IF(ISBLANK('PTA-Lo'!D141)=FALSE,'PTA-Lo'!D141,""),IF(ISBLANK('PTA-Mid'!D141)=FALSE,'PTA-Mid'!D141,"")))</f>
        <v/>
      </c>
      <c r="E141" s="30" t="str">
        <f>IF(CostScenario="Higher cost",IF(ISBLANK('PTA-Hi'!E141)=FALSE,'PTA-Hi'!E141,""),IF(CostScenario="Lower cost",IF(ISBLANK('PTA-Lo'!E141)=FALSE,'PTA-Lo'!E141,""),IF(ISBLANK('PTA-Mid'!E141)=FALSE,'PTA-Mid'!E141,"")))</f>
        <v/>
      </c>
      <c r="F141" s="30" t="str">
        <f>IF(CostScenario="Higher cost",IF(ISBLANK('PTA-Hi'!F141)=FALSE,'PTA-Hi'!F141,""),IF(CostScenario="Lower cost",IF(ISBLANK('PTA-Lo'!F141)=FALSE,'PTA-Lo'!F141,""),IF(ISBLANK('PTA-Mid'!F141)=FALSE,'PTA-Mid'!F141,"")))</f>
        <v/>
      </c>
      <c r="G141" s="30" t="str">
        <f>IF(CostScenario="Higher cost",IF(ISBLANK('PTA-Hi'!G141)=FALSE,'PTA-Hi'!G141,""),IF(CostScenario="Lower cost",IF(ISBLANK('PTA-Lo'!G141)=FALSE,'PTA-Lo'!G141,""),IF(ISBLANK('PTA-Mid'!G141)=FALSE,'PTA-Mid'!G141,"")))</f>
        <v/>
      </c>
      <c r="H141" s="30" t="str">
        <f>IF(CostScenario="Higher cost",IF(ISBLANK('PTA-Hi'!H141)=FALSE,'PTA-Hi'!H141,""),IF(CostScenario="Lower cost",IF(ISBLANK('PTA-Lo'!H141)=FALSE,'PTA-Lo'!H141,""),IF(ISBLANK('PTA-Mid'!H141)=FALSE,'PTA-Mid'!H141,"")))</f>
        <v/>
      </c>
      <c r="I141" s="30" t="str">
        <f>IF(CostScenario="Higher cost",IF(ISBLANK('PTA-Hi'!I141)=FALSE,'PTA-Hi'!I141,""),IF(CostScenario="Lower cost",IF(ISBLANK('PTA-Lo'!I141)=FALSE,'PTA-Lo'!I141,""),IF(ISBLANK('PTA-Mid'!I141)=FALSE,'PTA-Mid'!I141,"")))</f>
        <v/>
      </c>
      <c r="J141" s="122" t="str">
        <f>IF(CostScenario="Higher cost",IF(ISBLANK('PTA-Hi'!J141)=FALSE,'PTA-Hi'!J141,""),IF(CostScenario="Lower cost",IF(ISBLANK('PTA-Lo'!J141)=FALSE,'PTA-Lo'!J141,""),IF(ISBLANK('PTA-Mid'!J141)=FALSE,'PTA-Mid'!J141,"")))</f>
        <v/>
      </c>
      <c r="K141" s="30" t="str">
        <f>IF(CostScenario="Higher cost",IF(ISBLANK('PTA-Hi'!K141)=FALSE,'PTA-Hi'!K141,""),IF(CostScenario="Lower cost",IF(ISBLANK('PTA-Lo'!K141)=FALSE,'PTA-Lo'!K141,""),IF(ISBLANK('PTA-Mid'!K141)=FALSE,'PTA-Mid'!K141,"")))</f>
        <v/>
      </c>
      <c r="L141" s="30" t="str">
        <f>IF(CostScenario="Higher cost",IF(ISBLANK('PTA-Hi'!L141)=FALSE,'PTA-Hi'!L141,""),IF(CostScenario="Lower cost",IF(ISBLANK('PTA-Lo'!L141)=FALSE,'PTA-Lo'!L141,""),IF(ISBLANK('PTA-Mid'!L141)=FALSE,'PTA-Mid'!L141,"")))</f>
        <v/>
      </c>
      <c r="M141" s="30" t="str">
        <f>IF(CostScenario="Higher cost",IF(ISBLANK('PTA-Hi'!M141)=FALSE,'PTA-Hi'!M141,""),IF(CostScenario="Lower cost",IF(ISBLANK('PTA-Lo'!M141)=FALSE,'PTA-Lo'!M141,""),IF(ISBLANK('PTA-Mid'!M141)=FALSE,'PTA-Mid'!M141,"")))</f>
        <v/>
      </c>
      <c r="N141" s="2335" t="str">
        <f>IF(CostScenario="Higher cost",IF(ISBLANK('PTA-Hi'!N141)=FALSE,'PTA-Hi'!N141,""),IF(CostScenario="Lower cost",IF(ISBLANK('PTA-Lo'!N141)=FALSE,'PTA-Lo'!N141,""),IF(ISBLANK('PTA-Mid'!N141)=FALSE,'PTA-Mid'!N141,"")))</f>
        <v/>
      </c>
      <c r="O141" s="2335" t="str">
        <f>IF(CostScenario="Higher cost",IF(ISBLANK('PTA-Hi'!O141)=FALSE,'PTA-Hi'!O141,""),IF(CostScenario="Lower cost",IF(ISBLANK('PTA-Lo'!O141)=FALSE,'PTA-Lo'!O141,""),IF(ISBLANK('PTA-Mid'!O141)=FALSE,'PTA-Mid'!O141,"")))</f>
        <v/>
      </c>
      <c r="P141" s="2335" t="str">
        <f>IF(CostScenario="Higher cost",IF(ISBLANK('PTA-Hi'!P141)=FALSE,'PTA-Hi'!P141,""),IF(CostScenario="Lower cost",IF(ISBLANK('PTA-Lo'!P141)=FALSE,'PTA-Lo'!P141,""),IF(ISBLANK('PTA-Mid'!P141)=FALSE,'PTA-Mid'!P141,"")))</f>
        <v/>
      </c>
      <c r="Q141" s="2335" t="str">
        <f>IF(CostScenario="Higher cost",IF(ISBLANK('PTA-Hi'!Q141)=FALSE,'PTA-Hi'!Q141,""),IF(CostScenario="Lower cost",IF(ISBLANK('PTA-Lo'!Q141)=FALSE,'PTA-Lo'!Q141,""),IF(ISBLANK('PTA-Mid'!Q141)=FALSE,'PTA-Mid'!Q141,"")))</f>
        <v/>
      </c>
      <c r="R141" s="30" t="str">
        <f>IF(CostScenario="Higher cost",IF(ISBLANK('PTA-Hi'!R141)=FALSE,'PTA-Hi'!R141,""),IF(CostScenario="Lower cost",IF(ISBLANK('PTA-Lo'!R141)=FALSE,'PTA-Lo'!R141,""),IF(ISBLANK('PTA-Mid'!R141)=FALSE,'PTA-Mid'!R141,"")))</f>
        <v/>
      </c>
      <c r="S141" s="2335" t="str">
        <f>IF(CostScenario="Higher cost",IF(ISBLANK('PTA-Hi'!S141)=FALSE,'PTA-Hi'!S141,""),IF(CostScenario="Lower cost",IF(ISBLANK('PTA-Lo'!S141)=FALSE,'PTA-Lo'!S141,""),IF(ISBLANK('PTA-Mid'!S141)=FALSE,'PTA-Mid'!S141,"")))</f>
        <v/>
      </c>
      <c r="T141" s="2335" t="str">
        <f>IF(CostScenario="Higher cost",IF(ISBLANK('PTA-Hi'!T141)=FALSE,'PTA-Hi'!T141,""),IF(CostScenario="Lower cost",IF(ISBLANK('PTA-Lo'!T141)=FALSE,'PTA-Lo'!T141,""),IF(ISBLANK('PTA-Mid'!T141)=FALSE,'PTA-Mid'!T141,"")))</f>
        <v/>
      </c>
      <c r="U141" s="30" t="str">
        <f>IF(CostScenario="Higher cost",IF(ISBLANK('PTA-Hi'!U141)=FALSE,'PTA-Hi'!U141,""),IF(CostScenario="Lower cost",IF(ISBLANK('PTA-Lo'!U141)=FALSE,'PTA-Lo'!U141,""),IF(ISBLANK('PTA-Mid'!U141)=FALSE,'PTA-Mid'!U141,"")))</f>
        <v/>
      </c>
      <c r="V141" s="30" t="str">
        <f>IF(CostScenario="Higher cost",IF(ISBLANK('PTA-Hi'!V141)=FALSE,'PTA-Hi'!V141,""),IF(CostScenario="Lower cost",IF(ISBLANK('PTA-Lo'!V141)=FALSE,'PTA-Lo'!V141,""),IF(ISBLANK('PTA-Mid'!V141)=FALSE,'PTA-Mid'!V141,"")))</f>
        <v/>
      </c>
      <c r="W141" s="2335"/>
      <c r="X141" s="30"/>
      <c r="Z141" s="30"/>
      <c r="AA141" s="30"/>
    </row>
    <row r="142" spans="1:27" s="7" customFormat="1">
      <c r="A142" s="935" t="s">
        <v>926</v>
      </c>
      <c r="B142" s="947"/>
      <c r="C142" s="920" t="s">
        <v>893</v>
      </c>
      <c r="D142" s="30" t="str">
        <f>IF(CostScenario="Higher cost",IF(ISBLANK('PTA-Hi'!D142)=FALSE,'PTA-Hi'!D142,""),IF(CostScenario="Lower cost",IF(ISBLANK('PTA-Lo'!D142)=FALSE,'PTA-Lo'!D142,""),IF(ISBLANK('PTA-Mid'!D142)=FALSE,'PTA-Mid'!D142,"")))</f>
        <v/>
      </c>
      <c r="E142" s="30" t="str">
        <f>IF(CostScenario="Higher cost",IF(ISBLANK('PTA-Hi'!E142)=FALSE,'PTA-Hi'!E142,""),IF(CostScenario="Lower cost",IF(ISBLANK('PTA-Lo'!E142)=FALSE,'PTA-Lo'!E142,""),IF(ISBLANK('PTA-Mid'!E142)=FALSE,'PTA-Mid'!E142,"")))</f>
        <v/>
      </c>
      <c r="F142" s="30" t="str">
        <f>IF(CostScenario="Higher cost",IF(ISBLANK('PTA-Hi'!F142)=FALSE,'PTA-Hi'!F142,""),IF(CostScenario="Lower cost",IF(ISBLANK('PTA-Lo'!F142)=FALSE,'PTA-Lo'!F142,""),IF(ISBLANK('PTA-Mid'!F142)=FALSE,'PTA-Mid'!F142,"")))</f>
        <v/>
      </c>
      <c r="G142" s="30" t="str">
        <f>IF(CostScenario="Higher cost",IF(ISBLANK('PTA-Hi'!G142)=FALSE,'PTA-Hi'!G142,""),IF(CostScenario="Lower cost",IF(ISBLANK('PTA-Lo'!G142)=FALSE,'PTA-Lo'!G142,""),IF(ISBLANK('PTA-Mid'!G142)=FALSE,'PTA-Mid'!G142,"")))</f>
        <v/>
      </c>
      <c r="H142" s="30" t="str">
        <f>IF(CostScenario="Higher cost",IF(ISBLANK('PTA-Hi'!H142)=FALSE,'PTA-Hi'!H142,""),IF(CostScenario="Lower cost",IF(ISBLANK('PTA-Lo'!H142)=FALSE,'PTA-Lo'!H142,""),IF(ISBLANK('PTA-Mid'!H142)=FALSE,'PTA-Mid'!H142,"")))</f>
        <v/>
      </c>
      <c r="I142" s="30" t="str">
        <f>IF(CostScenario="Higher cost",IF(ISBLANK('PTA-Hi'!I142)=FALSE,'PTA-Hi'!I142,""),IF(CostScenario="Lower cost",IF(ISBLANK('PTA-Lo'!I142)=FALSE,'PTA-Lo'!I142,""),IF(ISBLANK('PTA-Mid'!I142)=FALSE,'PTA-Mid'!I142,"")))</f>
        <v/>
      </c>
      <c r="J142" s="30" t="str">
        <f>IF(CostScenario="Higher cost",IF(ISBLANK('PTA-Hi'!J142)=FALSE,'PTA-Hi'!J142,""),IF(CostScenario="Lower cost",IF(ISBLANK('PTA-Lo'!J142)=FALSE,'PTA-Lo'!J142,""),IF(ISBLANK('PTA-Mid'!J142)=FALSE,'PTA-Mid'!J142,"")))</f>
        <v/>
      </c>
      <c r="K142" s="30" t="str">
        <f>IF(CostScenario="Higher cost",IF(ISBLANK('PTA-Hi'!K142)=FALSE,'PTA-Hi'!K142,""),IF(CostScenario="Lower cost",IF(ISBLANK('PTA-Lo'!K142)=FALSE,'PTA-Lo'!K142,""),IF(ISBLANK('PTA-Mid'!K142)=FALSE,'PTA-Mid'!K142,"")))</f>
        <v/>
      </c>
      <c r="L142" s="30" t="str">
        <f>IF(CostScenario="Higher cost",IF(ISBLANK('PTA-Hi'!L142)=FALSE,'PTA-Hi'!L142,""),IF(CostScenario="Lower cost",IF(ISBLANK('PTA-Lo'!L142)=FALSE,'PTA-Lo'!L142,""),IF(ISBLANK('PTA-Mid'!L142)=FALSE,'PTA-Mid'!L142,"")))</f>
        <v/>
      </c>
      <c r="M142" s="30" t="str">
        <f>IF(CostScenario="Higher cost",IF(ISBLANK('PTA-Hi'!M142)=FALSE,'PTA-Hi'!M142,""),IF(CostScenario="Lower cost",IF(ISBLANK('PTA-Lo'!M142)=FALSE,'PTA-Lo'!M142,""),IF(ISBLANK('PTA-Mid'!M142)=FALSE,'PTA-Mid'!M142,"")))</f>
        <v/>
      </c>
      <c r="N142" s="2335" t="str">
        <f>IF(CostScenario="Higher cost",IF(ISBLANK('PTA-Hi'!N142)=FALSE,'PTA-Hi'!N142,""),IF(CostScenario="Lower cost",IF(ISBLANK('PTA-Lo'!N142)=FALSE,'PTA-Lo'!N142,""),IF(ISBLANK('PTA-Mid'!N142)=FALSE,'PTA-Mid'!N142,"")))</f>
        <v/>
      </c>
      <c r="O142" s="2335" t="str">
        <f>IF(CostScenario="Higher cost",IF(ISBLANK('PTA-Hi'!O142)=FALSE,'PTA-Hi'!O142,""),IF(CostScenario="Lower cost",IF(ISBLANK('PTA-Lo'!O142)=FALSE,'PTA-Lo'!O142,""),IF(ISBLANK('PTA-Mid'!O142)=FALSE,'PTA-Mid'!O142,"")))</f>
        <v/>
      </c>
      <c r="P142" s="2335" t="str">
        <f>IF(CostScenario="Higher cost",IF(ISBLANK('PTA-Hi'!P142)=FALSE,'PTA-Hi'!P142,""),IF(CostScenario="Lower cost",IF(ISBLANK('PTA-Lo'!P142)=FALSE,'PTA-Lo'!P142,""),IF(ISBLANK('PTA-Mid'!P142)=FALSE,'PTA-Mid'!P142,"")))</f>
        <v/>
      </c>
      <c r="Q142" s="2335" t="str">
        <f>IF(CostScenario="Higher cost",IF(ISBLANK('PTA-Hi'!Q142)=FALSE,'PTA-Hi'!Q142,""),IF(CostScenario="Lower cost",IF(ISBLANK('PTA-Lo'!Q142)=FALSE,'PTA-Lo'!Q142,""),IF(ISBLANK('PTA-Mid'!Q142)=FALSE,'PTA-Mid'!Q142,"")))</f>
        <v/>
      </c>
      <c r="R142" s="30" t="str">
        <f>IF(CostScenario="Higher cost",IF(ISBLANK('PTA-Hi'!R142)=FALSE,'PTA-Hi'!R142,""),IF(CostScenario="Lower cost",IF(ISBLANK('PTA-Lo'!R142)=FALSE,'PTA-Lo'!R142,""),IF(ISBLANK('PTA-Mid'!R142)=FALSE,'PTA-Mid'!R142,"")))</f>
        <v/>
      </c>
      <c r="S142" s="2335" t="str">
        <f>IF(CostScenario="Higher cost",IF(ISBLANK('PTA-Hi'!S142)=FALSE,'PTA-Hi'!S142,""),IF(CostScenario="Lower cost",IF(ISBLANK('PTA-Lo'!S142)=FALSE,'PTA-Lo'!S142,""),IF(ISBLANK('PTA-Mid'!S142)=FALSE,'PTA-Mid'!S142,"")))</f>
        <v/>
      </c>
      <c r="T142" s="2335" t="str">
        <f>IF(CostScenario="Higher cost",IF(ISBLANK('PTA-Hi'!T142)=FALSE,'PTA-Hi'!T142,""),IF(CostScenario="Lower cost",IF(ISBLANK('PTA-Lo'!T142)=FALSE,'PTA-Lo'!T142,""),IF(ISBLANK('PTA-Mid'!T142)=FALSE,'PTA-Mid'!T142,"")))</f>
        <v/>
      </c>
      <c r="U142" s="30" t="str">
        <f>IF(CostScenario="Higher cost",IF(ISBLANK('PTA-Hi'!U142)=FALSE,'PTA-Hi'!U142,""),IF(CostScenario="Lower cost",IF(ISBLANK('PTA-Lo'!U142)=FALSE,'PTA-Lo'!U142,""),IF(ISBLANK('PTA-Mid'!U142)=FALSE,'PTA-Mid'!U142,"")))</f>
        <v/>
      </c>
      <c r="V142" s="30" t="str">
        <f>IF(CostScenario="Higher cost",IF(ISBLANK('PTA-Hi'!V142)=FALSE,'PTA-Hi'!V142,""),IF(CostScenario="Lower cost",IF(ISBLANK('PTA-Lo'!V142)=FALSE,'PTA-Lo'!V142,""),IF(ISBLANK('PTA-Mid'!V142)=FALSE,'PTA-Mid'!V142,"")))</f>
        <v/>
      </c>
      <c r="W142" s="2335"/>
      <c r="X142" s="30"/>
      <c r="Z142" s="30"/>
      <c r="AA142" s="30"/>
    </row>
    <row r="143" spans="1:27" s="7" customFormat="1">
      <c r="A143" s="935" t="s">
        <v>927</v>
      </c>
      <c r="B143" s="947"/>
      <c r="C143" s="920" t="s">
        <v>894</v>
      </c>
      <c r="D143" s="70" t="str">
        <f>IF(CostScenario="Higher cost",IF(ISBLANK('PTA-Hi'!D143)=FALSE,'PTA-Hi'!D143,""),IF(CostScenario="Lower cost",IF(ISBLANK('PTA-Lo'!D143)=FALSE,'PTA-Lo'!D143,""),IF(ISBLANK('PTA-Mid'!D143)=FALSE,'PTA-Mid'!D143,"")))</f>
        <v>Total non-labor fixed costs</v>
      </c>
      <c r="E143" s="70" t="str">
        <f>IF(CostScenario="Higher cost",IF(ISBLANK('PTA-Hi'!E143)=FALSE,'PTA-Hi'!E143,""),IF(CostScenario="Lower cost",IF(ISBLANK('PTA-Lo'!E143)=FALSE,'PTA-Lo'!E143,""),IF(ISBLANK('PTA-Mid'!E143)=FALSE,'PTA-Mid'!E143,"")))</f>
        <v>Total non-labor fixed costs</v>
      </c>
      <c r="F143" s="70" t="str">
        <f>IF(CostScenario="Higher cost",IF(ISBLANK('PTA-Hi'!F143)=FALSE,'PTA-Hi'!F143,""),IF(CostScenario="Lower cost",IF(ISBLANK('PTA-Lo'!F143)=FALSE,'PTA-Lo'!F143,""),IF(ISBLANK('PTA-Mid'!F143)=FALSE,'PTA-Mid'!F143,"")))</f>
        <v>Total non-labor fixed costs</v>
      </c>
      <c r="G143" s="70" t="str">
        <f>IF(CostScenario="Higher cost",IF(ISBLANK('PTA-Hi'!G143)=FALSE,'PTA-Hi'!G143,""),IF(CostScenario="Lower cost",IF(ISBLANK('PTA-Lo'!G143)=FALSE,'PTA-Lo'!G143,""),IF(ISBLANK('PTA-Mid'!G143)=FALSE,'PTA-Mid'!G143,"")))</f>
        <v>Total non-labor fixed costs</v>
      </c>
      <c r="H143" s="70" t="str">
        <f>IF(CostScenario="Higher cost",IF(ISBLANK('PTA-Hi'!H143)=FALSE,'PTA-Hi'!H143,""),IF(CostScenario="Lower cost",IF(ISBLANK('PTA-Lo'!H143)=FALSE,'PTA-Lo'!H143,""),IF(ISBLANK('PTA-Mid'!H143)=FALSE,'PTA-Mid'!H143,"")))</f>
        <v>Total non-labor fixed costs</v>
      </c>
      <c r="I143" s="30" t="str">
        <f>IF(CostScenario="Higher cost",IF(ISBLANK('PTA-Hi'!I143)=FALSE,'PTA-Hi'!I143,""),IF(CostScenario="Lower cost",IF(ISBLANK('PTA-Lo'!I143)=FALSE,'PTA-Lo'!I143,""),IF(ISBLANK('PTA-Mid'!I143)=FALSE,'PTA-Mid'!I143,"")))</f>
        <v/>
      </c>
      <c r="J143" s="70" t="str">
        <f>IF(CostScenario="Higher cost",IF(ISBLANK('PTA-Hi'!J143)=FALSE,'PTA-Hi'!J143,""),IF(CostScenario="Lower cost",IF(ISBLANK('PTA-Lo'!J143)=FALSE,'PTA-Lo'!J143,""),IF(ISBLANK('PTA-Mid'!J143)=FALSE,'PTA-Mid'!J143,"")))</f>
        <v/>
      </c>
      <c r="K143" s="70" t="str">
        <f>IF(CostScenario="Higher cost",IF(ISBLANK('PTA-Hi'!K143)=FALSE,'PTA-Hi'!K143,""),IF(CostScenario="Lower cost",IF(ISBLANK('PTA-Lo'!K143)=FALSE,'PTA-Lo'!K143,""),IF(ISBLANK('PTA-Mid'!K143)=FALSE,'PTA-Mid'!K143,"")))</f>
        <v/>
      </c>
      <c r="L143" s="30" t="str">
        <f>IF(CostScenario="Higher cost",IF(ISBLANK('PTA-Hi'!L143)=FALSE,'PTA-Hi'!L143,""),IF(CostScenario="Lower cost",IF(ISBLANK('PTA-Lo'!L143)=FALSE,'PTA-Lo'!L143,""),IF(ISBLANK('PTA-Mid'!L143)=FALSE,'PTA-Mid'!L143,"")))</f>
        <v/>
      </c>
      <c r="M143" s="30" t="str">
        <f>IF(CostScenario="Higher cost",IF(ISBLANK('PTA-Hi'!M143)=FALSE,'PTA-Hi'!M143,""),IF(CostScenario="Lower cost",IF(ISBLANK('PTA-Lo'!M143)=FALSE,'PTA-Lo'!M143,""),IF(ISBLANK('PTA-Mid'!M143)=FALSE,'PTA-Mid'!M143,"")))</f>
        <v/>
      </c>
      <c r="N143" s="2335" t="str">
        <f>IF(CostScenario="Higher cost",IF(ISBLANK('PTA-Hi'!N143)=FALSE,'PTA-Hi'!N143,""),IF(CostScenario="Lower cost",IF(ISBLANK('PTA-Lo'!N143)=FALSE,'PTA-Lo'!N143,""),IF(ISBLANK('PTA-Mid'!N143)=FALSE,'PTA-Mid'!N143,"")))</f>
        <v/>
      </c>
      <c r="O143" s="2335" t="str">
        <f>IF(CostScenario="Higher cost",IF(ISBLANK('PTA-Hi'!O143)=FALSE,'PTA-Hi'!O143,""),IF(CostScenario="Lower cost",IF(ISBLANK('PTA-Lo'!O143)=FALSE,'PTA-Lo'!O143,""),IF(ISBLANK('PTA-Mid'!O143)=FALSE,'PTA-Mid'!O143,"")))</f>
        <v/>
      </c>
      <c r="P143" s="2335" t="str">
        <f>IF(CostScenario="Higher cost",IF(ISBLANK('PTA-Hi'!P143)=FALSE,'PTA-Hi'!P143,""),IF(CostScenario="Lower cost",IF(ISBLANK('PTA-Lo'!P143)=FALSE,'PTA-Lo'!P143,""),IF(ISBLANK('PTA-Mid'!P143)=FALSE,'PTA-Mid'!P143,"")))</f>
        <v/>
      </c>
      <c r="Q143" s="2335" t="str">
        <f>IF(CostScenario="Higher cost",IF(ISBLANK('PTA-Hi'!Q143)=FALSE,'PTA-Hi'!Q143,""),IF(CostScenario="Lower cost",IF(ISBLANK('PTA-Lo'!Q143)=FALSE,'PTA-Lo'!Q143,""),IF(ISBLANK('PTA-Mid'!Q143)=FALSE,'PTA-Mid'!Q143,"")))</f>
        <v/>
      </c>
      <c r="R143" s="30" t="str">
        <f>IF(CostScenario="Higher cost",IF(ISBLANK('PTA-Hi'!R143)=FALSE,'PTA-Hi'!R143,""),IF(CostScenario="Lower cost",IF(ISBLANK('PTA-Lo'!R143)=FALSE,'PTA-Lo'!R143,""),IF(ISBLANK('PTA-Mid'!R143)=FALSE,'PTA-Mid'!R143,"")))</f>
        <v/>
      </c>
      <c r="S143" s="2335" t="str">
        <f>IF(CostScenario="Higher cost",IF(ISBLANK('PTA-Hi'!S143)=FALSE,'PTA-Hi'!S143,""),IF(CostScenario="Lower cost",IF(ISBLANK('PTA-Lo'!S143)=FALSE,'PTA-Lo'!S143,""),IF(ISBLANK('PTA-Mid'!S143)=FALSE,'PTA-Mid'!S143,"")))</f>
        <v/>
      </c>
      <c r="T143" s="2335" t="str">
        <f>IF(CostScenario="Higher cost",IF(ISBLANK('PTA-Hi'!T143)=FALSE,'PTA-Hi'!T143,""),IF(CostScenario="Lower cost",IF(ISBLANK('PTA-Lo'!T143)=FALSE,'PTA-Lo'!T143,""),IF(ISBLANK('PTA-Mid'!T143)=FALSE,'PTA-Mid'!T143,"")))</f>
        <v/>
      </c>
      <c r="U143" s="30" t="str">
        <f>IF(CostScenario="Higher cost",IF(ISBLANK('PTA-Hi'!U143)=FALSE,'PTA-Hi'!U143,""),IF(CostScenario="Lower cost",IF(ISBLANK('PTA-Lo'!U143)=FALSE,'PTA-Lo'!U143,""),IF(ISBLANK('PTA-Mid'!U143)=FALSE,'PTA-Mid'!U143,"")))</f>
        <v/>
      </c>
      <c r="V143" s="30" t="str">
        <f>IF(CostScenario="Higher cost",IF(ISBLANK('PTA-Hi'!V143)=FALSE,'PTA-Hi'!V143,""),IF(CostScenario="Lower cost",IF(ISBLANK('PTA-Lo'!V143)=FALSE,'PTA-Lo'!V143,""),IF(ISBLANK('PTA-Mid'!V143)=FALSE,'PTA-Mid'!V143,"")))</f>
        <v/>
      </c>
      <c r="W143" s="2335"/>
      <c r="X143" s="30"/>
      <c r="Z143" s="30"/>
      <c r="AA143" s="30"/>
    </row>
    <row r="144" spans="1:27" s="7" customFormat="1">
      <c r="A144" s="935" t="s">
        <v>928</v>
      </c>
      <c r="B144" s="947"/>
      <c r="C144" s="920" t="s">
        <v>896</v>
      </c>
      <c r="D144" s="30" t="str">
        <f>IF(CostScenario="Higher cost",IF(ISBLANK('PTA-Hi'!D144)=FALSE,'PTA-Hi'!D144,""),IF(CostScenario="Lower cost",IF(ISBLANK('PTA-Lo'!D144)=FALSE,'PTA-Lo'!D144,""),IF(ISBLANK('PTA-Mid'!D144)=FALSE,'PTA-Mid'!D144,"")))</f>
        <v/>
      </c>
      <c r="E144" s="30" t="str">
        <f>IF(CostScenario="Higher cost",IF(ISBLANK('PTA-Hi'!E144)=FALSE,'PTA-Hi'!E144,""),IF(CostScenario="Lower cost",IF(ISBLANK('PTA-Lo'!E144)=FALSE,'PTA-Lo'!E144,""),IF(ISBLANK('PTA-Mid'!E144)=FALSE,'PTA-Mid'!E144,"")))</f>
        <v/>
      </c>
      <c r="F144" s="30" t="str">
        <f>IF(CostScenario="Higher cost",IF(ISBLANK('PTA-Hi'!F144)=FALSE,'PTA-Hi'!F144,""),IF(CostScenario="Lower cost",IF(ISBLANK('PTA-Lo'!F144)=FALSE,'PTA-Lo'!F144,""),IF(ISBLANK('PTA-Mid'!F144)=FALSE,'PTA-Mid'!F144,"")))</f>
        <v/>
      </c>
      <c r="G144" s="30" t="str">
        <f>IF(CostScenario="Higher cost",IF(ISBLANK('PTA-Hi'!G144)=FALSE,'PTA-Hi'!G144,""),IF(CostScenario="Lower cost",IF(ISBLANK('PTA-Lo'!G144)=FALSE,'PTA-Lo'!G144,""),IF(ISBLANK('PTA-Mid'!G144)=FALSE,'PTA-Mid'!G144,"")))</f>
        <v/>
      </c>
      <c r="H144" s="30" t="str">
        <f>IF(CostScenario="Higher cost",IF(ISBLANK('PTA-Hi'!H144)=FALSE,'PTA-Hi'!H144,""),IF(CostScenario="Lower cost",IF(ISBLANK('PTA-Lo'!H144)=FALSE,'PTA-Lo'!H144,""),IF(ISBLANK('PTA-Mid'!H144)=FALSE,'PTA-Mid'!H144,"")))</f>
        <v/>
      </c>
      <c r="I144" s="30" t="str">
        <f>IF(CostScenario="Higher cost",IF(ISBLANK('PTA-Hi'!I144)=FALSE,'PTA-Hi'!I144,""),IF(CostScenario="Lower cost",IF(ISBLANK('PTA-Lo'!I144)=FALSE,'PTA-Lo'!I144,""),IF(ISBLANK('PTA-Mid'!I144)=FALSE,'PTA-Mid'!I144,"")))</f>
        <v/>
      </c>
      <c r="J144" s="70" t="str">
        <f>IF(CostScenario="Higher cost",IF(ISBLANK('PTA-Hi'!J144)=FALSE,'PTA-Hi'!J144,""),IF(CostScenario="Lower cost",IF(ISBLANK('PTA-Lo'!J144)=FALSE,'PTA-Lo'!J144,""),IF(ISBLANK('PTA-Mid'!J144)=FALSE,'PTA-Mid'!J144,"")))</f>
        <v/>
      </c>
      <c r="K144" s="70" t="str">
        <f>IF(CostScenario="Higher cost",IF(ISBLANK('PTA-Hi'!K144)=FALSE,'PTA-Hi'!K144,""),IF(CostScenario="Lower cost",IF(ISBLANK('PTA-Lo'!K144)=FALSE,'PTA-Lo'!K144,""),IF(ISBLANK('PTA-Mid'!K144)=FALSE,'PTA-Mid'!K144,"")))</f>
        <v/>
      </c>
      <c r="L144" s="30" t="str">
        <f>IF(CostScenario="Higher cost",IF(ISBLANK('PTA-Hi'!L144)=FALSE,'PTA-Hi'!L144,""),IF(CostScenario="Lower cost",IF(ISBLANK('PTA-Lo'!L144)=FALSE,'PTA-Lo'!L144,""),IF(ISBLANK('PTA-Mid'!L144)=FALSE,'PTA-Mid'!L144,"")))</f>
        <v/>
      </c>
      <c r="M144" s="30" t="str">
        <f>IF(CostScenario="Higher cost",IF(ISBLANK('PTA-Hi'!M144)=FALSE,'PTA-Hi'!M144,""),IF(CostScenario="Lower cost",IF(ISBLANK('PTA-Lo'!M144)=FALSE,'PTA-Lo'!M144,""),IF(ISBLANK('PTA-Mid'!M144)=FALSE,'PTA-Mid'!M144,"")))</f>
        <v/>
      </c>
      <c r="N144" s="2335" t="str">
        <f>IF(CostScenario="Higher cost",IF(ISBLANK('PTA-Hi'!N144)=FALSE,'PTA-Hi'!N144,""),IF(CostScenario="Lower cost",IF(ISBLANK('PTA-Lo'!N144)=FALSE,'PTA-Lo'!N144,""),IF(ISBLANK('PTA-Mid'!N144)=FALSE,'PTA-Mid'!N144,"")))</f>
        <v/>
      </c>
      <c r="O144" s="2335" t="str">
        <f>IF(CostScenario="Higher cost",IF(ISBLANK('PTA-Hi'!O144)=FALSE,'PTA-Hi'!O144,""),IF(CostScenario="Lower cost",IF(ISBLANK('PTA-Lo'!O144)=FALSE,'PTA-Lo'!O144,""),IF(ISBLANK('PTA-Mid'!O144)=FALSE,'PTA-Mid'!O144,"")))</f>
        <v/>
      </c>
      <c r="P144" s="2335" t="str">
        <f>IF(CostScenario="Higher cost",IF(ISBLANK('PTA-Hi'!P144)=FALSE,'PTA-Hi'!P144,""),IF(CostScenario="Lower cost",IF(ISBLANK('PTA-Lo'!P144)=FALSE,'PTA-Lo'!P144,""),IF(ISBLANK('PTA-Mid'!P144)=FALSE,'PTA-Mid'!P144,"")))</f>
        <v/>
      </c>
      <c r="Q144" s="2335" t="str">
        <f>IF(CostScenario="Higher cost",IF(ISBLANK('PTA-Hi'!Q144)=FALSE,'PTA-Hi'!Q144,""),IF(CostScenario="Lower cost",IF(ISBLANK('PTA-Lo'!Q144)=FALSE,'PTA-Lo'!Q144,""),IF(ISBLANK('PTA-Mid'!Q144)=FALSE,'PTA-Mid'!Q144,"")))</f>
        <v/>
      </c>
      <c r="R144" s="30" t="str">
        <f>IF(CostScenario="Higher cost",IF(ISBLANK('PTA-Hi'!R144)=FALSE,'PTA-Hi'!R144,""),IF(CostScenario="Lower cost",IF(ISBLANK('PTA-Lo'!R144)=FALSE,'PTA-Lo'!R144,""),IF(ISBLANK('PTA-Mid'!R144)=FALSE,'PTA-Mid'!R144,"")))</f>
        <v/>
      </c>
      <c r="S144" s="2335" t="str">
        <f>IF(CostScenario="Higher cost",IF(ISBLANK('PTA-Hi'!S144)=FALSE,'PTA-Hi'!S144,""),IF(CostScenario="Lower cost",IF(ISBLANK('PTA-Lo'!S144)=FALSE,'PTA-Lo'!S144,""),IF(ISBLANK('PTA-Mid'!S144)=FALSE,'PTA-Mid'!S144,"")))</f>
        <v/>
      </c>
      <c r="T144" s="2335" t="str">
        <f>IF(CostScenario="Higher cost",IF(ISBLANK('PTA-Hi'!T144)=FALSE,'PTA-Hi'!T144,""),IF(CostScenario="Lower cost",IF(ISBLANK('PTA-Lo'!T144)=FALSE,'PTA-Lo'!T144,""),IF(ISBLANK('PTA-Mid'!T144)=FALSE,'PTA-Mid'!T144,"")))</f>
        <v/>
      </c>
      <c r="U144" s="30" t="str">
        <f>IF(CostScenario="Higher cost",IF(ISBLANK('PTA-Hi'!U144)=FALSE,'PTA-Hi'!U144,""),IF(CostScenario="Lower cost",IF(ISBLANK('PTA-Lo'!U144)=FALSE,'PTA-Lo'!U144,""),IF(ISBLANK('PTA-Mid'!U144)=FALSE,'PTA-Mid'!U144,"")))</f>
        <v/>
      </c>
      <c r="V144" s="30" t="str">
        <f>IF(CostScenario="Higher cost",IF(ISBLANK('PTA-Hi'!V144)=FALSE,'PTA-Hi'!V144,""),IF(CostScenario="Lower cost",IF(ISBLANK('PTA-Lo'!V144)=FALSE,'PTA-Lo'!V144,""),IF(ISBLANK('PTA-Mid'!V144)=FALSE,'PTA-Mid'!V144,"")))</f>
        <v/>
      </c>
      <c r="W144" s="2335"/>
      <c r="X144" s="30"/>
      <c r="Z144" s="30"/>
      <c r="AA144" s="30"/>
    </row>
    <row r="145" spans="1:24" s="7" customFormat="1">
      <c r="A145" s="935" t="s">
        <v>929</v>
      </c>
      <c r="B145" s="947"/>
      <c r="C145" s="920" t="s">
        <v>897</v>
      </c>
      <c r="D145" s="30" t="str">
        <f>IF(CostScenario="Higher cost",IF(ISBLANK('PTA-Hi'!D145)=FALSE,'PTA-Hi'!D145,""),IF(CostScenario="Lower cost",IF(ISBLANK('PTA-Lo'!D145)=FALSE,'PTA-Lo'!D145,""),IF(ISBLANK('PTA-Mid'!D145)=FALSE,'PTA-Mid'!D145,"")))</f>
        <v/>
      </c>
      <c r="E145" s="30" t="str">
        <f>IF(CostScenario="Higher cost",IF(ISBLANK('PTA-Hi'!E145)=FALSE,'PTA-Hi'!E145,""),IF(CostScenario="Lower cost",IF(ISBLANK('PTA-Lo'!E145)=FALSE,'PTA-Lo'!E145,""),IF(ISBLANK('PTA-Mid'!E145)=FALSE,'PTA-Mid'!E145,"")))</f>
        <v/>
      </c>
      <c r="F145" s="30" t="str">
        <f>IF(CostScenario="Higher cost",IF(ISBLANK('PTA-Hi'!F145)=FALSE,'PTA-Hi'!F145,""),IF(CostScenario="Lower cost",IF(ISBLANK('PTA-Lo'!F145)=FALSE,'PTA-Lo'!F145,""),IF(ISBLANK('PTA-Mid'!F145)=FALSE,'PTA-Mid'!F145,"")))</f>
        <v/>
      </c>
      <c r="G145" s="30" t="str">
        <f>IF(CostScenario="Higher cost",IF(ISBLANK('PTA-Hi'!G145)=FALSE,'PTA-Hi'!G145,""),IF(CostScenario="Lower cost",IF(ISBLANK('PTA-Lo'!G145)=FALSE,'PTA-Lo'!G145,""),IF(ISBLANK('PTA-Mid'!G145)=FALSE,'PTA-Mid'!G145,"")))</f>
        <v/>
      </c>
      <c r="H145" s="30" t="str">
        <f>IF(CostScenario="Higher cost",IF(ISBLANK('PTA-Hi'!H145)=FALSE,'PTA-Hi'!H145,""),IF(CostScenario="Lower cost",IF(ISBLANK('PTA-Lo'!H145)=FALSE,'PTA-Lo'!H145,""),IF(ISBLANK('PTA-Mid'!H145)=FALSE,'PTA-Mid'!H145,"")))</f>
        <v/>
      </c>
      <c r="I145" s="7" t="str">
        <f>IF(CostScenario="Higher cost",IF(ISBLANK('PTA-Hi'!I145)=FALSE,'PTA-Hi'!I145,""),IF(CostScenario="Lower cost",IF(ISBLANK('PTA-Lo'!I145)=FALSE,'PTA-Lo'!I145,""),IF(ISBLANK('PTA-Mid'!I145)=FALSE,'PTA-Mid'!I145,"")))</f>
        <v/>
      </c>
      <c r="J145" s="70" t="str">
        <f>IF(CostScenario="Higher cost",IF(ISBLANK('PTA-Hi'!J145)=FALSE,'PTA-Hi'!J145,""),IF(CostScenario="Lower cost",IF(ISBLANK('PTA-Lo'!J145)=FALSE,'PTA-Lo'!J145,""),IF(ISBLANK('PTA-Mid'!J145)=FALSE,'PTA-Mid'!J145,"")))</f>
        <v/>
      </c>
      <c r="K145" s="70" t="str">
        <f>IF(CostScenario="Higher cost",IF(ISBLANK('PTA-Hi'!K145)=FALSE,'PTA-Hi'!K145,""),IF(CostScenario="Lower cost",IF(ISBLANK('PTA-Lo'!K145)=FALSE,'PTA-Lo'!K145,""),IF(ISBLANK('PTA-Mid'!K145)=FALSE,'PTA-Mid'!K145,"")))</f>
        <v/>
      </c>
      <c r="L145" s="9" t="str">
        <f>IF(CostScenario="Higher cost",IF(ISBLANK('PTA-Hi'!L145)=FALSE,'PTA-Hi'!L145,""),IF(CostScenario="Lower cost",IF(ISBLANK('PTA-Lo'!L145)=FALSE,'PTA-Lo'!L145,""),IF(ISBLANK('PTA-Mid'!L145)=FALSE,'PTA-Mid'!L145,"")))</f>
        <v/>
      </c>
      <c r="M145" s="9" t="str">
        <f>IF(CostScenario="Higher cost",IF(ISBLANK('PTA-Hi'!M145)=FALSE,'PTA-Hi'!M145,""),IF(CostScenario="Lower cost",IF(ISBLANK('PTA-Lo'!M145)=FALSE,'PTA-Lo'!M145,""),IF(ISBLANK('PTA-Mid'!M145)=FALSE,'PTA-Mid'!M145,"")))</f>
        <v/>
      </c>
      <c r="N145" s="2332" t="str">
        <f>IF(CostScenario="Higher cost",IF(ISBLANK('PTA-Hi'!N145)=FALSE,'PTA-Hi'!N145,""),IF(CostScenario="Lower cost",IF(ISBLANK('PTA-Lo'!N145)=FALSE,'PTA-Lo'!N145,""),IF(ISBLANK('PTA-Mid'!N145)=FALSE,'PTA-Mid'!N145,"")))</f>
        <v/>
      </c>
      <c r="O145" s="2332" t="str">
        <f>IF(CostScenario="Higher cost",IF(ISBLANK('PTA-Hi'!O145)=FALSE,'PTA-Hi'!O145,""),IF(CostScenario="Lower cost",IF(ISBLANK('PTA-Lo'!O145)=FALSE,'PTA-Lo'!O145,""),IF(ISBLANK('PTA-Mid'!O145)=FALSE,'PTA-Mid'!O145,"")))</f>
        <v/>
      </c>
      <c r="P145" s="2332" t="str">
        <f>IF(CostScenario="Higher cost",IF(ISBLANK('PTA-Hi'!P145)=FALSE,'PTA-Hi'!P145,""),IF(CostScenario="Lower cost",IF(ISBLANK('PTA-Lo'!P145)=FALSE,'PTA-Lo'!P145,""),IF(ISBLANK('PTA-Mid'!P145)=FALSE,'PTA-Mid'!P145,"")))</f>
        <v/>
      </c>
      <c r="Q145" s="2332" t="str">
        <f>IF(CostScenario="Higher cost",IF(ISBLANK('PTA-Hi'!Q145)=FALSE,'PTA-Hi'!Q145,""),IF(CostScenario="Lower cost",IF(ISBLANK('PTA-Lo'!Q145)=FALSE,'PTA-Lo'!Q145,""),IF(ISBLANK('PTA-Mid'!Q145)=FALSE,'PTA-Mid'!Q145,"")))</f>
        <v/>
      </c>
      <c r="R145" s="9" t="str">
        <f>IF(CostScenario="Higher cost",IF(ISBLANK('PTA-Hi'!R145)=FALSE,'PTA-Hi'!R145,""),IF(CostScenario="Lower cost",IF(ISBLANK('PTA-Lo'!R145)=FALSE,'PTA-Lo'!R145,""),IF(ISBLANK('PTA-Mid'!R145)=FALSE,'PTA-Mid'!R145,"")))</f>
        <v/>
      </c>
      <c r="S145" s="2332" t="str">
        <f>IF(CostScenario="Higher cost",IF(ISBLANK('PTA-Hi'!S145)=FALSE,'PTA-Hi'!S145,""),IF(CostScenario="Lower cost",IF(ISBLANK('PTA-Lo'!S145)=FALSE,'PTA-Lo'!S145,""),IF(ISBLANK('PTA-Mid'!S145)=FALSE,'PTA-Mid'!S145,"")))</f>
        <v/>
      </c>
      <c r="T145" s="2332" t="str">
        <f>IF(CostScenario="Higher cost",IF(ISBLANK('PTA-Hi'!T145)=FALSE,'PTA-Hi'!T145,""),IF(CostScenario="Lower cost",IF(ISBLANK('PTA-Lo'!T145)=FALSE,'PTA-Lo'!T145,""),IF(ISBLANK('PTA-Mid'!T145)=FALSE,'PTA-Mid'!T145,"")))</f>
        <v/>
      </c>
      <c r="U145" s="7" t="str">
        <f>IF(CostScenario="Higher cost",IF(ISBLANK('PTA-Hi'!U145)=FALSE,'PTA-Hi'!U145,""),IF(CostScenario="Lower cost",IF(ISBLANK('PTA-Lo'!U145)=FALSE,'PTA-Lo'!U145,""),IF(ISBLANK('PTA-Mid'!U145)=FALSE,'PTA-Mid'!U145,"")))</f>
        <v/>
      </c>
      <c r="V145" s="7" t="str">
        <f>IF(CostScenario="Higher cost",IF(ISBLANK('PTA-Hi'!V145)=FALSE,'PTA-Hi'!V145,""),IF(CostScenario="Lower cost",IF(ISBLANK('PTA-Lo'!V145)=FALSE,'PTA-Lo'!V145,""),IF(ISBLANK('PTA-Mid'!V145)=FALSE,'PTA-Mid'!V145,"")))</f>
        <v/>
      </c>
      <c r="W145" s="2332"/>
      <c r="X145" s="9"/>
    </row>
    <row r="146" spans="1:24" s="7" customFormat="1">
      <c r="A146" s="935" t="s">
        <v>930</v>
      </c>
      <c r="B146" s="947"/>
      <c r="C146" s="920" t="s">
        <v>898</v>
      </c>
      <c r="D146" s="30" t="str">
        <f>IF(CostScenario="Higher cost",IF(ISBLANK('PTA-Hi'!D146)=FALSE,'PTA-Hi'!D146,""),IF(CostScenario="Lower cost",IF(ISBLANK('PTA-Lo'!D146)=FALSE,'PTA-Lo'!D146,""),IF(ISBLANK('PTA-Mid'!D146)=FALSE,'PTA-Mid'!D146,"")))</f>
        <v/>
      </c>
      <c r="E146" s="30" t="str">
        <f>IF(CostScenario="Higher cost",IF(ISBLANK('PTA-Hi'!E146)=FALSE,'PTA-Hi'!E146,""),IF(CostScenario="Lower cost",IF(ISBLANK('PTA-Lo'!E146)=FALSE,'PTA-Lo'!E146,""),IF(ISBLANK('PTA-Mid'!E146)=FALSE,'PTA-Mid'!E146,"")))</f>
        <v/>
      </c>
      <c r="F146" s="30" t="str">
        <f>IF(CostScenario="Higher cost",IF(ISBLANK('PTA-Hi'!F146)=FALSE,'PTA-Hi'!F146,""),IF(CostScenario="Lower cost",IF(ISBLANK('PTA-Lo'!F146)=FALSE,'PTA-Lo'!F146,""),IF(ISBLANK('PTA-Mid'!F146)=FALSE,'PTA-Mid'!F146,"")))</f>
        <v/>
      </c>
      <c r="G146" s="30" t="str">
        <f>IF(CostScenario="Higher cost",IF(ISBLANK('PTA-Hi'!G146)=FALSE,'PTA-Hi'!G146,""),IF(CostScenario="Lower cost",IF(ISBLANK('PTA-Lo'!G146)=FALSE,'PTA-Lo'!G146,""),IF(ISBLANK('PTA-Mid'!G146)=FALSE,'PTA-Mid'!G146,"")))</f>
        <v/>
      </c>
      <c r="H146" s="30" t="str">
        <f>IF(CostScenario="Higher cost",IF(ISBLANK('PTA-Hi'!H146)=FALSE,'PTA-Hi'!H146,""),IF(CostScenario="Lower cost",IF(ISBLANK('PTA-Lo'!H146)=FALSE,'PTA-Lo'!H146,""),IF(ISBLANK('PTA-Mid'!H146)=FALSE,'PTA-Mid'!H146,"")))</f>
        <v/>
      </c>
      <c r="I146" s="7" t="str">
        <f>IF(CostScenario="Higher cost",IF(ISBLANK('PTA-Hi'!I146)=FALSE,'PTA-Hi'!I146,""),IF(CostScenario="Lower cost",IF(ISBLANK('PTA-Lo'!I146)=FALSE,'PTA-Lo'!I146,""),IF(ISBLANK('PTA-Mid'!I146)=FALSE,'PTA-Mid'!I146,"")))</f>
        <v/>
      </c>
      <c r="J146" s="70" t="str">
        <f>IF(CostScenario="Higher cost",IF(ISBLANK('PTA-Hi'!J146)=FALSE,'PTA-Hi'!J146,""),IF(CostScenario="Lower cost",IF(ISBLANK('PTA-Lo'!J146)=FALSE,'PTA-Lo'!J146,""),IF(ISBLANK('PTA-Mid'!J146)=FALSE,'PTA-Mid'!J146,"")))</f>
        <v/>
      </c>
      <c r="K146" s="70" t="str">
        <f>IF(CostScenario="Higher cost",IF(ISBLANK('PTA-Hi'!K146)=FALSE,'PTA-Hi'!K146,""),IF(CostScenario="Lower cost",IF(ISBLANK('PTA-Lo'!K146)=FALSE,'PTA-Lo'!K146,""),IF(ISBLANK('PTA-Mid'!K146)=FALSE,'PTA-Mid'!K146,"")))</f>
        <v/>
      </c>
      <c r="L146" s="9" t="str">
        <f>IF(CostScenario="Higher cost",IF(ISBLANK('PTA-Hi'!L146)=FALSE,'PTA-Hi'!L146,""),IF(CostScenario="Lower cost",IF(ISBLANK('PTA-Lo'!L146)=FALSE,'PTA-Lo'!L146,""),IF(ISBLANK('PTA-Mid'!L146)=FALSE,'PTA-Mid'!L146,"")))</f>
        <v/>
      </c>
      <c r="M146" s="9" t="str">
        <f>IF(CostScenario="Higher cost",IF(ISBLANK('PTA-Hi'!M146)=FALSE,'PTA-Hi'!M146,""),IF(CostScenario="Lower cost",IF(ISBLANK('PTA-Lo'!M146)=FALSE,'PTA-Lo'!M146,""),IF(ISBLANK('PTA-Mid'!M146)=FALSE,'PTA-Mid'!M146,"")))</f>
        <v/>
      </c>
      <c r="N146" s="2332" t="str">
        <f>IF(CostScenario="Higher cost",IF(ISBLANK('PTA-Hi'!N146)=FALSE,'PTA-Hi'!N146,""),IF(CostScenario="Lower cost",IF(ISBLANK('PTA-Lo'!N146)=FALSE,'PTA-Lo'!N146,""),IF(ISBLANK('PTA-Mid'!N146)=FALSE,'PTA-Mid'!N146,"")))</f>
        <v/>
      </c>
      <c r="O146" s="2332" t="str">
        <f>IF(CostScenario="Higher cost",IF(ISBLANK('PTA-Hi'!O146)=FALSE,'PTA-Hi'!O146,""),IF(CostScenario="Lower cost",IF(ISBLANK('PTA-Lo'!O146)=FALSE,'PTA-Lo'!O146,""),IF(ISBLANK('PTA-Mid'!O146)=FALSE,'PTA-Mid'!O146,"")))</f>
        <v/>
      </c>
      <c r="P146" s="2332" t="str">
        <f>IF(CostScenario="Higher cost",IF(ISBLANK('PTA-Hi'!P146)=FALSE,'PTA-Hi'!P146,""),IF(CostScenario="Lower cost",IF(ISBLANK('PTA-Lo'!P146)=FALSE,'PTA-Lo'!P146,""),IF(ISBLANK('PTA-Mid'!P146)=FALSE,'PTA-Mid'!P146,"")))</f>
        <v/>
      </c>
      <c r="Q146" s="2332" t="str">
        <f>IF(CostScenario="Higher cost",IF(ISBLANK('PTA-Hi'!Q146)=FALSE,'PTA-Hi'!Q146,""),IF(CostScenario="Lower cost",IF(ISBLANK('PTA-Lo'!Q146)=FALSE,'PTA-Lo'!Q146,""),IF(ISBLANK('PTA-Mid'!Q146)=FALSE,'PTA-Mid'!Q146,"")))</f>
        <v/>
      </c>
      <c r="R146" s="9" t="str">
        <f>IF(CostScenario="Higher cost",IF(ISBLANK('PTA-Hi'!R146)=FALSE,'PTA-Hi'!R146,""),IF(CostScenario="Lower cost",IF(ISBLANK('PTA-Lo'!R146)=FALSE,'PTA-Lo'!R146,""),IF(ISBLANK('PTA-Mid'!R146)=FALSE,'PTA-Mid'!R146,"")))</f>
        <v/>
      </c>
      <c r="S146" s="2332" t="str">
        <f>IF(CostScenario="Higher cost",IF(ISBLANK('PTA-Hi'!S146)=FALSE,'PTA-Hi'!S146,""),IF(CostScenario="Lower cost",IF(ISBLANK('PTA-Lo'!S146)=FALSE,'PTA-Lo'!S146,""),IF(ISBLANK('PTA-Mid'!S146)=FALSE,'PTA-Mid'!S146,"")))</f>
        <v/>
      </c>
      <c r="T146" s="2332" t="str">
        <f>IF(CostScenario="Higher cost",IF(ISBLANK('PTA-Hi'!T146)=FALSE,'PTA-Hi'!T146,""),IF(CostScenario="Lower cost",IF(ISBLANK('PTA-Lo'!T146)=FALSE,'PTA-Lo'!T146,""),IF(ISBLANK('PTA-Mid'!T146)=FALSE,'PTA-Mid'!T146,"")))</f>
        <v/>
      </c>
      <c r="U146" s="7" t="str">
        <f>IF(CostScenario="Higher cost",IF(ISBLANK('PTA-Hi'!U146)=FALSE,'PTA-Hi'!U146,""),IF(CostScenario="Lower cost",IF(ISBLANK('PTA-Lo'!U146)=FALSE,'PTA-Lo'!U146,""),IF(ISBLANK('PTA-Mid'!U146)=FALSE,'PTA-Mid'!U146,"")))</f>
        <v/>
      </c>
      <c r="V146" s="7" t="str">
        <f>IF(CostScenario="Higher cost",IF(ISBLANK('PTA-Hi'!V146)=FALSE,'PTA-Hi'!V146,""),IF(CostScenario="Lower cost",IF(ISBLANK('PTA-Lo'!V146)=FALSE,'PTA-Lo'!V146,""),IF(ISBLANK('PTA-Mid'!V146)=FALSE,'PTA-Mid'!V146,"")))</f>
        <v/>
      </c>
      <c r="W146" s="2332"/>
      <c r="X146" s="9"/>
    </row>
    <row r="147" spans="1:24" s="7" customFormat="1">
      <c r="A147" s="935" t="s">
        <v>931</v>
      </c>
      <c r="B147" s="947"/>
      <c r="C147" s="920" t="s">
        <v>899</v>
      </c>
      <c r="D147" s="30" t="str">
        <f>IF(CostScenario="Higher cost",IF(ISBLANK('PTA-Hi'!D147)=FALSE,'PTA-Hi'!D147,""),IF(CostScenario="Lower cost",IF(ISBLANK('PTA-Lo'!D147)=FALSE,'PTA-Lo'!D147,""),IF(ISBLANK('PTA-Mid'!D147)=FALSE,'PTA-Mid'!D147,"")))</f>
        <v/>
      </c>
      <c r="E147" s="30" t="str">
        <f>IF(CostScenario="Higher cost",IF(ISBLANK('PTA-Hi'!E147)=FALSE,'PTA-Hi'!E147,""),IF(CostScenario="Lower cost",IF(ISBLANK('PTA-Lo'!E147)=FALSE,'PTA-Lo'!E147,""),IF(ISBLANK('PTA-Mid'!E147)=FALSE,'PTA-Mid'!E147,"")))</f>
        <v/>
      </c>
      <c r="F147" s="30" t="str">
        <f>IF(CostScenario="Higher cost",IF(ISBLANK('PTA-Hi'!F147)=FALSE,'PTA-Hi'!F147,""),IF(CostScenario="Lower cost",IF(ISBLANK('PTA-Lo'!F147)=FALSE,'PTA-Lo'!F147,""),IF(ISBLANK('PTA-Mid'!F147)=FALSE,'PTA-Mid'!F147,"")))</f>
        <v/>
      </c>
      <c r="G147" s="30" t="str">
        <f>IF(CostScenario="Higher cost",IF(ISBLANK('PTA-Hi'!G147)=FALSE,'PTA-Hi'!G147,""),IF(CostScenario="Lower cost",IF(ISBLANK('PTA-Lo'!G147)=FALSE,'PTA-Lo'!G147,""),IF(ISBLANK('PTA-Mid'!G147)=FALSE,'PTA-Mid'!G147,"")))</f>
        <v/>
      </c>
      <c r="H147" s="30" t="str">
        <f>IF(CostScenario="Higher cost",IF(ISBLANK('PTA-Hi'!H147)=FALSE,'PTA-Hi'!H147,""),IF(CostScenario="Lower cost",IF(ISBLANK('PTA-Lo'!H147)=FALSE,'PTA-Lo'!H147,""),IF(ISBLANK('PTA-Mid'!H147)=FALSE,'PTA-Mid'!H147,"")))</f>
        <v/>
      </c>
      <c r="I147" s="7" t="str">
        <f>IF(CostScenario="Higher cost",IF(ISBLANK('PTA-Hi'!I147)=FALSE,'PTA-Hi'!I147,""),IF(CostScenario="Lower cost",IF(ISBLANK('PTA-Lo'!I147)=FALSE,'PTA-Lo'!I147,""),IF(ISBLANK('PTA-Mid'!I147)=FALSE,'PTA-Mid'!I147,"")))</f>
        <v/>
      </c>
      <c r="J147" s="70" t="str">
        <f>IF(CostScenario="Higher cost",IF(ISBLANK('PTA-Hi'!J147)=FALSE,'PTA-Hi'!J147,""),IF(CostScenario="Lower cost",IF(ISBLANK('PTA-Lo'!J147)=FALSE,'PTA-Lo'!J147,""),IF(ISBLANK('PTA-Mid'!J147)=FALSE,'PTA-Mid'!J147,"")))</f>
        <v/>
      </c>
      <c r="K147" s="70" t="str">
        <f>IF(CostScenario="Higher cost",IF(ISBLANK('PTA-Hi'!K147)=FALSE,'PTA-Hi'!K147,""),IF(CostScenario="Lower cost",IF(ISBLANK('PTA-Lo'!K147)=FALSE,'PTA-Lo'!K147,""),IF(ISBLANK('PTA-Mid'!K147)=FALSE,'PTA-Mid'!K147,"")))</f>
        <v/>
      </c>
      <c r="L147" s="9" t="str">
        <f>IF(CostScenario="Higher cost",IF(ISBLANK('PTA-Hi'!L147)=FALSE,'PTA-Hi'!L147,""),IF(CostScenario="Lower cost",IF(ISBLANK('PTA-Lo'!L147)=FALSE,'PTA-Lo'!L147,""),IF(ISBLANK('PTA-Mid'!L147)=FALSE,'PTA-Mid'!L147,"")))</f>
        <v/>
      </c>
      <c r="M147" s="9" t="str">
        <f>IF(CostScenario="Higher cost",IF(ISBLANK('PTA-Hi'!M147)=FALSE,'PTA-Hi'!M147,""),IF(CostScenario="Lower cost",IF(ISBLANK('PTA-Lo'!M147)=FALSE,'PTA-Lo'!M147,""),IF(ISBLANK('PTA-Mid'!M147)=FALSE,'PTA-Mid'!M147,"")))</f>
        <v/>
      </c>
      <c r="N147" s="2332" t="str">
        <f>IF(CostScenario="Higher cost",IF(ISBLANK('PTA-Hi'!N147)=FALSE,'PTA-Hi'!N147,""),IF(CostScenario="Lower cost",IF(ISBLANK('PTA-Lo'!N147)=FALSE,'PTA-Lo'!N147,""),IF(ISBLANK('PTA-Mid'!N147)=FALSE,'PTA-Mid'!N147,"")))</f>
        <v/>
      </c>
      <c r="O147" s="2332" t="str">
        <f>IF(CostScenario="Higher cost",IF(ISBLANK('PTA-Hi'!O147)=FALSE,'PTA-Hi'!O147,""),IF(CostScenario="Lower cost",IF(ISBLANK('PTA-Lo'!O147)=FALSE,'PTA-Lo'!O147,""),IF(ISBLANK('PTA-Mid'!O147)=FALSE,'PTA-Mid'!O147,"")))</f>
        <v/>
      </c>
      <c r="P147" s="2332" t="str">
        <f>IF(CostScenario="Higher cost",IF(ISBLANK('PTA-Hi'!P147)=FALSE,'PTA-Hi'!P147,""),IF(CostScenario="Lower cost",IF(ISBLANK('PTA-Lo'!P147)=FALSE,'PTA-Lo'!P147,""),IF(ISBLANK('PTA-Mid'!P147)=FALSE,'PTA-Mid'!P147,"")))</f>
        <v/>
      </c>
      <c r="Q147" s="2332" t="str">
        <f>IF(CostScenario="Higher cost",IF(ISBLANK('PTA-Hi'!Q147)=FALSE,'PTA-Hi'!Q147,""),IF(CostScenario="Lower cost",IF(ISBLANK('PTA-Lo'!Q147)=FALSE,'PTA-Lo'!Q147,""),IF(ISBLANK('PTA-Mid'!Q147)=FALSE,'PTA-Mid'!Q147,"")))</f>
        <v/>
      </c>
      <c r="R147" s="9" t="str">
        <f>IF(CostScenario="Higher cost",IF(ISBLANK('PTA-Hi'!R147)=FALSE,'PTA-Hi'!R147,""),IF(CostScenario="Lower cost",IF(ISBLANK('PTA-Lo'!R147)=FALSE,'PTA-Lo'!R147,""),IF(ISBLANK('PTA-Mid'!R147)=FALSE,'PTA-Mid'!R147,"")))</f>
        <v/>
      </c>
      <c r="S147" s="2332" t="str">
        <f>IF(CostScenario="Higher cost",IF(ISBLANK('PTA-Hi'!S147)=FALSE,'PTA-Hi'!S147,""),IF(CostScenario="Lower cost",IF(ISBLANK('PTA-Lo'!S147)=FALSE,'PTA-Lo'!S147,""),IF(ISBLANK('PTA-Mid'!S147)=FALSE,'PTA-Mid'!S147,"")))</f>
        <v/>
      </c>
      <c r="T147" s="2332" t="str">
        <f>IF(CostScenario="Higher cost",IF(ISBLANK('PTA-Hi'!T147)=FALSE,'PTA-Hi'!T147,""),IF(CostScenario="Lower cost",IF(ISBLANK('PTA-Lo'!T147)=FALSE,'PTA-Lo'!T147,""),IF(ISBLANK('PTA-Mid'!T147)=FALSE,'PTA-Mid'!T147,"")))</f>
        <v/>
      </c>
      <c r="U147" s="7" t="str">
        <f>IF(CostScenario="Higher cost",IF(ISBLANK('PTA-Hi'!U147)=FALSE,'PTA-Hi'!U147,""),IF(CostScenario="Lower cost",IF(ISBLANK('PTA-Lo'!U147)=FALSE,'PTA-Lo'!U147,""),IF(ISBLANK('PTA-Mid'!U147)=FALSE,'PTA-Mid'!U147,"")))</f>
        <v/>
      </c>
      <c r="V147" s="7" t="str">
        <f>IF(CostScenario="Higher cost",IF(ISBLANK('PTA-Hi'!V147)=FALSE,'PTA-Hi'!V147,""),IF(CostScenario="Lower cost",IF(ISBLANK('PTA-Lo'!V147)=FALSE,'PTA-Lo'!V147,""),IF(ISBLANK('PTA-Mid'!V147)=FALSE,'PTA-Mid'!V147,"")))</f>
        <v/>
      </c>
      <c r="W147" s="2332"/>
      <c r="X147" s="9"/>
    </row>
    <row r="148" spans="1:24" s="7" customFormat="1">
      <c r="A148" s="935" t="s">
        <v>932</v>
      </c>
      <c r="B148" s="947"/>
      <c r="C148" s="920" t="s">
        <v>902</v>
      </c>
      <c r="D148" s="30" t="str">
        <f>IF(CostScenario="Higher cost",IF(ISBLANK('PTA-Hi'!D148)=FALSE,'PTA-Hi'!D148,""),IF(CostScenario="Lower cost",IF(ISBLANK('PTA-Lo'!D148)=FALSE,'PTA-Lo'!D148,""),IF(ISBLANK('PTA-Mid'!D148)=FALSE,'PTA-Mid'!D148,"")))</f>
        <v/>
      </c>
      <c r="E148" s="30" t="str">
        <f>IF(CostScenario="Higher cost",IF(ISBLANK('PTA-Hi'!E148)=FALSE,'PTA-Hi'!E148,""),IF(CostScenario="Lower cost",IF(ISBLANK('PTA-Lo'!E148)=FALSE,'PTA-Lo'!E148,""),IF(ISBLANK('PTA-Mid'!E148)=FALSE,'PTA-Mid'!E148,"")))</f>
        <v/>
      </c>
      <c r="F148" s="30" t="str">
        <f>IF(CostScenario="Higher cost",IF(ISBLANK('PTA-Hi'!F148)=FALSE,'PTA-Hi'!F148,""),IF(CostScenario="Lower cost",IF(ISBLANK('PTA-Lo'!F148)=FALSE,'PTA-Lo'!F148,""),IF(ISBLANK('PTA-Mid'!F148)=FALSE,'PTA-Mid'!F148,"")))</f>
        <v/>
      </c>
      <c r="G148" s="30" t="str">
        <f>IF(CostScenario="Higher cost",IF(ISBLANK('PTA-Hi'!G148)=FALSE,'PTA-Hi'!G148,""),IF(CostScenario="Lower cost",IF(ISBLANK('PTA-Lo'!G148)=FALSE,'PTA-Lo'!G148,""),IF(ISBLANK('PTA-Mid'!G148)=FALSE,'PTA-Mid'!G148,"")))</f>
        <v/>
      </c>
      <c r="H148" s="30" t="str">
        <f>IF(CostScenario="Higher cost",IF(ISBLANK('PTA-Hi'!H148)=FALSE,'PTA-Hi'!H148,""),IF(CostScenario="Lower cost",IF(ISBLANK('PTA-Lo'!H148)=FALSE,'PTA-Lo'!H148,""),IF(ISBLANK('PTA-Mid'!H148)=FALSE,'PTA-Mid'!H148,"")))</f>
        <v/>
      </c>
      <c r="I148" s="7" t="str">
        <f>IF(CostScenario="Higher cost",IF(ISBLANK('PTA-Hi'!I148)=FALSE,'PTA-Hi'!I148,""),IF(CostScenario="Lower cost",IF(ISBLANK('PTA-Lo'!I148)=FALSE,'PTA-Lo'!I148,""),IF(ISBLANK('PTA-Mid'!I148)=FALSE,'PTA-Mid'!I148,"")))</f>
        <v/>
      </c>
      <c r="J148" s="70" t="str">
        <f>IF(CostScenario="Higher cost",IF(ISBLANK('PTA-Hi'!J148)=FALSE,'PTA-Hi'!J148,""),IF(CostScenario="Lower cost",IF(ISBLANK('PTA-Lo'!J148)=FALSE,'PTA-Lo'!J148,""),IF(ISBLANK('PTA-Mid'!J148)=FALSE,'PTA-Mid'!J148,"")))</f>
        <v/>
      </c>
      <c r="K148" s="70" t="str">
        <f>IF(CostScenario="Higher cost",IF(ISBLANK('PTA-Hi'!K148)=FALSE,'PTA-Hi'!K148,""),IF(CostScenario="Lower cost",IF(ISBLANK('PTA-Lo'!K148)=FALSE,'PTA-Lo'!K148,""),IF(ISBLANK('PTA-Mid'!K148)=FALSE,'PTA-Mid'!K148,"")))</f>
        <v/>
      </c>
      <c r="L148" s="9" t="str">
        <f>IF(CostScenario="Higher cost",IF(ISBLANK('PTA-Hi'!L148)=FALSE,'PTA-Hi'!L148,""),IF(CostScenario="Lower cost",IF(ISBLANK('PTA-Lo'!L148)=FALSE,'PTA-Lo'!L148,""),IF(ISBLANK('PTA-Mid'!L148)=FALSE,'PTA-Mid'!L148,"")))</f>
        <v/>
      </c>
      <c r="M148" s="9" t="str">
        <f>IF(CostScenario="Higher cost",IF(ISBLANK('PTA-Hi'!M148)=FALSE,'PTA-Hi'!M148,""),IF(CostScenario="Lower cost",IF(ISBLANK('PTA-Lo'!M148)=FALSE,'PTA-Lo'!M148,""),IF(ISBLANK('PTA-Mid'!M148)=FALSE,'PTA-Mid'!M148,"")))</f>
        <v/>
      </c>
      <c r="N148" s="2332" t="str">
        <f>IF(CostScenario="Higher cost",IF(ISBLANK('PTA-Hi'!N148)=FALSE,'PTA-Hi'!N148,""),IF(CostScenario="Lower cost",IF(ISBLANK('PTA-Lo'!N148)=FALSE,'PTA-Lo'!N148,""),IF(ISBLANK('PTA-Mid'!N148)=FALSE,'PTA-Mid'!N148,"")))</f>
        <v/>
      </c>
      <c r="O148" s="2332" t="str">
        <f>IF(CostScenario="Higher cost",IF(ISBLANK('PTA-Hi'!O148)=FALSE,'PTA-Hi'!O148,""),IF(CostScenario="Lower cost",IF(ISBLANK('PTA-Lo'!O148)=FALSE,'PTA-Lo'!O148,""),IF(ISBLANK('PTA-Mid'!O148)=FALSE,'PTA-Mid'!O148,"")))</f>
        <v/>
      </c>
      <c r="P148" s="2332" t="str">
        <f>IF(CostScenario="Higher cost",IF(ISBLANK('PTA-Hi'!P148)=FALSE,'PTA-Hi'!P148,""),IF(CostScenario="Lower cost",IF(ISBLANK('PTA-Lo'!P148)=FALSE,'PTA-Lo'!P148,""),IF(ISBLANK('PTA-Mid'!P148)=FALSE,'PTA-Mid'!P148,"")))</f>
        <v/>
      </c>
      <c r="Q148" s="2332" t="str">
        <f>IF(CostScenario="Higher cost",IF(ISBLANK('PTA-Hi'!Q148)=FALSE,'PTA-Hi'!Q148,""),IF(CostScenario="Lower cost",IF(ISBLANK('PTA-Lo'!Q148)=FALSE,'PTA-Lo'!Q148,""),IF(ISBLANK('PTA-Mid'!Q148)=FALSE,'PTA-Mid'!Q148,"")))</f>
        <v/>
      </c>
      <c r="R148" s="9" t="str">
        <f>IF(CostScenario="Higher cost",IF(ISBLANK('PTA-Hi'!R148)=FALSE,'PTA-Hi'!R148,""),IF(CostScenario="Lower cost",IF(ISBLANK('PTA-Lo'!R148)=FALSE,'PTA-Lo'!R148,""),IF(ISBLANK('PTA-Mid'!R148)=FALSE,'PTA-Mid'!R148,"")))</f>
        <v/>
      </c>
      <c r="S148" s="2332" t="str">
        <f>IF(CostScenario="Higher cost",IF(ISBLANK('PTA-Hi'!S148)=FALSE,'PTA-Hi'!S148,""),IF(CostScenario="Lower cost",IF(ISBLANK('PTA-Lo'!S148)=FALSE,'PTA-Lo'!S148,""),IF(ISBLANK('PTA-Mid'!S148)=FALSE,'PTA-Mid'!S148,"")))</f>
        <v/>
      </c>
      <c r="T148" s="2332" t="str">
        <f>IF(CostScenario="Higher cost",IF(ISBLANK('PTA-Hi'!T148)=FALSE,'PTA-Hi'!T148,""),IF(CostScenario="Lower cost",IF(ISBLANK('PTA-Lo'!T148)=FALSE,'PTA-Lo'!T148,""),IF(ISBLANK('PTA-Mid'!T148)=FALSE,'PTA-Mid'!T148,"")))</f>
        <v/>
      </c>
      <c r="U148" s="7" t="str">
        <f>IF(CostScenario="Higher cost",IF(ISBLANK('PTA-Hi'!U148)=FALSE,'PTA-Hi'!U148,""),IF(CostScenario="Lower cost",IF(ISBLANK('PTA-Lo'!U148)=FALSE,'PTA-Lo'!U148,""),IF(ISBLANK('PTA-Mid'!U148)=FALSE,'PTA-Mid'!U148,"")))</f>
        <v/>
      </c>
      <c r="V148" s="7" t="str">
        <f>IF(CostScenario="Higher cost",IF(ISBLANK('PTA-Hi'!V148)=FALSE,'PTA-Hi'!V148,""),IF(CostScenario="Lower cost",IF(ISBLANK('PTA-Lo'!V148)=FALSE,'PTA-Lo'!V148,""),IF(ISBLANK('PTA-Mid'!V148)=FALSE,'PTA-Mid'!V148,"")))</f>
        <v/>
      </c>
      <c r="W148" s="2332"/>
      <c r="X148" s="9"/>
    </row>
    <row r="149" spans="1:24" s="7" customFormat="1">
      <c r="A149" s="935" t="s">
        <v>933</v>
      </c>
      <c r="B149" s="947"/>
      <c r="C149" s="920" t="s">
        <v>903</v>
      </c>
      <c r="D149" s="30" t="str">
        <f>IF(CostScenario="Higher cost",IF(ISBLANK('PTA-Hi'!D149)=FALSE,'PTA-Hi'!D149,""),IF(CostScenario="Lower cost",IF(ISBLANK('PTA-Lo'!D149)=FALSE,'PTA-Lo'!D149,""),IF(ISBLANK('PTA-Mid'!D149)=FALSE,'PTA-Mid'!D149,"")))</f>
        <v/>
      </c>
      <c r="E149" s="30" t="str">
        <f>IF(CostScenario="Higher cost",IF(ISBLANK('PTA-Hi'!E149)=FALSE,'PTA-Hi'!E149,""),IF(CostScenario="Lower cost",IF(ISBLANK('PTA-Lo'!E149)=FALSE,'PTA-Lo'!E149,""),IF(ISBLANK('PTA-Mid'!E149)=FALSE,'PTA-Mid'!E149,"")))</f>
        <v/>
      </c>
      <c r="F149" s="30" t="str">
        <f>IF(CostScenario="Higher cost",IF(ISBLANK('PTA-Hi'!F149)=FALSE,'PTA-Hi'!F149,""),IF(CostScenario="Lower cost",IF(ISBLANK('PTA-Lo'!F149)=FALSE,'PTA-Lo'!F149,""),IF(ISBLANK('PTA-Mid'!F149)=FALSE,'PTA-Mid'!F149,"")))</f>
        <v/>
      </c>
      <c r="G149" s="30" t="str">
        <f>IF(CostScenario="Higher cost",IF(ISBLANK('PTA-Hi'!G149)=FALSE,'PTA-Hi'!G149,""),IF(CostScenario="Lower cost",IF(ISBLANK('PTA-Lo'!G149)=FALSE,'PTA-Lo'!G149,""),IF(ISBLANK('PTA-Mid'!G149)=FALSE,'PTA-Mid'!G149,"")))</f>
        <v/>
      </c>
      <c r="H149" s="30" t="str">
        <f>IF(CostScenario="Higher cost",IF(ISBLANK('PTA-Hi'!H149)=FALSE,'PTA-Hi'!H149,""),IF(CostScenario="Lower cost",IF(ISBLANK('PTA-Lo'!H149)=FALSE,'PTA-Lo'!H149,""),IF(ISBLANK('PTA-Mid'!H149)=FALSE,'PTA-Mid'!H149,"")))</f>
        <v/>
      </c>
      <c r="I149" s="7" t="str">
        <f>IF(CostScenario="Higher cost",IF(ISBLANK('PTA-Hi'!I149)=FALSE,'PTA-Hi'!I149,""),IF(CostScenario="Lower cost",IF(ISBLANK('PTA-Lo'!I149)=FALSE,'PTA-Lo'!I149,""),IF(ISBLANK('PTA-Mid'!I149)=FALSE,'PTA-Mid'!I149,"")))</f>
        <v/>
      </c>
      <c r="J149" s="70" t="str">
        <f>IF(CostScenario="Higher cost",IF(ISBLANK('PTA-Hi'!J149)=FALSE,'PTA-Hi'!J149,""),IF(CostScenario="Lower cost",IF(ISBLANK('PTA-Lo'!J149)=FALSE,'PTA-Lo'!J149,""),IF(ISBLANK('PTA-Mid'!J149)=FALSE,'PTA-Mid'!J149,"")))</f>
        <v/>
      </c>
      <c r="K149" s="9" t="str">
        <f>IF(CostScenario="Higher cost",IF(ISBLANK('PTA-Hi'!K149)=FALSE,'PTA-Hi'!K149,""),IF(CostScenario="Lower cost",IF(ISBLANK('PTA-Lo'!K149)=FALSE,'PTA-Lo'!K149,""),IF(ISBLANK('PTA-Mid'!K149)=FALSE,'PTA-Mid'!K149,"")))</f>
        <v/>
      </c>
      <c r="L149" s="9" t="str">
        <f>IF(CostScenario="Higher cost",IF(ISBLANK('PTA-Hi'!L149)=FALSE,'PTA-Hi'!L149,""),IF(CostScenario="Lower cost",IF(ISBLANK('PTA-Lo'!L149)=FALSE,'PTA-Lo'!L149,""),IF(ISBLANK('PTA-Mid'!L149)=FALSE,'PTA-Mid'!L149,"")))</f>
        <v/>
      </c>
      <c r="M149" s="9" t="str">
        <f>IF(CostScenario="Higher cost",IF(ISBLANK('PTA-Hi'!M149)=FALSE,'PTA-Hi'!M149,""),IF(CostScenario="Lower cost",IF(ISBLANK('PTA-Lo'!M149)=FALSE,'PTA-Lo'!M149,""),IF(ISBLANK('PTA-Mid'!M149)=FALSE,'PTA-Mid'!M149,"")))</f>
        <v/>
      </c>
      <c r="N149" s="2332" t="str">
        <f>IF(CostScenario="Higher cost",IF(ISBLANK('PTA-Hi'!N149)=FALSE,'PTA-Hi'!N149,""),IF(CostScenario="Lower cost",IF(ISBLANK('PTA-Lo'!N149)=FALSE,'PTA-Lo'!N149,""),IF(ISBLANK('PTA-Mid'!N149)=FALSE,'PTA-Mid'!N149,"")))</f>
        <v/>
      </c>
      <c r="O149" s="2332" t="str">
        <f>IF(CostScenario="Higher cost",IF(ISBLANK('PTA-Hi'!O149)=FALSE,'PTA-Hi'!O149,""),IF(CostScenario="Lower cost",IF(ISBLANK('PTA-Lo'!O149)=FALSE,'PTA-Lo'!O149,""),IF(ISBLANK('PTA-Mid'!O149)=FALSE,'PTA-Mid'!O149,"")))</f>
        <v/>
      </c>
      <c r="P149" s="2332" t="str">
        <f>IF(CostScenario="Higher cost",IF(ISBLANK('PTA-Hi'!P149)=FALSE,'PTA-Hi'!P149,""),IF(CostScenario="Lower cost",IF(ISBLANK('PTA-Lo'!P149)=FALSE,'PTA-Lo'!P149,""),IF(ISBLANK('PTA-Mid'!P149)=FALSE,'PTA-Mid'!P149,"")))</f>
        <v/>
      </c>
      <c r="Q149" s="2332" t="str">
        <f>IF(CostScenario="Higher cost",IF(ISBLANK('PTA-Hi'!Q149)=FALSE,'PTA-Hi'!Q149,""),IF(CostScenario="Lower cost",IF(ISBLANK('PTA-Lo'!Q149)=FALSE,'PTA-Lo'!Q149,""),IF(ISBLANK('PTA-Mid'!Q149)=FALSE,'PTA-Mid'!Q149,"")))</f>
        <v/>
      </c>
      <c r="R149" s="9" t="str">
        <f>IF(CostScenario="Higher cost",IF(ISBLANK('PTA-Hi'!R149)=FALSE,'PTA-Hi'!R149,""),IF(CostScenario="Lower cost",IF(ISBLANK('PTA-Lo'!R149)=FALSE,'PTA-Lo'!R149,""),IF(ISBLANK('PTA-Mid'!R149)=FALSE,'PTA-Mid'!R149,"")))</f>
        <v/>
      </c>
      <c r="S149" s="2332" t="str">
        <f>IF(CostScenario="Higher cost",IF(ISBLANK('PTA-Hi'!S149)=FALSE,'PTA-Hi'!S149,""),IF(CostScenario="Lower cost",IF(ISBLANK('PTA-Lo'!S149)=FALSE,'PTA-Lo'!S149,""),IF(ISBLANK('PTA-Mid'!S149)=FALSE,'PTA-Mid'!S149,"")))</f>
        <v/>
      </c>
      <c r="T149" s="2332" t="str">
        <f>IF(CostScenario="Higher cost",IF(ISBLANK('PTA-Hi'!T149)=FALSE,'PTA-Hi'!T149,""),IF(CostScenario="Lower cost",IF(ISBLANK('PTA-Lo'!T149)=FALSE,'PTA-Lo'!T149,""),IF(ISBLANK('PTA-Mid'!T149)=FALSE,'PTA-Mid'!T149,"")))</f>
        <v/>
      </c>
      <c r="U149" s="7" t="str">
        <f>IF(CostScenario="Higher cost",IF(ISBLANK('PTA-Hi'!U149)=FALSE,'PTA-Hi'!U149,""),IF(CostScenario="Lower cost",IF(ISBLANK('PTA-Lo'!U149)=FALSE,'PTA-Lo'!U149,""),IF(ISBLANK('PTA-Mid'!U149)=FALSE,'PTA-Mid'!U149,"")))</f>
        <v/>
      </c>
      <c r="V149" s="7" t="str">
        <f>IF(CostScenario="Higher cost",IF(ISBLANK('PTA-Hi'!V149)=FALSE,'PTA-Hi'!V149,""),IF(CostScenario="Lower cost",IF(ISBLANK('PTA-Lo'!V149)=FALSE,'PTA-Lo'!V149,""),IF(ISBLANK('PTA-Mid'!V149)=FALSE,'PTA-Mid'!V149,"")))</f>
        <v/>
      </c>
      <c r="W149" s="2332"/>
      <c r="X149" s="9"/>
    </row>
    <row r="150" spans="1:24" s="7" customFormat="1">
      <c r="A150" s="948"/>
      <c r="B150" s="949"/>
      <c r="C150" s="950"/>
      <c r="D150" s="30"/>
      <c r="E150" s="30"/>
      <c r="F150" s="30"/>
      <c r="G150" s="30"/>
      <c r="H150" s="30"/>
      <c r="J150" s="9"/>
      <c r="K150" s="9"/>
      <c r="L150" s="9"/>
      <c r="M150" s="9"/>
      <c r="N150" s="2332"/>
      <c r="O150" s="2332"/>
      <c r="P150" s="2332"/>
      <c r="Q150" s="2332"/>
      <c r="R150" s="9"/>
      <c r="S150" s="2332"/>
      <c r="T150" s="2332"/>
      <c r="W150" s="2332"/>
      <c r="X150" s="9"/>
    </row>
    <row r="151" spans="1:24" s="7" customFormat="1">
      <c r="A151" s="915"/>
      <c r="B151" s="916"/>
      <c r="C151" s="945" t="s">
        <v>445</v>
      </c>
      <c r="D151" s="30" t="str">
        <f>IF(CostScenario="Higher cost",IF(ISBLANK('PTA-Hi'!D151)=FALSE,'PTA-Hi'!D151,""),IF(CostScenario="Lower cost",IF(ISBLANK('PTA-Lo'!D151)=FALSE,'PTA-Lo'!D151,""),IF(ISBLANK('PTA-Mid'!D151)=FALSE,'PTA-Mid'!D151,"")))</f>
        <v/>
      </c>
      <c r="E151" s="30" t="str">
        <f>IF(CostScenario="Higher cost",IF(ISBLANK('PTA-Hi'!E151)=FALSE,'PTA-Hi'!E151,""),IF(CostScenario="Lower cost",IF(ISBLANK('PTA-Lo'!E151)=FALSE,'PTA-Lo'!E151,""),IF(ISBLANK('PTA-Mid'!E151)=FALSE,'PTA-Mid'!E151,"")))</f>
        <v/>
      </c>
      <c r="F151" s="30" t="str">
        <f>IF(CostScenario="Higher cost",IF(ISBLANK('PTA-Hi'!F151)=FALSE,'PTA-Hi'!F151,""),IF(CostScenario="Lower cost",IF(ISBLANK('PTA-Lo'!F151)=FALSE,'PTA-Lo'!F151,""),IF(ISBLANK('PTA-Mid'!F151)=FALSE,'PTA-Mid'!F151,"")))</f>
        <v/>
      </c>
      <c r="G151" s="30" t="str">
        <f>IF(CostScenario="Higher cost",IF(ISBLANK('PTA-Hi'!G151)=FALSE,'PTA-Hi'!G151,""),IF(CostScenario="Lower cost",IF(ISBLANK('PTA-Lo'!G151)=FALSE,'PTA-Lo'!G151,""),IF(ISBLANK('PTA-Mid'!G151)=FALSE,'PTA-Mid'!G151,"")))</f>
        <v/>
      </c>
      <c r="H151" s="30" t="str">
        <f>IF(CostScenario="Higher cost",IF(ISBLANK('PTA-Hi'!H151)=FALSE,'PTA-Hi'!H151,""),IF(CostScenario="Lower cost",IF(ISBLANK('PTA-Lo'!H151)=FALSE,'PTA-Lo'!H151,""),IF(ISBLANK('PTA-Mid'!H151)=FALSE,'PTA-Mid'!H151,"")))</f>
        <v/>
      </c>
      <c r="I151" s="7" t="str">
        <f>IF(CostScenario="Higher cost",IF(ISBLANK('PTA-Hi'!I151)=FALSE,'PTA-Hi'!I151,""),IF(CostScenario="Lower cost",IF(ISBLANK('PTA-Lo'!I151)=FALSE,'PTA-Lo'!I151,""),IF(ISBLANK('PTA-Mid'!I151)=FALSE,'PTA-Mid'!I151,"")))</f>
        <v/>
      </c>
      <c r="J151" s="9" t="str">
        <f>IF(CostScenario="Higher cost",IF(ISBLANK('PTA-Hi'!J151)=FALSE,'PTA-Hi'!J151,""),IF(CostScenario="Lower cost",IF(ISBLANK('PTA-Lo'!J151)=FALSE,'PTA-Lo'!J151,""),IF(ISBLANK('PTA-Mid'!J151)=FALSE,'PTA-Mid'!J151,"")))</f>
        <v/>
      </c>
      <c r="K151" s="9" t="str">
        <f>IF(CostScenario="Higher cost",IF(ISBLANK('PTA-Hi'!K151)=FALSE,'PTA-Hi'!K151,""),IF(CostScenario="Lower cost",IF(ISBLANK('PTA-Lo'!K151)=FALSE,'PTA-Lo'!K151,""),IF(ISBLANK('PTA-Mid'!K151)=FALSE,'PTA-Mid'!K151,"")))</f>
        <v/>
      </c>
      <c r="L151" s="9" t="str">
        <f>IF(CostScenario="Higher cost",IF(ISBLANK('PTA-Hi'!L151)=FALSE,'PTA-Hi'!L151,""),IF(CostScenario="Lower cost",IF(ISBLANK('PTA-Lo'!L151)=FALSE,'PTA-Lo'!L151,""),IF(ISBLANK('PTA-Mid'!L151)=FALSE,'PTA-Mid'!L151,"")))</f>
        <v/>
      </c>
      <c r="M151" s="9" t="str">
        <f>IF(CostScenario="Higher cost",IF(ISBLANK('PTA-Hi'!M151)=FALSE,'PTA-Hi'!M151,""),IF(CostScenario="Lower cost",IF(ISBLANK('PTA-Lo'!M151)=FALSE,'PTA-Lo'!M151,""),IF(ISBLANK('PTA-Mid'!M151)=FALSE,'PTA-Mid'!M151,"")))</f>
        <v/>
      </c>
      <c r="N151" s="2332" t="str">
        <f>IF(CostScenario="Higher cost",IF(ISBLANK('PTA-Hi'!N151)=FALSE,'PTA-Hi'!N151,""),IF(CostScenario="Lower cost",IF(ISBLANK('PTA-Lo'!N151)=FALSE,'PTA-Lo'!N151,""),IF(ISBLANK('PTA-Mid'!N151)=FALSE,'PTA-Mid'!N151,"")))</f>
        <v/>
      </c>
      <c r="O151" s="2332" t="str">
        <f>IF(CostScenario="Higher cost",IF(ISBLANK('PTA-Hi'!O151)=FALSE,'PTA-Hi'!O151,""),IF(CostScenario="Lower cost",IF(ISBLANK('PTA-Lo'!O151)=FALSE,'PTA-Lo'!O151,""),IF(ISBLANK('PTA-Mid'!O151)=FALSE,'PTA-Mid'!O151,"")))</f>
        <v/>
      </c>
      <c r="P151" s="2332" t="str">
        <f>IF(CostScenario="Higher cost",IF(ISBLANK('PTA-Hi'!P151)=FALSE,'PTA-Hi'!P151,""),IF(CostScenario="Lower cost",IF(ISBLANK('PTA-Lo'!P151)=FALSE,'PTA-Lo'!P151,""),IF(ISBLANK('PTA-Mid'!P151)=FALSE,'PTA-Mid'!P151,"")))</f>
        <v/>
      </c>
      <c r="Q151" s="2332" t="str">
        <f>IF(CostScenario="Higher cost",IF(ISBLANK('PTA-Hi'!Q151)=FALSE,'PTA-Hi'!Q151,""),IF(CostScenario="Lower cost",IF(ISBLANK('PTA-Lo'!Q151)=FALSE,'PTA-Lo'!Q151,""),IF(ISBLANK('PTA-Mid'!Q151)=FALSE,'PTA-Mid'!Q151,"")))</f>
        <v/>
      </c>
      <c r="R151" s="9" t="str">
        <f>IF(CostScenario="Higher cost",IF(ISBLANK('PTA-Hi'!R151)=FALSE,'PTA-Hi'!R151,""),IF(CostScenario="Lower cost",IF(ISBLANK('PTA-Lo'!R151)=FALSE,'PTA-Lo'!R151,""),IF(ISBLANK('PTA-Mid'!R151)=FALSE,'PTA-Mid'!R151,"")))</f>
        <v/>
      </c>
      <c r="S151" s="2332" t="str">
        <f>IF(CostScenario="Higher cost",IF(ISBLANK('PTA-Hi'!S151)=FALSE,'PTA-Hi'!S151,""),IF(CostScenario="Lower cost",IF(ISBLANK('PTA-Lo'!S151)=FALSE,'PTA-Lo'!S151,""),IF(ISBLANK('PTA-Mid'!S151)=FALSE,'PTA-Mid'!S151,"")))</f>
        <v/>
      </c>
      <c r="T151" s="2332" t="str">
        <f>IF(CostScenario="Higher cost",IF(ISBLANK('PTA-Hi'!T151)=FALSE,'PTA-Hi'!T151,""),IF(CostScenario="Lower cost",IF(ISBLANK('PTA-Lo'!T151)=FALSE,'PTA-Lo'!T151,""),IF(ISBLANK('PTA-Mid'!T151)=FALSE,'PTA-Mid'!T151,"")))</f>
        <v/>
      </c>
      <c r="U151" s="7" t="str">
        <f>IF(CostScenario="Higher cost",IF(ISBLANK('PTA-Hi'!U151)=FALSE,'PTA-Hi'!U151,""),IF(CostScenario="Lower cost",IF(ISBLANK('PTA-Lo'!U151)=FALSE,'PTA-Lo'!U151,""),IF(ISBLANK('PTA-Mid'!U151)=FALSE,'PTA-Mid'!U151,"")))</f>
        <v/>
      </c>
      <c r="V151" s="7" t="str">
        <f>IF(CostScenario="Higher cost",IF(ISBLANK('PTA-Hi'!V151)=FALSE,'PTA-Hi'!V151,""),IF(CostScenario="Lower cost",IF(ISBLANK('PTA-Lo'!V151)=FALSE,'PTA-Lo'!V151,""),IF(ISBLANK('PTA-Mid'!V151)=FALSE,'PTA-Mid'!V151,"")))</f>
        <v/>
      </c>
      <c r="W151" s="2332"/>
      <c r="X151" s="9"/>
    </row>
    <row r="152" spans="1:24" s="7" customFormat="1">
      <c r="A152" s="915" t="s">
        <v>934</v>
      </c>
      <c r="B152" s="916"/>
      <c r="C152" s="920" t="s">
        <v>445</v>
      </c>
      <c r="D152" s="28" t="str">
        <f>IF(CostScenario="Higher cost",IF(ISBLANK('PTA-Hi'!D152)=FALSE,'PTA-Hi'!D152,""),IF(CostScenario="Lower cost",IF(ISBLANK('PTA-Lo'!D152)=FALSE,'PTA-Lo'!D152,""),IF(ISBLANK('PTA-Mid'!D152)=FALSE,'PTA-Mid'!D152,"")))</f>
        <v/>
      </c>
      <c r="E152" s="28" t="str">
        <f>IF(CostScenario="Higher cost",IF(ISBLANK('PTA-Hi'!E152)=FALSE,'PTA-Hi'!E152,""),IF(CostScenario="Lower cost",IF(ISBLANK('PTA-Lo'!E152)=FALSE,'PTA-Lo'!E152,""),IF(ISBLANK('PTA-Mid'!E152)=FALSE,'PTA-Mid'!E152,"")))</f>
        <v/>
      </c>
      <c r="F152" s="28" t="str">
        <f>IF(CostScenario="Higher cost",IF(ISBLANK('PTA-Hi'!F152)=FALSE,'PTA-Hi'!F152,""),IF(CostScenario="Lower cost",IF(ISBLANK('PTA-Lo'!F152)=FALSE,'PTA-Lo'!F152,""),IF(ISBLANK('PTA-Mid'!F152)=FALSE,'PTA-Mid'!F152,"")))</f>
        <v/>
      </c>
      <c r="G152" s="28" t="str">
        <f>IF(CostScenario="Higher cost",IF(ISBLANK('PTA-Hi'!G152)=FALSE,'PTA-Hi'!G152,""),IF(CostScenario="Lower cost",IF(ISBLANK('PTA-Lo'!G152)=FALSE,'PTA-Lo'!G152,""),IF(ISBLANK('PTA-Mid'!G152)=FALSE,'PTA-Mid'!G152,"")))</f>
        <v/>
      </c>
      <c r="H152" s="28" t="str">
        <f>IF(CostScenario="Higher cost",IF(ISBLANK('PTA-Hi'!H152)=FALSE,'PTA-Hi'!H152,""),IF(CostScenario="Lower cost",IF(ISBLANK('PTA-Lo'!H152)=FALSE,'PTA-Lo'!H152,""),IF(ISBLANK('PTA-Mid'!H152)=FALSE,'PTA-Mid'!H152,"")))</f>
        <v/>
      </c>
      <c r="I152" s="7" t="str">
        <f>IF(CostScenario="Higher cost",IF(ISBLANK('PTA-Hi'!I152)=FALSE,'PTA-Hi'!I152,""),IF(CostScenario="Lower cost",IF(ISBLANK('PTA-Lo'!I152)=FALSE,'PTA-Lo'!I152,""),IF(ISBLANK('PTA-Mid'!I152)=FALSE,'PTA-Mid'!I152,"")))</f>
        <v/>
      </c>
      <c r="J152" s="122" t="str">
        <f>IF(CostScenario="Higher cost",IF(ISBLANK('PTA-Hi'!J152)=FALSE,'PTA-Hi'!J152,""),IF(CostScenario="Lower cost",IF(ISBLANK('PTA-Lo'!J152)=FALSE,'PTA-Lo'!J152,""),IF(ISBLANK('PTA-Mid'!J152)=FALSE,'PTA-Mid'!J152,"")))</f>
        <v/>
      </c>
      <c r="K152" s="9" t="str">
        <f>IF(CostScenario="Higher cost",IF(ISBLANK('PTA-Hi'!K152)=FALSE,'PTA-Hi'!K152,""),IF(CostScenario="Lower cost",IF(ISBLANK('PTA-Lo'!K152)=FALSE,'PTA-Lo'!K152,""),IF(ISBLANK('PTA-Mid'!K152)=FALSE,'PTA-Mid'!K152,"")))</f>
        <v/>
      </c>
      <c r="L152" s="9" t="str">
        <f>IF(CostScenario="Higher cost",IF(ISBLANK('PTA-Hi'!L152)=FALSE,'PTA-Hi'!L152,""),IF(CostScenario="Lower cost",IF(ISBLANK('PTA-Lo'!L152)=FALSE,'PTA-Lo'!L152,""),IF(ISBLANK('PTA-Mid'!L152)=FALSE,'PTA-Mid'!L152,"")))</f>
        <v/>
      </c>
      <c r="M152" s="9" t="str">
        <f>IF(CostScenario="Higher cost",IF(ISBLANK('PTA-Hi'!M152)=FALSE,'PTA-Hi'!M152,""),IF(CostScenario="Lower cost",IF(ISBLANK('PTA-Lo'!M152)=FALSE,'PTA-Lo'!M152,""),IF(ISBLANK('PTA-Mid'!M152)=FALSE,'PTA-Mid'!M152,"")))</f>
        <v/>
      </c>
      <c r="N152" s="2332" t="str">
        <f>IF(CostScenario="Higher cost",IF(ISBLANK('PTA-Hi'!N152)=FALSE,'PTA-Hi'!N152,""),IF(CostScenario="Lower cost",IF(ISBLANK('PTA-Lo'!N152)=FALSE,'PTA-Lo'!N152,""),IF(ISBLANK('PTA-Mid'!N152)=FALSE,'PTA-Mid'!N152,"")))</f>
        <v/>
      </c>
      <c r="O152" s="2332" t="str">
        <f>IF(CostScenario="Higher cost",IF(ISBLANK('PTA-Hi'!O152)=FALSE,'PTA-Hi'!O152,""),IF(CostScenario="Lower cost",IF(ISBLANK('PTA-Lo'!O152)=FALSE,'PTA-Lo'!O152,""),IF(ISBLANK('PTA-Mid'!O152)=FALSE,'PTA-Mid'!O152,"")))</f>
        <v/>
      </c>
      <c r="P152" s="2332" t="str">
        <f>IF(CostScenario="Higher cost",IF(ISBLANK('PTA-Hi'!P152)=FALSE,'PTA-Hi'!P152,""),IF(CostScenario="Lower cost",IF(ISBLANK('PTA-Lo'!P152)=FALSE,'PTA-Lo'!P152,""),IF(ISBLANK('PTA-Mid'!P152)=FALSE,'PTA-Mid'!P152,"")))</f>
        <v/>
      </c>
      <c r="Q152" s="2332" t="str">
        <f>IF(CostScenario="Higher cost",IF(ISBLANK('PTA-Hi'!Q152)=FALSE,'PTA-Hi'!Q152,""),IF(CostScenario="Lower cost",IF(ISBLANK('PTA-Lo'!Q152)=FALSE,'PTA-Lo'!Q152,""),IF(ISBLANK('PTA-Mid'!Q152)=FALSE,'PTA-Mid'!Q152,"")))</f>
        <v/>
      </c>
      <c r="R152" s="9" t="str">
        <f>IF(CostScenario="Higher cost",IF(ISBLANK('PTA-Hi'!R152)=FALSE,'PTA-Hi'!R152,""),IF(CostScenario="Lower cost",IF(ISBLANK('PTA-Lo'!R152)=FALSE,'PTA-Lo'!R152,""),IF(ISBLANK('PTA-Mid'!R152)=FALSE,'PTA-Mid'!R152,"")))</f>
        <v/>
      </c>
      <c r="S152" s="2332" t="str">
        <f>IF(CostScenario="Higher cost",IF(ISBLANK('PTA-Hi'!S152)=FALSE,'PTA-Hi'!S152,""),IF(CostScenario="Lower cost",IF(ISBLANK('PTA-Lo'!S152)=FALSE,'PTA-Lo'!S152,""),IF(ISBLANK('PTA-Mid'!S152)=FALSE,'PTA-Mid'!S152,"")))</f>
        <v/>
      </c>
      <c r="T152" s="2332" t="str">
        <f>IF(CostScenario="Higher cost",IF(ISBLANK('PTA-Hi'!T152)=FALSE,'PTA-Hi'!T152,""),IF(CostScenario="Lower cost",IF(ISBLANK('PTA-Lo'!T152)=FALSE,'PTA-Lo'!T152,""),IF(ISBLANK('PTA-Mid'!T152)=FALSE,'PTA-Mid'!T152,"")))</f>
        <v/>
      </c>
      <c r="U152" s="7" t="str">
        <f>IF(CostScenario="Higher cost",IF(ISBLANK('PTA-Hi'!U152)=FALSE,'PTA-Hi'!U152,""),IF(CostScenario="Lower cost",IF(ISBLANK('PTA-Lo'!U152)=FALSE,'PTA-Lo'!U152,""),IF(ISBLANK('PTA-Mid'!U152)=FALSE,'PTA-Mid'!U152,"")))</f>
        <v/>
      </c>
      <c r="V152" s="7" t="str">
        <f>IF(CostScenario="Higher cost",IF(ISBLANK('PTA-Hi'!V152)=FALSE,'PTA-Hi'!V152,""),IF(CostScenario="Lower cost",IF(ISBLANK('PTA-Lo'!V152)=FALSE,'PTA-Lo'!V152,""),IF(ISBLANK('PTA-Mid'!V152)=FALSE,'PTA-Mid'!V152,"")))</f>
        <v/>
      </c>
      <c r="W152" s="2332"/>
      <c r="X152" s="9"/>
    </row>
    <row r="153" spans="1:24" s="7" customFormat="1">
      <c r="A153" s="915" t="s">
        <v>935</v>
      </c>
      <c r="B153" s="916"/>
      <c r="C153" s="920" t="s">
        <v>446</v>
      </c>
      <c r="D153" s="28" t="str">
        <f>IF(CostScenario="Higher cost",IF(ISBLANK('PTA-Hi'!D153)=FALSE,'PTA-Hi'!D153,""),IF(CostScenario="Lower cost",IF(ISBLANK('PTA-Lo'!D153)=FALSE,'PTA-Lo'!D153,""),IF(ISBLANK('PTA-Mid'!D153)=FALSE,'PTA-Mid'!D153,"")))</f>
        <v/>
      </c>
      <c r="E153" s="28" t="str">
        <f>IF(CostScenario="Higher cost",IF(ISBLANK('PTA-Hi'!E153)=FALSE,'PTA-Hi'!E153,""),IF(CostScenario="Lower cost",IF(ISBLANK('PTA-Lo'!E153)=FALSE,'PTA-Lo'!E153,""),IF(ISBLANK('PTA-Mid'!E153)=FALSE,'PTA-Mid'!E153,"")))</f>
        <v/>
      </c>
      <c r="F153" s="28" t="str">
        <f>IF(CostScenario="Higher cost",IF(ISBLANK('PTA-Hi'!F153)=FALSE,'PTA-Hi'!F153,""),IF(CostScenario="Lower cost",IF(ISBLANK('PTA-Lo'!F153)=FALSE,'PTA-Lo'!F153,""),IF(ISBLANK('PTA-Mid'!F153)=FALSE,'PTA-Mid'!F153,"")))</f>
        <v/>
      </c>
      <c r="G153" s="28" t="str">
        <f>IF(CostScenario="Higher cost",IF(ISBLANK('PTA-Hi'!G153)=FALSE,'PTA-Hi'!G153,""),IF(CostScenario="Lower cost",IF(ISBLANK('PTA-Lo'!G153)=FALSE,'PTA-Lo'!G153,""),IF(ISBLANK('PTA-Mid'!G153)=FALSE,'PTA-Mid'!G153,"")))</f>
        <v/>
      </c>
      <c r="H153" s="28" t="str">
        <f>IF(CostScenario="Higher cost",IF(ISBLANK('PTA-Hi'!H153)=FALSE,'PTA-Hi'!H153,""),IF(CostScenario="Lower cost",IF(ISBLANK('PTA-Lo'!H153)=FALSE,'PTA-Lo'!H153,""),IF(ISBLANK('PTA-Mid'!H153)=FALSE,'PTA-Mid'!H153,"")))</f>
        <v/>
      </c>
      <c r="I153" s="7" t="str">
        <f>IF(CostScenario="Higher cost",IF(ISBLANK('PTA-Hi'!I153)=FALSE,'PTA-Hi'!I153,""),IF(CostScenario="Lower cost",IF(ISBLANK('PTA-Lo'!I153)=FALSE,'PTA-Lo'!I153,""),IF(ISBLANK('PTA-Mid'!I153)=FALSE,'PTA-Mid'!I153,"")))</f>
        <v/>
      </c>
      <c r="J153" s="122" t="str">
        <f>IF(CostScenario="Higher cost",IF(ISBLANK('PTA-Hi'!J153)=FALSE,'PTA-Hi'!J153,""),IF(CostScenario="Lower cost",IF(ISBLANK('PTA-Lo'!J153)=FALSE,'PTA-Lo'!J153,""),IF(ISBLANK('PTA-Mid'!J153)=FALSE,'PTA-Mid'!J153,"")))</f>
        <v/>
      </c>
      <c r="K153" s="122" t="str">
        <f>IF(CostScenario="Higher cost",IF(ISBLANK('PTA-Hi'!K153)=FALSE,'PTA-Hi'!K153,""),IF(CostScenario="Lower cost",IF(ISBLANK('PTA-Lo'!K153)=FALSE,'PTA-Lo'!K153,""),IF(ISBLANK('PTA-Mid'!K153)=FALSE,'PTA-Mid'!K153,"")))</f>
        <v/>
      </c>
      <c r="L153" s="7" t="str">
        <f>IF(CostScenario="Higher cost",IF(ISBLANK('PTA-Hi'!L153)=FALSE,'PTA-Hi'!L153,""),IF(CostScenario="Lower cost",IF(ISBLANK('PTA-Lo'!L153)=FALSE,'PTA-Lo'!L153,""),IF(ISBLANK('PTA-Mid'!L153)=FALSE,'PTA-Mid'!L153,"")))</f>
        <v/>
      </c>
      <c r="M153" s="7" t="str">
        <f>IF(CostScenario="Higher cost",IF(ISBLANK('PTA-Hi'!M153)=FALSE,'PTA-Hi'!M153,""),IF(CostScenario="Lower cost",IF(ISBLANK('PTA-Lo'!M153)=FALSE,'PTA-Lo'!M153,""),IF(ISBLANK('PTA-Mid'!M153)=FALSE,'PTA-Mid'!M153,"")))</f>
        <v/>
      </c>
      <c r="N153" s="2331" t="str">
        <f>IF(CostScenario="Higher cost",IF(ISBLANK('PTA-Hi'!N153)=FALSE,'PTA-Hi'!N153,""),IF(CostScenario="Lower cost",IF(ISBLANK('PTA-Lo'!N153)=FALSE,'PTA-Lo'!N153,""),IF(ISBLANK('PTA-Mid'!N153)=FALSE,'PTA-Mid'!N153,"")))</f>
        <v/>
      </c>
      <c r="O153" s="2331" t="str">
        <f>IF(CostScenario="Higher cost",IF(ISBLANK('PTA-Hi'!O153)=FALSE,'PTA-Hi'!O153,""),IF(CostScenario="Lower cost",IF(ISBLANK('PTA-Lo'!O153)=FALSE,'PTA-Lo'!O153,""),IF(ISBLANK('PTA-Mid'!O153)=FALSE,'PTA-Mid'!O153,"")))</f>
        <v/>
      </c>
      <c r="P153" s="2331" t="str">
        <f>IF(CostScenario="Higher cost",IF(ISBLANK('PTA-Hi'!P153)=FALSE,'PTA-Hi'!P153,""),IF(CostScenario="Lower cost",IF(ISBLANK('PTA-Lo'!P153)=FALSE,'PTA-Lo'!P153,""),IF(ISBLANK('PTA-Mid'!P153)=FALSE,'PTA-Mid'!P153,"")))</f>
        <v/>
      </c>
      <c r="Q153" s="2331" t="str">
        <f>IF(CostScenario="Higher cost",IF(ISBLANK('PTA-Hi'!Q153)=FALSE,'PTA-Hi'!Q153,""),IF(CostScenario="Lower cost",IF(ISBLANK('PTA-Lo'!Q153)=FALSE,'PTA-Lo'!Q153,""),IF(ISBLANK('PTA-Mid'!Q153)=FALSE,'PTA-Mid'!Q153,"")))</f>
        <v/>
      </c>
      <c r="R153" s="7" t="str">
        <f>IF(CostScenario="Higher cost",IF(ISBLANK('PTA-Hi'!R153)=FALSE,'PTA-Hi'!R153,""),IF(CostScenario="Lower cost",IF(ISBLANK('PTA-Lo'!R153)=FALSE,'PTA-Lo'!R153,""),IF(ISBLANK('PTA-Mid'!R153)=FALSE,'PTA-Mid'!R153,"")))</f>
        <v/>
      </c>
      <c r="S153" s="2331" t="str">
        <f>IF(CostScenario="Higher cost",IF(ISBLANK('PTA-Hi'!S153)=FALSE,'PTA-Hi'!S153,""),IF(CostScenario="Lower cost",IF(ISBLANK('PTA-Lo'!S153)=FALSE,'PTA-Lo'!S153,""),IF(ISBLANK('PTA-Mid'!S153)=FALSE,'PTA-Mid'!S153,"")))</f>
        <v/>
      </c>
      <c r="T153" s="2331" t="str">
        <f>IF(CostScenario="Higher cost",IF(ISBLANK('PTA-Hi'!T153)=FALSE,'PTA-Hi'!T153,""),IF(CostScenario="Lower cost",IF(ISBLANK('PTA-Lo'!T153)=FALSE,'PTA-Lo'!T153,""),IF(ISBLANK('PTA-Mid'!T153)=FALSE,'PTA-Mid'!T153,"")))</f>
        <v/>
      </c>
      <c r="U153" s="7" t="str">
        <f>IF(CostScenario="Higher cost",IF(ISBLANK('PTA-Hi'!U153)=FALSE,'PTA-Hi'!U153,""),IF(CostScenario="Lower cost",IF(ISBLANK('PTA-Lo'!U153)=FALSE,'PTA-Lo'!U153,""),IF(ISBLANK('PTA-Mid'!U153)=FALSE,'PTA-Mid'!U153,"")))</f>
        <v/>
      </c>
      <c r="V153" s="7" t="str">
        <f>IF(CostScenario="Higher cost",IF(ISBLANK('PTA-Hi'!V153)=FALSE,'PTA-Hi'!V153,""),IF(CostScenario="Lower cost",IF(ISBLANK('PTA-Lo'!V153)=FALSE,'PTA-Lo'!V153,""),IF(ISBLANK('PTA-Mid'!V153)=FALSE,'PTA-Mid'!V153,"")))</f>
        <v/>
      </c>
      <c r="W153" s="2332"/>
      <c r="X153" s="9"/>
    </row>
    <row r="154" spans="1:24" s="7" customFormat="1">
      <c r="A154" s="915" t="s">
        <v>936</v>
      </c>
      <c r="B154" s="916"/>
      <c r="C154" s="920" t="s">
        <v>447</v>
      </c>
      <c r="D154" s="28" t="str">
        <f>IF(CostScenario="Higher cost",IF(ISBLANK('PTA-Hi'!D154)=FALSE,'PTA-Hi'!D154,""),IF(CostScenario="Lower cost",IF(ISBLANK('PTA-Lo'!D154)=FALSE,'PTA-Lo'!D154,""),IF(ISBLANK('PTA-Mid'!D154)=FALSE,'PTA-Mid'!D154,"")))</f>
        <v/>
      </c>
      <c r="E154" s="28" t="str">
        <f>IF(CostScenario="Higher cost",IF(ISBLANK('PTA-Hi'!E154)=FALSE,'PTA-Hi'!E154,""),IF(CostScenario="Lower cost",IF(ISBLANK('PTA-Lo'!E154)=FALSE,'PTA-Lo'!E154,""),IF(ISBLANK('PTA-Mid'!E154)=FALSE,'PTA-Mid'!E154,"")))</f>
        <v/>
      </c>
      <c r="F154" s="28" t="str">
        <f>IF(CostScenario="Higher cost",IF(ISBLANK('PTA-Hi'!F154)=FALSE,'PTA-Hi'!F154,""),IF(CostScenario="Lower cost",IF(ISBLANK('PTA-Lo'!F154)=FALSE,'PTA-Lo'!F154,""),IF(ISBLANK('PTA-Mid'!F154)=FALSE,'PTA-Mid'!F154,"")))</f>
        <v/>
      </c>
      <c r="G154" s="28" t="str">
        <f>IF(CostScenario="Higher cost",IF(ISBLANK('PTA-Hi'!G154)=FALSE,'PTA-Hi'!G154,""),IF(CostScenario="Lower cost",IF(ISBLANK('PTA-Lo'!G154)=FALSE,'PTA-Lo'!G154,""),IF(ISBLANK('PTA-Mid'!G154)=FALSE,'PTA-Mid'!G154,"")))</f>
        <v/>
      </c>
      <c r="H154" s="28" t="str">
        <f>IF(CostScenario="Higher cost",IF(ISBLANK('PTA-Hi'!H154)=FALSE,'PTA-Hi'!H154,""),IF(CostScenario="Lower cost",IF(ISBLANK('PTA-Lo'!H154)=FALSE,'PTA-Lo'!H154,""),IF(ISBLANK('PTA-Mid'!H154)=FALSE,'PTA-Mid'!H154,"")))</f>
        <v/>
      </c>
      <c r="I154" s="7" t="str">
        <f>IF(CostScenario="Higher cost",IF(ISBLANK('PTA-Hi'!I154)=FALSE,'PTA-Hi'!I154,""),IF(CostScenario="Lower cost",IF(ISBLANK('PTA-Lo'!I154)=FALSE,'PTA-Lo'!I154,""),IF(ISBLANK('PTA-Mid'!I154)=FALSE,'PTA-Mid'!I154,"")))</f>
        <v/>
      </c>
      <c r="J154" s="122" t="str">
        <f>IF(CostScenario="Higher cost",IF(ISBLANK('PTA-Hi'!J154)=FALSE,'PTA-Hi'!J154,""),IF(CostScenario="Lower cost",IF(ISBLANK('PTA-Lo'!J154)=FALSE,'PTA-Lo'!J154,""),IF(ISBLANK('PTA-Mid'!J154)=FALSE,'PTA-Mid'!J154,"")))</f>
        <v/>
      </c>
      <c r="K154" s="9" t="str">
        <f>IF(CostScenario="Higher cost",IF(ISBLANK('PTA-Hi'!K154)=FALSE,'PTA-Hi'!K154,""),IF(CostScenario="Lower cost",IF(ISBLANK('PTA-Lo'!K154)=FALSE,'PTA-Lo'!K154,""),IF(ISBLANK('PTA-Mid'!K154)=FALSE,'PTA-Mid'!K154,"")))</f>
        <v/>
      </c>
      <c r="L154" s="7" t="str">
        <f>IF(CostScenario="Higher cost",IF(ISBLANK('PTA-Hi'!L154)=FALSE,'PTA-Hi'!L154,""),IF(CostScenario="Lower cost",IF(ISBLANK('PTA-Lo'!L154)=FALSE,'PTA-Lo'!L154,""),IF(ISBLANK('PTA-Mid'!L154)=FALSE,'PTA-Mid'!L154,"")))</f>
        <v/>
      </c>
      <c r="M154" s="7" t="str">
        <f>IF(CostScenario="Higher cost",IF(ISBLANK('PTA-Hi'!M154)=FALSE,'PTA-Hi'!M154,""),IF(CostScenario="Lower cost",IF(ISBLANK('PTA-Lo'!M154)=FALSE,'PTA-Lo'!M154,""),IF(ISBLANK('PTA-Mid'!M154)=FALSE,'PTA-Mid'!M154,"")))</f>
        <v/>
      </c>
      <c r="N154" s="2331" t="str">
        <f>IF(CostScenario="Higher cost",IF(ISBLANK('PTA-Hi'!N154)=FALSE,'PTA-Hi'!N154,""),IF(CostScenario="Lower cost",IF(ISBLANK('PTA-Lo'!N154)=FALSE,'PTA-Lo'!N154,""),IF(ISBLANK('PTA-Mid'!N154)=FALSE,'PTA-Mid'!N154,"")))</f>
        <v/>
      </c>
      <c r="O154" s="2331" t="str">
        <f>IF(CostScenario="Higher cost",IF(ISBLANK('PTA-Hi'!O154)=FALSE,'PTA-Hi'!O154,""),IF(CostScenario="Lower cost",IF(ISBLANK('PTA-Lo'!O154)=FALSE,'PTA-Lo'!O154,""),IF(ISBLANK('PTA-Mid'!O154)=FALSE,'PTA-Mid'!O154,"")))</f>
        <v/>
      </c>
      <c r="P154" s="2331" t="str">
        <f>IF(CostScenario="Higher cost",IF(ISBLANK('PTA-Hi'!P154)=FALSE,'PTA-Hi'!P154,""),IF(CostScenario="Lower cost",IF(ISBLANK('PTA-Lo'!P154)=FALSE,'PTA-Lo'!P154,""),IF(ISBLANK('PTA-Mid'!P154)=FALSE,'PTA-Mid'!P154,"")))</f>
        <v/>
      </c>
      <c r="Q154" s="2331" t="str">
        <f>IF(CostScenario="Higher cost",IF(ISBLANK('PTA-Hi'!Q154)=FALSE,'PTA-Hi'!Q154,""),IF(CostScenario="Lower cost",IF(ISBLANK('PTA-Lo'!Q154)=FALSE,'PTA-Lo'!Q154,""),IF(ISBLANK('PTA-Mid'!Q154)=FALSE,'PTA-Mid'!Q154,"")))</f>
        <v/>
      </c>
      <c r="R154" s="7" t="str">
        <f>IF(CostScenario="Higher cost",IF(ISBLANK('PTA-Hi'!R154)=FALSE,'PTA-Hi'!R154,""),IF(CostScenario="Lower cost",IF(ISBLANK('PTA-Lo'!R154)=FALSE,'PTA-Lo'!R154,""),IF(ISBLANK('PTA-Mid'!R154)=FALSE,'PTA-Mid'!R154,"")))</f>
        <v/>
      </c>
      <c r="S154" s="2331" t="str">
        <f>IF(CostScenario="Higher cost",IF(ISBLANK('PTA-Hi'!S154)=FALSE,'PTA-Hi'!S154,""),IF(CostScenario="Lower cost",IF(ISBLANK('PTA-Lo'!S154)=FALSE,'PTA-Lo'!S154,""),IF(ISBLANK('PTA-Mid'!S154)=FALSE,'PTA-Mid'!S154,"")))</f>
        <v/>
      </c>
      <c r="T154" s="2331" t="str">
        <f>IF(CostScenario="Higher cost",IF(ISBLANK('PTA-Hi'!T154)=FALSE,'PTA-Hi'!T154,""),IF(CostScenario="Lower cost",IF(ISBLANK('PTA-Lo'!T154)=FALSE,'PTA-Lo'!T154,""),IF(ISBLANK('PTA-Mid'!T154)=FALSE,'PTA-Mid'!T154,"")))</f>
        <v/>
      </c>
      <c r="U154" s="7" t="str">
        <f>IF(CostScenario="Higher cost",IF(ISBLANK('PTA-Hi'!U154)=FALSE,'PTA-Hi'!U154,""),IF(CostScenario="Lower cost",IF(ISBLANK('PTA-Lo'!U154)=FALSE,'PTA-Lo'!U154,""),IF(ISBLANK('PTA-Mid'!U154)=FALSE,'PTA-Mid'!U154,"")))</f>
        <v/>
      </c>
      <c r="V154" s="7" t="str">
        <f>IF(CostScenario="Higher cost",IF(ISBLANK('PTA-Hi'!V154)=FALSE,'PTA-Hi'!V154,""),IF(CostScenario="Lower cost",IF(ISBLANK('PTA-Lo'!V154)=FALSE,'PTA-Lo'!V154,""),IF(ISBLANK('PTA-Mid'!V154)=FALSE,'PTA-Mid'!V154,"")))</f>
        <v/>
      </c>
      <c r="W154" s="2332"/>
      <c r="X154" s="9"/>
    </row>
    <row r="155" spans="1:24" s="7" customFormat="1">
      <c r="A155" s="915" t="s">
        <v>937</v>
      </c>
      <c r="B155" s="916"/>
      <c r="C155" s="920" t="s">
        <v>448</v>
      </c>
      <c r="D155" s="28" t="str">
        <f>IF(CostScenario="Higher cost",IF(ISBLANK('PTA-Hi'!D155)=FALSE,'PTA-Hi'!D155,""),IF(CostScenario="Lower cost",IF(ISBLANK('PTA-Lo'!D155)=FALSE,'PTA-Lo'!D155,""),IF(ISBLANK('PTA-Mid'!D155)=FALSE,'PTA-Mid'!D155,"")))</f>
        <v/>
      </c>
      <c r="E155" s="28" t="str">
        <f>IF(CostScenario="Higher cost",IF(ISBLANK('PTA-Hi'!E155)=FALSE,'PTA-Hi'!E155,""),IF(CostScenario="Lower cost",IF(ISBLANK('PTA-Lo'!E155)=FALSE,'PTA-Lo'!E155,""),IF(ISBLANK('PTA-Mid'!E155)=FALSE,'PTA-Mid'!E155,"")))</f>
        <v/>
      </c>
      <c r="F155" s="28" t="str">
        <f>IF(CostScenario="Higher cost",IF(ISBLANK('PTA-Hi'!F155)=FALSE,'PTA-Hi'!F155,""),IF(CostScenario="Lower cost",IF(ISBLANK('PTA-Lo'!F155)=FALSE,'PTA-Lo'!F155,""),IF(ISBLANK('PTA-Mid'!F155)=FALSE,'PTA-Mid'!F155,"")))</f>
        <v/>
      </c>
      <c r="G155" s="28" t="str">
        <f>IF(CostScenario="Higher cost",IF(ISBLANK('PTA-Hi'!G155)=FALSE,'PTA-Hi'!G155,""),IF(CostScenario="Lower cost",IF(ISBLANK('PTA-Lo'!G155)=FALSE,'PTA-Lo'!G155,""),IF(ISBLANK('PTA-Mid'!G155)=FALSE,'PTA-Mid'!G155,"")))</f>
        <v/>
      </c>
      <c r="H155" s="28" t="str">
        <f>IF(CostScenario="Higher cost",IF(ISBLANK('PTA-Hi'!H155)=FALSE,'PTA-Hi'!H155,""),IF(CostScenario="Lower cost",IF(ISBLANK('PTA-Lo'!H155)=FALSE,'PTA-Lo'!H155,""),IF(ISBLANK('PTA-Mid'!H155)=FALSE,'PTA-Mid'!H155,"")))</f>
        <v/>
      </c>
      <c r="I155" s="7" t="str">
        <f>IF(CostScenario="Higher cost",IF(ISBLANK('PTA-Hi'!I155)=FALSE,'PTA-Hi'!I155,""),IF(CostScenario="Lower cost",IF(ISBLANK('PTA-Lo'!I155)=FALSE,'PTA-Lo'!I155,""),IF(ISBLANK('PTA-Mid'!I155)=FALSE,'PTA-Mid'!I155,"")))</f>
        <v/>
      </c>
      <c r="J155" s="122" t="str">
        <f>IF(CostScenario="Higher cost",IF(ISBLANK('PTA-Hi'!J155)=FALSE,'PTA-Hi'!J155,""),IF(CostScenario="Lower cost",IF(ISBLANK('PTA-Lo'!J155)=FALSE,'PTA-Lo'!J155,""),IF(ISBLANK('PTA-Mid'!J155)=FALSE,'PTA-Mid'!J155,"")))</f>
        <v/>
      </c>
      <c r="K155" s="122" t="str">
        <f>IF(CostScenario="Higher cost",IF(ISBLANK('PTA-Hi'!K155)=FALSE,'PTA-Hi'!K155,""),IF(CostScenario="Lower cost",IF(ISBLANK('PTA-Lo'!K155)=FALSE,'PTA-Lo'!K155,""),IF(ISBLANK('PTA-Mid'!K155)=FALSE,'PTA-Mid'!K155,"")))</f>
        <v/>
      </c>
      <c r="L155" s="7" t="str">
        <f>IF(CostScenario="Higher cost",IF(ISBLANK('PTA-Hi'!L155)=FALSE,'PTA-Hi'!L155,""),IF(CostScenario="Lower cost",IF(ISBLANK('PTA-Lo'!L155)=FALSE,'PTA-Lo'!L155,""),IF(ISBLANK('PTA-Mid'!L155)=FALSE,'PTA-Mid'!L155,"")))</f>
        <v/>
      </c>
      <c r="M155" s="7" t="str">
        <f>IF(CostScenario="Higher cost",IF(ISBLANK('PTA-Hi'!M155)=FALSE,'PTA-Hi'!M155,""),IF(CostScenario="Lower cost",IF(ISBLANK('PTA-Lo'!M155)=FALSE,'PTA-Lo'!M155,""),IF(ISBLANK('PTA-Mid'!M155)=FALSE,'PTA-Mid'!M155,"")))</f>
        <v/>
      </c>
      <c r="N155" s="2331" t="str">
        <f>IF(CostScenario="Higher cost",IF(ISBLANK('PTA-Hi'!N155)=FALSE,'PTA-Hi'!N155,""),IF(CostScenario="Lower cost",IF(ISBLANK('PTA-Lo'!N155)=FALSE,'PTA-Lo'!N155,""),IF(ISBLANK('PTA-Mid'!N155)=FALSE,'PTA-Mid'!N155,"")))</f>
        <v/>
      </c>
      <c r="O155" s="2331" t="str">
        <f>IF(CostScenario="Higher cost",IF(ISBLANK('PTA-Hi'!O155)=FALSE,'PTA-Hi'!O155,""),IF(CostScenario="Lower cost",IF(ISBLANK('PTA-Lo'!O155)=FALSE,'PTA-Lo'!O155,""),IF(ISBLANK('PTA-Mid'!O155)=FALSE,'PTA-Mid'!O155,"")))</f>
        <v/>
      </c>
      <c r="P155" s="2331" t="str">
        <f>IF(CostScenario="Higher cost",IF(ISBLANK('PTA-Hi'!P155)=FALSE,'PTA-Hi'!P155,""),IF(CostScenario="Lower cost",IF(ISBLANK('PTA-Lo'!P155)=FALSE,'PTA-Lo'!P155,""),IF(ISBLANK('PTA-Mid'!P155)=FALSE,'PTA-Mid'!P155,"")))</f>
        <v/>
      </c>
      <c r="Q155" s="2331" t="str">
        <f>IF(CostScenario="Higher cost",IF(ISBLANK('PTA-Hi'!Q155)=FALSE,'PTA-Hi'!Q155,""),IF(CostScenario="Lower cost",IF(ISBLANK('PTA-Lo'!Q155)=FALSE,'PTA-Lo'!Q155,""),IF(ISBLANK('PTA-Mid'!Q155)=FALSE,'PTA-Mid'!Q155,"")))</f>
        <v/>
      </c>
      <c r="R155" s="7" t="str">
        <f>IF(CostScenario="Higher cost",IF(ISBLANK('PTA-Hi'!R155)=FALSE,'PTA-Hi'!R155,""),IF(CostScenario="Lower cost",IF(ISBLANK('PTA-Lo'!R155)=FALSE,'PTA-Lo'!R155,""),IF(ISBLANK('PTA-Mid'!R155)=FALSE,'PTA-Mid'!R155,"")))</f>
        <v/>
      </c>
      <c r="S155" s="2331" t="str">
        <f>IF(CostScenario="Higher cost",IF(ISBLANK('PTA-Hi'!S155)=FALSE,'PTA-Hi'!S155,""),IF(CostScenario="Lower cost",IF(ISBLANK('PTA-Lo'!S155)=FALSE,'PTA-Lo'!S155,""),IF(ISBLANK('PTA-Mid'!S155)=FALSE,'PTA-Mid'!S155,"")))</f>
        <v/>
      </c>
      <c r="T155" s="2331" t="str">
        <f>IF(CostScenario="Higher cost",IF(ISBLANK('PTA-Hi'!T155)=FALSE,'PTA-Hi'!T155,""),IF(CostScenario="Lower cost",IF(ISBLANK('PTA-Lo'!T155)=FALSE,'PTA-Lo'!T155,""),IF(ISBLANK('PTA-Mid'!T155)=FALSE,'PTA-Mid'!T155,"")))</f>
        <v/>
      </c>
      <c r="U155" s="7" t="str">
        <f>IF(CostScenario="Higher cost",IF(ISBLANK('PTA-Hi'!U155)=FALSE,'PTA-Hi'!U155,""),IF(CostScenario="Lower cost",IF(ISBLANK('PTA-Lo'!U155)=FALSE,'PTA-Lo'!U155,""),IF(ISBLANK('PTA-Mid'!U155)=FALSE,'PTA-Mid'!U155,"")))</f>
        <v/>
      </c>
      <c r="V155" s="7" t="str">
        <f>IF(CostScenario="Higher cost",IF(ISBLANK('PTA-Hi'!V155)=FALSE,'PTA-Hi'!V155,""),IF(CostScenario="Lower cost",IF(ISBLANK('PTA-Lo'!V155)=FALSE,'PTA-Lo'!V155,""),IF(ISBLANK('PTA-Mid'!V155)=FALSE,'PTA-Mid'!V155,"")))</f>
        <v/>
      </c>
      <c r="W155" s="2332"/>
      <c r="X155" s="9"/>
    </row>
    <row r="156" spans="1:24" s="7" customFormat="1">
      <c r="A156" s="915" t="s">
        <v>938</v>
      </c>
      <c r="B156" s="916"/>
      <c r="C156" s="920" t="s">
        <v>449</v>
      </c>
      <c r="D156" s="28" t="str">
        <f>IF(CostScenario="Higher cost",IF(ISBLANK('PTA-Hi'!D156)=FALSE,'PTA-Hi'!D156,""),IF(CostScenario="Lower cost",IF(ISBLANK('PTA-Lo'!D156)=FALSE,'PTA-Lo'!D156,""),IF(ISBLANK('PTA-Mid'!D156)=FALSE,'PTA-Mid'!D156,"")))</f>
        <v/>
      </c>
      <c r="E156" s="28" t="str">
        <f>IF(CostScenario="Higher cost",IF(ISBLANK('PTA-Hi'!E156)=FALSE,'PTA-Hi'!E156,""),IF(CostScenario="Lower cost",IF(ISBLANK('PTA-Lo'!E156)=FALSE,'PTA-Lo'!E156,""),IF(ISBLANK('PTA-Mid'!E156)=FALSE,'PTA-Mid'!E156,"")))</f>
        <v/>
      </c>
      <c r="F156" s="28" t="str">
        <f>IF(CostScenario="Higher cost",IF(ISBLANK('PTA-Hi'!F156)=FALSE,'PTA-Hi'!F156,""),IF(CostScenario="Lower cost",IF(ISBLANK('PTA-Lo'!F156)=FALSE,'PTA-Lo'!F156,""),IF(ISBLANK('PTA-Mid'!F156)=FALSE,'PTA-Mid'!F156,"")))</f>
        <v/>
      </c>
      <c r="G156" s="28" t="str">
        <f>IF(CostScenario="Higher cost",IF(ISBLANK('PTA-Hi'!G156)=FALSE,'PTA-Hi'!G156,""),IF(CostScenario="Lower cost",IF(ISBLANK('PTA-Lo'!G156)=FALSE,'PTA-Lo'!G156,""),IF(ISBLANK('PTA-Mid'!G156)=FALSE,'PTA-Mid'!G156,"")))</f>
        <v/>
      </c>
      <c r="H156" s="28" t="str">
        <f>IF(CostScenario="Higher cost",IF(ISBLANK('PTA-Hi'!H156)=FALSE,'PTA-Hi'!H156,""),IF(CostScenario="Lower cost",IF(ISBLANK('PTA-Lo'!H156)=FALSE,'PTA-Lo'!H156,""),IF(ISBLANK('PTA-Mid'!H156)=FALSE,'PTA-Mid'!H156,"")))</f>
        <v/>
      </c>
      <c r="I156" s="7" t="str">
        <f>IF(CostScenario="Higher cost",IF(ISBLANK('PTA-Hi'!I156)=FALSE,'PTA-Hi'!I156,""),IF(CostScenario="Lower cost",IF(ISBLANK('PTA-Lo'!I156)=FALSE,'PTA-Lo'!I156,""),IF(ISBLANK('PTA-Mid'!I156)=FALSE,'PTA-Mid'!I156,"")))</f>
        <v/>
      </c>
      <c r="J156" s="123" t="str">
        <f>IF(CostScenario="Higher cost",IF(ISBLANK('PTA-Hi'!J156)=FALSE,'PTA-Hi'!J156,""),IF(CostScenario="Lower cost",IF(ISBLANK('PTA-Lo'!J156)=FALSE,'PTA-Lo'!J156,""),IF(ISBLANK('PTA-Mid'!J156)=FALSE,'PTA-Mid'!J156,"")))</f>
        <v/>
      </c>
      <c r="K156" s="122" t="str">
        <f>IF(CostScenario="Higher cost",IF(ISBLANK('PTA-Hi'!K156)=FALSE,'PTA-Hi'!K156,""),IF(CostScenario="Lower cost",IF(ISBLANK('PTA-Lo'!K156)=FALSE,'PTA-Lo'!K156,""),IF(ISBLANK('PTA-Mid'!K156)=FALSE,'PTA-Mid'!K156,"")))</f>
        <v/>
      </c>
      <c r="L156" s="7" t="str">
        <f>IF(CostScenario="Higher cost",IF(ISBLANK('PTA-Hi'!L156)=FALSE,'PTA-Hi'!L156,""),IF(CostScenario="Lower cost",IF(ISBLANK('PTA-Lo'!L156)=FALSE,'PTA-Lo'!L156,""),IF(ISBLANK('PTA-Mid'!L156)=FALSE,'PTA-Mid'!L156,"")))</f>
        <v/>
      </c>
      <c r="M156" s="7" t="str">
        <f>IF(CostScenario="Higher cost",IF(ISBLANK('PTA-Hi'!M156)=FALSE,'PTA-Hi'!M156,""),IF(CostScenario="Lower cost",IF(ISBLANK('PTA-Lo'!M156)=FALSE,'PTA-Lo'!M156,""),IF(ISBLANK('PTA-Mid'!M156)=FALSE,'PTA-Mid'!M156,"")))</f>
        <v/>
      </c>
      <c r="N156" s="2331" t="str">
        <f>IF(CostScenario="Higher cost",IF(ISBLANK('PTA-Hi'!N156)=FALSE,'PTA-Hi'!N156,""),IF(CostScenario="Lower cost",IF(ISBLANK('PTA-Lo'!N156)=FALSE,'PTA-Lo'!N156,""),IF(ISBLANK('PTA-Mid'!N156)=FALSE,'PTA-Mid'!N156,"")))</f>
        <v/>
      </c>
      <c r="O156" s="2331" t="str">
        <f>IF(CostScenario="Higher cost",IF(ISBLANK('PTA-Hi'!O156)=FALSE,'PTA-Hi'!O156,""),IF(CostScenario="Lower cost",IF(ISBLANK('PTA-Lo'!O156)=FALSE,'PTA-Lo'!O156,""),IF(ISBLANK('PTA-Mid'!O156)=FALSE,'PTA-Mid'!O156,"")))</f>
        <v/>
      </c>
      <c r="P156" s="2331" t="str">
        <f>IF(CostScenario="Higher cost",IF(ISBLANK('PTA-Hi'!P156)=FALSE,'PTA-Hi'!P156,""),IF(CostScenario="Lower cost",IF(ISBLANK('PTA-Lo'!P156)=FALSE,'PTA-Lo'!P156,""),IF(ISBLANK('PTA-Mid'!P156)=FALSE,'PTA-Mid'!P156,"")))</f>
        <v/>
      </c>
      <c r="Q156" s="2331" t="str">
        <f>IF(CostScenario="Higher cost",IF(ISBLANK('PTA-Hi'!Q156)=FALSE,'PTA-Hi'!Q156,""),IF(CostScenario="Lower cost",IF(ISBLANK('PTA-Lo'!Q156)=FALSE,'PTA-Lo'!Q156,""),IF(ISBLANK('PTA-Mid'!Q156)=FALSE,'PTA-Mid'!Q156,"")))</f>
        <v/>
      </c>
      <c r="R156" s="7" t="str">
        <f>IF(CostScenario="Higher cost",IF(ISBLANK('PTA-Hi'!R156)=FALSE,'PTA-Hi'!R156,""),IF(CostScenario="Lower cost",IF(ISBLANK('PTA-Lo'!R156)=FALSE,'PTA-Lo'!R156,""),IF(ISBLANK('PTA-Mid'!R156)=FALSE,'PTA-Mid'!R156,"")))</f>
        <v/>
      </c>
      <c r="S156" s="2331" t="str">
        <f>IF(CostScenario="Higher cost",IF(ISBLANK('PTA-Hi'!S156)=FALSE,'PTA-Hi'!S156,""),IF(CostScenario="Lower cost",IF(ISBLANK('PTA-Lo'!S156)=FALSE,'PTA-Lo'!S156,""),IF(ISBLANK('PTA-Mid'!S156)=FALSE,'PTA-Mid'!S156,"")))</f>
        <v/>
      </c>
      <c r="T156" s="2331" t="str">
        <f>IF(CostScenario="Higher cost",IF(ISBLANK('PTA-Hi'!T156)=FALSE,'PTA-Hi'!T156,""),IF(CostScenario="Lower cost",IF(ISBLANK('PTA-Lo'!T156)=FALSE,'PTA-Lo'!T156,""),IF(ISBLANK('PTA-Mid'!T156)=FALSE,'PTA-Mid'!T156,"")))</f>
        <v/>
      </c>
      <c r="U156" s="7" t="str">
        <f>IF(CostScenario="Higher cost",IF(ISBLANK('PTA-Hi'!U156)=FALSE,'PTA-Hi'!U156,""),IF(CostScenario="Lower cost",IF(ISBLANK('PTA-Lo'!U156)=FALSE,'PTA-Lo'!U156,""),IF(ISBLANK('PTA-Mid'!U156)=FALSE,'PTA-Mid'!U156,"")))</f>
        <v/>
      </c>
      <c r="V156" s="7" t="str">
        <f>IF(CostScenario="Higher cost",IF(ISBLANK('PTA-Hi'!V156)=FALSE,'PTA-Hi'!V156,""),IF(CostScenario="Lower cost",IF(ISBLANK('PTA-Lo'!V156)=FALSE,'PTA-Lo'!V156,""),IF(ISBLANK('PTA-Mid'!V156)=FALSE,'PTA-Mid'!V156,"")))</f>
        <v/>
      </c>
      <c r="W156" s="2332"/>
      <c r="X156" s="9"/>
    </row>
    <row r="157" spans="1:24" s="7" customFormat="1">
      <c r="A157" s="1338"/>
      <c r="B157" s="1339"/>
      <c r="C157" s="1340" t="s">
        <v>1302</v>
      </c>
      <c r="D157" s="28"/>
      <c r="E157" s="28"/>
      <c r="F157" s="28"/>
      <c r="G157" s="28"/>
      <c r="H157" s="28"/>
      <c r="N157" s="2331"/>
      <c r="O157" s="2331"/>
      <c r="P157" s="2331"/>
      <c r="Q157" s="2331"/>
      <c r="S157" s="2331"/>
      <c r="T157" s="2331"/>
      <c r="W157" s="2332"/>
      <c r="X157" s="9"/>
    </row>
    <row r="158" spans="1:24" s="7" customFormat="1">
      <c r="A158" s="1338"/>
      <c r="B158" s="1339"/>
      <c r="C158" s="1340" t="s">
        <v>1301</v>
      </c>
      <c r="D158" s="28"/>
      <c r="E158" s="28"/>
      <c r="F158" s="28"/>
      <c r="G158" s="28"/>
      <c r="H158" s="28"/>
      <c r="N158" s="2331"/>
      <c r="O158" s="2331"/>
      <c r="P158" s="2331"/>
      <c r="Q158" s="2331"/>
      <c r="S158" s="2331"/>
      <c r="T158" s="2331"/>
      <c r="W158" s="2332"/>
      <c r="X158" s="9"/>
    </row>
    <row r="159" spans="1:24" s="7" customFormat="1">
      <c r="A159" s="1338" t="s">
        <v>836</v>
      </c>
      <c r="B159" s="1341" t="s">
        <v>770</v>
      </c>
      <c r="C159" s="1342" t="s">
        <v>1318</v>
      </c>
      <c r="D159" s="28"/>
      <c r="E159" s="28"/>
      <c r="F159" s="28"/>
      <c r="G159" s="28"/>
      <c r="H159" s="28"/>
      <c r="N159" s="2331"/>
      <c r="O159" s="2331"/>
      <c r="P159" s="2331"/>
      <c r="Q159" s="2331"/>
      <c r="S159" s="2331"/>
      <c r="T159" s="2331"/>
      <c r="U159" s="7">
        <v>0</v>
      </c>
      <c r="V159" s="7">
        <v>0</v>
      </c>
      <c r="W159" s="2332"/>
      <c r="X159" s="9"/>
    </row>
    <row r="160" spans="1:24" s="7" customFormat="1">
      <c r="A160" s="1338" t="s">
        <v>837</v>
      </c>
      <c r="B160" s="1343" t="s">
        <v>771</v>
      </c>
      <c r="C160" s="1342" t="s">
        <v>1316</v>
      </c>
      <c r="D160" s="28"/>
      <c r="E160" s="28"/>
      <c r="F160" s="28"/>
      <c r="G160" s="28"/>
      <c r="H160" s="28"/>
      <c r="I160" s="215"/>
      <c r="J160" s="215"/>
      <c r="K160" s="215"/>
      <c r="N160" s="2331"/>
      <c r="O160" s="2331"/>
      <c r="P160" s="2331"/>
      <c r="Q160" s="2331"/>
      <c r="S160" s="2331"/>
      <c r="T160" s="2331"/>
      <c r="U160" s="215">
        <v>0</v>
      </c>
      <c r="V160" s="215">
        <v>0</v>
      </c>
      <c r="W160" s="340"/>
      <c r="X160" s="340"/>
    </row>
    <row r="161" spans="1:24" s="7" customFormat="1">
      <c r="A161" s="1338"/>
      <c r="B161" s="1339"/>
      <c r="C161" s="1340" t="s">
        <v>1323</v>
      </c>
      <c r="D161" s="28"/>
      <c r="E161" s="28"/>
      <c r="F161" s="28"/>
      <c r="G161" s="28"/>
      <c r="H161" s="28"/>
      <c r="N161" s="2331"/>
      <c r="O161" s="2331"/>
      <c r="P161" s="2331"/>
      <c r="Q161" s="2331"/>
      <c r="S161" s="2331"/>
      <c r="T161" s="2331"/>
      <c r="W161" s="2332"/>
      <c r="X161" s="9"/>
    </row>
    <row r="162" spans="1:24" s="7" customFormat="1">
      <c r="A162" s="1338" t="s">
        <v>838</v>
      </c>
      <c r="B162" s="1343" t="s">
        <v>772</v>
      </c>
      <c r="C162" s="1342" t="s">
        <v>371</v>
      </c>
      <c r="D162" s="314"/>
      <c r="E162" s="314"/>
      <c r="F162" s="314"/>
      <c r="G162" s="314"/>
      <c r="H162" s="314"/>
      <c r="I162" s="215"/>
      <c r="J162" s="93"/>
      <c r="K162" s="93"/>
      <c r="L162" s="93"/>
      <c r="M162" s="93"/>
      <c r="N162" s="93"/>
      <c r="O162" s="93"/>
      <c r="P162" s="93"/>
      <c r="Q162" s="93"/>
      <c r="R162" s="93"/>
      <c r="S162" s="93"/>
      <c r="T162" s="93"/>
      <c r="U162" s="93">
        <v>0</v>
      </c>
      <c r="V162" s="93">
        <v>0</v>
      </c>
      <c r="W162" s="218"/>
      <c r="X162" s="340"/>
    </row>
    <row r="163" spans="1:24" s="7" customFormat="1">
      <c r="A163" s="1338" t="s">
        <v>839</v>
      </c>
      <c r="B163" s="1344" t="s">
        <v>773</v>
      </c>
      <c r="C163" s="1342" t="s">
        <v>1314</v>
      </c>
      <c r="D163" s="314"/>
      <c r="E163" s="314"/>
      <c r="F163" s="314"/>
      <c r="G163" s="314"/>
      <c r="H163" s="314"/>
      <c r="J163" s="93"/>
      <c r="K163" s="93"/>
      <c r="L163" s="93"/>
      <c r="M163" s="93"/>
      <c r="N163" s="93"/>
      <c r="O163" s="93"/>
      <c r="P163" s="93"/>
      <c r="Q163" s="93"/>
      <c r="R163" s="93"/>
      <c r="S163" s="93"/>
      <c r="T163" s="93"/>
      <c r="U163" s="93">
        <v>0</v>
      </c>
      <c r="V163" s="93">
        <v>0</v>
      </c>
      <c r="W163" s="218"/>
      <c r="X163" s="9"/>
    </row>
    <row r="164" spans="1:24" s="7" customFormat="1">
      <c r="A164" s="1338" t="s">
        <v>840</v>
      </c>
      <c r="B164" s="1343" t="s">
        <v>774</v>
      </c>
      <c r="C164" s="1342" t="s">
        <v>372</v>
      </c>
      <c r="D164" s="314"/>
      <c r="E164" s="314"/>
      <c r="F164" s="314"/>
      <c r="G164" s="314"/>
      <c r="H164" s="314"/>
      <c r="I164" s="215"/>
      <c r="J164" s="93"/>
      <c r="K164" s="93"/>
      <c r="L164" s="93"/>
      <c r="M164" s="93"/>
      <c r="N164" s="93"/>
      <c r="O164" s="93"/>
      <c r="P164" s="93"/>
      <c r="Q164" s="93"/>
      <c r="R164" s="93"/>
      <c r="S164" s="93"/>
      <c r="T164" s="93"/>
      <c r="U164" s="93">
        <v>0</v>
      </c>
      <c r="V164" s="93">
        <v>0</v>
      </c>
      <c r="W164" s="218"/>
      <c r="X164" s="340"/>
    </row>
    <row r="165" spans="1:24" s="7" customFormat="1">
      <c r="A165" s="1338" t="s">
        <v>841</v>
      </c>
      <c r="B165" s="1344" t="s">
        <v>775</v>
      </c>
      <c r="C165" s="1342" t="s">
        <v>1315</v>
      </c>
      <c r="D165" s="314"/>
      <c r="E165" s="314"/>
      <c r="F165" s="314"/>
      <c r="G165" s="314"/>
      <c r="H165" s="314"/>
      <c r="J165" s="93"/>
      <c r="K165" s="93"/>
      <c r="L165" s="93"/>
      <c r="M165" s="93"/>
      <c r="N165" s="93"/>
      <c r="O165" s="93"/>
      <c r="P165" s="93"/>
      <c r="Q165" s="93"/>
      <c r="R165" s="93"/>
      <c r="S165" s="93"/>
      <c r="T165" s="93"/>
      <c r="U165" s="93">
        <v>0</v>
      </c>
      <c r="V165" s="93">
        <v>0</v>
      </c>
      <c r="W165" s="218"/>
      <c r="X165" s="9"/>
    </row>
    <row r="166" spans="1:24" s="7" customFormat="1">
      <c r="A166" s="1338" t="s">
        <v>842</v>
      </c>
      <c r="B166" s="1344"/>
      <c r="C166" s="1342" t="s">
        <v>511</v>
      </c>
      <c r="D166" s="28"/>
      <c r="E166" s="28"/>
      <c r="F166" s="28"/>
      <c r="G166" s="28"/>
      <c r="H166" s="28"/>
      <c r="N166" s="2331"/>
      <c r="O166" s="2331"/>
      <c r="P166" s="2331"/>
      <c r="Q166" s="2331"/>
      <c r="S166" s="2331"/>
      <c r="T166" s="2331"/>
      <c r="W166" s="2332"/>
      <c r="X166" s="9"/>
    </row>
    <row r="167" spans="1:24" s="7" customFormat="1">
      <c r="A167" s="1338" t="s">
        <v>843</v>
      </c>
      <c r="B167" s="1344"/>
      <c r="C167" s="1342" t="s">
        <v>512</v>
      </c>
      <c r="D167" s="28"/>
      <c r="E167" s="28"/>
      <c r="F167" s="28"/>
      <c r="G167" s="28"/>
      <c r="H167" s="28"/>
      <c r="N167" s="2331"/>
      <c r="O167" s="2331"/>
      <c r="P167" s="2331"/>
      <c r="Q167" s="2331"/>
      <c r="S167" s="2331"/>
      <c r="T167" s="2331"/>
      <c r="W167" s="2332"/>
      <c r="X167" s="9"/>
    </row>
    <row r="168" spans="1:24" s="7" customFormat="1">
      <c r="A168" s="1338"/>
      <c r="B168" s="1339"/>
      <c r="C168" s="1340" t="s">
        <v>1275</v>
      </c>
      <c r="D168" s="28"/>
      <c r="E168" s="28"/>
      <c r="F168" s="28"/>
      <c r="G168" s="28"/>
      <c r="H168" s="28"/>
      <c r="N168" s="2331"/>
      <c r="O168" s="2331"/>
      <c r="P168" s="2331"/>
      <c r="Q168" s="2331"/>
      <c r="S168" s="2331"/>
      <c r="T168" s="2331"/>
      <c r="W168" s="2332"/>
      <c r="X168" s="9"/>
    </row>
    <row r="169" spans="1:24" s="7" customFormat="1">
      <c r="A169" s="1338" t="s">
        <v>844</v>
      </c>
      <c r="B169" s="1345" t="s">
        <v>776</v>
      </c>
      <c r="C169" s="1342" t="s">
        <v>1321</v>
      </c>
      <c r="D169" s="28"/>
      <c r="E169" s="28"/>
      <c r="F169" s="28"/>
      <c r="G169" s="28"/>
      <c r="H169" s="28"/>
      <c r="I169" s="215"/>
      <c r="J169" s="215"/>
      <c r="K169" s="215"/>
      <c r="N169" s="2331"/>
      <c r="O169" s="2331"/>
      <c r="P169" s="2331"/>
      <c r="Q169" s="2331"/>
      <c r="S169" s="2331"/>
      <c r="T169" s="2331"/>
      <c r="U169" s="215">
        <v>0</v>
      </c>
      <c r="V169" s="215">
        <v>0</v>
      </c>
      <c r="W169" s="340"/>
      <c r="X169" s="340"/>
    </row>
    <row r="170" spans="1:24" s="7" customFormat="1">
      <c r="A170" s="216"/>
      <c r="B170" s="28"/>
      <c r="C170" s="86" t="s">
        <v>1350</v>
      </c>
      <c r="D170" s="28"/>
      <c r="E170" s="28"/>
      <c r="F170" s="28"/>
      <c r="G170" s="28"/>
      <c r="H170" s="28"/>
      <c r="N170" s="2331"/>
      <c r="O170" s="2331"/>
      <c r="P170" s="2331"/>
      <c r="Q170" s="2331"/>
      <c r="S170" s="2331"/>
      <c r="T170" s="2331"/>
      <c r="W170" s="2332"/>
      <c r="X170" s="9"/>
    </row>
    <row r="171" spans="1:24" s="7" customFormat="1">
      <c r="A171" s="1346"/>
      <c r="B171" s="1347"/>
      <c r="C171" s="1348" t="s">
        <v>1361</v>
      </c>
      <c r="D171" s="28"/>
      <c r="E171" s="28"/>
      <c r="F171" s="28"/>
      <c r="G171" s="28"/>
      <c r="H171" s="28"/>
      <c r="N171" s="2331"/>
      <c r="O171" s="2331"/>
      <c r="P171" s="2331"/>
      <c r="Q171" s="2331"/>
      <c r="S171" s="2331"/>
      <c r="T171" s="2331"/>
      <c r="W171" s="2332"/>
      <c r="X171" s="9"/>
    </row>
    <row r="172" spans="1:24" s="7" customFormat="1">
      <c r="A172" s="1346"/>
      <c r="B172" s="1347"/>
      <c r="C172" s="1348" t="s">
        <v>1340</v>
      </c>
      <c r="D172" s="28"/>
      <c r="E172" s="28"/>
      <c r="F172" s="28"/>
      <c r="G172" s="28"/>
      <c r="H172" s="28"/>
      <c r="N172" s="2331"/>
      <c r="O172" s="2331"/>
      <c r="P172" s="2331"/>
      <c r="Q172" s="2331"/>
      <c r="S172" s="2331"/>
      <c r="T172" s="2331"/>
      <c r="W172" s="2332"/>
      <c r="X172" s="9"/>
    </row>
    <row r="173" spans="1:24" s="7" customFormat="1">
      <c r="A173" s="1346"/>
      <c r="B173" s="1347"/>
      <c r="C173" s="1349" t="s">
        <v>1359</v>
      </c>
      <c r="D173" s="28"/>
      <c r="E173" s="28"/>
      <c r="F173" s="28"/>
      <c r="G173" s="28"/>
      <c r="H173" s="28"/>
      <c r="N173" s="2331"/>
      <c r="O173" s="2331"/>
      <c r="P173" s="2331"/>
      <c r="Q173" s="2331"/>
      <c r="S173" s="2331"/>
      <c r="T173" s="2331"/>
      <c r="W173" s="2332"/>
      <c r="X173" s="9"/>
    </row>
    <row r="174" spans="1:24" s="7" customFormat="1">
      <c r="A174" s="1346" t="s">
        <v>845</v>
      </c>
      <c r="B174" s="1350" t="s">
        <v>777</v>
      </c>
      <c r="C174" s="1351" t="s">
        <v>1351</v>
      </c>
      <c r="D174" s="28"/>
      <c r="E174" s="28"/>
      <c r="F174" s="28"/>
      <c r="G174" s="28"/>
      <c r="H174" s="28"/>
      <c r="N174" s="2331"/>
      <c r="O174" s="2331"/>
      <c r="P174" s="2331"/>
      <c r="Q174" s="2331"/>
      <c r="S174" s="2331"/>
      <c r="T174" s="2331"/>
      <c r="W174" s="2332"/>
      <c r="X174" s="9"/>
    </row>
    <row r="175" spans="1:24" s="7" customFormat="1">
      <c r="A175" s="1346" t="s">
        <v>846</v>
      </c>
      <c r="B175" s="1350" t="s">
        <v>778</v>
      </c>
      <c r="C175" s="1351" t="s">
        <v>1353</v>
      </c>
      <c r="D175" s="28"/>
      <c r="E175" s="28"/>
      <c r="F175" s="28"/>
      <c r="G175" s="28"/>
      <c r="H175" s="28"/>
      <c r="N175" s="2331"/>
      <c r="O175" s="2331"/>
      <c r="P175" s="2331"/>
      <c r="Q175" s="2331"/>
      <c r="S175" s="2331"/>
      <c r="T175" s="2331"/>
      <c r="U175" s="7">
        <v>0</v>
      </c>
      <c r="V175" s="7">
        <v>0</v>
      </c>
      <c r="W175" s="2332"/>
      <c r="X175" s="9"/>
    </row>
    <row r="176" spans="1:24" s="9" customFormat="1">
      <c r="A176" s="1352" t="s">
        <v>847</v>
      </c>
      <c r="B176" s="1353" t="s">
        <v>779</v>
      </c>
      <c r="C176" s="1349" t="s">
        <v>1356</v>
      </c>
      <c r="D176" s="313"/>
      <c r="E176" s="313"/>
      <c r="F176" s="313"/>
      <c r="G176" s="313"/>
      <c r="H176" s="313"/>
      <c r="I176" s="340"/>
      <c r="J176" s="207"/>
      <c r="K176" s="207"/>
      <c r="L176" s="207"/>
      <c r="M176" s="207"/>
      <c r="N176" s="207"/>
      <c r="O176" s="207"/>
      <c r="P176" s="207"/>
      <c r="Q176" s="207"/>
      <c r="R176" s="207"/>
      <c r="S176" s="207"/>
      <c r="T176" s="207"/>
      <c r="U176" s="207">
        <v>0</v>
      </c>
      <c r="V176" s="207">
        <v>0</v>
      </c>
      <c r="W176" s="207"/>
      <c r="X176" s="340"/>
    </row>
    <row r="177" spans="1:24" s="9" customFormat="1">
      <c r="A177" s="1352" t="s">
        <v>848</v>
      </c>
      <c r="B177" s="1354" t="s">
        <v>780</v>
      </c>
      <c r="C177" s="1349" t="s">
        <v>1352</v>
      </c>
      <c r="D177" s="30"/>
      <c r="E177" s="30"/>
      <c r="F177" s="30"/>
      <c r="G177" s="30"/>
      <c r="H177" s="30"/>
      <c r="N177" s="2332"/>
      <c r="O177" s="2332"/>
      <c r="P177" s="2332"/>
      <c r="Q177" s="2332"/>
      <c r="S177" s="2332"/>
      <c r="T177" s="2332"/>
      <c r="W177" s="2332"/>
    </row>
    <row r="178" spans="1:24" s="9" customFormat="1">
      <c r="A178" s="1352" t="s">
        <v>849</v>
      </c>
      <c r="B178" s="1353" t="s">
        <v>781</v>
      </c>
      <c r="C178" s="1349" t="s">
        <v>1357</v>
      </c>
      <c r="D178" s="279"/>
      <c r="E178" s="279"/>
      <c r="F178" s="279"/>
      <c r="G178" s="279"/>
      <c r="H178" s="279"/>
      <c r="N178" s="2332"/>
      <c r="O178" s="2332"/>
      <c r="P178" s="2332"/>
      <c r="Q178" s="2332"/>
      <c r="S178" s="2332"/>
      <c r="T178" s="2332"/>
      <c r="U178" s="9">
        <v>0</v>
      </c>
      <c r="V178" s="9">
        <v>0</v>
      </c>
      <c r="W178" s="2332"/>
    </row>
    <row r="179" spans="1:24" s="9" customFormat="1">
      <c r="A179" s="1352"/>
      <c r="B179" s="1355"/>
      <c r="C179" s="1356" t="s">
        <v>418</v>
      </c>
      <c r="D179" s="30"/>
      <c r="E179" s="30"/>
      <c r="F179" s="30"/>
      <c r="G179" s="30"/>
      <c r="H179" s="30"/>
      <c r="N179" s="2332"/>
      <c r="O179" s="2332"/>
      <c r="P179" s="2332"/>
      <c r="Q179" s="2332"/>
      <c r="S179" s="2332"/>
      <c r="T179" s="2332"/>
      <c r="W179" s="2332"/>
    </row>
    <row r="180" spans="1:24" s="9" customFormat="1">
      <c r="A180" s="1352"/>
      <c r="B180" s="1355"/>
      <c r="C180" s="1349" t="s">
        <v>1363</v>
      </c>
      <c r="D180" s="30"/>
      <c r="E180" s="30"/>
      <c r="F180" s="30"/>
      <c r="G180" s="30"/>
      <c r="H180" s="30"/>
      <c r="N180" s="2332"/>
      <c r="O180" s="2332"/>
      <c r="P180" s="2332"/>
      <c r="Q180" s="2332"/>
      <c r="S180" s="2332"/>
      <c r="T180" s="2332"/>
      <c r="W180" s="2332"/>
    </row>
    <row r="181" spans="1:24" s="9" customFormat="1">
      <c r="A181" s="1352" t="s">
        <v>850</v>
      </c>
      <c r="B181" s="1354" t="s">
        <v>782</v>
      </c>
      <c r="C181" s="1349" t="s">
        <v>1351</v>
      </c>
      <c r="D181" s="30"/>
      <c r="E181" s="30"/>
      <c r="F181" s="30"/>
      <c r="G181" s="30"/>
      <c r="H181" s="30"/>
      <c r="N181" s="2332"/>
      <c r="O181" s="2332"/>
      <c r="P181" s="2332"/>
      <c r="Q181" s="2332"/>
      <c r="S181" s="2332"/>
      <c r="T181" s="2332"/>
      <c r="W181" s="2332"/>
    </row>
    <row r="182" spans="1:24" s="9" customFormat="1">
      <c r="A182" s="1352" t="s">
        <v>851</v>
      </c>
      <c r="B182" s="1355" t="s">
        <v>783</v>
      </c>
      <c r="C182" s="1349" t="s">
        <v>1353</v>
      </c>
      <c r="D182" s="30"/>
      <c r="E182" s="30"/>
      <c r="F182" s="30"/>
      <c r="G182" s="30"/>
      <c r="H182" s="30"/>
      <c r="N182" s="2332"/>
      <c r="O182" s="2332"/>
      <c r="P182" s="2332"/>
      <c r="Q182" s="2332"/>
      <c r="S182" s="2332"/>
      <c r="T182" s="2332"/>
      <c r="U182" s="9">
        <v>0</v>
      </c>
      <c r="V182" s="9">
        <v>0</v>
      </c>
      <c r="W182" s="2332"/>
    </row>
    <row r="183" spans="1:24" s="9" customFormat="1">
      <c r="A183" s="1352" t="s">
        <v>852</v>
      </c>
      <c r="B183" s="1354" t="s">
        <v>784</v>
      </c>
      <c r="C183" s="1349" t="s">
        <v>1356</v>
      </c>
      <c r="D183" s="313"/>
      <c r="E183" s="313"/>
      <c r="F183" s="313"/>
      <c r="G183" s="313"/>
      <c r="H183" s="313"/>
      <c r="I183" s="340"/>
      <c r="J183" s="207"/>
      <c r="K183" s="207"/>
      <c r="L183" s="207"/>
      <c r="M183" s="207"/>
      <c r="N183" s="207"/>
      <c r="O183" s="207"/>
      <c r="P183" s="207"/>
      <c r="Q183" s="207"/>
      <c r="R183" s="207"/>
      <c r="S183" s="207"/>
      <c r="T183" s="207"/>
      <c r="U183" s="207">
        <v>0</v>
      </c>
      <c r="V183" s="207">
        <v>0</v>
      </c>
      <c r="W183" s="207"/>
      <c r="X183" s="340"/>
    </row>
    <row r="184" spans="1:24" s="9" customFormat="1">
      <c r="A184" s="1352" t="s">
        <v>853</v>
      </c>
      <c r="B184" s="1354" t="s">
        <v>785</v>
      </c>
      <c r="C184" s="1349" t="s">
        <v>1352</v>
      </c>
      <c r="D184" s="30"/>
      <c r="E184" s="30"/>
      <c r="F184" s="30"/>
      <c r="G184" s="30"/>
      <c r="H184" s="30"/>
      <c r="N184" s="2332"/>
      <c r="O184" s="2332"/>
      <c r="P184" s="2332"/>
      <c r="Q184" s="2332"/>
      <c r="S184" s="2332"/>
      <c r="T184" s="2332"/>
      <c r="W184" s="2332"/>
    </row>
    <row r="185" spans="1:24" s="9" customFormat="1">
      <c r="A185" s="1352" t="s">
        <v>854</v>
      </c>
      <c r="B185" s="1353" t="s">
        <v>786</v>
      </c>
      <c r="C185" s="1349" t="s">
        <v>1357</v>
      </c>
      <c r="D185" s="279"/>
      <c r="E185" s="279"/>
      <c r="F185" s="279"/>
      <c r="G185" s="279"/>
      <c r="H185" s="279"/>
      <c r="N185" s="2332"/>
      <c r="O185" s="2332"/>
      <c r="P185" s="2332"/>
      <c r="Q185" s="2332"/>
      <c r="S185" s="2332"/>
      <c r="T185" s="2332"/>
      <c r="U185" s="9">
        <v>0</v>
      </c>
      <c r="V185" s="9">
        <v>0</v>
      </c>
      <c r="W185" s="2332"/>
    </row>
    <row r="186" spans="1:24" s="7" customFormat="1">
      <c r="A186" s="1346"/>
      <c r="B186" s="1347"/>
      <c r="C186" s="1348" t="s">
        <v>1364</v>
      </c>
      <c r="D186" s="28"/>
      <c r="E186" s="28"/>
      <c r="F186" s="28"/>
      <c r="G186" s="28"/>
      <c r="H186" s="28"/>
      <c r="N186" s="2331"/>
      <c r="O186" s="2331"/>
      <c r="P186" s="2331"/>
      <c r="Q186" s="2331"/>
      <c r="S186" s="2331"/>
      <c r="T186" s="2331"/>
      <c r="W186" s="2332"/>
      <c r="X186" s="9"/>
    </row>
    <row r="187" spans="1:24" s="7" customFormat="1">
      <c r="A187" s="1346"/>
      <c r="B187" s="1347"/>
      <c r="C187" s="1351" t="s">
        <v>1365</v>
      </c>
      <c r="D187" s="28"/>
      <c r="E187" s="28"/>
      <c r="F187" s="28"/>
      <c r="G187" s="28"/>
      <c r="H187" s="28"/>
      <c r="N187" s="2331"/>
      <c r="O187" s="2331"/>
      <c r="P187" s="2331"/>
      <c r="Q187" s="2331"/>
      <c r="S187" s="2331"/>
      <c r="T187" s="2331"/>
      <c r="W187" s="2332"/>
      <c r="X187" s="9"/>
    </row>
    <row r="188" spans="1:24" s="7" customFormat="1">
      <c r="A188" s="1346" t="s">
        <v>855</v>
      </c>
      <c r="B188" s="1347" t="s">
        <v>787</v>
      </c>
      <c r="C188" s="1351" t="s">
        <v>119</v>
      </c>
      <c r="D188" s="28"/>
      <c r="E188" s="28"/>
      <c r="F188" s="28"/>
      <c r="G188" s="28"/>
      <c r="H188" s="28"/>
      <c r="N188" s="2331"/>
      <c r="O188" s="2331"/>
      <c r="P188" s="2331"/>
      <c r="Q188" s="2331"/>
      <c r="S188" s="2331"/>
      <c r="T188" s="2331"/>
      <c r="U188" s="7">
        <v>0</v>
      </c>
      <c r="V188" s="7">
        <v>0</v>
      </c>
      <c r="W188" s="2332"/>
      <c r="X188" s="9"/>
    </row>
    <row r="189" spans="1:24" s="7" customFormat="1">
      <c r="A189" s="1346" t="s">
        <v>856</v>
      </c>
      <c r="B189" s="1350" t="s">
        <v>788</v>
      </c>
      <c r="C189" s="1351" t="s">
        <v>435</v>
      </c>
      <c r="D189" s="30"/>
      <c r="E189" s="30"/>
      <c r="F189" s="30"/>
      <c r="G189" s="30"/>
      <c r="H189" s="30"/>
      <c r="I189" s="30"/>
      <c r="J189" s="30"/>
      <c r="K189" s="30"/>
      <c r="N189" s="2331"/>
      <c r="O189" s="2331"/>
      <c r="P189" s="2331"/>
      <c r="Q189" s="2331"/>
      <c r="S189" s="2331"/>
      <c r="T189" s="2331"/>
      <c r="U189" s="215">
        <v>0</v>
      </c>
      <c r="V189" s="215">
        <v>0</v>
      </c>
      <c r="W189" s="340"/>
      <c r="X189" s="340"/>
    </row>
    <row r="190" spans="1:24" s="7" customFormat="1">
      <c r="A190" s="1346" t="s">
        <v>857</v>
      </c>
      <c r="B190" s="1350" t="s">
        <v>789</v>
      </c>
      <c r="C190" s="1351" t="s">
        <v>436</v>
      </c>
      <c r="D190" s="30"/>
      <c r="E190" s="30"/>
      <c r="F190" s="30"/>
      <c r="G190" s="30"/>
      <c r="H190" s="30"/>
      <c r="I190" s="30"/>
      <c r="J190" s="30"/>
      <c r="K190" s="30"/>
      <c r="N190" s="2331"/>
      <c r="O190" s="2331"/>
      <c r="P190" s="2331"/>
      <c r="Q190" s="2331"/>
      <c r="S190" s="2331"/>
      <c r="T190" s="2331"/>
      <c r="U190" s="215">
        <v>0</v>
      </c>
      <c r="V190" s="215">
        <v>0</v>
      </c>
      <c r="W190" s="340"/>
      <c r="X190" s="340"/>
    </row>
    <row r="191" spans="1:24" s="7" customFormat="1">
      <c r="A191" s="1346"/>
      <c r="B191" s="1347"/>
      <c r="C191" s="1351" t="s">
        <v>1368</v>
      </c>
      <c r="D191" s="30"/>
      <c r="E191" s="30"/>
      <c r="F191" s="30"/>
      <c r="G191" s="30"/>
      <c r="H191" s="30"/>
      <c r="I191" s="30"/>
      <c r="J191" s="30"/>
      <c r="K191" s="30"/>
      <c r="N191" s="2331"/>
      <c r="O191" s="2331"/>
      <c r="P191" s="2331"/>
      <c r="Q191" s="2331"/>
      <c r="S191" s="2331"/>
      <c r="T191" s="2331"/>
      <c r="W191" s="2332"/>
      <c r="X191" s="9"/>
    </row>
    <row r="192" spans="1:24" s="7" customFormat="1">
      <c r="A192" s="1346" t="s">
        <v>858</v>
      </c>
      <c r="B192" s="1347" t="s">
        <v>790</v>
      </c>
      <c r="C192" s="1351" t="s">
        <v>119</v>
      </c>
      <c r="D192" s="30"/>
      <c r="E192" s="30"/>
      <c r="F192" s="30"/>
      <c r="G192" s="30"/>
      <c r="H192" s="30"/>
      <c r="I192" s="30"/>
      <c r="J192" s="30"/>
      <c r="K192" s="30"/>
      <c r="N192" s="2331"/>
      <c r="O192" s="2331"/>
      <c r="P192" s="2331"/>
      <c r="Q192" s="2331"/>
      <c r="S192" s="2331"/>
      <c r="T192" s="2331"/>
      <c r="U192" s="7">
        <v>0</v>
      </c>
      <c r="V192" s="7">
        <v>0</v>
      </c>
      <c r="W192" s="2332"/>
      <c r="X192" s="9"/>
    </row>
    <row r="193" spans="1:24" s="7" customFormat="1">
      <c r="A193" s="1346" t="s">
        <v>859</v>
      </c>
      <c r="B193" s="1350" t="s">
        <v>791</v>
      </c>
      <c r="C193" s="1351" t="s">
        <v>435</v>
      </c>
      <c r="D193" s="30"/>
      <c r="E193" s="30"/>
      <c r="F193" s="30"/>
      <c r="G193" s="30"/>
      <c r="H193" s="30"/>
      <c r="I193" s="30"/>
      <c r="J193" s="30"/>
      <c r="K193" s="30"/>
      <c r="N193" s="2331"/>
      <c r="O193" s="2331"/>
      <c r="P193" s="2331"/>
      <c r="Q193" s="2331"/>
      <c r="S193" s="2331"/>
      <c r="T193" s="2331"/>
      <c r="U193" s="215">
        <v>0</v>
      </c>
      <c r="V193" s="215">
        <v>0</v>
      </c>
      <c r="W193" s="340"/>
      <c r="X193" s="340"/>
    </row>
    <row r="194" spans="1:24" s="7" customFormat="1">
      <c r="A194" s="1346" t="s">
        <v>860</v>
      </c>
      <c r="B194" s="1350" t="s">
        <v>792</v>
      </c>
      <c r="C194" s="1351" t="s">
        <v>436</v>
      </c>
      <c r="D194" s="30"/>
      <c r="E194" s="30"/>
      <c r="F194" s="30"/>
      <c r="G194" s="30"/>
      <c r="H194" s="30"/>
      <c r="I194" s="30"/>
      <c r="J194" s="30"/>
      <c r="K194" s="30"/>
      <c r="N194" s="2331"/>
      <c r="O194" s="2331"/>
      <c r="P194" s="2331"/>
      <c r="Q194" s="2331"/>
      <c r="S194" s="2331"/>
      <c r="T194" s="2331"/>
      <c r="U194" s="215">
        <v>0</v>
      </c>
      <c r="V194" s="215">
        <v>0</v>
      </c>
      <c r="W194" s="340"/>
      <c r="X194" s="340"/>
    </row>
    <row r="195" spans="1:24" s="7" customFormat="1">
      <c r="A195" s="1346"/>
      <c r="B195" s="1347"/>
      <c r="C195" s="1348" t="s">
        <v>111</v>
      </c>
      <c r="D195" s="28"/>
      <c r="E195" s="28"/>
      <c r="F195" s="28"/>
      <c r="G195" s="28"/>
      <c r="H195" s="28"/>
      <c r="N195" s="2331"/>
      <c r="O195" s="2331"/>
      <c r="P195" s="2331"/>
      <c r="Q195" s="2331"/>
      <c r="S195" s="2331"/>
      <c r="T195" s="2331"/>
      <c r="W195" s="2332"/>
      <c r="X195" s="9"/>
    </row>
    <row r="196" spans="1:24" s="7" customFormat="1">
      <c r="A196" s="1346"/>
      <c r="B196" s="1347"/>
      <c r="C196" s="1348" t="s">
        <v>112</v>
      </c>
      <c r="D196" s="28"/>
      <c r="E196" s="28"/>
      <c r="F196" s="28"/>
      <c r="G196" s="28"/>
      <c r="H196" s="28"/>
      <c r="N196" s="2331"/>
      <c r="O196" s="2331"/>
      <c r="P196" s="2331"/>
      <c r="Q196" s="2331"/>
      <c r="S196" s="2331"/>
      <c r="T196" s="2331"/>
      <c r="W196" s="2332"/>
      <c r="X196" s="9"/>
    </row>
    <row r="197" spans="1:24" s="7" customFormat="1">
      <c r="A197" s="1346" t="s">
        <v>861</v>
      </c>
      <c r="B197" s="1347" t="s">
        <v>793</v>
      </c>
      <c r="C197" s="1351" t="s">
        <v>425</v>
      </c>
      <c r="D197" s="28"/>
      <c r="E197" s="28"/>
      <c r="F197" s="28"/>
      <c r="G197" s="28"/>
      <c r="H197" s="28"/>
      <c r="N197" s="2331"/>
      <c r="O197" s="2331"/>
      <c r="P197" s="2331"/>
      <c r="Q197" s="2331"/>
      <c r="S197" s="2331"/>
      <c r="T197" s="2331"/>
      <c r="W197" s="2332"/>
      <c r="X197" s="9"/>
    </row>
    <row r="198" spans="1:24" s="7" customFormat="1">
      <c r="A198" s="1346" t="s">
        <v>862</v>
      </c>
      <c r="B198" s="1347" t="s">
        <v>794</v>
      </c>
      <c r="C198" s="1351" t="s">
        <v>426</v>
      </c>
      <c r="D198" s="28"/>
      <c r="E198" s="28"/>
      <c r="F198" s="28"/>
      <c r="G198" s="28"/>
      <c r="H198" s="28"/>
      <c r="N198" s="2331"/>
      <c r="O198" s="2331"/>
      <c r="P198" s="2331"/>
      <c r="Q198" s="2331"/>
      <c r="S198" s="2331"/>
      <c r="T198" s="2331"/>
      <c r="W198" s="2332"/>
      <c r="X198" s="9"/>
    </row>
    <row r="199" spans="1:24" s="7" customFormat="1">
      <c r="A199" s="1346" t="s">
        <v>863</v>
      </c>
      <c r="B199" s="1347" t="s">
        <v>795</v>
      </c>
      <c r="C199" s="1351" t="s">
        <v>427</v>
      </c>
      <c r="D199" s="28"/>
      <c r="E199" s="28"/>
      <c r="F199" s="28"/>
      <c r="G199" s="28"/>
      <c r="H199" s="28"/>
      <c r="N199" s="2331"/>
      <c r="O199" s="2331"/>
      <c r="P199" s="2331"/>
      <c r="Q199" s="2331"/>
      <c r="S199" s="2331"/>
      <c r="T199" s="2331"/>
      <c r="W199" s="2332"/>
      <c r="X199" s="9"/>
    </row>
    <row r="200" spans="1:24" s="7" customFormat="1">
      <c r="A200" s="1346" t="s">
        <v>864</v>
      </c>
      <c r="B200" s="1347" t="s">
        <v>796</v>
      </c>
      <c r="C200" s="1351" t="s">
        <v>432</v>
      </c>
      <c r="D200" s="28"/>
      <c r="E200" s="28"/>
      <c r="F200" s="28"/>
      <c r="G200" s="28"/>
      <c r="H200" s="28"/>
      <c r="N200" s="2331"/>
      <c r="O200" s="2331"/>
      <c r="P200" s="2331"/>
      <c r="Q200" s="2331"/>
      <c r="S200" s="2331"/>
      <c r="T200" s="2331"/>
      <c r="W200" s="2332"/>
      <c r="X200" s="9"/>
    </row>
    <row r="201" spans="1:24" s="7" customFormat="1">
      <c r="A201" s="951"/>
      <c r="B201" s="955"/>
      <c r="C201" s="952" t="s">
        <v>1339</v>
      </c>
      <c r="D201" s="28"/>
      <c r="E201" s="28"/>
      <c r="F201" s="28"/>
      <c r="G201" s="28"/>
      <c r="H201" s="28"/>
      <c r="I201" s="346"/>
      <c r="N201" s="2331"/>
      <c r="O201" s="2331"/>
      <c r="P201" s="2331"/>
      <c r="Q201" s="2331"/>
      <c r="S201" s="2331"/>
      <c r="T201" s="2331"/>
      <c r="W201" s="2332"/>
      <c r="X201" s="1120"/>
    </row>
    <row r="202" spans="1:24" s="7" customFormat="1">
      <c r="A202" s="951"/>
      <c r="B202" s="955"/>
      <c r="C202" s="954" t="s">
        <v>1398</v>
      </c>
      <c r="D202" s="179"/>
      <c r="E202" s="179"/>
      <c r="F202" s="179"/>
      <c r="G202" s="179"/>
      <c r="H202" s="179"/>
      <c r="I202" s="346"/>
      <c r="N202" s="2331"/>
      <c r="O202" s="2331"/>
      <c r="P202" s="2331"/>
      <c r="Q202" s="2331"/>
      <c r="S202" s="2331"/>
      <c r="T202" s="2331"/>
      <c r="W202" s="2332"/>
      <c r="X202" s="1120"/>
    </row>
    <row r="203" spans="1:24" s="206" customFormat="1">
      <c r="A203" s="1757" t="s">
        <v>939</v>
      </c>
      <c r="B203" s="1758"/>
      <c r="C203" s="1759" t="s">
        <v>1341</v>
      </c>
      <c r="D203" s="1509">
        <f>IF(CostScenario="Higher cost",IF(ISBLANK('PTA-Hi'!D203)=FALSE,'PTA-Hi'!D203,""),IF(CostScenario="Lower cost",IF(ISBLANK('PTA-Lo'!D203)=FALSE,'PTA-Lo'!D203,""),IF(ISBLANK('PTA-Mid'!D203)=FALSE,'PTA-Mid'!D203,"")))</f>
        <v>1.9109589041095891</v>
      </c>
      <c r="E203" s="1509">
        <f>IF(CostScenario="Higher cost",IF(ISBLANK('PTA-Hi'!E203)=FALSE,'PTA-Hi'!E203,""),IF(CostScenario="Lower cost",IF(ISBLANK('PTA-Lo'!E203)=FALSE,'PTA-Lo'!E203,""),IF(ISBLANK('PTA-Mid'!E203)=FALSE,'PTA-Mid'!E203,"")))</f>
        <v>1.9109589041095891</v>
      </c>
      <c r="F203" s="1509">
        <f>IF(CostScenario="Higher cost",IF(ISBLANK('PTA-Hi'!F203)=FALSE,'PTA-Hi'!F203,""),IF(CostScenario="Lower cost",IF(ISBLANK('PTA-Lo'!F203)=FALSE,'PTA-Lo'!F203,""),IF(ISBLANK('PTA-Mid'!F203)=FALSE,'PTA-Mid'!F203,"")))</f>
        <v>0.45205479452054786</v>
      </c>
      <c r="G203" s="1509">
        <f>IF(CostScenario="Higher cost",IF(ISBLANK('PTA-Hi'!G203)=FALSE,'PTA-Hi'!G203,""),IF(CostScenario="Lower cost",IF(ISBLANK('PTA-Lo'!G203)=FALSE,'PTA-Lo'!G203,""),IF(ISBLANK('PTA-Mid'!G203)=FALSE,'PTA-Mid'!G203,"")))</f>
        <v>0.11052631578947372</v>
      </c>
      <c r="H203" s="1509">
        <f>IF(CostScenario="Higher cost",IF(ISBLANK('PTA-Hi'!H203)=FALSE,'PTA-Hi'!H203,""),IF(CostScenario="Lower cost",IF(ISBLANK('PTA-Lo'!H203)=FALSE,'PTA-Lo'!H203,""),IF(ISBLANK('PTA-Mid'!H203)=FALSE,'PTA-Mid'!H203,"")))</f>
        <v>0.12000000000000001</v>
      </c>
      <c r="I203" s="1511">
        <f>IF(CostScenario="Higher cost",IF(ISBLANK('PTA-Hi'!I203)=FALSE,'PTA-Hi'!I203,""),IF(CostScenario="Lower cost",IF(ISBLANK('PTA-Lo'!I203)=FALSE,'PTA-Lo'!I203,""),IF(ISBLANK('PTA-Mid'!I203)=FALSE,'PTA-Mid'!I203,"")))</f>
        <v>7.4999999999999997E-2</v>
      </c>
      <c r="J203" s="1511">
        <f>IF(CostScenario="Higher cost",IF(ISBLANK('PTA-Hi'!J203)=FALSE,'PTA-Hi'!J203,""),IF(CostScenario="Lower cost",IF(ISBLANK('PTA-Lo'!J203)=FALSE,'PTA-Lo'!J203,""),IF(ISBLANK('PTA-Mid'!J203)=FALSE,'PTA-Mid'!J203,"")))</f>
        <v>0</v>
      </c>
      <c r="K203" s="1760">
        <f>IF(CostScenario="Higher cost",IF(ISBLANK('PTA-Hi'!K203)=FALSE,'PTA-Hi'!K203,""),IF(CostScenario="Lower cost",IF(ISBLANK('PTA-Lo'!K203)=FALSE,'PTA-Lo'!K203,""),IF(ISBLANK('PTA-Mid'!K203)=FALSE,'PTA-Mid'!K203,"")))</f>
        <v>0.191</v>
      </c>
      <c r="L203" s="1761">
        <f>IF(CostScenario="Higher cost",IF(ISBLANK('PTA-Hi'!L203)=FALSE,'PTA-Hi'!L203,""),IF(CostScenario="Lower cost",IF(ISBLANK('PTA-Lo'!L203)=FALSE,'PTA-Lo'!L203,""),IF(ISBLANK('PTA-Mid'!L203)=FALSE,'PTA-Mid'!L203,"")))</f>
        <v>0</v>
      </c>
      <c r="M203" s="1761">
        <f>IF(CostScenario="Higher cost",IF(ISBLANK('PTA-Hi'!M203)=FALSE,'PTA-Hi'!M203,""),IF(CostScenario="Lower cost",IF(ISBLANK('PTA-Lo'!M203)=FALSE,'PTA-Lo'!M203,""),IF(ISBLANK('PTA-Mid'!M203)=FALSE,'PTA-Mid'!M203,"")))</f>
        <v>0</v>
      </c>
      <c r="N203" s="1761">
        <f>IF(CostScenario="Higher cost",IF(ISBLANK('PTA-Hi'!N203)=FALSE,'PTA-Hi'!N203,""),IF(CostScenario="Lower cost",IF(ISBLANK('PTA-Lo'!N203)=FALSE,'PTA-Lo'!N203,""),IF(ISBLANK('PTA-Mid'!N203)=FALSE,'PTA-Mid'!N203,"")))</f>
        <v>0</v>
      </c>
      <c r="O203" s="1761">
        <f>IF(CostScenario="Higher cost",IF(ISBLANK('PTA-Hi'!O203)=FALSE,'PTA-Hi'!O203,""),IF(CostScenario="Lower cost",IF(ISBLANK('PTA-Lo'!O203)=FALSE,'PTA-Lo'!O203,""),IF(ISBLANK('PTA-Mid'!O203)=FALSE,'PTA-Mid'!O203,"")))</f>
        <v>0</v>
      </c>
      <c r="P203" s="1761">
        <f>IF(CostScenario="Higher cost",IF(ISBLANK('PTA-Hi'!P203)=FALSE,'PTA-Hi'!P203,""),IF(CostScenario="Lower cost",IF(ISBLANK('PTA-Lo'!P203)=FALSE,'PTA-Lo'!P203,""),IF(ISBLANK('PTA-Mid'!P203)=FALSE,'PTA-Mid'!P203,"")))</f>
        <v>0</v>
      </c>
      <c r="Q203" s="1761">
        <f>IF(CostScenario="Higher cost",IF(ISBLANK('PTA-Hi'!Q203)=FALSE,'PTA-Hi'!Q203,""),IF(CostScenario="Lower cost",IF(ISBLANK('PTA-Lo'!Q203)=FALSE,'PTA-Lo'!Q203,""),IF(ISBLANK('PTA-Mid'!Q203)=FALSE,'PTA-Mid'!Q203,"")))</f>
        <v>0</v>
      </c>
      <c r="R203" s="1761">
        <f>IF(CostScenario="Higher cost",IF(ISBLANK('PTA-Hi'!R203)=FALSE,'PTA-Hi'!R203,""),IF(CostScenario="Lower cost",IF(ISBLANK('PTA-Lo'!R203)=FALSE,'PTA-Lo'!R203,""),IF(ISBLANK('PTA-Mid'!R203)=FALSE,'PTA-Mid'!R203,"")))</f>
        <v>0</v>
      </c>
      <c r="S203" s="1761">
        <f>IF(CostScenario="Higher cost",IF(ISBLANK('PTA-Hi'!S203)=FALSE,'PTA-Hi'!S203,""),IF(CostScenario="Lower cost",IF(ISBLANK('PTA-Lo'!S203)=FALSE,'PTA-Lo'!S203,""),IF(ISBLANK('PTA-Mid'!S203)=FALSE,'PTA-Mid'!S203,"")))</f>
        <v>0</v>
      </c>
      <c r="T203" s="1761">
        <f>IF(CostScenario="Higher cost",IF(ISBLANK('PTA-Hi'!T203)=FALSE,'PTA-Hi'!T203,""),IF(CostScenario="Lower cost",IF(ISBLANK('PTA-Lo'!T203)=FALSE,'PTA-Lo'!T203,""),IF(ISBLANK('PTA-Mid'!T203)=FALSE,'PTA-Mid'!T203,"")))</f>
        <v>0</v>
      </c>
      <c r="U203" s="1761">
        <f>IF(CostScenario="Higher cost",IF(ISBLANK('PTA-Hi'!U203)=FALSE,'PTA-Hi'!U203,""),IF(CostScenario="Lower cost",IF(ISBLANK('PTA-Lo'!U203)=FALSE,'PTA-Lo'!U203,""),IF(ISBLANK('PTA-Mid'!U203)=FALSE,'PTA-Mid'!U203,"")))</f>
        <v>0</v>
      </c>
      <c r="V203" s="1761">
        <f>IF(CostScenario="Higher cost",IF(ISBLANK('PTA-Hi'!V203)=FALSE,'PTA-Hi'!V203,""),IF(CostScenario="Lower cost",IF(ISBLANK('PTA-Lo'!V203)=FALSE,'PTA-Lo'!V203,""),IF(ISBLANK('PTA-Mid'!V203)=FALSE,'PTA-Mid'!V203,"")))</f>
        <v>0</v>
      </c>
      <c r="W203" s="2976"/>
      <c r="X203" s="1762"/>
    </row>
    <row r="204" spans="1:24" s="206" customFormat="1">
      <c r="A204" s="1757" t="s">
        <v>940</v>
      </c>
      <c r="B204" s="1758"/>
      <c r="C204" s="1759" t="s">
        <v>1342</v>
      </c>
      <c r="D204" s="1509">
        <f>IF(CostScenario="Higher cost",IF(ISBLANK('PTA-Hi'!D204)=FALSE,'PTA-Hi'!D204,""),IF(CostScenario="Lower cost",IF(ISBLANK('PTA-Lo'!D204)=FALSE,'PTA-Lo'!D204,""),IF(ISBLANK('PTA-Mid'!D204)=FALSE,'PTA-Mid'!D204,"")))</f>
        <v>0.36986301369863012</v>
      </c>
      <c r="E204" s="1509">
        <f>IF(CostScenario="Higher cost",IF(ISBLANK('PTA-Hi'!E204)=FALSE,'PTA-Hi'!E204,""),IF(CostScenario="Lower cost",IF(ISBLANK('PTA-Lo'!E204)=FALSE,'PTA-Lo'!E204,""),IF(ISBLANK('PTA-Mid'!E204)=FALSE,'PTA-Mid'!E204,"")))</f>
        <v>0.36986301369863012</v>
      </c>
      <c r="F204" s="1509">
        <f>IF(CostScenario="Higher cost",IF(ISBLANK('PTA-Hi'!F204)=FALSE,'PTA-Hi'!F204,""),IF(CostScenario="Lower cost",IF(ISBLANK('PTA-Lo'!F204)=FALSE,'PTA-Lo'!F204,""),IF(ISBLANK('PTA-Mid'!F204)=FALSE,'PTA-Mid'!F204,"")))</f>
        <v>0.14155251141552508</v>
      </c>
      <c r="G204" s="1509">
        <f>IF(CostScenario="Higher cost",IF(ISBLANK('PTA-Hi'!G204)=FALSE,'PTA-Hi'!G204,""),IF(CostScenario="Lower cost",IF(ISBLANK('PTA-Lo'!G204)=FALSE,'PTA-Lo'!G204,""),IF(ISBLANK('PTA-Mid'!G204)=FALSE,'PTA-Mid'!G204,"")))</f>
        <v>3.7894736842105266E-2</v>
      </c>
      <c r="H204" s="1509">
        <f>IF(CostScenario="Higher cost",IF(ISBLANK('PTA-Hi'!H204)=FALSE,'PTA-Hi'!H204,""),IF(CostScenario="Lower cost",IF(ISBLANK('PTA-Lo'!H204)=FALSE,'PTA-Lo'!H204,""),IF(ISBLANK('PTA-Mid'!H204)=FALSE,'PTA-Mid'!H204,"")))</f>
        <v>2.8421052631578948E-2</v>
      </c>
      <c r="I204" s="1511">
        <f>IF(CostScenario="Higher cost",IF(ISBLANK('PTA-Hi'!I204)=FALSE,'PTA-Hi'!I204,""),IF(CostScenario="Lower cost",IF(ISBLANK('PTA-Lo'!I204)=FALSE,'PTA-Lo'!I204,""),IF(ISBLANK('PTA-Mid'!I204)=FALSE,'PTA-Mid'!I204,"")))</f>
        <v>1.2E-2</v>
      </c>
      <c r="J204" s="1510">
        <f>IF(CostScenario="Higher cost",IF(ISBLANK('PTA-Hi'!J204)=FALSE,'PTA-Hi'!J204,""),IF(CostScenario="Lower cost",IF(ISBLANK('PTA-Lo'!J204)=FALSE,'PTA-Lo'!J204,""),IF(ISBLANK('PTA-Mid'!J204)=FALSE,'PTA-Mid'!J204,"")))</f>
        <v>0</v>
      </c>
      <c r="K204" s="1510">
        <f>IF(CostScenario="Higher cost",IF(ISBLANK('PTA-Hi'!K204)=FALSE,'PTA-Hi'!K204,""),IF(CostScenario="Lower cost",IF(ISBLANK('PTA-Lo'!K204)=FALSE,'PTA-Lo'!K204,""),IF(ISBLANK('PTA-Mid'!K204)=FALSE,'PTA-Mid'!K204,"")))</f>
        <v>1.0999999999999999E-2</v>
      </c>
      <c r="L204" s="1510">
        <f>IF(CostScenario="Higher cost",IF(ISBLANK('PTA-Hi'!L204)=FALSE,'PTA-Hi'!L204,""),IF(CostScenario="Lower cost",IF(ISBLANK('PTA-Lo'!L204)=FALSE,'PTA-Lo'!L204,""),IF(ISBLANK('PTA-Mid'!L204)=FALSE,'PTA-Mid'!L204,"")))</f>
        <v>0</v>
      </c>
      <c r="M204" s="1510">
        <f>IF(CostScenario="Higher cost",IF(ISBLANK('PTA-Hi'!M204)=FALSE,'PTA-Hi'!M204,""),IF(CostScenario="Lower cost",IF(ISBLANK('PTA-Lo'!M204)=FALSE,'PTA-Lo'!M204,""),IF(ISBLANK('PTA-Mid'!M204)=FALSE,'PTA-Mid'!M204,"")))</f>
        <v>0</v>
      </c>
      <c r="N204" s="1510">
        <f>IF(CostScenario="Higher cost",IF(ISBLANK('PTA-Hi'!N204)=FALSE,'PTA-Hi'!N204,""),IF(CostScenario="Lower cost",IF(ISBLANK('PTA-Lo'!N204)=FALSE,'PTA-Lo'!N204,""),IF(ISBLANK('PTA-Mid'!N204)=FALSE,'PTA-Mid'!N204,"")))</f>
        <v>0</v>
      </c>
      <c r="O204" s="1510">
        <f>IF(CostScenario="Higher cost",IF(ISBLANK('PTA-Hi'!O204)=FALSE,'PTA-Hi'!O204,""),IF(CostScenario="Lower cost",IF(ISBLANK('PTA-Lo'!O204)=FALSE,'PTA-Lo'!O204,""),IF(ISBLANK('PTA-Mid'!O204)=FALSE,'PTA-Mid'!O204,"")))</f>
        <v>0</v>
      </c>
      <c r="P204" s="1510">
        <f>IF(CostScenario="Higher cost",IF(ISBLANK('PTA-Hi'!P204)=FALSE,'PTA-Hi'!P204,""),IF(CostScenario="Lower cost",IF(ISBLANK('PTA-Lo'!P204)=FALSE,'PTA-Lo'!P204,""),IF(ISBLANK('PTA-Mid'!P204)=FALSE,'PTA-Mid'!P204,"")))</f>
        <v>0</v>
      </c>
      <c r="Q204" s="1510">
        <f>IF(CostScenario="Higher cost",IF(ISBLANK('PTA-Hi'!Q204)=FALSE,'PTA-Hi'!Q204,""),IF(CostScenario="Lower cost",IF(ISBLANK('PTA-Lo'!Q204)=FALSE,'PTA-Lo'!Q204,""),IF(ISBLANK('PTA-Mid'!Q204)=FALSE,'PTA-Mid'!Q204,"")))</f>
        <v>0</v>
      </c>
      <c r="R204" s="1510">
        <f>IF(CostScenario="Higher cost",IF(ISBLANK('PTA-Hi'!R204)=FALSE,'PTA-Hi'!R204,""),IF(CostScenario="Lower cost",IF(ISBLANK('PTA-Lo'!R204)=FALSE,'PTA-Lo'!R204,""),IF(ISBLANK('PTA-Mid'!R204)=FALSE,'PTA-Mid'!R204,"")))</f>
        <v>0</v>
      </c>
      <c r="S204" s="1510">
        <f>IF(CostScenario="Higher cost",IF(ISBLANK('PTA-Hi'!S204)=FALSE,'PTA-Hi'!S204,""),IF(CostScenario="Lower cost",IF(ISBLANK('PTA-Lo'!S204)=FALSE,'PTA-Lo'!S204,""),IF(ISBLANK('PTA-Mid'!S204)=FALSE,'PTA-Mid'!S204,"")))</f>
        <v>0</v>
      </c>
      <c r="T204" s="1510">
        <f>IF(CostScenario="Higher cost",IF(ISBLANK('PTA-Hi'!T204)=FALSE,'PTA-Hi'!T204,""),IF(CostScenario="Lower cost",IF(ISBLANK('PTA-Lo'!T204)=FALSE,'PTA-Lo'!T204,""),IF(ISBLANK('PTA-Mid'!T204)=FALSE,'PTA-Mid'!T204,"")))</f>
        <v>0</v>
      </c>
      <c r="U204" s="1510">
        <f>IF(CostScenario="Higher cost",IF(ISBLANK('PTA-Hi'!U204)=FALSE,'PTA-Hi'!U204,""),IF(CostScenario="Lower cost",IF(ISBLANK('PTA-Lo'!U204)=FALSE,'PTA-Lo'!U204,""),IF(ISBLANK('PTA-Mid'!U204)=FALSE,'PTA-Mid'!U204,"")))</f>
        <v>0</v>
      </c>
      <c r="V204" s="1510">
        <f>IF(CostScenario="Higher cost",IF(ISBLANK('PTA-Hi'!V204)=FALSE,'PTA-Hi'!V204,""),IF(CostScenario="Lower cost",IF(ISBLANK('PTA-Lo'!V204)=FALSE,'PTA-Lo'!V204,""),IF(ISBLANK('PTA-Mid'!V204)=FALSE,'PTA-Mid'!V204,"")))</f>
        <v>0</v>
      </c>
      <c r="W204" s="2977"/>
      <c r="X204" s="1762"/>
    </row>
    <row r="205" spans="1:24" s="206" customFormat="1">
      <c r="A205" s="1757" t="s">
        <v>941</v>
      </c>
      <c r="B205" s="1758"/>
      <c r="C205" s="1759" t="s">
        <v>1343</v>
      </c>
      <c r="D205" s="1509">
        <f>IF(CostScenario="Higher cost",IF(ISBLANK('PTA-Hi'!D205)=FALSE,'PTA-Hi'!D205,""),IF(CostScenario="Lower cost",IF(ISBLANK('PTA-Lo'!D205)=FALSE,'PTA-Lo'!D205,""),IF(ISBLANK('PTA-Mid'!D205)=FALSE,'PTA-Mid'!D205,"")))</f>
        <v>2.5205479452054789</v>
      </c>
      <c r="E205" s="1509">
        <f>IF(CostScenario="Higher cost",IF(ISBLANK('PTA-Hi'!E205)=FALSE,'PTA-Hi'!E205,""),IF(CostScenario="Lower cost",IF(ISBLANK('PTA-Lo'!E205)=FALSE,'PTA-Lo'!E205,""),IF(ISBLANK('PTA-Mid'!E205)=FALSE,'PTA-Mid'!E205,"")))</f>
        <v>2.5205479452054789</v>
      </c>
      <c r="F205" s="1509">
        <f>IF(CostScenario="Higher cost",IF(ISBLANK('PTA-Hi'!F205)=FALSE,'PTA-Hi'!F205,""),IF(CostScenario="Lower cost",IF(ISBLANK('PTA-Lo'!F205)=FALSE,'PTA-Lo'!F205,""),IF(ISBLANK('PTA-Mid'!F205)=FALSE,'PTA-Mid'!F205,"")))</f>
        <v>0.86757990867579893</v>
      </c>
      <c r="G205" s="1509">
        <f>IF(CostScenario="Higher cost",IF(ISBLANK('PTA-Hi'!G205)=FALSE,'PTA-Hi'!G205,""),IF(CostScenario="Lower cost",IF(ISBLANK('PTA-Lo'!G205)=FALSE,'PTA-Lo'!G205,""),IF(ISBLANK('PTA-Mid'!G205)=FALSE,'PTA-Mid'!G205,"")))</f>
        <v>0.328421052631579</v>
      </c>
      <c r="H205" s="1509">
        <f>IF(CostScenario="Higher cost",IF(ISBLANK('PTA-Hi'!H205)=FALSE,'PTA-Hi'!H205,""),IF(CostScenario="Lower cost",IF(ISBLANK('PTA-Lo'!H205)=FALSE,'PTA-Lo'!H205,""),IF(ISBLANK('PTA-Mid'!H205)=FALSE,'PTA-Mid'!H205,"")))</f>
        <v>0.49736842105263168</v>
      </c>
      <c r="I205" s="1511">
        <f>IF(CostScenario="Higher cost",IF(ISBLANK('PTA-Hi'!I205)=FALSE,'PTA-Hi'!I205,""),IF(CostScenario="Lower cost",IF(ISBLANK('PTA-Lo'!I205)=FALSE,'PTA-Lo'!I205,""),IF(ISBLANK('PTA-Mid'!I205)=FALSE,'PTA-Mid'!I205,"")))</f>
        <v>0.105</v>
      </c>
      <c r="J205" s="1510">
        <f>IF(CostScenario="Higher cost",IF(ISBLANK('PTA-Hi'!J205)=FALSE,'PTA-Hi'!J205,""),IF(CostScenario="Lower cost",IF(ISBLANK('PTA-Lo'!J205)=FALSE,'PTA-Lo'!J205,""),IF(ISBLANK('PTA-Mid'!J205)=FALSE,'PTA-Mid'!J205,"")))</f>
        <v>0</v>
      </c>
      <c r="K205" s="1510">
        <f>IF(CostScenario="Higher cost",IF(ISBLANK('PTA-Hi'!K205)=FALSE,'PTA-Hi'!K205,""),IF(CostScenario="Lower cost",IF(ISBLANK('PTA-Lo'!K205)=FALSE,'PTA-Lo'!K205,""),IF(ISBLANK('PTA-Mid'!K205)=FALSE,'PTA-Mid'!K205,"")))</f>
        <v>5.8000000000000003E-2</v>
      </c>
      <c r="L205" s="1510">
        <f>IF(CostScenario="Higher cost",IF(ISBLANK('PTA-Hi'!L205)=FALSE,'PTA-Hi'!L205,""),IF(CostScenario="Lower cost",IF(ISBLANK('PTA-Lo'!L205)=FALSE,'PTA-Lo'!L205,""),IF(ISBLANK('PTA-Mid'!L205)=FALSE,'PTA-Mid'!L205,"")))</f>
        <v>0</v>
      </c>
      <c r="M205" s="1510">
        <f>IF(CostScenario="Higher cost",IF(ISBLANK('PTA-Hi'!M205)=FALSE,'PTA-Hi'!M205,""),IF(CostScenario="Lower cost",IF(ISBLANK('PTA-Lo'!M205)=FALSE,'PTA-Lo'!M205,""),IF(ISBLANK('PTA-Mid'!M205)=FALSE,'PTA-Mid'!M205,"")))</f>
        <v>0</v>
      </c>
      <c r="N205" s="1510">
        <f>IF(CostScenario="Higher cost",IF(ISBLANK('PTA-Hi'!N205)=FALSE,'PTA-Hi'!N205,""),IF(CostScenario="Lower cost",IF(ISBLANK('PTA-Lo'!N205)=FALSE,'PTA-Lo'!N205,""),IF(ISBLANK('PTA-Mid'!N205)=FALSE,'PTA-Mid'!N205,"")))</f>
        <v>0</v>
      </c>
      <c r="O205" s="1510">
        <f>IF(CostScenario="Higher cost",IF(ISBLANK('PTA-Hi'!O205)=FALSE,'PTA-Hi'!O205,""),IF(CostScenario="Lower cost",IF(ISBLANK('PTA-Lo'!O205)=FALSE,'PTA-Lo'!O205,""),IF(ISBLANK('PTA-Mid'!O205)=FALSE,'PTA-Mid'!O205,"")))</f>
        <v>0</v>
      </c>
      <c r="P205" s="1510">
        <f>IF(CostScenario="Higher cost",IF(ISBLANK('PTA-Hi'!P205)=FALSE,'PTA-Hi'!P205,""),IF(CostScenario="Lower cost",IF(ISBLANK('PTA-Lo'!P205)=FALSE,'PTA-Lo'!P205,""),IF(ISBLANK('PTA-Mid'!P205)=FALSE,'PTA-Mid'!P205,"")))</f>
        <v>0</v>
      </c>
      <c r="Q205" s="1510">
        <f>IF(CostScenario="Higher cost",IF(ISBLANK('PTA-Hi'!Q205)=FALSE,'PTA-Hi'!Q205,""),IF(CostScenario="Lower cost",IF(ISBLANK('PTA-Lo'!Q205)=FALSE,'PTA-Lo'!Q205,""),IF(ISBLANK('PTA-Mid'!Q205)=FALSE,'PTA-Mid'!Q205,"")))</f>
        <v>0</v>
      </c>
      <c r="R205" s="1510">
        <f>IF(CostScenario="Higher cost",IF(ISBLANK('PTA-Hi'!R205)=FALSE,'PTA-Hi'!R205,""),IF(CostScenario="Lower cost",IF(ISBLANK('PTA-Lo'!R205)=FALSE,'PTA-Lo'!R205,""),IF(ISBLANK('PTA-Mid'!R205)=FALSE,'PTA-Mid'!R205,"")))</f>
        <v>0</v>
      </c>
      <c r="S205" s="1510">
        <f>IF(CostScenario="Higher cost",IF(ISBLANK('PTA-Hi'!S205)=FALSE,'PTA-Hi'!S205,""),IF(CostScenario="Lower cost",IF(ISBLANK('PTA-Lo'!S205)=FALSE,'PTA-Lo'!S205,""),IF(ISBLANK('PTA-Mid'!S205)=FALSE,'PTA-Mid'!S205,"")))</f>
        <v>0</v>
      </c>
      <c r="T205" s="1510">
        <f>IF(CostScenario="Higher cost",IF(ISBLANK('PTA-Hi'!T205)=FALSE,'PTA-Hi'!T205,""),IF(CostScenario="Lower cost",IF(ISBLANK('PTA-Lo'!T205)=FALSE,'PTA-Lo'!T205,""),IF(ISBLANK('PTA-Mid'!T205)=FALSE,'PTA-Mid'!T205,"")))</f>
        <v>0</v>
      </c>
      <c r="U205" s="1510">
        <f>IF(CostScenario="Higher cost",IF(ISBLANK('PTA-Hi'!U205)=FALSE,'PTA-Hi'!U205,""),IF(CostScenario="Lower cost",IF(ISBLANK('PTA-Lo'!U205)=FALSE,'PTA-Lo'!U205,""),IF(ISBLANK('PTA-Mid'!U205)=FALSE,'PTA-Mid'!U205,"")))</f>
        <v>0</v>
      </c>
      <c r="V205" s="1510">
        <f>IF(CostScenario="Higher cost",IF(ISBLANK('PTA-Hi'!V205)=FALSE,'PTA-Hi'!V205,""),IF(CostScenario="Lower cost",IF(ISBLANK('PTA-Lo'!V205)=FALSE,'PTA-Lo'!V205,""),IF(ISBLANK('PTA-Mid'!V205)=FALSE,'PTA-Mid'!V205,"")))</f>
        <v>0</v>
      </c>
      <c r="W205" s="2977"/>
      <c r="X205" s="1762"/>
    </row>
    <row r="206" spans="1:24" s="1771" customFormat="1">
      <c r="A206" s="1765" t="s">
        <v>942</v>
      </c>
      <c r="B206" s="1766"/>
      <c r="C206" s="2769" t="s">
        <v>1711</v>
      </c>
      <c r="D206" s="1767">
        <f>IF(CostScenario="Higher cost",IF(ISBLANK('PTA-Hi'!D206)=FALSE,'PTA-Hi'!D206,""),IF(CostScenario="Lower cost",IF(ISBLANK('PTA-Lo'!D206)=FALSE,'PTA-Lo'!D206,""),IF(ISBLANK('PTA-Mid'!D206)=FALSE,'PTA-Mid'!D206,"")))</f>
        <v>1239.2918</v>
      </c>
      <c r="E206" s="1767">
        <f>IF(CostScenario="Higher cost",IF(ISBLANK('PTA-Hi'!E206)=FALSE,'PTA-Hi'!E206,""),IF(CostScenario="Lower cost",IF(ISBLANK('PTA-Lo'!E206)=FALSE,'PTA-Lo'!E206,""),IF(ISBLANK('PTA-Mid'!E206)=FALSE,'PTA-Mid'!E206,"")))</f>
        <v>1239.2918</v>
      </c>
      <c r="F206" s="1767">
        <f>IF(CostScenario="Higher cost",IF(ISBLANK('PTA-Hi'!F206)=FALSE,'PTA-Hi'!F206,""),IF(CostScenario="Lower cost",IF(ISBLANK('PTA-Lo'!F206)=FALSE,'PTA-Lo'!F206,""),IF(ISBLANK('PTA-Mid'!F206)=FALSE,'PTA-Mid'!F206,"")))</f>
        <v>1156.7503999999999</v>
      </c>
      <c r="G206" s="1767">
        <f>IF(CostScenario="Higher cost",IF(ISBLANK('PTA-Hi'!G206)=FALSE,'PTA-Hi'!G206,""),IF(CostScenario="Lower cost",IF(ISBLANK('PTA-Lo'!G206)=FALSE,'PTA-Lo'!G206,""),IF(ISBLANK('PTA-Mid'!G206)=FALSE,'PTA-Mid'!G206,"")))</f>
        <v>848.83</v>
      </c>
      <c r="H206" s="1767">
        <f>IF(CostScenario="Higher cost",IF(ISBLANK('PTA-Hi'!H206)=FALSE,'PTA-Hi'!H206,""),IF(CostScenario="Lower cost",IF(ISBLANK('PTA-Lo'!H206)=FALSE,'PTA-Lo'!H206,""),IF(ISBLANK('PTA-Mid'!H206)=FALSE,'PTA-Mid'!H206,"")))</f>
        <v>848.83</v>
      </c>
      <c r="I206" s="1769">
        <f>IF(CostScenario="Higher cost",IF(ISBLANK('PTA-Hi'!I206)=FALSE,'PTA-Hi'!I206,""),IF(CostScenario="Lower cost",IF(ISBLANK('PTA-Lo'!I206)=FALSE,'PTA-Lo'!I206,""),IF(ISBLANK('PTA-Mid'!I206)=FALSE,'PTA-Mid'!I206,"")))</f>
        <v>195</v>
      </c>
      <c r="J206" s="1768">
        <f>IF(CostScenario="Higher cost",IF(ISBLANK('PTA-Hi'!J206)=FALSE,'PTA-Hi'!J206,""),IF(CostScenario="Lower cost",IF(ISBLANK('PTA-Lo'!J206)=FALSE,'PTA-Lo'!J206,""),IF(ISBLANK('PTA-Mid'!J206)=FALSE,'PTA-Mid'!J206,"")))</f>
        <v>0</v>
      </c>
      <c r="K206" s="1769">
        <f>IF(CostScenario="Higher cost",IF(ISBLANK('PTA-Hi'!K206)=FALSE,'PTA-Hi'!K206,""),IF(CostScenario="Lower cost",IF(ISBLANK('PTA-Lo'!K206)=FALSE,'PTA-Lo'!K206,""),IF(ISBLANK('PTA-Mid'!K206)=FALSE,'PTA-Mid'!K206,"")))</f>
        <v>264.51600000000002</v>
      </c>
      <c r="L206" s="1769">
        <f>IF(CostScenario="Higher cost",IF(ISBLANK('PTA-Hi'!L206)=FALSE,'PTA-Hi'!L206,""),IF(CostScenario="Lower cost",IF(ISBLANK('PTA-Lo'!L206)=FALSE,'PTA-Lo'!L206,""),IF(ISBLANK('PTA-Mid'!L206)=FALSE,'PTA-Mid'!L206,"")))</f>
        <v>0</v>
      </c>
      <c r="M206" s="1769">
        <f>IF(CostScenario="Higher cost",IF(ISBLANK('PTA-Hi'!M206)=FALSE,'PTA-Hi'!M206,""),IF(CostScenario="Lower cost",IF(ISBLANK('PTA-Lo'!M206)=FALSE,'PTA-Lo'!M206,""),IF(ISBLANK('PTA-Mid'!M206)=FALSE,'PTA-Mid'!M206,"")))</f>
        <v>0</v>
      </c>
      <c r="N206" s="1769">
        <f>IF(CostScenario="Higher cost",IF(ISBLANK('PTA-Hi'!N206)=FALSE,'PTA-Hi'!N206,""),IF(CostScenario="Lower cost",IF(ISBLANK('PTA-Lo'!N206)=FALSE,'PTA-Lo'!N206,""),IF(ISBLANK('PTA-Mid'!N206)=FALSE,'PTA-Mid'!N206,"")))</f>
        <v>0</v>
      </c>
      <c r="O206" s="1769">
        <f>IF(CostScenario="Higher cost",IF(ISBLANK('PTA-Hi'!O206)=FALSE,'PTA-Hi'!O206,""),IF(CostScenario="Lower cost",IF(ISBLANK('PTA-Lo'!O206)=FALSE,'PTA-Lo'!O206,""),IF(ISBLANK('PTA-Mid'!O206)=FALSE,'PTA-Mid'!O206,"")))</f>
        <v>0</v>
      </c>
      <c r="P206" s="1769">
        <f>IF(CostScenario="Higher cost",IF(ISBLANK('PTA-Hi'!P206)=FALSE,'PTA-Hi'!P206,""),IF(CostScenario="Lower cost",IF(ISBLANK('PTA-Lo'!P206)=FALSE,'PTA-Lo'!P206,""),IF(ISBLANK('PTA-Mid'!P206)=FALSE,'PTA-Mid'!P206,"")))</f>
        <v>0</v>
      </c>
      <c r="Q206" s="1769">
        <f>IF(CostScenario="Higher cost",IF(ISBLANK('PTA-Hi'!Q206)=FALSE,'PTA-Hi'!Q206,""),IF(CostScenario="Lower cost",IF(ISBLANK('PTA-Lo'!Q206)=FALSE,'PTA-Lo'!Q206,""),IF(ISBLANK('PTA-Mid'!Q206)=FALSE,'PTA-Mid'!Q206,"")))</f>
        <v>0</v>
      </c>
      <c r="R206" s="1768">
        <f>IF(CostScenario="Higher cost",IF(ISBLANK('PTA-Hi'!R206)=FALSE,'PTA-Hi'!R206,""),IF(CostScenario="Lower cost",IF(ISBLANK('PTA-Lo'!R206)=FALSE,'PTA-Lo'!R206,""),IF(ISBLANK('PTA-Mid'!R206)=FALSE,'PTA-Mid'!R206,"")))</f>
        <v>0</v>
      </c>
      <c r="S206" s="1769">
        <f>IF(CostScenario="Higher cost",IF(ISBLANK('PTA-Hi'!S206)=FALSE,'PTA-Hi'!S206,""),IF(CostScenario="Lower cost",IF(ISBLANK('PTA-Lo'!S206)=FALSE,'PTA-Lo'!S206,""),IF(ISBLANK('PTA-Mid'!S206)=FALSE,'PTA-Mid'!S206,"")))</f>
        <v>0</v>
      </c>
      <c r="T206" s="1768">
        <f>IF(CostScenario="Higher cost",IF(ISBLANK('PTA-Hi'!T206)=FALSE,'PTA-Hi'!T206,""),IF(CostScenario="Lower cost",IF(ISBLANK('PTA-Lo'!T206)=FALSE,'PTA-Lo'!T206,""),IF(ISBLANK('PTA-Mid'!T206)=FALSE,'PTA-Mid'!T206,"")))</f>
        <v>0</v>
      </c>
      <c r="U206" s="1768">
        <f>IF(CostScenario="Higher cost",IF(ISBLANK('PTA-Hi'!U206)=FALSE,'PTA-Hi'!U206,""),IF(CostScenario="Lower cost",IF(ISBLANK('PTA-Lo'!U206)=FALSE,'PTA-Lo'!U206,""),IF(ISBLANK('PTA-Mid'!U206)=FALSE,'PTA-Mid'!U206,"")))</f>
        <v>0</v>
      </c>
      <c r="V206" s="1768">
        <f>IF(CostScenario="Higher cost",IF(ISBLANK('PTA-Hi'!V206)=FALSE,'PTA-Hi'!V206,""),IF(CostScenario="Lower cost",IF(ISBLANK('PTA-Lo'!V206)=FALSE,'PTA-Lo'!V206,""),IF(ISBLANK('PTA-Mid'!V206)=FALSE,'PTA-Mid'!V206,"")))</f>
        <v>0</v>
      </c>
      <c r="W206" s="2978"/>
      <c r="X206" s="1770"/>
    </row>
    <row r="207" spans="1:24" s="206" customFormat="1">
      <c r="A207" s="1757" t="s">
        <v>943</v>
      </c>
      <c r="B207" s="1758"/>
      <c r="C207" s="1759" t="s">
        <v>294</v>
      </c>
      <c r="D207" s="973" t="str">
        <f>IF(CostScenario="Higher cost",IF(ISBLANK('PTA-Hi'!D207)=FALSE,'PTA-Hi'!D207,""),IF(CostScenario="Lower cost",IF(ISBLANK('PTA-Lo'!D207)=FALSE,'PTA-Lo'!D207,""),IF(ISBLANK('PTA-Mid'!D207)=FALSE,'PTA-Mid'!D207,"")))</f>
        <v/>
      </c>
      <c r="E207" s="973" t="str">
        <f>IF(CostScenario="Higher cost",IF(ISBLANK('PTA-Hi'!E207)=FALSE,'PTA-Hi'!E207,""),IF(CostScenario="Lower cost",IF(ISBLANK('PTA-Lo'!E207)=FALSE,'PTA-Lo'!E207,""),IF(ISBLANK('PTA-Mid'!E207)=FALSE,'PTA-Mid'!E207,"")))</f>
        <v/>
      </c>
      <c r="F207" s="973" t="str">
        <f>IF(CostScenario="Higher cost",IF(ISBLANK('PTA-Hi'!F207)=FALSE,'PTA-Hi'!F207,""),IF(CostScenario="Lower cost",IF(ISBLANK('PTA-Lo'!F207)=FALSE,'PTA-Lo'!F207,""),IF(ISBLANK('PTA-Mid'!F207)=FALSE,'PTA-Mid'!F207,"")))</f>
        <v/>
      </c>
      <c r="G207" s="973" t="str">
        <f>IF(CostScenario="Higher cost",IF(ISBLANK('PTA-Hi'!G207)=FALSE,'PTA-Hi'!G207,""),IF(CostScenario="Lower cost",IF(ISBLANK('PTA-Lo'!G207)=FALSE,'PTA-Lo'!G207,""),IF(ISBLANK('PTA-Mid'!G207)=FALSE,'PTA-Mid'!G207,"")))</f>
        <v/>
      </c>
      <c r="H207" s="973" t="str">
        <f>IF(CostScenario="Higher cost",IF(ISBLANK('PTA-Hi'!H207)=FALSE,'PTA-Hi'!H207,""),IF(CostScenario="Lower cost",IF(ISBLANK('PTA-Lo'!H207)=FALSE,'PTA-Lo'!H207,""),IF(ISBLANK('PTA-Mid'!H207)=FALSE,'PTA-Mid'!H207,"")))</f>
        <v/>
      </c>
      <c r="I207" s="1763" t="str">
        <f>IF(CostScenario="Higher cost",IF(ISBLANK('PTA-Hi'!I207)=FALSE,'PTA-Hi'!I207,""),IF(CostScenario="Lower cost",IF(ISBLANK('PTA-Lo'!I207)=FALSE,'PTA-Lo'!I207,""),IF(ISBLANK('PTA-Mid'!I207)=FALSE,'PTA-Mid'!I207,"")))</f>
        <v/>
      </c>
      <c r="J207" s="1764" t="str">
        <f>IF(CostScenario="Higher cost",IF(ISBLANK('PTA-Hi'!J207)=FALSE,'PTA-Hi'!J207,""),IF(CostScenario="Lower cost",IF(ISBLANK('PTA-Lo'!J207)=FALSE,'PTA-Lo'!J207,""),IF(ISBLANK('PTA-Mid'!J207)=FALSE,'PTA-Mid'!J207,"")))</f>
        <v/>
      </c>
      <c r="K207" s="1764" t="str">
        <f>IF(CostScenario="Higher cost",IF(ISBLANK('PTA-Hi'!K207)=FALSE,'PTA-Hi'!K207,""),IF(CostScenario="Lower cost",IF(ISBLANK('PTA-Lo'!K207)=FALSE,'PTA-Lo'!K207,""),IF(ISBLANK('PTA-Mid'!K207)=FALSE,'PTA-Mid'!K207,"")))</f>
        <v/>
      </c>
      <c r="L207" s="206" t="str">
        <f>IF(CostScenario="Higher cost",IF(ISBLANK('PTA-Hi'!L207)=FALSE,'PTA-Hi'!L207,""),IF(CostScenario="Lower cost",IF(ISBLANK('PTA-Lo'!L207)=FALSE,'PTA-Lo'!L207,""),IF(ISBLANK('PTA-Mid'!L207)=FALSE,'PTA-Mid'!L207,"")))</f>
        <v/>
      </c>
      <c r="M207" s="206" t="str">
        <f>IF(CostScenario="Higher cost",IF(ISBLANK('PTA-Hi'!M207)=FALSE,'PTA-Hi'!M207,""),IF(CostScenario="Lower cost",IF(ISBLANK('PTA-Lo'!M207)=FALSE,'PTA-Lo'!M207,""),IF(ISBLANK('PTA-Mid'!M207)=FALSE,'PTA-Mid'!M207,"")))</f>
        <v/>
      </c>
      <c r="N207" s="206" t="str">
        <f>IF(CostScenario="Higher cost",IF(ISBLANK('PTA-Hi'!N207)=FALSE,'PTA-Hi'!N207,""),IF(CostScenario="Lower cost",IF(ISBLANK('PTA-Lo'!N207)=FALSE,'PTA-Lo'!N207,""),IF(ISBLANK('PTA-Mid'!N207)=FALSE,'PTA-Mid'!N207,"")))</f>
        <v/>
      </c>
      <c r="O207" s="206" t="str">
        <f>IF(CostScenario="Higher cost",IF(ISBLANK('PTA-Hi'!O207)=FALSE,'PTA-Hi'!O207,""),IF(CostScenario="Lower cost",IF(ISBLANK('PTA-Lo'!O207)=FALSE,'PTA-Lo'!O207,""),IF(ISBLANK('PTA-Mid'!O207)=FALSE,'PTA-Mid'!O207,"")))</f>
        <v/>
      </c>
      <c r="P207" s="206" t="str">
        <f>IF(CostScenario="Higher cost",IF(ISBLANK('PTA-Hi'!P207)=FALSE,'PTA-Hi'!P207,""),IF(CostScenario="Lower cost",IF(ISBLANK('PTA-Lo'!P207)=FALSE,'PTA-Lo'!P207,""),IF(ISBLANK('PTA-Mid'!P207)=FALSE,'PTA-Mid'!P207,"")))</f>
        <v/>
      </c>
      <c r="Q207" s="206" t="str">
        <f>IF(CostScenario="Higher cost",IF(ISBLANK('PTA-Hi'!Q207)=FALSE,'PTA-Hi'!Q207,""),IF(CostScenario="Lower cost",IF(ISBLANK('PTA-Lo'!Q207)=FALSE,'PTA-Lo'!Q207,""),IF(ISBLANK('PTA-Mid'!Q207)=FALSE,'PTA-Mid'!Q207,"")))</f>
        <v/>
      </c>
      <c r="R207" s="206" t="str">
        <f>IF(CostScenario="Higher cost",IF(ISBLANK('PTA-Hi'!R207)=FALSE,'PTA-Hi'!R207,""),IF(CostScenario="Lower cost",IF(ISBLANK('PTA-Lo'!R207)=FALSE,'PTA-Lo'!R207,""),IF(ISBLANK('PTA-Mid'!R207)=FALSE,'PTA-Mid'!R207,"")))</f>
        <v/>
      </c>
      <c r="S207" s="206" t="str">
        <f>IF(CostScenario="Higher cost",IF(ISBLANK('PTA-Hi'!S207)=FALSE,'PTA-Hi'!S207,""),IF(CostScenario="Lower cost",IF(ISBLANK('PTA-Lo'!S207)=FALSE,'PTA-Lo'!S207,""),IF(ISBLANK('PTA-Mid'!S207)=FALSE,'PTA-Mid'!S207,"")))</f>
        <v/>
      </c>
      <c r="T207" s="206" t="str">
        <f>IF(CostScenario="Higher cost",IF(ISBLANK('PTA-Hi'!T207)=FALSE,'PTA-Hi'!T207,""),IF(CostScenario="Lower cost",IF(ISBLANK('PTA-Lo'!T207)=FALSE,'PTA-Lo'!T207,""),IF(ISBLANK('PTA-Mid'!T207)=FALSE,'PTA-Mid'!T207,"")))</f>
        <v/>
      </c>
      <c r="U207" s="206" t="str">
        <f>IF(CostScenario="Higher cost",IF(ISBLANK('PTA-Hi'!U207)=FALSE,'PTA-Hi'!U207,""),IF(CostScenario="Lower cost",IF(ISBLANK('PTA-Lo'!U207)=FALSE,'PTA-Lo'!U207,""),IF(ISBLANK('PTA-Mid'!U207)=FALSE,'PTA-Mid'!U207,"")))</f>
        <v/>
      </c>
      <c r="V207" s="206" t="str">
        <f>IF(CostScenario="Higher cost",IF(ISBLANK('PTA-Hi'!V207)=FALSE,'PTA-Hi'!V207,""),IF(CostScenario="Lower cost",IF(ISBLANK('PTA-Lo'!V207)=FALSE,'PTA-Lo'!V207,""),IF(ISBLANK('PTA-Mid'!V207)=FALSE,'PTA-Mid'!V207,"")))</f>
        <v/>
      </c>
      <c r="W207" s="94"/>
      <c r="X207" s="1762"/>
    </row>
    <row r="208" spans="1:24" s="206" customFormat="1">
      <c r="A208" s="1757" t="s">
        <v>944</v>
      </c>
      <c r="B208" s="1758"/>
      <c r="C208" s="1759" t="s">
        <v>295</v>
      </c>
      <c r="D208" s="973" t="str">
        <f>IF(CostScenario="Higher cost",IF(ISBLANK('PTA-Hi'!D208)=FALSE,'PTA-Hi'!D208,""),IF(CostScenario="Lower cost",IF(ISBLANK('PTA-Lo'!D208)=FALSE,'PTA-Lo'!D208,""),IF(ISBLANK('PTA-Mid'!D208)=FALSE,'PTA-Mid'!D208,"")))</f>
        <v/>
      </c>
      <c r="E208" s="973" t="str">
        <f>IF(CostScenario="Higher cost",IF(ISBLANK('PTA-Hi'!E208)=FALSE,'PTA-Hi'!E208,""),IF(CostScenario="Lower cost",IF(ISBLANK('PTA-Lo'!E208)=FALSE,'PTA-Lo'!E208,""),IF(ISBLANK('PTA-Mid'!E208)=FALSE,'PTA-Mid'!E208,"")))</f>
        <v/>
      </c>
      <c r="F208" s="973" t="str">
        <f>IF(CostScenario="Higher cost",IF(ISBLANK('PTA-Hi'!F208)=FALSE,'PTA-Hi'!F208,""),IF(CostScenario="Lower cost",IF(ISBLANK('PTA-Lo'!F208)=FALSE,'PTA-Lo'!F208,""),IF(ISBLANK('PTA-Mid'!F208)=FALSE,'PTA-Mid'!F208,"")))</f>
        <v/>
      </c>
      <c r="G208" s="973" t="str">
        <f>IF(CostScenario="Higher cost",IF(ISBLANK('PTA-Hi'!G208)=FALSE,'PTA-Hi'!G208,""),IF(CostScenario="Lower cost",IF(ISBLANK('PTA-Lo'!G208)=FALSE,'PTA-Lo'!G208,""),IF(ISBLANK('PTA-Mid'!G208)=FALSE,'PTA-Mid'!G208,"")))</f>
        <v/>
      </c>
      <c r="H208" s="973" t="str">
        <f>IF(CostScenario="Higher cost",IF(ISBLANK('PTA-Hi'!H208)=FALSE,'PTA-Hi'!H208,""),IF(CostScenario="Lower cost",IF(ISBLANK('PTA-Lo'!H208)=FALSE,'PTA-Lo'!H208,""),IF(ISBLANK('PTA-Mid'!H208)=FALSE,'PTA-Mid'!H208,"")))</f>
        <v/>
      </c>
      <c r="I208" s="1763" t="str">
        <f>IF(CostScenario="Higher cost",IF(ISBLANK('PTA-Hi'!I208)=FALSE,'PTA-Hi'!I208,""),IF(CostScenario="Lower cost",IF(ISBLANK('PTA-Lo'!I208)=FALSE,'PTA-Lo'!I208,""),IF(ISBLANK('PTA-Mid'!I208)=FALSE,'PTA-Mid'!I208,"")))</f>
        <v/>
      </c>
      <c r="J208" s="206" t="str">
        <f>IF(CostScenario="Higher cost",IF(ISBLANK('PTA-Hi'!J208)=FALSE,'PTA-Hi'!J208,""),IF(CostScenario="Lower cost",IF(ISBLANK('PTA-Lo'!J208)=FALSE,'PTA-Lo'!J208,""),IF(ISBLANK('PTA-Mid'!J208)=FALSE,'PTA-Mid'!J208,"")))</f>
        <v/>
      </c>
      <c r="K208" s="206" t="str">
        <f>IF(CostScenario="Higher cost",IF(ISBLANK('PTA-Hi'!K208)=FALSE,'PTA-Hi'!K208,""),IF(CostScenario="Lower cost",IF(ISBLANK('PTA-Lo'!K208)=FALSE,'PTA-Lo'!K208,""),IF(ISBLANK('PTA-Mid'!K208)=FALSE,'PTA-Mid'!K208,"")))</f>
        <v/>
      </c>
      <c r="L208" s="206" t="str">
        <f>IF(CostScenario="Higher cost",IF(ISBLANK('PTA-Hi'!L208)=FALSE,'PTA-Hi'!L208,""),IF(CostScenario="Lower cost",IF(ISBLANK('PTA-Lo'!L208)=FALSE,'PTA-Lo'!L208,""),IF(ISBLANK('PTA-Mid'!L208)=FALSE,'PTA-Mid'!L208,"")))</f>
        <v/>
      </c>
      <c r="M208" s="206" t="str">
        <f>IF(CostScenario="Higher cost",IF(ISBLANK('PTA-Hi'!M208)=FALSE,'PTA-Hi'!M208,""),IF(CostScenario="Lower cost",IF(ISBLANK('PTA-Lo'!M208)=FALSE,'PTA-Lo'!M208,""),IF(ISBLANK('PTA-Mid'!M208)=FALSE,'PTA-Mid'!M208,"")))</f>
        <v/>
      </c>
      <c r="N208" s="206" t="str">
        <f>IF(CostScenario="Higher cost",IF(ISBLANK('PTA-Hi'!N208)=FALSE,'PTA-Hi'!N208,""),IF(CostScenario="Lower cost",IF(ISBLANK('PTA-Lo'!N208)=FALSE,'PTA-Lo'!N208,""),IF(ISBLANK('PTA-Mid'!N208)=FALSE,'PTA-Mid'!N208,"")))</f>
        <v/>
      </c>
      <c r="O208" s="206" t="str">
        <f>IF(CostScenario="Higher cost",IF(ISBLANK('PTA-Hi'!O208)=FALSE,'PTA-Hi'!O208,""),IF(CostScenario="Lower cost",IF(ISBLANK('PTA-Lo'!O208)=FALSE,'PTA-Lo'!O208,""),IF(ISBLANK('PTA-Mid'!O208)=FALSE,'PTA-Mid'!O208,"")))</f>
        <v/>
      </c>
      <c r="P208" s="206" t="str">
        <f>IF(CostScenario="Higher cost",IF(ISBLANK('PTA-Hi'!P208)=FALSE,'PTA-Hi'!P208,""),IF(CostScenario="Lower cost",IF(ISBLANK('PTA-Lo'!P208)=FALSE,'PTA-Lo'!P208,""),IF(ISBLANK('PTA-Mid'!P208)=FALSE,'PTA-Mid'!P208,"")))</f>
        <v/>
      </c>
      <c r="Q208" s="206" t="str">
        <f>IF(CostScenario="Higher cost",IF(ISBLANK('PTA-Hi'!Q208)=FALSE,'PTA-Hi'!Q208,""),IF(CostScenario="Lower cost",IF(ISBLANK('PTA-Lo'!Q208)=FALSE,'PTA-Lo'!Q208,""),IF(ISBLANK('PTA-Mid'!Q208)=FALSE,'PTA-Mid'!Q208,"")))</f>
        <v/>
      </c>
      <c r="R208" s="206" t="str">
        <f>IF(CostScenario="Higher cost",IF(ISBLANK('PTA-Hi'!R208)=FALSE,'PTA-Hi'!R208,""),IF(CostScenario="Lower cost",IF(ISBLANK('PTA-Lo'!R208)=FALSE,'PTA-Lo'!R208,""),IF(ISBLANK('PTA-Mid'!R208)=FALSE,'PTA-Mid'!R208,"")))</f>
        <v/>
      </c>
      <c r="S208" s="206" t="str">
        <f>IF(CostScenario="Higher cost",IF(ISBLANK('PTA-Hi'!S208)=FALSE,'PTA-Hi'!S208,""),IF(CostScenario="Lower cost",IF(ISBLANK('PTA-Lo'!S208)=FALSE,'PTA-Lo'!S208,""),IF(ISBLANK('PTA-Mid'!S208)=FALSE,'PTA-Mid'!S208,"")))</f>
        <v/>
      </c>
      <c r="T208" s="206" t="str">
        <f>IF(CostScenario="Higher cost",IF(ISBLANK('PTA-Hi'!T208)=FALSE,'PTA-Hi'!T208,""),IF(CostScenario="Lower cost",IF(ISBLANK('PTA-Lo'!T208)=FALSE,'PTA-Lo'!T208,""),IF(ISBLANK('PTA-Mid'!T208)=FALSE,'PTA-Mid'!T208,"")))</f>
        <v/>
      </c>
      <c r="U208" s="206" t="str">
        <f>IF(CostScenario="Higher cost",IF(ISBLANK('PTA-Hi'!U208)=FALSE,'PTA-Hi'!U208,""),IF(CostScenario="Lower cost",IF(ISBLANK('PTA-Lo'!U208)=FALSE,'PTA-Lo'!U208,""),IF(ISBLANK('PTA-Mid'!U208)=FALSE,'PTA-Mid'!U208,"")))</f>
        <v/>
      </c>
      <c r="V208" s="206" t="str">
        <f>IF(CostScenario="Higher cost",IF(ISBLANK('PTA-Hi'!V208)=FALSE,'PTA-Hi'!V208,""),IF(CostScenario="Lower cost",IF(ISBLANK('PTA-Lo'!V208)=FALSE,'PTA-Lo'!V208,""),IF(ISBLANK('PTA-Mid'!V208)=FALSE,'PTA-Mid'!V208,"")))</f>
        <v/>
      </c>
      <c r="W208" s="94"/>
      <c r="X208" s="1762"/>
    </row>
    <row r="209" spans="1:24" s="206" customFormat="1">
      <c r="A209" s="1757" t="s">
        <v>945</v>
      </c>
      <c r="B209" s="1758"/>
      <c r="C209" s="1759" t="s">
        <v>296</v>
      </c>
      <c r="D209" s="973" t="str">
        <f>IF(CostScenario="Higher cost",IF(ISBLANK('PTA-Hi'!D209)=FALSE,'PTA-Hi'!D209,""),IF(CostScenario="Lower cost",IF(ISBLANK('PTA-Lo'!D209)=FALSE,'PTA-Lo'!D209,""),IF(ISBLANK('PTA-Mid'!D209)=FALSE,'PTA-Mid'!D209,"")))</f>
        <v/>
      </c>
      <c r="E209" s="973" t="str">
        <f>IF(CostScenario="Higher cost",IF(ISBLANK('PTA-Hi'!E209)=FALSE,'PTA-Hi'!E209,""),IF(CostScenario="Lower cost",IF(ISBLANK('PTA-Lo'!E209)=FALSE,'PTA-Lo'!E209,""),IF(ISBLANK('PTA-Mid'!E209)=FALSE,'PTA-Mid'!E209,"")))</f>
        <v/>
      </c>
      <c r="F209" s="973" t="str">
        <f>IF(CostScenario="Higher cost",IF(ISBLANK('PTA-Hi'!F209)=FALSE,'PTA-Hi'!F209,""),IF(CostScenario="Lower cost",IF(ISBLANK('PTA-Lo'!F209)=FALSE,'PTA-Lo'!F209,""),IF(ISBLANK('PTA-Mid'!F209)=FALSE,'PTA-Mid'!F209,"")))</f>
        <v/>
      </c>
      <c r="G209" s="973" t="str">
        <f>IF(CostScenario="Higher cost",IF(ISBLANK('PTA-Hi'!G209)=FALSE,'PTA-Hi'!G209,""),IF(CostScenario="Lower cost",IF(ISBLANK('PTA-Lo'!G209)=FALSE,'PTA-Lo'!G209,""),IF(ISBLANK('PTA-Mid'!G209)=FALSE,'PTA-Mid'!G209,"")))</f>
        <v/>
      </c>
      <c r="H209" s="973" t="str">
        <f>IF(CostScenario="Higher cost",IF(ISBLANK('PTA-Hi'!H209)=FALSE,'PTA-Hi'!H209,""),IF(CostScenario="Lower cost",IF(ISBLANK('PTA-Lo'!H209)=FALSE,'PTA-Lo'!H209,""),IF(ISBLANK('PTA-Mid'!H209)=FALSE,'PTA-Mid'!H209,"")))</f>
        <v/>
      </c>
      <c r="I209" s="1763" t="str">
        <f>IF(CostScenario="Higher cost",IF(ISBLANK('PTA-Hi'!I209)=FALSE,'PTA-Hi'!I209,""),IF(CostScenario="Lower cost",IF(ISBLANK('PTA-Lo'!I209)=FALSE,'PTA-Lo'!I209,""),IF(ISBLANK('PTA-Mid'!I209)=FALSE,'PTA-Mid'!I209,"")))</f>
        <v/>
      </c>
      <c r="J209" s="206" t="str">
        <f>IF(CostScenario="Higher cost",IF(ISBLANK('PTA-Hi'!J209)=FALSE,'PTA-Hi'!J209,""),IF(CostScenario="Lower cost",IF(ISBLANK('PTA-Lo'!J209)=FALSE,'PTA-Lo'!J209,""),IF(ISBLANK('PTA-Mid'!J209)=FALSE,'PTA-Mid'!J209,"")))</f>
        <v/>
      </c>
      <c r="K209" s="206" t="str">
        <f>IF(CostScenario="Higher cost",IF(ISBLANK('PTA-Hi'!K209)=FALSE,'PTA-Hi'!K209,""),IF(CostScenario="Lower cost",IF(ISBLANK('PTA-Lo'!K209)=FALSE,'PTA-Lo'!K209,""),IF(ISBLANK('PTA-Mid'!K209)=FALSE,'PTA-Mid'!K209,"")))</f>
        <v/>
      </c>
      <c r="L209" s="206" t="str">
        <f>IF(CostScenario="Higher cost",IF(ISBLANK('PTA-Hi'!L209)=FALSE,'PTA-Hi'!L209,""),IF(CostScenario="Lower cost",IF(ISBLANK('PTA-Lo'!L209)=FALSE,'PTA-Lo'!L209,""),IF(ISBLANK('PTA-Mid'!L209)=FALSE,'PTA-Mid'!L209,"")))</f>
        <v/>
      </c>
      <c r="M209" s="206" t="str">
        <f>IF(CostScenario="Higher cost",IF(ISBLANK('PTA-Hi'!M209)=FALSE,'PTA-Hi'!M209,""),IF(CostScenario="Lower cost",IF(ISBLANK('PTA-Lo'!M209)=FALSE,'PTA-Lo'!M209,""),IF(ISBLANK('PTA-Mid'!M209)=FALSE,'PTA-Mid'!M209,"")))</f>
        <v/>
      </c>
      <c r="N209" s="206" t="str">
        <f>IF(CostScenario="Higher cost",IF(ISBLANK('PTA-Hi'!N209)=FALSE,'PTA-Hi'!N209,""),IF(CostScenario="Lower cost",IF(ISBLANK('PTA-Lo'!N209)=FALSE,'PTA-Lo'!N209,""),IF(ISBLANK('PTA-Mid'!N209)=FALSE,'PTA-Mid'!N209,"")))</f>
        <v/>
      </c>
      <c r="O209" s="206" t="str">
        <f>IF(CostScenario="Higher cost",IF(ISBLANK('PTA-Hi'!O209)=FALSE,'PTA-Hi'!O209,""),IF(CostScenario="Lower cost",IF(ISBLANK('PTA-Lo'!O209)=FALSE,'PTA-Lo'!O209,""),IF(ISBLANK('PTA-Mid'!O209)=FALSE,'PTA-Mid'!O209,"")))</f>
        <v/>
      </c>
      <c r="P209" s="206" t="str">
        <f>IF(CostScenario="Higher cost",IF(ISBLANK('PTA-Hi'!P209)=FALSE,'PTA-Hi'!P209,""),IF(CostScenario="Lower cost",IF(ISBLANK('PTA-Lo'!P209)=FALSE,'PTA-Lo'!P209,""),IF(ISBLANK('PTA-Mid'!P209)=FALSE,'PTA-Mid'!P209,"")))</f>
        <v/>
      </c>
      <c r="Q209" s="206" t="str">
        <f>IF(CostScenario="Higher cost",IF(ISBLANK('PTA-Hi'!Q209)=FALSE,'PTA-Hi'!Q209,""),IF(CostScenario="Lower cost",IF(ISBLANK('PTA-Lo'!Q209)=FALSE,'PTA-Lo'!Q209,""),IF(ISBLANK('PTA-Mid'!Q209)=FALSE,'PTA-Mid'!Q209,"")))</f>
        <v/>
      </c>
      <c r="R209" s="206" t="str">
        <f>IF(CostScenario="Higher cost",IF(ISBLANK('PTA-Hi'!R209)=FALSE,'PTA-Hi'!R209,""),IF(CostScenario="Lower cost",IF(ISBLANK('PTA-Lo'!R209)=FALSE,'PTA-Lo'!R209,""),IF(ISBLANK('PTA-Mid'!R209)=FALSE,'PTA-Mid'!R209,"")))</f>
        <v/>
      </c>
      <c r="S209" s="206" t="str">
        <f>IF(CostScenario="Higher cost",IF(ISBLANK('PTA-Hi'!S209)=FALSE,'PTA-Hi'!S209,""),IF(CostScenario="Lower cost",IF(ISBLANK('PTA-Lo'!S209)=FALSE,'PTA-Lo'!S209,""),IF(ISBLANK('PTA-Mid'!S209)=FALSE,'PTA-Mid'!S209,"")))</f>
        <v/>
      </c>
      <c r="T209" s="206" t="str">
        <f>IF(CostScenario="Higher cost",IF(ISBLANK('PTA-Hi'!T209)=FALSE,'PTA-Hi'!T209,""),IF(CostScenario="Lower cost",IF(ISBLANK('PTA-Lo'!T209)=FALSE,'PTA-Lo'!T209,""),IF(ISBLANK('PTA-Mid'!T209)=FALSE,'PTA-Mid'!T209,"")))</f>
        <v/>
      </c>
      <c r="U209" s="206" t="str">
        <f>IF(CostScenario="Higher cost",IF(ISBLANK('PTA-Hi'!U209)=FALSE,'PTA-Hi'!U209,""),IF(CostScenario="Lower cost",IF(ISBLANK('PTA-Lo'!U209)=FALSE,'PTA-Lo'!U209,""),IF(ISBLANK('PTA-Mid'!U209)=FALSE,'PTA-Mid'!U209,"")))</f>
        <v/>
      </c>
      <c r="V209" s="206" t="str">
        <f>IF(CostScenario="Higher cost",IF(ISBLANK('PTA-Hi'!V209)=FALSE,'PTA-Hi'!V209,""),IF(CostScenario="Lower cost",IF(ISBLANK('PTA-Lo'!V209)=FALSE,'PTA-Lo'!V209,""),IF(ISBLANK('PTA-Mid'!V209)=FALSE,'PTA-Mid'!V209,"")))</f>
        <v/>
      </c>
      <c r="W209" s="94"/>
      <c r="X209" s="1762"/>
    </row>
    <row r="210" spans="1:24" s="206" customFormat="1">
      <c r="A210" s="1757" t="s">
        <v>946</v>
      </c>
      <c r="B210" s="1758"/>
      <c r="C210" s="1759" t="s">
        <v>387</v>
      </c>
      <c r="D210" s="1509">
        <f>IF(CostScenario="Higher cost",IF(ISBLANK('PTA-Hi'!D210)=FALSE,'PTA-Hi'!D210,""),IF(CostScenario="Lower cost",IF(ISBLANK('PTA-Lo'!D210)=FALSE,'PTA-Lo'!D210,""),IF(ISBLANK('PTA-Mid'!D210)=FALSE,'PTA-Mid'!D210,"")))</f>
        <v>8.9041095890410954E-2</v>
      </c>
      <c r="E210" s="1509">
        <f>IF(CostScenario="Higher cost",IF(ISBLANK('PTA-Hi'!E210)=FALSE,'PTA-Hi'!E210,""),IF(CostScenario="Lower cost",IF(ISBLANK('PTA-Lo'!E210)=FALSE,'PTA-Lo'!E210,""),IF(ISBLANK('PTA-Mid'!E210)=FALSE,'PTA-Mid'!E210,"")))</f>
        <v>8.9041095890410954E-2</v>
      </c>
      <c r="F210" s="1509">
        <f>IF(CostScenario="Higher cost",IF(ISBLANK('PTA-Hi'!F210)=FALSE,'PTA-Hi'!F210,""),IF(CostScenario="Lower cost",IF(ISBLANK('PTA-Lo'!F210)=FALSE,'PTA-Lo'!F210,""),IF(ISBLANK('PTA-Mid'!F210)=FALSE,'PTA-Mid'!F210,"")))</f>
        <v>3.6529680365296802E-2</v>
      </c>
      <c r="G210" s="1509">
        <f>IF(CostScenario="Higher cost",IF(ISBLANK('PTA-Hi'!G210)=FALSE,'PTA-Hi'!G210,""),IF(CostScenario="Lower cost",IF(ISBLANK('PTA-Lo'!G210)=FALSE,'PTA-Lo'!G210,""),IF(ISBLANK('PTA-Mid'!G210)=FALSE,'PTA-Mid'!G210,"")))</f>
        <v>7.8947368421052651E-3</v>
      </c>
      <c r="H210" s="1509">
        <f>IF(CostScenario="Higher cost",IF(ISBLANK('PTA-Hi'!H210)=FALSE,'PTA-Hi'!H210,""),IF(CostScenario="Lower cost",IF(ISBLANK('PTA-Lo'!H210)=FALSE,'PTA-Lo'!H210,""),IF(ISBLANK('PTA-Mid'!H210)=FALSE,'PTA-Mid'!H210,"")))</f>
        <v>8.2894736842105271E-3</v>
      </c>
      <c r="I210" s="1511">
        <f>IF(CostScenario="Higher cost",IF(ISBLANK('PTA-Hi'!I210)=FALSE,'PTA-Hi'!I210,""),IF(CostScenario="Lower cost",IF(ISBLANK('PTA-Lo'!I210)=FALSE,'PTA-Lo'!I210,""),IF(ISBLANK('PTA-Mid'!I210)=FALSE,'PTA-Mid'!I210,"")))</f>
        <v>3.4000000000000002E-2</v>
      </c>
      <c r="J210" s="1511">
        <f>IF(CostScenario="Higher cost",IF(ISBLANK('PTA-Hi'!J210)=FALSE,'PTA-Hi'!J210,""),IF(CostScenario="Lower cost",IF(ISBLANK('PTA-Lo'!J210)=FALSE,'PTA-Lo'!J210,""),IF(ISBLANK('PTA-Mid'!J210)=FALSE,'PTA-Mid'!J210,"")))</f>
        <v>0</v>
      </c>
      <c r="K210" s="1760">
        <f>IF(CostScenario="Higher cost",IF(ISBLANK('PTA-Hi'!K210)=FALSE,'PTA-Hi'!K210,""),IF(CostScenario="Lower cost",IF(ISBLANK('PTA-Lo'!K210)=FALSE,'PTA-Lo'!K210,""),IF(ISBLANK('PTA-Mid'!K210)=FALSE,'PTA-Mid'!K210,"")))</f>
        <v>2.5999999999999999E-2</v>
      </c>
      <c r="L210" s="1761">
        <f>IF(CostScenario="Higher cost",IF(ISBLANK('PTA-Hi'!L210)=FALSE,'PTA-Hi'!L210,""),IF(CostScenario="Lower cost",IF(ISBLANK('PTA-Lo'!L210)=FALSE,'PTA-Lo'!L210,""),IF(ISBLANK('PTA-Mid'!L210)=FALSE,'PTA-Mid'!L210,"")))</f>
        <v>0</v>
      </c>
      <c r="M210" s="1761">
        <f>IF(CostScenario="Higher cost",IF(ISBLANK('PTA-Hi'!M210)=FALSE,'PTA-Hi'!M210,""),IF(CostScenario="Lower cost",IF(ISBLANK('PTA-Lo'!M210)=FALSE,'PTA-Lo'!M210,""),IF(ISBLANK('PTA-Mid'!M210)=FALSE,'PTA-Mid'!M210,"")))</f>
        <v>0</v>
      </c>
      <c r="N210" s="1761">
        <f>IF(CostScenario="Higher cost",IF(ISBLANK('PTA-Hi'!N210)=FALSE,'PTA-Hi'!N210,""),IF(CostScenario="Lower cost",IF(ISBLANK('PTA-Lo'!N210)=FALSE,'PTA-Lo'!N210,""),IF(ISBLANK('PTA-Mid'!N210)=FALSE,'PTA-Mid'!N210,"")))</f>
        <v>0</v>
      </c>
      <c r="O210" s="1761">
        <f>IF(CostScenario="Higher cost",IF(ISBLANK('PTA-Hi'!O210)=FALSE,'PTA-Hi'!O210,""),IF(CostScenario="Lower cost",IF(ISBLANK('PTA-Lo'!O210)=FALSE,'PTA-Lo'!O210,""),IF(ISBLANK('PTA-Mid'!O210)=FALSE,'PTA-Mid'!O210,"")))</f>
        <v>0</v>
      </c>
      <c r="P210" s="1761">
        <f>IF(CostScenario="Higher cost",IF(ISBLANK('PTA-Hi'!P210)=FALSE,'PTA-Hi'!P210,""),IF(CostScenario="Lower cost",IF(ISBLANK('PTA-Lo'!P210)=FALSE,'PTA-Lo'!P210,""),IF(ISBLANK('PTA-Mid'!P210)=FALSE,'PTA-Mid'!P210,"")))</f>
        <v>0</v>
      </c>
      <c r="Q210" s="1761">
        <f>IF(CostScenario="Higher cost",IF(ISBLANK('PTA-Hi'!Q210)=FALSE,'PTA-Hi'!Q210,""),IF(CostScenario="Lower cost",IF(ISBLANK('PTA-Lo'!Q210)=FALSE,'PTA-Lo'!Q210,""),IF(ISBLANK('PTA-Mid'!Q210)=FALSE,'PTA-Mid'!Q210,"")))</f>
        <v>0</v>
      </c>
      <c r="R210" s="1761">
        <f>IF(CostScenario="Higher cost",IF(ISBLANK('PTA-Hi'!R210)=FALSE,'PTA-Hi'!R210,""),IF(CostScenario="Lower cost",IF(ISBLANK('PTA-Lo'!R210)=FALSE,'PTA-Lo'!R210,""),IF(ISBLANK('PTA-Mid'!R210)=FALSE,'PTA-Mid'!R210,"")))</f>
        <v>0</v>
      </c>
      <c r="S210" s="1761">
        <f>IF(CostScenario="Higher cost",IF(ISBLANK('PTA-Hi'!S210)=FALSE,'PTA-Hi'!S210,""),IF(CostScenario="Lower cost",IF(ISBLANK('PTA-Lo'!S210)=FALSE,'PTA-Lo'!S210,""),IF(ISBLANK('PTA-Mid'!S210)=FALSE,'PTA-Mid'!S210,"")))</f>
        <v>0</v>
      </c>
      <c r="T210" s="1761">
        <f>IF(CostScenario="Higher cost",IF(ISBLANK('PTA-Hi'!T210)=FALSE,'PTA-Hi'!T210,""),IF(CostScenario="Lower cost",IF(ISBLANK('PTA-Lo'!T210)=FALSE,'PTA-Lo'!T210,""),IF(ISBLANK('PTA-Mid'!T210)=FALSE,'PTA-Mid'!T210,"")))</f>
        <v>0</v>
      </c>
      <c r="U210" s="1761">
        <f>IF(CostScenario="Higher cost",IF(ISBLANK('PTA-Hi'!U210)=FALSE,'PTA-Hi'!U210,""),IF(CostScenario="Lower cost",IF(ISBLANK('PTA-Lo'!U210)=FALSE,'PTA-Lo'!U210,""),IF(ISBLANK('PTA-Mid'!U210)=FALSE,'PTA-Mid'!U210,"")))</f>
        <v>0</v>
      </c>
      <c r="V210" s="1761">
        <f>IF(CostScenario="Higher cost",IF(ISBLANK('PTA-Hi'!V210)=FALSE,'PTA-Hi'!V210,""),IF(CostScenario="Lower cost",IF(ISBLANK('PTA-Lo'!V210)=FALSE,'PTA-Lo'!V210,""),IF(ISBLANK('PTA-Mid'!V210)=FALSE,'PTA-Mid'!V210,"")))</f>
        <v>0</v>
      </c>
      <c r="W210" s="2976"/>
      <c r="X210" s="1762"/>
    </row>
    <row r="211" spans="1:24" s="206" customFormat="1">
      <c r="A211" s="1757" t="s">
        <v>947</v>
      </c>
      <c r="B211" s="1758"/>
      <c r="C211" s="1759" t="s">
        <v>375</v>
      </c>
      <c r="D211" s="1509">
        <f>IF(CostScenario="Higher cost",IF(ISBLANK('PTA-Hi'!D211)=FALSE,'PTA-Hi'!D211,""),IF(CostScenario="Lower cost",IF(ISBLANK('PTA-Lo'!D211)=FALSE,'PTA-Lo'!D211,""),IF(ISBLANK('PTA-Mid'!D211)=FALSE,'PTA-Mid'!D211,"")))</f>
        <v>0.91780821917808209</v>
      </c>
      <c r="E211" s="1509">
        <f>IF(CostScenario="Higher cost",IF(ISBLANK('PTA-Hi'!E211)=FALSE,'PTA-Hi'!E211,""),IF(CostScenario="Lower cost",IF(ISBLANK('PTA-Lo'!E211)=FALSE,'PTA-Lo'!E211,""),IF(ISBLANK('PTA-Mid'!E211)=FALSE,'PTA-Mid'!E211,"")))</f>
        <v>0.91780821917808209</v>
      </c>
      <c r="F211" s="1509">
        <f>IF(CostScenario="Higher cost",IF(ISBLANK('PTA-Hi'!F211)=FALSE,'PTA-Hi'!F211,""),IF(CostScenario="Lower cost",IF(ISBLANK('PTA-Lo'!F211)=FALSE,'PTA-Lo'!F211,""),IF(ISBLANK('PTA-Mid'!F211)=FALSE,'PTA-Mid'!F211,"")))</f>
        <v>0.28310502283105016</v>
      </c>
      <c r="G211" s="1509">
        <f>IF(CostScenario="Higher cost",IF(ISBLANK('PTA-Hi'!G211)=FALSE,'PTA-Hi'!G211,""),IF(CostScenario="Lower cost",IF(ISBLANK('PTA-Lo'!G211)=FALSE,'PTA-Lo'!G211,""),IF(ISBLANK('PTA-Mid'!G211)=FALSE,'PTA-Mid'!G211,"")))</f>
        <v>5.8421052631578943E-2</v>
      </c>
      <c r="H211" s="1509">
        <f>IF(CostScenario="Higher cost",IF(ISBLANK('PTA-Hi'!H211)=FALSE,'PTA-Hi'!H211,""),IF(CostScenario="Lower cost",IF(ISBLANK('PTA-Lo'!H211)=FALSE,'PTA-Lo'!H211,""),IF(ISBLANK('PTA-Mid'!H211)=FALSE,'PTA-Mid'!H211,"")))</f>
        <v>6.6315789473684217E-2</v>
      </c>
      <c r="I211" s="1511">
        <f>IF(CostScenario="Higher cost",IF(ISBLANK('PTA-Hi'!I211)=FALSE,'PTA-Hi'!I211,""),IF(CostScenario="Lower cost",IF(ISBLANK('PTA-Lo'!I211)=FALSE,'PTA-Lo'!I211,""),IF(ISBLANK('PTA-Mid'!I211)=FALSE,'PTA-Mid'!I211,"")))</f>
        <v>0.1</v>
      </c>
      <c r="J211" s="1511">
        <f>IF(CostScenario="Higher cost",IF(ISBLANK('PTA-Hi'!J211)=FALSE,'PTA-Hi'!J211,""),IF(CostScenario="Lower cost",IF(ISBLANK('PTA-Lo'!J211)=FALSE,'PTA-Lo'!J211,""),IF(ISBLANK('PTA-Mid'!J211)=FALSE,'PTA-Mid'!J211,"")))</f>
        <v>0</v>
      </c>
      <c r="K211" s="1511">
        <f>IF(CostScenario="Higher cost",IF(ISBLANK('PTA-Hi'!K211)=FALSE,'PTA-Hi'!K211,""),IF(CostScenario="Lower cost",IF(ISBLANK('PTA-Lo'!K211)=FALSE,'PTA-Lo'!K211,""),IF(ISBLANK('PTA-Mid'!K211)=FALSE,'PTA-Mid'!K211,"")))</f>
        <v>0</v>
      </c>
      <c r="L211" s="1511">
        <f>IF(CostScenario="Higher cost",IF(ISBLANK('PTA-Hi'!L211)=FALSE,'PTA-Hi'!L211,""),IF(CostScenario="Lower cost",IF(ISBLANK('PTA-Lo'!L211)=FALSE,'PTA-Lo'!L211,""),IF(ISBLANK('PTA-Mid'!L211)=FALSE,'PTA-Mid'!L211,"")))</f>
        <v>0</v>
      </c>
      <c r="M211" s="1511">
        <f>IF(CostScenario="Higher cost",IF(ISBLANK('PTA-Hi'!M211)=FALSE,'PTA-Hi'!M211,""),IF(CostScenario="Lower cost",IF(ISBLANK('PTA-Lo'!M211)=FALSE,'PTA-Lo'!M211,""),IF(ISBLANK('PTA-Mid'!M211)=FALSE,'PTA-Mid'!M211,"")))</f>
        <v>0</v>
      </c>
      <c r="N211" s="1511">
        <f>IF(CostScenario="Higher cost",IF(ISBLANK('PTA-Hi'!N211)=FALSE,'PTA-Hi'!N211,""),IF(CostScenario="Lower cost",IF(ISBLANK('PTA-Lo'!N211)=FALSE,'PTA-Lo'!N211,""),IF(ISBLANK('PTA-Mid'!N211)=FALSE,'PTA-Mid'!N211,"")))</f>
        <v>0</v>
      </c>
      <c r="O211" s="1511">
        <f>IF(CostScenario="Higher cost",IF(ISBLANK('PTA-Hi'!O211)=FALSE,'PTA-Hi'!O211,""),IF(CostScenario="Lower cost",IF(ISBLANK('PTA-Lo'!O211)=FALSE,'PTA-Lo'!O211,""),IF(ISBLANK('PTA-Mid'!O211)=FALSE,'PTA-Mid'!O211,"")))</f>
        <v>0</v>
      </c>
      <c r="P211" s="1511">
        <f>IF(CostScenario="Higher cost",IF(ISBLANK('PTA-Hi'!P211)=FALSE,'PTA-Hi'!P211,""),IF(CostScenario="Lower cost",IF(ISBLANK('PTA-Lo'!P211)=FALSE,'PTA-Lo'!P211,""),IF(ISBLANK('PTA-Mid'!P211)=FALSE,'PTA-Mid'!P211,"")))</f>
        <v>0</v>
      </c>
      <c r="Q211" s="1511">
        <f>IF(CostScenario="Higher cost",IF(ISBLANK('PTA-Hi'!Q211)=FALSE,'PTA-Hi'!Q211,""),IF(CostScenario="Lower cost",IF(ISBLANK('PTA-Lo'!Q211)=FALSE,'PTA-Lo'!Q211,""),IF(ISBLANK('PTA-Mid'!Q211)=FALSE,'PTA-Mid'!Q211,"")))</f>
        <v>0</v>
      </c>
      <c r="R211" s="1511">
        <f>IF(CostScenario="Higher cost",IF(ISBLANK('PTA-Hi'!R211)=FALSE,'PTA-Hi'!R211,""),IF(CostScenario="Lower cost",IF(ISBLANK('PTA-Lo'!R211)=FALSE,'PTA-Lo'!R211,""),IF(ISBLANK('PTA-Mid'!R211)=FALSE,'PTA-Mid'!R211,"")))</f>
        <v>0</v>
      </c>
      <c r="S211" s="1511">
        <f>IF(CostScenario="Higher cost",IF(ISBLANK('PTA-Hi'!S211)=FALSE,'PTA-Hi'!S211,""),IF(CostScenario="Lower cost",IF(ISBLANK('PTA-Lo'!S211)=FALSE,'PTA-Lo'!S211,""),IF(ISBLANK('PTA-Mid'!S211)=FALSE,'PTA-Mid'!S211,"")))</f>
        <v>0</v>
      </c>
      <c r="T211" s="1511">
        <f>IF(CostScenario="Higher cost",IF(ISBLANK('PTA-Hi'!T211)=FALSE,'PTA-Hi'!T211,""),IF(CostScenario="Lower cost",IF(ISBLANK('PTA-Lo'!T211)=FALSE,'PTA-Lo'!T211,""),IF(ISBLANK('PTA-Mid'!T211)=FALSE,'PTA-Mid'!T211,"")))</f>
        <v>0</v>
      </c>
      <c r="U211" s="1511">
        <f>IF(CostScenario="Higher cost",IF(ISBLANK('PTA-Hi'!U211)=FALSE,'PTA-Hi'!U211,""),IF(CostScenario="Lower cost",IF(ISBLANK('PTA-Lo'!U211)=FALSE,'PTA-Lo'!U211,""),IF(ISBLANK('PTA-Mid'!U211)=FALSE,'PTA-Mid'!U211,"")))</f>
        <v>0</v>
      </c>
      <c r="V211" s="1511">
        <f>IF(CostScenario="Higher cost",IF(ISBLANK('PTA-Hi'!V211)=FALSE,'PTA-Hi'!V211,""),IF(CostScenario="Lower cost",IF(ISBLANK('PTA-Lo'!V211)=FALSE,'PTA-Lo'!V211,""),IF(ISBLANK('PTA-Mid'!V211)=FALSE,'PTA-Mid'!V211,"")))</f>
        <v>0</v>
      </c>
      <c r="W211" s="2979"/>
      <c r="X211" s="1762"/>
    </row>
    <row r="212" spans="1:24" s="7" customFormat="1">
      <c r="A212" s="951"/>
      <c r="B212" s="955"/>
      <c r="C212" s="954" t="s">
        <v>1345</v>
      </c>
      <c r="D212" s="28"/>
      <c r="E212" s="28"/>
      <c r="F212" s="28"/>
      <c r="G212" s="28"/>
      <c r="H212" s="28"/>
      <c r="I212" s="28"/>
      <c r="N212" s="2331"/>
      <c r="O212" s="2331"/>
      <c r="P212" s="2331"/>
      <c r="Q212" s="2331"/>
      <c r="S212" s="2331"/>
      <c r="T212" s="2331"/>
      <c r="W212" s="2332"/>
      <c r="X212" s="9"/>
    </row>
    <row r="213" spans="1:24" s="7" customFormat="1">
      <c r="A213" s="951" t="s">
        <v>948</v>
      </c>
      <c r="B213" s="955"/>
      <c r="C213" s="953" t="s">
        <v>1346</v>
      </c>
      <c r="D213" s="28" t="str">
        <f>IF(CostScenario="Higher cost",IF(ISBLANK('PTA-Hi'!D213)=FALSE,'PTA-Hi'!D213,""),IF(CostScenario="Lower cost",IF(ISBLANK('PTA-Lo'!D213)=FALSE,'PTA-Lo'!D213,""),IF(ISBLANK('PTA-Mid'!D213)=FALSE,'PTA-Mid'!D213,"")))</f>
        <v/>
      </c>
      <c r="E213" s="28" t="str">
        <f>IF(CostScenario="Higher cost",IF(ISBLANK('PTA-Hi'!E213)=FALSE,'PTA-Hi'!E213,""),IF(CostScenario="Lower cost",IF(ISBLANK('PTA-Lo'!E213)=FALSE,'PTA-Lo'!E213,""),IF(ISBLANK('PTA-Mid'!E213)=FALSE,'PTA-Mid'!E213,"")))</f>
        <v/>
      </c>
      <c r="F213" s="28" t="str">
        <f>IF(CostScenario="Higher cost",IF(ISBLANK('PTA-Hi'!F213)=FALSE,'PTA-Hi'!F213,""),IF(CostScenario="Lower cost",IF(ISBLANK('PTA-Lo'!F213)=FALSE,'PTA-Lo'!F213,""),IF(ISBLANK('PTA-Mid'!F213)=FALSE,'PTA-Mid'!F213,"")))</f>
        <v/>
      </c>
      <c r="G213" s="28" t="str">
        <f>IF(CostScenario="Higher cost",IF(ISBLANK('PTA-Hi'!G213)=FALSE,'PTA-Hi'!G213,""),IF(CostScenario="Lower cost",IF(ISBLANK('PTA-Lo'!G213)=FALSE,'PTA-Lo'!G213,""),IF(ISBLANK('PTA-Mid'!G213)=FALSE,'PTA-Mid'!G213,"")))</f>
        <v/>
      </c>
      <c r="H213" s="28" t="str">
        <f>IF(CostScenario="Higher cost",IF(ISBLANK('PTA-Hi'!H213)=FALSE,'PTA-Hi'!H213,""),IF(CostScenario="Lower cost",IF(ISBLANK('PTA-Lo'!H213)=FALSE,'PTA-Lo'!H213,""),IF(ISBLANK('PTA-Mid'!H213)=FALSE,'PTA-Mid'!H213,"")))</f>
        <v/>
      </c>
      <c r="I213" s="28" t="str">
        <f>IF(CostScenario="Higher cost",IF(ISBLANK('PTA-Hi'!I213)=FALSE,'PTA-Hi'!I213,""),IF(CostScenario="Lower cost",IF(ISBLANK('PTA-Lo'!I213)=FALSE,'PTA-Lo'!I213,""),IF(ISBLANK('PTA-Mid'!I213)=FALSE,'PTA-Mid'!I213,"")))</f>
        <v/>
      </c>
      <c r="J213" s="7" t="str">
        <f>IF(CostScenario="Higher cost",IF(ISBLANK('PTA-Hi'!J213)=FALSE,'PTA-Hi'!J213,""),IF(CostScenario="Lower cost",IF(ISBLANK('PTA-Lo'!J213)=FALSE,'PTA-Lo'!J213,""),IF(ISBLANK('PTA-Mid'!J213)=FALSE,'PTA-Mid'!J213,"")))</f>
        <v/>
      </c>
      <c r="K213" s="7" t="str">
        <f>IF(CostScenario="Higher cost",IF(ISBLANK('PTA-Hi'!K213)=FALSE,'PTA-Hi'!K213,""),IF(CostScenario="Lower cost",IF(ISBLANK('PTA-Lo'!K213)=FALSE,'PTA-Lo'!K213,""),IF(ISBLANK('PTA-Mid'!K213)=FALSE,'PTA-Mid'!K213,"")))</f>
        <v/>
      </c>
      <c r="L213" s="7" t="str">
        <f>IF(CostScenario="Higher cost",IF(ISBLANK('PTA-Hi'!L213)=FALSE,'PTA-Hi'!L213,""),IF(CostScenario="Lower cost",IF(ISBLANK('PTA-Lo'!L213)=FALSE,'PTA-Lo'!L213,""),IF(ISBLANK('PTA-Mid'!L213)=FALSE,'PTA-Mid'!L213,"")))</f>
        <v/>
      </c>
      <c r="M213" s="7" t="str">
        <f>IF(CostScenario="Higher cost",IF(ISBLANK('PTA-Hi'!M213)=FALSE,'PTA-Hi'!M213,""),IF(CostScenario="Lower cost",IF(ISBLANK('PTA-Lo'!M213)=FALSE,'PTA-Lo'!M213,""),IF(ISBLANK('PTA-Mid'!M213)=FALSE,'PTA-Mid'!M213,"")))</f>
        <v/>
      </c>
      <c r="N213" s="2331" t="str">
        <f>IF(CostScenario="Higher cost",IF(ISBLANK('PTA-Hi'!N213)=FALSE,'PTA-Hi'!N213,""),IF(CostScenario="Lower cost",IF(ISBLANK('PTA-Lo'!N213)=FALSE,'PTA-Lo'!N213,""),IF(ISBLANK('PTA-Mid'!N213)=FALSE,'PTA-Mid'!N213,"")))</f>
        <v/>
      </c>
      <c r="O213" s="2331" t="str">
        <f>IF(CostScenario="Higher cost",IF(ISBLANK('PTA-Hi'!O213)=FALSE,'PTA-Hi'!O213,""),IF(CostScenario="Lower cost",IF(ISBLANK('PTA-Lo'!O213)=FALSE,'PTA-Lo'!O213,""),IF(ISBLANK('PTA-Mid'!O213)=FALSE,'PTA-Mid'!O213,"")))</f>
        <v/>
      </c>
      <c r="P213" s="2331" t="str">
        <f>IF(CostScenario="Higher cost",IF(ISBLANK('PTA-Hi'!P213)=FALSE,'PTA-Hi'!P213,""),IF(CostScenario="Lower cost",IF(ISBLANK('PTA-Lo'!P213)=FALSE,'PTA-Lo'!P213,""),IF(ISBLANK('PTA-Mid'!P213)=FALSE,'PTA-Mid'!P213,"")))</f>
        <v/>
      </c>
      <c r="Q213" s="2331" t="str">
        <f>IF(CostScenario="Higher cost",IF(ISBLANK('PTA-Hi'!Q213)=FALSE,'PTA-Hi'!Q213,""),IF(CostScenario="Lower cost",IF(ISBLANK('PTA-Lo'!Q213)=FALSE,'PTA-Lo'!Q213,""),IF(ISBLANK('PTA-Mid'!Q213)=FALSE,'PTA-Mid'!Q213,"")))</f>
        <v/>
      </c>
      <c r="R213" s="7" t="str">
        <f>IF(CostScenario="Higher cost",IF(ISBLANK('PTA-Hi'!R213)=FALSE,'PTA-Hi'!R213,""),IF(CostScenario="Lower cost",IF(ISBLANK('PTA-Lo'!R213)=FALSE,'PTA-Lo'!R213,""),IF(ISBLANK('PTA-Mid'!R213)=FALSE,'PTA-Mid'!R213,"")))</f>
        <v/>
      </c>
      <c r="S213" s="2331" t="str">
        <f>IF(CostScenario="Higher cost",IF(ISBLANK('PTA-Hi'!S213)=FALSE,'PTA-Hi'!S213,""),IF(CostScenario="Lower cost",IF(ISBLANK('PTA-Lo'!S213)=FALSE,'PTA-Lo'!S213,""),IF(ISBLANK('PTA-Mid'!S213)=FALSE,'PTA-Mid'!S213,"")))</f>
        <v/>
      </c>
      <c r="T213" s="2331" t="str">
        <f>IF(CostScenario="Higher cost",IF(ISBLANK('PTA-Hi'!T213)=FALSE,'PTA-Hi'!T213,""),IF(CostScenario="Lower cost",IF(ISBLANK('PTA-Lo'!T213)=FALSE,'PTA-Lo'!T213,""),IF(ISBLANK('PTA-Mid'!T213)=FALSE,'PTA-Mid'!T213,"")))</f>
        <v/>
      </c>
      <c r="U213" s="7" t="str">
        <f>IF(CostScenario="Higher cost",IF(ISBLANK('PTA-Hi'!U213)=FALSE,'PTA-Hi'!U213,""),IF(CostScenario="Lower cost",IF(ISBLANK('PTA-Lo'!U213)=FALSE,'PTA-Lo'!U213,""),IF(ISBLANK('PTA-Mid'!U213)=FALSE,'PTA-Mid'!U213,"")))</f>
        <v/>
      </c>
      <c r="V213" s="7" t="str">
        <f>IF(CostScenario="Higher cost",IF(ISBLANK('PTA-Hi'!V213)=FALSE,'PTA-Hi'!V213,""),IF(CostScenario="Lower cost",IF(ISBLANK('PTA-Lo'!V213)=FALSE,'PTA-Lo'!V213,""),IF(ISBLANK('PTA-Mid'!V213)=FALSE,'PTA-Mid'!V213,"")))</f>
        <v/>
      </c>
      <c r="W213" s="2332"/>
      <c r="X213" s="9"/>
    </row>
    <row r="214" spans="1:24" s="7" customFormat="1">
      <c r="A214" s="951" t="s">
        <v>949</v>
      </c>
      <c r="B214" s="955"/>
      <c r="C214" s="953" t="s">
        <v>1347</v>
      </c>
      <c r="D214" s="28" t="str">
        <f>IF(CostScenario="Higher cost",IF(ISBLANK('PTA-Hi'!D214)=FALSE,'PTA-Hi'!D214,""),IF(CostScenario="Lower cost",IF(ISBLANK('PTA-Lo'!D214)=FALSE,'PTA-Lo'!D214,""),IF(ISBLANK('PTA-Mid'!D214)=FALSE,'PTA-Mid'!D214,"")))</f>
        <v/>
      </c>
      <c r="E214" s="28" t="str">
        <f>IF(CostScenario="Higher cost",IF(ISBLANK('PTA-Hi'!E214)=FALSE,'PTA-Hi'!E214,""),IF(CostScenario="Lower cost",IF(ISBLANK('PTA-Lo'!E214)=FALSE,'PTA-Lo'!E214,""),IF(ISBLANK('PTA-Mid'!E214)=FALSE,'PTA-Mid'!E214,"")))</f>
        <v/>
      </c>
      <c r="F214" s="28" t="str">
        <f>IF(CostScenario="Higher cost",IF(ISBLANK('PTA-Hi'!F214)=FALSE,'PTA-Hi'!F214,""),IF(CostScenario="Lower cost",IF(ISBLANK('PTA-Lo'!F214)=FALSE,'PTA-Lo'!F214,""),IF(ISBLANK('PTA-Mid'!F214)=FALSE,'PTA-Mid'!F214,"")))</f>
        <v/>
      </c>
      <c r="G214" s="28" t="str">
        <f>IF(CostScenario="Higher cost",IF(ISBLANK('PTA-Hi'!G214)=FALSE,'PTA-Hi'!G214,""),IF(CostScenario="Lower cost",IF(ISBLANK('PTA-Lo'!G214)=FALSE,'PTA-Lo'!G214,""),IF(ISBLANK('PTA-Mid'!G214)=FALSE,'PTA-Mid'!G214,"")))</f>
        <v/>
      </c>
      <c r="H214" s="28" t="str">
        <f>IF(CostScenario="Higher cost",IF(ISBLANK('PTA-Hi'!H214)=FALSE,'PTA-Hi'!H214,""),IF(CostScenario="Lower cost",IF(ISBLANK('PTA-Lo'!H214)=FALSE,'PTA-Lo'!H214,""),IF(ISBLANK('PTA-Mid'!H214)=FALSE,'PTA-Mid'!H214,"")))</f>
        <v/>
      </c>
      <c r="I214" s="7" t="str">
        <f>IF(CostScenario="Higher cost",IF(ISBLANK('PTA-Hi'!I214)=FALSE,'PTA-Hi'!I214,""),IF(CostScenario="Lower cost",IF(ISBLANK('PTA-Lo'!I214)=FALSE,'PTA-Lo'!I214,""),IF(ISBLANK('PTA-Mid'!I214)=FALSE,'PTA-Mid'!I214,"")))</f>
        <v/>
      </c>
      <c r="J214" s="7" t="str">
        <f>IF(CostScenario="Higher cost",IF(ISBLANK('PTA-Hi'!J214)=FALSE,'PTA-Hi'!J214,""),IF(CostScenario="Lower cost",IF(ISBLANK('PTA-Lo'!J214)=FALSE,'PTA-Lo'!J214,""),IF(ISBLANK('PTA-Mid'!J214)=FALSE,'PTA-Mid'!J214,"")))</f>
        <v/>
      </c>
      <c r="K214" s="7" t="str">
        <f>IF(CostScenario="Higher cost",IF(ISBLANK('PTA-Hi'!K214)=FALSE,'PTA-Hi'!K214,""),IF(CostScenario="Lower cost",IF(ISBLANK('PTA-Lo'!K214)=FALSE,'PTA-Lo'!K214,""),IF(ISBLANK('PTA-Mid'!K214)=FALSE,'PTA-Mid'!K214,"")))</f>
        <v/>
      </c>
      <c r="L214" s="7" t="str">
        <f>IF(CostScenario="Higher cost",IF(ISBLANK('PTA-Hi'!L214)=FALSE,'PTA-Hi'!L214,""),IF(CostScenario="Lower cost",IF(ISBLANK('PTA-Lo'!L214)=FALSE,'PTA-Lo'!L214,""),IF(ISBLANK('PTA-Mid'!L214)=FALSE,'PTA-Mid'!L214,"")))</f>
        <v/>
      </c>
      <c r="M214" s="7" t="str">
        <f>IF(CostScenario="Higher cost",IF(ISBLANK('PTA-Hi'!M214)=FALSE,'PTA-Hi'!M214,""),IF(CostScenario="Lower cost",IF(ISBLANK('PTA-Lo'!M214)=FALSE,'PTA-Lo'!M214,""),IF(ISBLANK('PTA-Mid'!M214)=FALSE,'PTA-Mid'!M214,"")))</f>
        <v/>
      </c>
      <c r="N214" s="2331" t="str">
        <f>IF(CostScenario="Higher cost",IF(ISBLANK('PTA-Hi'!N214)=FALSE,'PTA-Hi'!N214,""),IF(CostScenario="Lower cost",IF(ISBLANK('PTA-Lo'!N214)=FALSE,'PTA-Lo'!N214,""),IF(ISBLANK('PTA-Mid'!N214)=FALSE,'PTA-Mid'!N214,"")))</f>
        <v/>
      </c>
      <c r="O214" s="2331" t="str">
        <f>IF(CostScenario="Higher cost",IF(ISBLANK('PTA-Hi'!O214)=FALSE,'PTA-Hi'!O214,""),IF(CostScenario="Lower cost",IF(ISBLANK('PTA-Lo'!O214)=FALSE,'PTA-Lo'!O214,""),IF(ISBLANK('PTA-Mid'!O214)=FALSE,'PTA-Mid'!O214,"")))</f>
        <v/>
      </c>
      <c r="P214" s="2331" t="str">
        <f>IF(CostScenario="Higher cost",IF(ISBLANK('PTA-Hi'!P214)=FALSE,'PTA-Hi'!P214,""),IF(CostScenario="Lower cost",IF(ISBLANK('PTA-Lo'!P214)=FALSE,'PTA-Lo'!P214,""),IF(ISBLANK('PTA-Mid'!P214)=FALSE,'PTA-Mid'!P214,"")))</f>
        <v/>
      </c>
      <c r="Q214" s="2331" t="str">
        <f>IF(CostScenario="Higher cost",IF(ISBLANK('PTA-Hi'!Q214)=FALSE,'PTA-Hi'!Q214,""),IF(CostScenario="Lower cost",IF(ISBLANK('PTA-Lo'!Q214)=FALSE,'PTA-Lo'!Q214,""),IF(ISBLANK('PTA-Mid'!Q214)=FALSE,'PTA-Mid'!Q214,"")))</f>
        <v/>
      </c>
      <c r="R214" s="7" t="str">
        <f>IF(CostScenario="Higher cost",IF(ISBLANK('PTA-Hi'!R214)=FALSE,'PTA-Hi'!R214,""),IF(CostScenario="Lower cost",IF(ISBLANK('PTA-Lo'!R214)=FALSE,'PTA-Lo'!R214,""),IF(ISBLANK('PTA-Mid'!R214)=FALSE,'PTA-Mid'!R214,"")))</f>
        <v/>
      </c>
      <c r="S214" s="2331" t="str">
        <f>IF(CostScenario="Higher cost",IF(ISBLANK('PTA-Hi'!S214)=FALSE,'PTA-Hi'!S214,""),IF(CostScenario="Lower cost",IF(ISBLANK('PTA-Lo'!S214)=FALSE,'PTA-Lo'!S214,""),IF(ISBLANK('PTA-Mid'!S214)=FALSE,'PTA-Mid'!S214,"")))</f>
        <v/>
      </c>
      <c r="T214" s="2331" t="str">
        <f>IF(CostScenario="Higher cost",IF(ISBLANK('PTA-Hi'!T214)=FALSE,'PTA-Hi'!T214,""),IF(CostScenario="Lower cost",IF(ISBLANK('PTA-Lo'!T214)=FALSE,'PTA-Lo'!T214,""),IF(ISBLANK('PTA-Mid'!T214)=FALSE,'PTA-Mid'!T214,"")))</f>
        <v/>
      </c>
      <c r="U214" s="7" t="str">
        <f>IF(CostScenario="Higher cost",IF(ISBLANK('PTA-Hi'!U214)=FALSE,'PTA-Hi'!U214,""),IF(CostScenario="Lower cost",IF(ISBLANK('PTA-Lo'!U214)=FALSE,'PTA-Lo'!U214,""),IF(ISBLANK('PTA-Mid'!U214)=FALSE,'PTA-Mid'!U214,"")))</f>
        <v/>
      </c>
      <c r="V214" s="7" t="str">
        <f>IF(CostScenario="Higher cost",IF(ISBLANK('PTA-Hi'!V214)=FALSE,'PTA-Hi'!V214,""),IF(CostScenario="Lower cost",IF(ISBLANK('PTA-Lo'!V214)=FALSE,'PTA-Lo'!V214,""),IF(ISBLANK('PTA-Mid'!V214)=FALSE,'PTA-Mid'!V214,"")))</f>
        <v/>
      </c>
      <c r="W214" s="2332"/>
      <c r="X214" s="9"/>
    </row>
    <row r="215" spans="1:24" s="7" customFormat="1">
      <c r="A215" s="951" t="s">
        <v>950</v>
      </c>
      <c r="B215" s="955"/>
      <c r="C215" s="953" t="s">
        <v>1349</v>
      </c>
      <c r="D215" s="28" t="str">
        <f>IF(CostScenario="Higher cost",IF(ISBLANK('PTA-Hi'!D215)=FALSE,'PTA-Hi'!D215,""),IF(CostScenario="Lower cost",IF(ISBLANK('PTA-Lo'!D215)=FALSE,'PTA-Lo'!D215,""),IF(ISBLANK('PTA-Mid'!D215)=FALSE,'PTA-Mid'!D215,"")))</f>
        <v/>
      </c>
      <c r="E215" s="28" t="str">
        <f>IF(CostScenario="Higher cost",IF(ISBLANK('PTA-Hi'!E215)=FALSE,'PTA-Hi'!E215,""),IF(CostScenario="Lower cost",IF(ISBLANK('PTA-Lo'!E215)=FALSE,'PTA-Lo'!E215,""),IF(ISBLANK('PTA-Mid'!E215)=FALSE,'PTA-Mid'!E215,"")))</f>
        <v/>
      </c>
      <c r="F215" s="28" t="str">
        <f>IF(CostScenario="Higher cost",IF(ISBLANK('PTA-Hi'!F215)=FALSE,'PTA-Hi'!F215,""),IF(CostScenario="Lower cost",IF(ISBLANK('PTA-Lo'!F215)=FALSE,'PTA-Lo'!F215,""),IF(ISBLANK('PTA-Mid'!F215)=FALSE,'PTA-Mid'!F215,"")))</f>
        <v/>
      </c>
      <c r="G215" s="28" t="str">
        <f>IF(CostScenario="Higher cost",IF(ISBLANK('PTA-Hi'!G215)=FALSE,'PTA-Hi'!G215,""),IF(CostScenario="Lower cost",IF(ISBLANK('PTA-Lo'!G215)=FALSE,'PTA-Lo'!G215,""),IF(ISBLANK('PTA-Mid'!G215)=FALSE,'PTA-Mid'!G215,"")))</f>
        <v/>
      </c>
      <c r="H215" s="28" t="str">
        <f>IF(CostScenario="Higher cost",IF(ISBLANK('PTA-Hi'!H215)=FALSE,'PTA-Hi'!H215,""),IF(CostScenario="Lower cost",IF(ISBLANK('PTA-Lo'!H215)=FALSE,'PTA-Lo'!H215,""),IF(ISBLANK('PTA-Mid'!H215)=FALSE,'PTA-Mid'!H215,"")))</f>
        <v/>
      </c>
      <c r="I215" s="7" t="str">
        <f>IF(CostScenario="Higher cost",IF(ISBLANK('PTA-Hi'!I215)=FALSE,'PTA-Hi'!I215,""),IF(CostScenario="Lower cost",IF(ISBLANK('PTA-Lo'!I215)=FALSE,'PTA-Lo'!I215,""),IF(ISBLANK('PTA-Mid'!I215)=FALSE,'PTA-Mid'!I215,"")))</f>
        <v/>
      </c>
      <c r="J215" s="7" t="str">
        <f>IF(CostScenario="Higher cost",IF(ISBLANK('PTA-Hi'!J215)=FALSE,'PTA-Hi'!J215,""),IF(CostScenario="Lower cost",IF(ISBLANK('PTA-Lo'!J215)=FALSE,'PTA-Lo'!J215,""),IF(ISBLANK('PTA-Mid'!J215)=FALSE,'PTA-Mid'!J215,"")))</f>
        <v/>
      </c>
      <c r="K215" s="7" t="str">
        <f>IF(CostScenario="Higher cost",IF(ISBLANK('PTA-Hi'!K215)=FALSE,'PTA-Hi'!K215,""),IF(CostScenario="Lower cost",IF(ISBLANK('PTA-Lo'!K215)=FALSE,'PTA-Lo'!K215,""),IF(ISBLANK('PTA-Mid'!K215)=FALSE,'PTA-Mid'!K215,"")))</f>
        <v/>
      </c>
      <c r="L215" s="7" t="str">
        <f>IF(CostScenario="Higher cost",IF(ISBLANK('PTA-Hi'!L215)=FALSE,'PTA-Hi'!L215,""),IF(CostScenario="Lower cost",IF(ISBLANK('PTA-Lo'!L215)=FALSE,'PTA-Lo'!L215,""),IF(ISBLANK('PTA-Mid'!L215)=FALSE,'PTA-Mid'!L215,"")))</f>
        <v/>
      </c>
      <c r="M215" s="7" t="str">
        <f>IF(CostScenario="Higher cost",IF(ISBLANK('PTA-Hi'!M215)=FALSE,'PTA-Hi'!M215,""),IF(CostScenario="Lower cost",IF(ISBLANK('PTA-Lo'!M215)=FALSE,'PTA-Lo'!M215,""),IF(ISBLANK('PTA-Mid'!M215)=FALSE,'PTA-Mid'!M215,"")))</f>
        <v/>
      </c>
      <c r="N215" s="2331" t="str">
        <f>IF(CostScenario="Higher cost",IF(ISBLANK('PTA-Hi'!N215)=FALSE,'PTA-Hi'!N215,""),IF(CostScenario="Lower cost",IF(ISBLANK('PTA-Lo'!N215)=FALSE,'PTA-Lo'!N215,""),IF(ISBLANK('PTA-Mid'!N215)=FALSE,'PTA-Mid'!N215,"")))</f>
        <v/>
      </c>
      <c r="O215" s="2331" t="str">
        <f>IF(CostScenario="Higher cost",IF(ISBLANK('PTA-Hi'!O215)=FALSE,'PTA-Hi'!O215,""),IF(CostScenario="Lower cost",IF(ISBLANK('PTA-Lo'!O215)=FALSE,'PTA-Lo'!O215,""),IF(ISBLANK('PTA-Mid'!O215)=FALSE,'PTA-Mid'!O215,"")))</f>
        <v/>
      </c>
      <c r="P215" s="2331" t="str">
        <f>IF(CostScenario="Higher cost",IF(ISBLANK('PTA-Hi'!P215)=FALSE,'PTA-Hi'!P215,""),IF(CostScenario="Lower cost",IF(ISBLANK('PTA-Lo'!P215)=FALSE,'PTA-Lo'!P215,""),IF(ISBLANK('PTA-Mid'!P215)=FALSE,'PTA-Mid'!P215,"")))</f>
        <v/>
      </c>
      <c r="Q215" s="2331" t="str">
        <f>IF(CostScenario="Higher cost",IF(ISBLANK('PTA-Hi'!Q215)=FALSE,'PTA-Hi'!Q215,""),IF(CostScenario="Lower cost",IF(ISBLANK('PTA-Lo'!Q215)=FALSE,'PTA-Lo'!Q215,""),IF(ISBLANK('PTA-Mid'!Q215)=FALSE,'PTA-Mid'!Q215,"")))</f>
        <v/>
      </c>
      <c r="R215" s="7" t="str">
        <f>IF(CostScenario="Higher cost",IF(ISBLANK('PTA-Hi'!R215)=FALSE,'PTA-Hi'!R215,""),IF(CostScenario="Lower cost",IF(ISBLANK('PTA-Lo'!R215)=FALSE,'PTA-Lo'!R215,""),IF(ISBLANK('PTA-Mid'!R215)=FALSE,'PTA-Mid'!R215,"")))</f>
        <v/>
      </c>
      <c r="S215" s="2331" t="str">
        <f>IF(CostScenario="Higher cost",IF(ISBLANK('PTA-Hi'!S215)=FALSE,'PTA-Hi'!S215,""),IF(CostScenario="Lower cost",IF(ISBLANK('PTA-Lo'!S215)=FALSE,'PTA-Lo'!S215,""),IF(ISBLANK('PTA-Mid'!S215)=FALSE,'PTA-Mid'!S215,"")))</f>
        <v/>
      </c>
      <c r="T215" s="2331" t="str">
        <f>IF(CostScenario="Higher cost",IF(ISBLANK('PTA-Hi'!T215)=FALSE,'PTA-Hi'!T215,""),IF(CostScenario="Lower cost",IF(ISBLANK('PTA-Lo'!T215)=FALSE,'PTA-Lo'!T215,""),IF(ISBLANK('PTA-Mid'!T215)=FALSE,'PTA-Mid'!T215,"")))</f>
        <v/>
      </c>
      <c r="U215" s="7" t="str">
        <f>IF(CostScenario="Higher cost",IF(ISBLANK('PTA-Hi'!U215)=FALSE,'PTA-Hi'!U215,""),IF(CostScenario="Lower cost",IF(ISBLANK('PTA-Lo'!U215)=FALSE,'PTA-Lo'!U215,""),IF(ISBLANK('PTA-Mid'!U215)=FALSE,'PTA-Mid'!U215,"")))</f>
        <v/>
      </c>
      <c r="V215" s="7" t="str">
        <f>IF(CostScenario="Higher cost",IF(ISBLANK('PTA-Hi'!V215)=FALSE,'PTA-Hi'!V215,""),IF(CostScenario="Lower cost",IF(ISBLANK('PTA-Lo'!V215)=FALSE,'PTA-Lo'!V215,""),IF(ISBLANK('PTA-Mid'!V215)=FALSE,'PTA-Mid'!V215,"")))</f>
        <v/>
      </c>
      <c r="W215" s="2332"/>
      <c r="X215" s="9"/>
    </row>
    <row r="216" spans="1:24" s="7" customFormat="1">
      <c r="A216" s="216"/>
      <c r="C216" s="196" t="s">
        <v>106</v>
      </c>
      <c r="D216" s="28"/>
      <c r="E216" s="28"/>
      <c r="F216" s="28"/>
      <c r="G216" s="28"/>
      <c r="H216" s="28"/>
      <c r="N216" s="2331"/>
      <c r="O216" s="2331"/>
      <c r="P216" s="2331"/>
      <c r="Q216" s="2331"/>
      <c r="S216" s="2331"/>
      <c r="T216" s="2331"/>
      <c r="W216" s="2332"/>
      <c r="X216" s="9"/>
    </row>
    <row r="217" spans="1:24" s="66" customFormat="1">
      <c r="A217" s="956" t="s">
        <v>995</v>
      </c>
      <c r="B217" s="957"/>
      <c r="C217" s="901" t="s">
        <v>1418</v>
      </c>
      <c r="D217" s="895" t="str">
        <f>IF(CostScenario="Higher cost",IF(ISBLANK('PTA-Hi'!D217)=FALSE,'PTA-Hi'!D217,""),IF(CostScenario="Lower cost",IF(ISBLANK('PTA-Lo'!D217)=FALSE,'PTA-Lo'!D217,""),IF(ISBLANK('PTA-Mid'!D217)=FALSE,'PTA-Mid'!D217,"")))</f>
        <v>N</v>
      </c>
      <c r="E217" s="895" t="str">
        <f>IF(CostScenario="Higher cost",IF(ISBLANK('PTA-Hi'!E217)=FALSE,'PTA-Hi'!E217,""),IF(CostScenario="Lower cost",IF(ISBLANK('PTA-Lo'!E217)=FALSE,'PTA-Lo'!E217,""),IF(ISBLANK('PTA-Mid'!E217)=FALSE,'PTA-Mid'!E217,"")))</f>
        <v>N</v>
      </c>
      <c r="F217" s="895" t="str">
        <f>IF(CostScenario="Higher cost",IF(ISBLANK('PTA-Hi'!F217)=FALSE,'PTA-Hi'!F217,""),IF(CostScenario="Lower cost",IF(ISBLANK('PTA-Lo'!F217)=FALSE,'PTA-Lo'!F217,""),IF(ISBLANK('PTA-Mid'!F217)=FALSE,'PTA-Mid'!F217,"")))</f>
        <v>N</v>
      </c>
      <c r="G217" s="895" t="str">
        <f>IF(CostScenario="Higher cost",IF(ISBLANK('PTA-Hi'!G217)=FALSE,'PTA-Hi'!G217,""),IF(CostScenario="Lower cost",IF(ISBLANK('PTA-Lo'!G217)=FALSE,'PTA-Lo'!G217,""),IF(ISBLANK('PTA-Mid'!G217)=FALSE,'PTA-Mid'!G217,"")))</f>
        <v>N</v>
      </c>
      <c r="H217" s="895" t="str">
        <f>IF(CostScenario="Higher cost",IF(ISBLANK('PTA-Hi'!H217)=FALSE,'PTA-Hi'!H217,""),IF(CostScenario="Lower cost",IF(ISBLANK('PTA-Lo'!H217)=FALSE,'PTA-Lo'!H217,""),IF(ISBLANK('PTA-Mid'!H217)=FALSE,'PTA-Mid'!H217,"")))</f>
        <v>N</v>
      </c>
      <c r="I217" s="895" t="str">
        <f>IF(CostScenario="Higher cost",IF(ISBLANK('PTA-Hi'!I217)=FALSE,'PTA-Hi'!I217,""),IF(CostScenario="Lower cost",IF(ISBLANK('PTA-Lo'!I217)=FALSE,'PTA-Lo'!I217,""),IF(ISBLANK('PTA-Mid'!I217)=FALSE,'PTA-Mid'!I217,"")))</f>
        <v>Y</v>
      </c>
      <c r="J217" s="895" t="str">
        <f>IF(CostScenario="Higher cost",IF(ISBLANK('PTA-Hi'!J217)=FALSE,'PTA-Hi'!J217,""),IF(CostScenario="Lower cost",IF(ISBLANK('PTA-Lo'!J217)=FALSE,'PTA-Lo'!J217,""),IF(ISBLANK('PTA-Mid'!J217)=FALSE,'PTA-Mid'!J217,"")))</f>
        <v>Y</v>
      </c>
      <c r="K217" s="895" t="str">
        <f>IF(CostScenario="Higher cost",IF(ISBLANK('PTA-Hi'!K217)=FALSE,'PTA-Hi'!K217,""),IF(CostScenario="Lower cost",IF(ISBLANK('PTA-Lo'!K217)=FALSE,'PTA-Lo'!K217,""),IF(ISBLANK('PTA-Mid'!K217)=FALSE,'PTA-Mid'!K217,"")))</f>
        <v>Y</v>
      </c>
      <c r="L217" s="895" t="str">
        <f>IF(CostScenario="Higher cost",IF(ISBLANK('PTA-Hi'!L217)=FALSE,'PTA-Hi'!L217,""),IF(CostScenario="Lower cost",IF(ISBLANK('PTA-Lo'!L217)=FALSE,'PTA-Lo'!L217,""),IF(ISBLANK('PTA-Mid'!L217)=FALSE,'PTA-Mid'!L217,"")))</f>
        <v>Y</v>
      </c>
      <c r="M217" s="895" t="str">
        <f>IF(CostScenario="Higher cost",IF(ISBLANK('PTA-Hi'!M217)=FALSE,'PTA-Hi'!M217,""),IF(CostScenario="Lower cost",IF(ISBLANK('PTA-Lo'!M217)=FALSE,'PTA-Lo'!M217,""),IF(ISBLANK('PTA-Mid'!M217)=FALSE,'PTA-Mid'!M217,"")))</f>
        <v>Y</v>
      </c>
      <c r="N217" s="895" t="str">
        <f>IF(CostScenario="Higher cost",IF(ISBLANK('PTA-Hi'!N217)=FALSE,'PTA-Hi'!N217,""),IF(CostScenario="Lower cost",IF(ISBLANK('PTA-Lo'!N217)=FALSE,'PTA-Lo'!N217,""),IF(ISBLANK('PTA-Mid'!N217)=FALSE,'PTA-Mid'!N217,"")))</f>
        <v>Y</v>
      </c>
      <c r="O217" s="895" t="str">
        <f>IF(CostScenario="Higher cost",IF(ISBLANK('PTA-Hi'!O217)=FALSE,'PTA-Hi'!O217,""),IF(CostScenario="Lower cost",IF(ISBLANK('PTA-Lo'!O217)=FALSE,'PTA-Lo'!O217,""),IF(ISBLANK('PTA-Mid'!O217)=FALSE,'PTA-Mid'!O217,"")))</f>
        <v>Y</v>
      </c>
      <c r="P217" s="895" t="str">
        <f>IF(CostScenario="Higher cost",IF(ISBLANK('PTA-Hi'!P217)=FALSE,'PTA-Hi'!P217,""),IF(CostScenario="Lower cost",IF(ISBLANK('PTA-Lo'!P217)=FALSE,'PTA-Lo'!P217,""),IF(ISBLANK('PTA-Mid'!P217)=FALSE,'PTA-Mid'!P217,"")))</f>
        <v>Y</v>
      </c>
      <c r="Q217" s="895" t="str">
        <f>IF(CostScenario="Higher cost",IF(ISBLANK('PTA-Hi'!Q217)=FALSE,'PTA-Hi'!Q217,""),IF(CostScenario="Lower cost",IF(ISBLANK('PTA-Lo'!Q217)=FALSE,'PTA-Lo'!Q217,""),IF(ISBLANK('PTA-Mid'!Q217)=FALSE,'PTA-Mid'!Q217,"")))</f>
        <v>Y</v>
      </c>
      <c r="R217" s="895" t="str">
        <f>IF(CostScenario="Higher cost",IF(ISBLANK('PTA-Hi'!R217)=FALSE,'PTA-Hi'!R217,""),IF(CostScenario="Lower cost",IF(ISBLANK('PTA-Lo'!R217)=FALSE,'PTA-Lo'!R217,""),IF(ISBLANK('PTA-Mid'!R217)=FALSE,'PTA-Mid'!R217,"")))</f>
        <v>Y</v>
      </c>
      <c r="S217" s="895" t="str">
        <f>IF(CostScenario="Higher cost",IF(ISBLANK('PTA-Hi'!S217)=FALSE,'PTA-Hi'!S217,""),IF(CostScenario="Lower cost",IF(ISBLANK('PTA-Lo'!S217)=FALSE,'PTA-Lo'!S217,""),IF(ISBLANK('PTA-Mid'!S217)=FALSE,'PTA-Mid'!S217,"")))</f>
        <v>Y</v>
      </c>
      <c r="T217" s="895" t="str">
        <f>IF(CostScenario="Higher cost",IF(ISBLANK('PTA-Hi'!T217)=FALSE,'PTA-Hi'!T217,""),IF(CostScenario="Lower cost",IF(ISBLANK('PTA-Lo'!T217)=FALSE,'PTA-Lo'!T217,""),IF(ISBLANK('PTA-Mid'!T217)=FALSE,'PTA-Mid'!T217,"")))</f>
        <v>Y</v>
      </c>
      <c r="U217" s="895" t="str">
        <f>IF(CostScenario="Higher cost",IF(ISBLANK('PTA-Hi'!U217)=FALSE,'PTA-Hi'!U217,""),IF(CostScenario="Lower cost",IF(ISBLANK('PTA-Lo'!U217)=FALSE,'PTA-Lo'!U217,""),IF(ISBLANK('PTA-Mid'!U217)=FALSE,'PTA-Mid'!U217,"")))</f>
        <v>Y</v>
      </c>
      <c r="V217" s="895" t="str">
        <f>IF(CostScenario="Higher cost",IF(ISBLANK('PTA-Hi'!V217)=FALSE,'PTA-Hi'!V217,""),IF(CostScenario="Lower cost",IF(ISBLANK('PTA-Lo'!V217)=FALSE,'PTA-Lo'!V217,""),IF(ISBLANK('PTA-Mid'!V217)=FALSE,'PTA-Mid'!V217,"")))</f>
        <v>Y</v>
      </c>
      <c r="W217" s="895"/>
      <c r="X217" s="895"/>
    </row>
    <row r="218" spans="1:24" s="66" customFormat="1">
      <c r="A218" s="958" t="s">
        <v>996</v>
      </c>
      <c r="B218" s="957"/>
      <c r="C218" s="901" t="s">
        <v>1417</v>
      </c>
      <c r="D218" s="895" t="str">
        <f>IF(CostScenario="Higher cost",IF(ISBLANK('PTA-Hi'!D218)=FALSE,'PTA-Hi'!D218,""),IF(CostScenario="Lower cost",IF(ISBLANK('PTA-Lo'!D218)=FALSE,'PTA-Lo'!D218,""),IF(ISBLANK('PTA-Mid'!D218)=FALSE,'PTA-Mid'!D218,"")))</f>
        <v/>
      </c>
      <c r="E218" s="895" t="str">
        <f>IF(CostScenario="Higher cost",IF(ISBLANK('PTA-Hi'!E218)=FALSE,'PTA-Hi'!E218,""),IF(CostScenario="Lower cost",IF(ISBLANK('PTA-Lo'!E218)=FALSE,'PTA-Lo'!E218,""),IF(ISBLANK('PTA-Mid'!E218)=FALSE,'PTA-Mid'!E218,"")))</f>
        <v/>
      </c>
      <c r="F218" s="895" t="str">
        <f>IF(CostScenario="Higher cost",IF(ISBLANK('PTA-Hi'!F218)=FALSE,'PTA-Hi'!F218,""),IF(CostScenario="Lower cost",IF(ISBLANK('PTA-Lo'!F218)=FALSE,'PTA-Lo'!F218,""),IF(ISBLANK('PTA-Mid'!F218)=FALSE,'PTA-Mid'!F218,"")))</f>
        <v/>
      </c>
      <c r="G218" s="895" t="str">
        <f>IF(CostScenario="Higher cost",IF(ISBLANK('PTA-Hi'!G218)=FALSE,'PTA-Hi'!G218,""),IF(CostScenario="Lower cost",IF(ISBLANK('PTA-Lo'!G218)=FALSE,'PTA-Lo'!G218,""),IF(ISBLANK('PTA-Mid'!G218)=FALSE,'PTA-Mid'!G218,"")))</f>
        <v/>
      </c>
      <c r="H218" s="895" t="str">
        <f>IF(CostScenario="Higher cost",IF(ISBLANK('PTA-Hi'!H218)=FALSE,'PTA-Hi'!H218,""),IF(CostScenario="Lower cost",IF(ISBLANK('PTA-Lo'!H218)=FALSE,'PTA-Lo'!H218,""),IF(ISBLANK('PTA-Mid'!H218)=FALSE,'PTA-Mid'!H218,"")))</f>
        <v/>
      </c>
      <c r="I218" s="896">
        <f>IF(CostScenario="Higher cost",IF(ISBLANK('PTA-Hi'!I218)=FALSE,'PTA-Hi'!I218,""),IF(CostScenario="Lower cost",IF(ISBLANK('PTA-Lo'!I218)=FALSE,'PTA-Lo'!I218,""),IF(ISBLANK('PTA-Mid'!I218)=FALSE,'PTA-Mid'!I218,"")))</f>
        <v>0.3</v>
      </c>
      <c r="J218" s="896">
        <f>IF(CostScenario="Higher cost",IF(ISBLANK('PTA-Hi'!J218)=FALSE,'PTA-Hi'!J218,""),IF(CostScenario="Lower cost",IF(ISBLANK('PTA-Lo'!J218)=FALSE,'PTA-Lo'!J218,""),IF(ISBLANK('PTA-Mid'!J218)=FALSE,'PTA-Mid'!J218,"")))</f>
        <v>0.3</v>
      </c>
      <c r="K218" s="896">
        <f>IF(CostScenario="Higher cost",IF(ISBLANK('PTA-Hi'!K218)=FALSE,'PTA-Hi'!K218,""),IF(CostScenario="Lower cost",IF(ISBLANK('PTA-Lo'!K218)=FALSE,'PTA-Lo'!K218,""),IF(ISBLANK('PTA-Mid'!K218)=FALSE,'PTA-Mid'!K218,"")))</f>
        <v>0.3</v>
      </c>
      <c r="L218" s="896">
        <f>IF(CostScenario="Higher cost",IF(ISBLANK('PTA-Hi'!L218)=FALSE,'PTA-Hi'!L218,""),IF(CostScenario="Lower cost",IF(ISBLANK('PTA-Lo'!L218)=FALSE,'PTA-Lo'!L218,""),IF(ISBLANK('PTA-Mid'!L218)=FALSE,'PTA-Mid'!L218,"")))</f>
        <v>0.3</v>
      </c>
      <c r="M218" s="896">
        <f>IF(CostScenario="Higher cost",IF(ISBLANK('PTA-Hi'!M218)=FALSE,'PTA-Hi'!M218,""),IF(CostScenario="Lower cost",IF(ISBLANK('PTA-Lo'!M218)=FALSE,'PTA-Lo'!M218,""),IF(ISBLANK('PTA-Mid'!M218)=FALSE,'PTA-Mid'!M218,"")))</f>
        <v>0.3</v>
      </c>
      <c r="N218" s="896">
        <f>IF(CostScenario="Higher cost",IF(ISBLANK('PTA-Hi'!N218)=FALSE,'PTA-Hi'!N218,""),IF(CostScenario="Lower cost",IF(ISBLANK('PTA-Lo'!N218)=FALSE,'PTA-Lo'!N218,""),IF(ISBLANK('PTA-Mid'!N218)=FALSE,'PTA-Mid'!N218,"")))</f>
        <v>0.3</v>
      </c>
      <c r="O218" s="896">
        <f>IF(CostScenario="Higher cost",IF(ISBLANK('PTA-Hi'!O218)=FALSE,'PTA-Hi'!O218,""),IF(CostScenario="Lower cost",IF(ISBLANK('PTA-Lo'!O218)=FALSE,'PTA-Lo'!O218,""),IF(ISBLANK('PTA-Mid'!O218)=FALSE,'PTA-Mid'!O218,"")))</f>
        <v>0.3</v>
      </c>
      <c r="P218" s="896">
        <f>IF(CostScenario="Higher cost",IF(ISBLANK('PTA-Hi'!P218)=FALSE,'PTA-Hi'!P218,""),IF(CostScenario="Lower cost",IF(ISBLANK('PTA-Lo'!P218)=FALSE,'PTA-Lo'!P218,""),IF(ISBLANK('PTA-Mid'!P218)=FALSE,'PTA-Mid'!P218,"")))</f>
        <v>0.3</v>
      </c>
      <c r="Q218" s="896">
        <f>IF(CostScenario="Higher cost",IF(ISBLANK('PTA-Hi'!Q218)=FALSE,'PTA-Hi'!Q218,""),IF(CostScenario="Lower cost",IF(ISBLANK('PTA-Lo'!Q218)=FALSE,'PTA-Lo'!Q218,""),IF(ISBLANK('PTA-Mid'!Q218)=FALSE,'PTA-Mid'!Q218,"")))</f>
        <v>0.3</v>
      </c>
      <c r="R218" s="896">
        <f>IF(CostScenario="Higher cost",IF(ISBLANK('PTA-Hi'!R218)=FALSE,'PTA-Hi'!R218,""),IF(CostScenario="Lower cost",IF(ISBLANK('PTA-Lo'!R218)=FALSE,'PTA-Lo'!R218,""),IF(ISBLANK('PTA-Mid'!R218)=FALSE,'PTA-Mid'!R218,"")))</f>
        <v>0.3</v>
      </c>
      <c r="S218" s="896">
        <f>IF(CostScenario="Higher cost",IF(ISBLANK('PTA-Hi'!S218)=FALSE,'PTA-Hi'!S218,""),IF(CostScenario="Lower cost",IF(ISBLANK('PTA-Lo'!S218)=FALSE,'PTA-Lo'!S218,""),IF(ISBLANK('PTA-Mid'!S218)=FALSE,'PTA-Mid'!S218,"")))</f>
        <v>0.3</v>
      </c>
      <c r="T218" s="896">
        <f>IF(CostScenario="Higher cost",IF(ISBLANK('PTA-Hi'!T218)=FALSE,'PTA-Hi'!T218,""),IF(CostScenario="Lower cost",IF(ISBLANK('PTA-Lo'!T218)=FALSE,'PTA-Lo'!T218,""),IF(ISBLANK('PTA-Mid'!T218)=FALSE,'PTA-Mid'!T218,"")))</f>
        <v>0.3</v>
      </c>
      <c r="U218" s="896">
        <f>IF(CostScenario="Higher cost",IF(ISBLANK('PTA-Hi'!U218)=FALSE,'PTA-Hi'!U218,""),IF(CostScenario="Lower cost",IF(ISBLANK('PTA-Lo'!U218)=FALSE,'PTA-Lo'!U218,""),IF(ISBLANK('PTA-Mid'!U218)=FALSE,'PTA-Mid'!U218,"")))</f>
        <v>0.3</v>
      </c>
      <c r="V218" s="896">
        <f>IF(CostScenario="Higher cost",IF(ISBLANK('PTA-Hi'!V218)=FALSE,'PTA-Hi'!V218,""),IF(CostScenario="Lower cost",IF(ISBLANK('PTA-Lo'!V218)=FALSE,'PTA-Lo'!V218,""),IF(ISBLANK('PTA-Mid'!V218)=FALSE,'PTA-Mid'!V218,"")))</f>
        <v>0.3</v>
      </c>
      <c r="W218" s="896"/>
      <c r="X218" s="896"/>
    </row>
    <row r="219" spans="1:24" s="66" customFormat="1">
      <c r="A219" s="958" t="s">
        <v>49</v>
      </c>
      <c r="B219" s="957"/>
      <c r="C219" s="901" t="s">
        <v>48</v>
      </c>
      <c r="D219" s="895" t="str">
        <f>IF(CostScenario="Higher cost",IF(ISBLANK('PTA-Hi'!D219)=FALSE,'PTA-Hi'!D219,""),IF(CostScenario="Lower cost",IF(ISBLANK('PTA-Lo'!D219)=FALSE,'PTA-Lo'!D219,""),IF(ISBLANK('PTA-Mid'!D219)=FALSE,'PTA-Mid'!D219,"")))</f>
        <v/>
      </c>
      <c r="E219" s="895" t="str">
        <f>IF(CostScenario="Higher cost",IF(ISBLANK('PTA-Hi'!E219)=FALSE,'PTA-Hi'!E219,""),IF(CostScenario="Lower cost",IF(ISBLANK('PTA-Lo'!E219)=FALSE,'PTA-Lo'!E219,""),IF(ISBLANK('PTA-Mid'!E219)=FALSE,'PTA-Mid'!E219,"")))</f>
        <v/>
      </c>
      <c r="F219" s="895" t="str">
        <f>IF(CostScenario="Higher cost",IF(ISBLANK('PTA-Hi'!F219)=FALSE,'PTA-Hi'!F219,""),IF(CostScenario="Lower cost",IF(ISBLANK('PTA-Lo'!F219)=FALSE,'PTA-Lo'!F219,""),IF(ISBLANK('PTA-Mid'!F219)=FALSE,'PTA-Mid'!F219,"")))</f>
        <v/>
      </c>
      <c r="G219" s="895" t="str">
        <f>IF(CostScenario="Higher cost",IF(ISBLANK('PTA-Hi'!G219)=FALSE,'PTA-Hi'!G219,""),IF(CostScenario="Lower cost",IF(ISBLANK('PTA-Lo'!G219)=FALSE,'PTA-Lo'!G219,""),IF(ISBLANK('PTA-Mid'!G219)=FALSE,'PTA-Mid'!G219,"")))</f>
        <v/>
      </c>
      <c r="H219" s="895" t="str">
        <f>IF(CostScenario="Higher cost",IF(ISBLANK('PTA-Hi'!H219)=FALSE,'PTA-Hi'!H219,""),IF(CostScenario="Lower cost",IF(ISBLANK('PTA-Lo'!H219)=FALSE,'PTA-Lo'!H219,""),IF(ISBLANK('PTA-Mid'!H219)=FALSE,'PTA-Mid'!H219,"")))</f>
        <v/>
      </c>
      <c r="I219" s="896">
        <f>IF(CostScenario="Higher cost",IF(ISBLANK('PTA-Hi'!I219)=FALSE,'PTA-Hi'!I219,""),IF(CostScenario="Lower cost",IF(ISBLANK('PTA-Lo'!I219)=FALSE,'PTA-Lo'!I219,""),IF(ISBLANK('PTA-Mid'!I219)=FALSE,'PTA-Mid'!I219,"")))</f>
        <v>0.15</v>
      </c>
      <c r="J219" s="896">
        <f>IF(CostScenario="Higher cost",IF(ISBLANK('PTA-Hi'!J219)=FALSE,'PTA-Hi'!J219,""),IF(CostScenario="Lower cost",IF(ISBLANK('PTA-Lo'!J219)=FALSE,'PTA-Lo'!J219,""),IF(ISBLANK('PTA-Mid'!J219)=FALSE,'PTA-Mid'!J219,"")))</f>
        <v>0.15</v>
      </c>
      <c r="K219" s="896">
        <f>IF(CostScenario="Higher cost",IF(ISBLANK('PTA-Hi'!K219)=FALSE,'PTA-Hi'!K219,""),IF(CostScenario="Lower cost",IF(ISBLANK('PTA-Lo'!K219)=FALSE,'PTA-Lo'!K219,""),IF(ISBLANK('PTA-Mid'!K219)=FALSE,'PTA-Mid'!K219,"")))</f>
        <v>0.15</v>
      </c>
      <c r="L219" s="896">
        <f>IF(CostScenario="Higher cost",IF(ISBLANK('PTA-Hi'!L219)=FALSE,'PTA-Hi'!L219,""),IF(CostScenario="Lower cost",IF(ISBLANK('PTA-Lo'!L219)=FALSE,'PTA-Lo'!L219,""),IF(ISBLANK('PTA-Mid'!L219)=FALSE,'PTA-Mid'!L219,"")))</f>
        <v>0.15</v>
      </c>
      <c r="M219" s="896">
        <f>IF(CostScenario="Higher cost",IF(ISBLANK('PTA-Hi'!M219)=FALSE,'PTA-Hi'!M219,""),IF(CostScenario="Lower cost",IF(ISBLANK('PTA-Lo'!M219)=FALSE,'PTA-Lo'!M219,""),IF(ISBLANK('PTA-Mid'!M219)=FALSE,'PTA-Mid'!M219,"")))</f>
        <v>0.15</v>
      </c>
      <c r="N219" s="896">
        <f>IF(CostScenario="Higher cost",IF(ISBLANK('PTA-Hi'!N219)=FALSE,'PTA-Hi'!N219,""),IF(CostScenario="Lower cost",IF(ISBLANK('PTA-Lo'!N219)=FALSE,'PTA-Lo'!N219,""),IF(ISBLANK('PTA-Mid'!N219)=FALSE,'PTA-Mid'!N219,"")))</f>
        <v>0.15</v>
      </c>
      <c r="O219" s="896">
        <f>IF(CostScenario="Higher cost",IF(ISBLANK('PTA-Hi'!O219)=FALSE,'PTA-Hi'!O219,""),IF(CostScenario="Lower cost",IF(ISBLANK('PTA-Lo'!O219)=FALSE,'PTA-Lo'!O219,""),IF(ISBLANK('PTA-Mid'!O219)=FALSE,'PTA-Mid'!O219,"")))</f>
        <v>0.15</v>
      </c>
      <c r="P219" s="896">
        <f>IF(CostScenario="Higher cost",IF(ISBLANK('PTA-Hi'!P219)=FALSE,'PTA-Hi'!P219,""),IF(CostScenario="Lower cost",IF(ISBLANK('PTA-Lo'!P219)=FALSE,'PTA-Lo'!P219,""),IF(ISBLANK('PTA-Mid'!P219)=FALSE,'PTA-Mid'!P219,"")))</f>
        <v>0.15</v>
      </c>
      <c r="Q219" s="896">
        <f>IF(CostScenario="Higher cost",IF(ISBLANK('PTA-Hi'!Q219)=FALSE,'PTA-Hi'!Q219,""),IF(CostScenario="Lower cost",IF(ISBLANK('PTA-Lo'!Q219)=FALSE,'PTA-Lo'!Q219,""),IF(ISBLANK('PTA-Mid'!Q219)=FALSE,'PTA-Mid'!Q219,"")))</f>
        <v>0.15</v>
      </c>
      <c r="R219" s="896">
        <f>IF(CostScenario="Higher cost",IF(ISBLANK('PTA-Hi'!R219)=FALSE,'PTA-Hi'!R219,""),IF(CostScenario="Lower cost",IF(ISBLANK('PTA-Lo'!R219)=FALSE,'PTA-Lo'!R219,""),IF(ISBLANK('PTA-Mid'!R219)=FALSE,'PTA-Mid'!R219,"")))</f>
        <v>0.15</v>
      </c>
      <c r="S219" s="896">
        <f>IF(CostScenario="Higher cost",IF(ISBLANK('PTA-Hi'!S219)=FALSE,'PTA-Hi'!S219,""),IF(CostScenario="Lower cost",IF(ISBLANK('PTA-Lo'!S219)=FALSE,'PTA-Lo'!S219,""),IF(ISBLANK('PTA-Mid'!S219)=FALSE,'PTA-Mid'!S219,"")))</f>
        <v>0.15</v>
      </c>
      <c r="T219" s="896">
        <f>IF(CostScenario="Higher cost",IF(ISBLANK('PTA-Hi'!T219)=FALSE,'PTA-Hi'!T219,""),IF(CostScenario="Lower cost",IF(ISBLANK('PTA-Lo'!T219)=FALSE,'PTA-Lo'!T219,""),IF(ISBLANK('PTA-Mid'!T219)=FALSE,'PTA-Mid'!T219,"")))</f>
        <v>0.15</v>
      </c>
      <c r="U219" s="896">
        <f>IF(CostScenario="Higher cost",IF(ISBLANK('PTA-Hi'!U219)=FALSE,'PTA-Hi'!U219,""),IF(CostScenario="Lower cost",IF(ISBLANK('PTA-Lo'!U219)=FALSE,'PTA-Lo'!U219,""),IF(ISBLANK('PTA-Mid'!U219)=FALSE,'PTA-Mid'!U219,"")))</f>
        <v>0.15</v>
      </c>
      <c r="V219" s="896">
        <f>IF(CostScenario="Higher cost",IF(ISBLANK('PTA-Hi'!V219)=FALSE,'PTA-Hi'!V219,""),IF(CostScenario="Lower cost",IF(ISBLANK('PTA-Lo'!V219)=FALSE,'PTA-Lo'!V219,""),IF(ISBLANK('PTA-Mid'!V219)=FALSE,'PTA-Mid'!V219,"")))</f>
        <v>0.15</v>
      </c>
      <c r="W219" s="896"/>
      <c r="X219" s="896"/>
    </row>
    <row r="220" spans="1:24" s="66" customFormat="1">
      <c r="A220" s="958" t="s">
        <v>45</v>
      </c>
      <c r="B220" s="957"/>
      <c r="C220" s="901" t="s">
        <v>44</v>
      </c>
      <c r="D220" s="897" t="str">
        <f>IF(CostScenario="Higher cost",IF(ISBLANK('PTA-Hi'!D220)=FALSE,'PTA-Hi'!D220,""),IF(CostScenario="Lower cost",IF(ISBLANK('PTA-Lo'!D220)=FALSE,'PTA-Lo'!D220,""),IF(ISBLANK('PTA-Mid'!D220)=FALSE,'PTA-Mid'!D220,"")))</f>
        <v/>
      </c>
      <c r="E220" s="897" t="str">
        <f>IF(CostScenario="Higher cost",IF(ISBLANK('PTA-Hi'!E220)=FALSE,'PTA-Hi'!E220,""),IF(CostScenario="Lower cost",IF(ISBLANK('PTA-Lo'!E220)=FALSE,'PTA-Lo'!E220,""),IF(ISBLANK('PTA-Mid'!E220)=FALSE,'PTA-Mid'!E220,"")))</f>
        <v/>
      </c>
      <c r="F220" s="897" t="str">
        <f>IF(CostScenario="Higher cost",IF(ISBLANK('PTA-Hi'!F220)=FALSE,'PTA-Hi'!F220,""),IF(CostScenario="Lower cost",IF(ISBLANK('PTA-Lo'!F220)=FALSE,'PTA-Lo'!F220,""),IF(ISBLANK('PTA-Mid'!F220)=FALSE,'PTA-Mid'!F220,"")))</f>
        <v/>
      </c>
      <c r="G220" s="897" t="str">
        <f>IF(CostScenario="Higher cost",IF(ISBLANK('PTA-Hi'!G220)=FALSE,'PTA-Hi'!G220,""),IF(CostScenario="Lower cost",IF(ISBLANK('PTA-Lo'!G220)=FALSE,'PTA-Lo'!G220,""),IF(ISBLANK('PTA-Mid'!G220)=FALSE,'PTA-Mid'!G220,"")))</f>
        <v/>
      </c>
      <c r="H220" s="897" t="str">
        <f>IF(CostScenario="Higher cost",IF(ISBLANK('PTA-Hi'!H220)=FALSE,'PTA-Hi'!H220,""),IF(CostScenario="Lower cost",IF(ISBLANK('PTA-Lo'!H220)=FALSE,'PTA-Lo'!H220,""),IF(ISBLANK('PTA-Mid'!H220)=FALSE,'PTA-Mid'!H220,"")))</f>
        <v/>
      </c>
      <c r="I220" s="897">
        <f>IF(CostScenario="Higher cost",IF(ISBLANK('PTA-Hi'!I220)=FALSE,'PTA-Hi'!I220,""),IF(CostScenario="Lower cost",IF(ISBLANK('PTA-Lo'!I220)=FALSE,'PTA-Lo'!I220,""),IF(ISBLANK('PTA-Mid'!I220)=FALSE,'PTA-Mid'!I220,"")))</f>
        <v>2030</v>
      </c>
      <c r="J220" s="897">
        <f>IF(CostScenario="Higher cost",IF(ISBLANK('PTA-Hi'!J220)=FALSE,'PTA-Hi'!J220,""),IF(CostScenario="Lower cost",IF(ISBLANK('PTA-Lo'!J220)=FALSE,'PTA-Lo'!J220,""),IF(ISBLANK('PTA-Mid'!J220)=FALSE,'PTA-Mid'!J220,"")))</f>
        <v>2030</v>
      </c>
      <c r="K220" s="897">
        <f>IF(CostScenario="Higher cost",IF(ISBLANK('PTA-Hi'!K220)=FALSE,'PTA-Hi'!K220,""),IF(CostScenario="Lower cost",IF(ISBLANK('PTA-Lo'!K220)=FALSE,'PTA-Lo'!K220,""),IF(ISBLANK('PTA-Mid'!K220)=FALSE,'PTA-Mid'!K220,"")))</f>
        <v>2030</v>
      </c>
      <c r="L220" s="897">
        <f>IF(CostScenario="Higher cost",IF(ISBLANK('PTA-Hi'!L220)=FALSE,'PTA-Hi'!L220,""),IF(CostScenario="Lower cost",IF(ISBLANK('PTA-Lo'!L220)=FALSE,'PTA-Lo'!L220,""),IF(ISBLANK('PTA-Mid'!L220)=FALSE,'PTA-Mid'!L220,"")))</f>
        <v>2030</v>
      </c>
      <c r="M220" s="897">
        <f>IF(CostScenario="Higher cost",IF(ISBLANK('PTA-Hi'!M220)=FALSE,'PTA-Hi'!M220,""),IF(CostScenario="Lower cost",IF(ISBLANK('PTA-Lo'!M220)=FALSE,'PTA-Lo'!M220,""),IF(ISBLANK('PTA-Mid'!M220)=FALSE,'PTA-Mid'!M220,"")))</f>
        <v>2030</v>
      </c>
      <c r="N220" s="2740">
        <f>IF(CostScenario="Higher cost",IF(ISBLANK('PTA-Hi'!N220)=FALSE,'PTA-Hi'!N220,""),IF(CostScenario="Lower cost",IF(ISBLANK('PTA-Lo'!N220)=FALSE,'PTA-Lo'!N220,""),IF(ISBLANK('PTA-Mid'!N220)=FALSE,'PTA-Mid'!N220,"")))</f>
        <v>2030</v>
      </c>
      <c r="O220" s="2740">
        <f>IF(CostScenario="Higher cost",IF(ISBLANK('PTA-Hi'!O220)=FALSE,'PTA-Hi'!O220,""),IF(CostScenario="Lower cost",IF(ISBLANK('PTA-Lo'!O220)=FALSE,'PTA-Lo'!O220,""),IF(ISBLANK('PTA-Mid'!O220)=FALSE,'PTA-Mid'!O220,"")))</f>
        <v>2030</v>
      </c>
      <c r="P220" s="3249">
        <f>IF(CostScenario="Higher cost",IF(ISBLANK('PTA-Hi'!P220)=FALSE,'PTA-Hi'!P220,""),IF(CostScenario="Lower cost",IF(ISBLANK('PTA-Lo'!P220)=FALSE,'PTA-Lo'!P220,""),IF(ISBLANK('PTA-Mid'!P220)=FALSE,'PTA-Mid'!P220,"")))</f>
        <v>2030</v>
      </c>
      <c r="Q220" s="2740">
        <f>IF(CostScenario="Higher cost",IF(ISBLANK('PTA-Hi'!Q220)=FALSE,'PTA-Hi'!Q220,""),IF(CostScenario="Lower cost",IF(ISBLANK('PTA-Lo'!Q220)=FALSE,'PTA-Lo'!Q220,""),IF(ISBLANK('PTA-Mid'!Q220)=FALSE,'PTA-Mid'!Q220,"")))</f>
        <v>2030</v>
      </c>
      <c r="R220" s="897">
        <f>IF(CostScenario="Higher cost",IF(ISBLANK('PTA-Hi'!R220)=FALSE,'PTA-Hi'!R220,""),IF(CostScenario="Lower cost",IF(ISBLANK('PTA-Lo'!R220)=FALSE,'PTA-Lo'!R220,""),IF(ISBLANK('PTA-Mid'!R220)=FALSE,'PTA-Mid'!R220,"")))</f>
        <v>2030</v>
      </c>
      <c r="S220" s="3251">
        <f>IF(CostScenario="Higher cost",IF(ISBLANK('PTA-Hi'!S220)=FALSE,'PTA-Hi'!S220,""),IF(CostScenario="Lower cost",IF(ISBLANK('PTA-Lo'!S220)=FALSE,'PTA-Lo'!S220,""),IF(ISBLANK('PTA-Mid'!S220)=FALSE,'PTA-Mid'!S220,"")))</f>
        <v>2030</v>
      </c>
      <c r="T220" s="3251">
        <f>IF(CostScenario="Higher cost",IF(ISBLANK('PTA-Hi'!T220)=FALSE,'PTA-Hi'!T220,""),IF(CostScenario="Lower cost",IF(ISBLANK('PTA-Lo'!T220)=FALSE,'PTA-Lo'!T220,""),IF(ISBLANK('PTA-Mid'!T220)=FALSE,'PTA-Mid'!T220,"")))</f>
        <v>2030</v>
      </c>
      <c r="U220" s="897">
        <f>IF(CostScenario="Higher cost",IF(ISBLANK('PTA-Hi'!U220)=FALSE,'PTA-Hi'!U220,""),IF(CostScenario="Lower cost",IF(ISBLANK('PTA-Lo'!U220)=FALSE,'PTA-Lo'!U220,""),IF(ISBLANK('PTA-Mid'!U220)=FALSE,'PTA-Mid'!U220,"")))</f>
        <v>2030</v>
      </c>
      <c r="V220" s="897">
        <f>IF(CostScenario="Higher cost",IF(ISBLANK('PTA-Hi'!V220)=FALSE,'PTA-Hi'!V220,""),IF(CostScenario="Lower cost",IF(ISBLANK('PTA-Lo'!V220)=FALSE,'PTA-Lo'!V220,""),IF(ISBLANK('PTA-Mid'!V220)=FALSE,'PTA-Mid'!V220,"")))</f>
        <v>2030</v>
      </c>
      <c r="W220" s="2914"/>
      <c r="X220" s="896"/>
    </row>
    <row r="221" spans="1:24" s="2336" customFormat="1">
      <c r="A221" s="958" t="s">
        <v>1643</v>
      </c>
      <c r="B221" s="957"/>
      <c r="C221" s="901" t="s">
        <v>1644</v>
      </c>
      <c r="D221" s="2467" t="str">
        <f>IF(CostScenario="Higher cost",IF(ISBLANK('PTA-Hi'!D221)=FALSE,'PTA-Hi'!D221,""),IF(CostScenario="Lower cost",IF(ISBLANK('PTA-Lo'!D221)=FALSE,'PTA-Lo'!D221,""),IF(ISBLANK('PTA-Mid'!D221)=FALSE,'PTA-Mid'!D221,"")))</f>
        <v/>
      </c>
      <c r="E221" s="2467" t="str">
        <f>IF(CostScenario="Higher cost",IF(ISBLANK('PTA-Hi'!E221)=FALSE,'PTA-Hi'!E221,""),IF(CostScenario="Lower cost",IF(ISBLANK('PTA-Lo'!E221)=FALSE,'PTA-Lo'!E221,""),IF(ISBLANK('PTA-Mid'!E221)=FALSE,'PTA-Mid'!E221,"")))</f>
        <v/>
      </c>
      <c r="F221" s="2467" t="str">
        <f>IF(CostScenario="Higher cost",IF(ISBLANK('PTA-Hi'!F221)=FALSE,'PTA-Hi'!F221,""),IF(CostScenario="Lower cost",IF(ISBLANK('PTA-Lo'!F221)=FALSE,'PTA-Lo'!F221,""),IF(ISBLANK('PTA-Mid'!F221)=FALSE,'PTA-Mid'!F221,"")))</f>
        <v/>
      </c>
      <c r="G221" s="2467" t="str">
        <f>IF(CostScenario="Higher cost",IF(ISBLANK('PTA-Hi'!G221)=FALSE,'PTA-Hi'!G221,""),IF(CostScenario="Lower cost",IF(ISBLANK('PTA-Lo'!G221)=FALSE,'PTA-Lo'!G221,""),IF(ISBLANK('PTA-Mid'!G221)=FALSE,'PTA-Mid'!G221,"")))</f>
        <v/>
      </c>
      <c r="H221" s="2467" t="str">
        <f>IF(CostScenario="Higher cost",IF(ISBLANK('PTA-Hi'!H221)=FALSE,'PTA-Hi'!H221,""),IF(CostScenario="Lower cost",IF(ISBLANK('PTA-Lo'!H221)=FALSE,'PTA-Lo'!H221,""),IF(ISBLANK('PTA-Mid'!H221)=FALSE,'PTA-Mid'!H221,"")))</f>
        <v/>
      </c>
      <c r="I221" s="2467">
        <f>IF(CostScenario="Higher cost",IF(ISBLANK('PTA-Hi'!I221)=FALSE,'PTA-Hi'!I221,""),IF(CostScenario="Lower cost",IF(ISBLANK('PTA-Lo'!I221)=FALSE,'PTA-Lo'!I221,""),IF(ISBLANK('PTA-Mid'!I221)=FALSE,'PTA-Mid'!I221,"")))</f>
        <v>0.9</v>
      </c>
      <c r="J221" s="2467">
        <f>IF(CostScenario="Higher cost",IF(ISBLANK('PTA-Hi'!J221)=FALSE,'PTA-Hi'!J221,""),IF(CostScenario="Lower cost",IF(ISBLANK('PTA-Lo'!J221)=FALSE,'PTA-Lo'!J221,""),IF(ISBLANK('PTA-Mid'!J221)=FALSE,'PTA-Mid'!J221,"")))</f>
        <v>0.9</v>
      </c>
      <c r="K221" s="2467">
        <f>IF(CostScenario="Higher cost",IF(ISBLANK('PTA-Hi'!K221)=FALSE,'PTA-Hi'!K221,""),IF(CostScenario="Lower cost",IF(ISBLANK('PTA-Lo'!K221)=FALSE,'PTA-Lo'!K221,""),IF(ISBLANK('PTA-Mid'!K221)=FALSE,'PTA-Mid'!K221,"")))</f>
        <v>0.9</v>
      </c>
      <c r="L221" s="2467">
        <f>IF(CostScenario="Higher cost",IF(ISBLANK('PTA-Hi'!L221)=FALSE,'PTA-Hi'!L221,""),IF(CostScenario="Lower cost",IF(ISBLANK('PTA-Lo'!L221)=FALSE,'PTA-Lo'!L221,""),IF(ISBLANK('PTA-Mid'!L221)=FALSE,'PTA-Mid'!L221,"")))</f>
        <v>0.9</v>
      </c>
      <c r="M221" s="2467">
        <f>IF(CostScenario="Higher cost",IF(ISBLANK('PTA-Hi'!M221)=FALSE,'PTA-Hi'!M221,""),IF(CostScenario="Lower cost",IF(ISBLANK('PTA-Lo'!M221)=FALSE,'PTA-Lo'!M221,""),IF(ISBLANK('PTA-Mid'!M221)=FALSE,'PTA-Mid'!M221,"")))</f>
        <v>0.9</v>
      </c>
      <c r="N221" s="2467">
        <f>IF(CostScenario="Higher cost",IF(ISBLANK('PTA-Hi'!N221)=FALSE,'PTA-Hi'!N221,""),IF(CostScenario="Lower cost",IF(ISBLANK('PTA-Lo'!N221)=FALSE,'PTA-Lo'!N221,""),IF(ISBLANK('PTA-Mid'!N221)=FALSE,'PTA-Mid'!N221,"")))</f>
        <v>0.9</v>
      </c>
      <c r="O221" s="2467">
        <f>IF(CostScenario="Higher cost",IF(ISBLANK('PTA-Hi'!O221)=FALSE,'PTA-Hi'!O221,""),IF(CostScenario="Lower cost",IF(ISBLANK('PTA-Lo'!O221)=FALSE,'PTA-Lo'!O221,""),IF(ISBLANK('PTA-Mid'!O221)=FALSE,'PTA-Mid'!O221,"")))</f>
        <v>0.9</v>
      </c>
      <c r="P221" s="2467">
        <f>IF(CostScenario="Higher cost",IF(ISBLANK('PTA-Hi'!P221)=FALSE,'PTA-Hi'!P221,""),IF(CostScenario="Lower cost",IF(ISBLANK('PTA-Lo'!P221)=FALSE,'PTA-Lo'!P221,""),IF(ISBLANK('PTA-Mid'!P221)=FALSE,'PTA-Mid'!P221,"")))</f>
        <v>0.9</v>
      </c>
      <c r="Q221" s="2467">
        <f>IF(CostScenario="Higher cost",IF(ISBLANK('PTA-Hi'!Q221)=FALSE,'PTA-Hi'!Q221,""),IF(CostScenario="Lower cost",IF(ISBLANK('PTA-Lo'!Q221)=FALSE,'PTA-Lo'!Q221,""),IF(ISBLANK('PTA-Mid'!Q221)=FALSE,'PTA-Mid'!Q221,"")))</f>
        <v>0.9</v>
      </c>
      <c r="R221" s="2467">
        <f>IF(CostScenario="Higher cost",IF(ISBLANK('PTA-Hi'!R221)=FALSE,'PTA-Hi'!R221,""),IF(CostScenario="Lower cost",IF(ISBLANK('PTA-Lo'!R221)=FALSE,'PTA-Lo'!R221,""),IF(ISBLANK('PTA-Mid'!R221)=FALSE,'PTA-Mid'!R221,"")))</f>
        <v>0.9</v>
      </c>
      <c r="S221" s="2467">
        <f>IF(CostScenario="Higher cost",IF(ISBLANK('PTA-Hi'!S221)=FALSE,'PTA-Hi'!S221,""),IF(CostScenario="Lower cost",IF(ISBLANK('PTA-Lo'!S221)=FALSE,'PTA-Lo'!S221,""),IF(ISBLANK('PTA-Mid'!S221)=FALSE,'PTA-Mid'!S221,"")))</f>
        <v>0.9</v>
      </c>
      <c r="T221" s="2467">
        <f>IF(CostScenario="Higher cost",IF(ISBLANK('PTA-Hi'!T221)=FALSE,'PTA-Hi'!T221,""),IF(CostScenario="Lower cost",IF(ISBLANK('PTA-Lo'!T221)=FALSE,'PTA-Lo'!T221,""),IF(ISBLANK('PTA-Mid'!T221)=FALSE,'PTA-Mid'!T221,"")))</f>
        <v>0.9</v>
      </c>
      <c r="U221" s="2467">
        <f>IF(CostScenario="Higher cost",IF(ISBLANK('PTA-Hi'!U221)=FALSE,'PTA-Hi'!U221,""),IF(CostScenario="Lower cost",IF(ISBLANK('PTA-Lo'!U221)=FALSE,'PTA-Lo'!U221,""),IF(ISBLANK('PTA-Mid'!U221)=FALSE,'PTA-Mid'!U221,"")))</f>
        <v>0.75</v>
      </c>
      <c r="V221" s="2467">
        <f>IF(CostScenario="Higher cost",IF(ISBLANK('PTA-Hi'!V221)=FALSE,'PTA-Hi'!V221,""),IF(CostScenario="Lower cost",IF(ISBLANK('PTA-Lo'!V221)=FALSE,'PTA-Lo'!V221,""),IF(ISBLANK('PTA-Mid'!V221)=FALSE,'PTA-Mid'!V221,"")))</f>
        <v>0.75</v>
      </c>
      <c r="W221" s="2467"/>
      <c r="X221" s="896"/>
    </row>
    <row r="222" spans="1:24" s="30" customFormat="1">
      <c r="A222" s="956" t="s">
        <v>1204</v>
      </c>
      <c r="B222" s="957"/>
      <c r="C222" s="901" t="s">
        <v>1132</v>
      </c>
      <c r="D222" s="897" t="str">
        <f>IF(CostScenario="Higher cost",IF(ISBLANK('PTA-Hi'!D222)=FALSE,'PTA-Hi'!D222,""),IF(CostScenario="Lower cost",IF(ISBLANK('PTA-Lo'!D222)=FALSE,'PTA-Lo'!D222,""),IF(ISBLANK('PTA-Mid'!D222)=FALSE,'PTA-Mid'!D222,"")))</f>
        <v>N</v>
      </c>
      <c r="E222" s="897" t="str">
        <f>IF(CostScenario="Higher cost",IF(ISBLANK('PTA-Hi'!E222)=FALSE,'PTA-Hi'!E222,""),IF(CostScenario="Lower cost",IF(ISBLANK('PTA-Lo'!E222)=FALSE,'PTA-Lo'!E222,""),IF(ISBLANK('PTA-Mid'!E222)=FALSE,'PTA-Mid'!E222,"")))</f>
        <v>N</v>
      </c>
      <c r="F222" s="897" t="str">
        <f>IF(CostScenario="Higher cost",IF(ISBLANK('PTA-Hi'!F222)=FALSE,'PTA-Hi'!F222,""),IF(CostScenario="Lower cost",IF(ISBLANK('PTA-Lo'!F222)=FALSE,'PTA-Lo'!F222,""),IF(ISBLANK('PTA-Mid'!F222)=FALSE,'PTA-Mid'!F222,"")))</f>
        <v>N</v>
      </c>
      <c r="G222" s="897" t="str">
        <f>IF(CostScenario="Higher cost",IF(ISBLANK('PTA-Hi'!G222)=FALSE,'PTA-Hi'!G222,""),IF(CostScenario="Lower cost",IF(ISBLANK('PTA-Lo'!G222)=FALSE,'PTA-Lo'!G222,""),IF(ISBLANK('PTA-Mid'!G222)=FALSE,'PTA-Mid'!G222,"")))</f>
        <v>N</v>
      </c>
      <c r="H222" s="897" t="str">
        <f>IF(CostScenario="Higher cost",IF(ISBLANK('PTA-Hi'!H222)=FALSE,'PTA-Hi'!H222,""),IF(CostScenario="Lower cost",IF(ISBLANK('PTA-Lo'!H222)=FALSE,'PTA-Lo'!H222,""),IF(ISBLANK('PTA-Mid'!H222)=FALSE,'PTA-Mid'!H222,"")))</f>
        <v>N</v>
      </c>
      <c r="I222" s="897" t="str">
        <f>IF(CostScenario="Higher cost",IF(ISBLANK('PTA-Hi'!I222)=FALSE,'PTA-Hi'!I222,""),IF(CostScenario="Lower cost",IF(ISBLANK('PTA-Lo'!I222)=FALSE,'PTA-Lo'!I222,""),IF(ISBLANK('PTA-Mid'!I222)=FALSE,'PTA-Mid'!I222,"")))</f>
        <v>Y</v>
      </c>
      <c r="J222" s="897" t="str">
        <f>IF(CostScenario="Higher cost",IF(ISBLANK('PTA-Hi'!J222)=FALSE,'PTA-Hi'!J222,""),IF(CostScenario="Lower cost",IF(ISBLANK('PTA-Lo'!J222)=FALSE,'PTA-Lo'!J222,""),IF(ISBLANK('PTA-Mid'!J222)=FALSE,'PTA-Mid'!J222,"")))</f>
        <v>Y</v>
      </c>
      <c r="K222" s="897" t="str">
        <f>IF(CostScenario="Higher cost",IF(ISBLANK('PTA-Hi'!K222)=FALSE,'PTA-Hi'!K222,""),IF(CostScenario="Lower cost",IF(ISBLANK('PTA-Lo'!K222)=FALSE,'PTA-Lo'!K222,""),IF(ISBLANK('PTA-Mid'!K222)=FALSE,'PTA-Mid'!K222,"")))</f>
        <v>Y</v>
      </c>
      <c r="L222" s="897" t="str">
        <f>IF(CostScenario="Higher cost",IF(ISBLANK('PTA-Hi'!L222)=FALSE,'PTA-Hi'!L222,""),IF(CostScenario="Lower cost",IF(ISBLANK('PTA-Lo'!L222)=FALSE,'PTA-Lo'!L222,""),IF(ISBLANK('PTA-Mid'!L222)=FALSE,'PTA-Mid'!L222,"")))</f>
        <v>N</v>
      </c>
      <c r="M222" s="897" t="str">
        <f>IF(CostScenario="Higher cost",IF(ISBLANK('PTA-Hi'!M222)=FALSE,'PTA-Hi'!M222,""),IF(CostScenario="Lower cost",IF(ISBLANK('PTA-Lo'!M222)=FALSE,'PTA-Lo'!M222,""),IF(ISBLANK('PTA-Mid'!M222)=FALSE,'PTA-Mid'!M222,"")))</f>
        <v>N</v>
      </c>
      <c r="N222" s="2740" t="str">
        <f>IF(CostScenario="Higher cost",IF(ISBLANK('PTA-Hi'!N222)=FALSE,'PTA-Hi'!N222,""),IF(CostScenario="Lower cost",IF(ISBLANK('PTA-Lo'!N222)=FALSE,'PTA-Lo'!N222,""),IF(ISBLANK('PTA-Mid'!N222)=FALSE,'PTA-Mid'!N222,"")))</f>
        <v>N</v>
      </c>
      <c r="O222" s="2740" t="str">
        <f>IF(CostScenario="Higher cost",IF(ISBLANK('PTA-Hi'!O222)=FALSE,'PTA-Hi'!O222,""),IF(CostScenario="Lower cost",IF(ISBLANK('PTA-Lo'!O222)=FALSE,'PTA-Lo'!O222,""),IF(ISBLANK('PTA-Mid'!O222)=FALSE,'PTA-Mid'!O222,"")))</f>
        <v>N</v>
      </c>
      <c r="P222" s="3249" t="str">
        <f>IF(CostScenario="Higher cost",IF(ISBLANK('PTA-Hi'!P222)=FALSE,'PTA-Hi'!P222,""),IF(CostScenario="Lower cost",IF(ISBLANK('PTA-Lo'!P222)=FALSE,'PTA-Lo'!P222,""),IF(ISBLANK('PTA-Mid'!P222)=FALSE,'PTA-Mid'!P222,"")))</f>
        <v>N</v>
      </c>
      <c r="Q222" s="2740" t="str">
        <f>IF(CostScenario="Higher cost",IF(ISBLANK('PTA-Hi'!Q222)=FALSE,'PTA-Hi'!Q222,""),IF(CostScenario="Lower cost",IF(ISBLANK('PTA-Lo'!Q222)=FALSE,'PTA-Lo'!Q222,""),IF(ISBLANK('PTA-Mid'!Q222)=FALSE,'PTA-Mid'!Q222,"")))</f>
        <v>N</v>
      </c>
      <c r="R222" s="897" t="str">
        <f>IF(CostScenario="Higher cost",IF(ISBLANK('PTA-Hi'!R222)=FALSE,'PTA-Hi'!R222,""),IF(CostScenario="Lower cost",IF(ISBLANK('PTA-Lo'!R222)=FALSE,'PTA-Lo'!R222,""),IF(ISBLANK('PTA-Mid'!R222)=FALSE,'PTA-Mid'!R222,"")))</f>
        <v>N</v>
      </c>
      <c r="S222" s="3251" t="str">
        <f>IF(CostScenario="Higher cost",IF(ISBLANK('PTA-Hi'!S222)=FALSE,'PTA-Hi'!S222,""),IF(CostScenario="Lower cost",IF(ISBLANK('PTA-Lo'!S222)=FALSE,'PTA-Lo'!S222,""),IF(ISBLANK('PTA-Mid'!S222)=FALSE,'PTA-Mid'!S222,"")))</f>
        <v>N</v>
      </c>
      <c r="T222" s="3251" t="str">
        <f>IF(CostScenario="Higher cost",IF(ISBLANK('PTA-Hi'!T222)=FALSE,'PTA-Hi'!T222,""),IF(CostScenario="Lower cost",IF(ISBLANK('PTA-Lo'!T222)=FALSE,'PTA-Lo'!T222,""),IF(ISBLANK('PTA-Mid'!T222)=FALSE,'PTA-Mid'!T222,"")))</f>
        <v>N</v>
      </c>
      <c r="U222" s="897" t="str">
        <f>IF(CostScenario="Higher cost",IF(ISBLANK('PTA-Hi'!U222)=FALSE,'PTA-Hi'!U222,""),IF(CostScenario="Lower cost",IF(ISBLANK('PTA-Lo'!U222)=FALSE,'PTA-Lo'!U222,""),IF(ISBLANK('PTA-Mid'!U222)=FALSE,'PTA-Mid'!U222,"")))</f>
        <v>Y</v>
      </c>
      <c r="V222" s="897" t="str">
        <f>IF(CostScenario="Higher cost",IF(ISBLANK('PTA-Hi'!V222)=FALSE,'PTA-Hi'!V222,""),IF(CostScenario="Lower cost",IF(ISBLANK('PTA-Lo'!V222)=FALSE,'PTA-Lo'!V222,""),IF(ISBLANK('PTA-Mid'!V222)=FALSE,'PTA-Mid'!V222,"")))</f>
        <v>Y</v>
      </c>
      <c r="W222" s="2914"/>
      <c r="X222" s="897"/>
    </row>
    <row r="223" spans="1:24" s="2031" customFormat="1">
      <c r="A223" s="2027" t="s">
        <v>1205</v>
      </c>
      <c r="B223" s="2028"/>
      <c r="C223" s="2029" t="s">
        <v>1133</v>
      </c>
      <c r="D223" s="2030" t="str">
        <f>IF(CostScenario="Higher cost",IF(ISBLANK('PTA-Hi'!D223)=FALSE,'PTA-Hi'!D223,""),IF(CostScenario="Lower cost",IF(ISBLANK('PTA-Lo'!D223)=FALSE,'PTA-Lo'!D223,""),IF(ISBLANK('PTA-Mid'!D223)=FALSE,'PTA-Mid'!D223,"")))</f>
        <v/>
      </c>
      <c r="E223" s="2030" t="str">
        <f>IF(CostScenario="Higher cost",IF(ISBLANK('PTA-Hi'!E223)=FALSE,'PTA-Hi'!E223,""),IF(CostScenario="Lower cost",IF(ISBLANK('PTA-Lo'!E223)=FALSE,'PTA-Lo'!E223,""),IF(ISBLANK('PTA-Mid'!E223)=FALSE,'PTA-Mid'!E223,"")))</f>
        <v/>
      </c>
      <c r="F223" s="2030" t="str">
        <f>IF(CostScenario="Higher cost",IF(ISBLANK('PTA-Hi'!F223)=FALSE,'PTA-Hi'!F223,""),IF(CostScenario="Lower cost",IF(ISBLANK('PTA-Lo'!F223)=FALSE,'PTA-Lo'!F223,""),IF(ISBLANK('PTA-Mid'!F223)=FALSE,'PTA-Mid'!F223,"")))</f>
        <v/>
      </c>
      <c r="G223" s="2030" t="str">
        <f>IF(CostScenario="Higher cost",IF(ISBLANK('PTA-Hi'!G223)=FALSE,'PTA-Hi'!G223,""),IF(CostScenario="Lower cost",IF(ISBLANK('PTA-Lo'!G223)=FALSE,'PTA-Lo'!G223,""),IF(ISBLANK('PTA-Mid'!G223)=FALSE,'PTA-Mid'!G223,"")))</f>
        <v/>
      </c>
      <c r="H223" s="2030" t="str">
        <f>IF(CostScenario="Higher cost",IF(ISBLANK('PTA-Hi'!H223)=FALSE,'PTA-Hi'!H223,""),IF(CostScenario="Lower cost",IF(ISBLANK('PTA-Lo'!H223)=FALSE,'PTA-Lo'!H223,""),IF(ISBLANK('PTA-Mid'!H223)=FALSE,'PTA-Mid'!H223,"")))</f>
        <v/>
      </c>
      <c r="I223" s="2030">
        <f>IF(CostScenario="Higher cost",IF(ISBLANK('PTA-Hi'!I223)=FALSE,'PTA-Hi'!I223,""),IF(CostScenario="Lower cost",IF(ISBLANK('PTA-Lo'!I223)=FALSE,'PTA-Lo'!I223,""),IF(ISBLANK('PTA-Mid'!I223)=FALSE,'PTA-Mid'!I223,"")))</f>
        <v>0.01</v>
      </c>
      <c r="J223" s="2030">
        <f>IF(CostScenario="Higher cost",IF(ISBLANK('PTA-Hi'!J223)=FALSE,'PTA-Hi'!J223,""),IF(CostScenario="Lower cost",IF(ISBLANK('PTA-Lo'!J223)=FALSE,'PTA-Lo'!J223,""),IF(ISBLANK('PTA-Mid'!J223)=FALSE,'PTA-Mid'!J223,"")))</f>
        <v>2.1000000000000001E-2</v>
      </c>
      <c r="K223" s="2030">
        <f>IF(CostScenario="Higher cost",IF(ISBLANK('PTA-Hi'!K223)=FALSE,'PTA-Hi'!K223,""),IF(CostScenario="Lower cost",IF(ISBLANK('PTA-Lo'!K223)=FALSE,'PTA-Lo'!K223,""),IF(ISBLANK('PTA-Mid'!K223)=FALSE,'PTA-Mid'!K223,"")))</f>
        <v>2.1000000000000001E-2</v>
      </c>
      <c r="L223" s="2030" t="str">
        <f>IF(CostScenario="Higher cost",IF(ISBLANK('PTA-Hi'!L223)=FALSE,'PTA-Hi'!L223,""),IF(CostScenario="Lower cost",IF(ISBLANK('PTA-Lo'!L223)=FALSE,'PTA-Lo'!L223,""),IF(ISBLANK('PTA-Mid'!L223)=FALSE,'PTA-Mid'!L223,"")))</f>
        <v/>
      </c>
      <c r="M223" s="2030" t="str">
        <f>IF(CostScenario="Higher cost",IF(ISBLANK('PTA-Hi'!M223)=FALSE,'PTA-Hi'!M223,""),IF(CostScenario="Lower cost",IF(ISBLANK('PTA-Lo'!M223)=FALSE,'PTA-Lo'!M223,""),IF(ISBLANK('PTA-Mid'!M223)=FALSE,'PTA-Mid'!M223,"")))</f>
        <v/>
      </c>
      <c r="N223" s="2030" t="str">
        <f>IF(CostScenario="Higher cost",IF(ISBLANK('PTA-Hi'!N223)=FALSE,'PTA-Hi'!N223,""),IF(CostScenario="Lower cost",IF(ISBLANK('PTA-Lo'!N223)=FALSE,'PTA-Lo'!N223,""),IF(ISBLANK('PTA-Mid'!N223)=FALSE,'PTA-Mid'!N223,"")))</f>
        <v/>
      </c>
      <c r="O223" s="2030" t="str">
        <f>IF(CostScenario="Higher cost",IF(ISBLANK('PTA-Hi'!O223)=FALSE,'PTA-Hi'!O223,""),IF(CostScenario="Lower cost",IF(ISBLANK('PTA-Lo'!O223)=FALSE,'PTA-Lo'!O223,""),IF(ISBLANK('PTA-Mid'!O223)=FALSE,'PTA-Mid'!O223,"")))</f>
        <v/>
      </c>
      <c r="P223" s="2030" t="str">
        <f>IF(CostScenario="Higher cost",IF(ISBLANK('PTA-Hi'!P223)=FALSE,'PTA-Hi'!P223,""),IF(CostScenario="Lower cost",IF(ISBLANK('PTA-Lo'!P223)=FALSE,'PTA-Lo'!P223,""),IF(ISBLANK('PTA-Mid'!P223)=FALSE,'PTA-Mid'!P223,"")))</f>
        <v/>
      </c>
      <c r="Q223" s="2030" t="str">
        <f>IF(CostScenario="Higher cost",IF(ISBLANK('PTA-Hi'!Q223)=FALSE,'PTA-Hi'!Q223,""),IF(CostScenario="Lower cost",IF(ISBLANK('PTA-Lo'!Q223)=FALSE,'PTA-Lo'!Q223,""),IF(ISBLANK('PTA-Mid'!Q223)=FALSE,'PTA-Mid'!Q223,"")))</f>
        <v/>
      </c>
      <c r="R223" s="2030" t="str">
        <f>IF(CostScenario="Higher cost",IF(ISBLANK('PTA-Hi'!R223)=FALSE,'PTA-Hi'!R223,""),IF(CostScenario="Lower cost",IF(ISBLANK('PTA-Lo'!R223)=FALSE,'PTA-Lo'!R223,""),IF(ISBLANK('PTA-Mid'!R223)=FALSE,'PTA-Mid'!R223,"")))</f>
        <v/>
      </c>
      <c r="S223" s="2030" t="str">
        <f>IF(CostScenario="Higher cost",IF(ISBLANK('PTA-Hi'!S223)=FALSE,'PTA-Hi'!S223,""),IF(CostScenario="Lower cost",IF(ISBLANK('PTA-Lo'!S223)=FALSE,'PTA-Lo'!S223,""),IF(ISBLANK('PTA-Mid'!S223)=FALSE,'PTA-Mid'!S223,"")))</f>
        <v/>
      </c>
      <c r="T223" s="2030" t="str">
        <f>IF(CostScenario="Higher cost",IF(ISBLANK('PTA-Hi'!T223)=FALSE,'PTA-Hi'!T223,""),IF(CostScenario="Lower cost",IF(ISBLANK('PTA-Lo'!T223)=FALSE,'PTA-Lo'!T223,""),IF(ISBLANK('PTA-Mid'!T223)=FALSE,'PTA-Mid'!T223,"")))</f>
        <v/>
      </c>
      <c r="U223" s="2030">
        <f>IF(CostScenario="Higher cost",IF(ISBLANK('PTA-Hi'!U223)=FALSE,'PTA-Hi'!U223,""),IF(CostScenario="Lower cost",IF(ISBLANK('PTA-Lo'!U223)=FALSE,'PTA-Lo'!U223,""),IF(ISBLANK('PTA-Mid'!U223)=FALSE,'PTA-Mid'!U223,"")))</f>
        <v>2.1000000000000001E-2</v>
      </c>
      <c r="V223" s="2030">
        <f>IF(CostScenario="Higher cost",IF(ISBLANK('PTA-Hi'!V223)=FALSE,'PTA-Hi'!V223,""),IF(CostScenario="Lower cost",IF(ISBLANK('PTA-Lo'!V223)=FALSE,'PTA-Lo'!V223,""),IF(ISBLANK('PTA-Mid'!V223)=FALSE,'PTA-Mid'!V223,"")))</f>
        <v>2.1000000000000001E-2</v>
      </c>
      <c r="W223" s="2030"/>
      <c r="X223" s="2030"/>
    </row>
    <row r="224" spans="1:24" s="30" customFormat="1">
      <c r="A224" s="956" t="s">
        <v>1209</v>
      </c>
      <c r="B224" s="957"/>
      <c r="C224" s="901" t="s">
        <v>1210</v>
      </c>
      <c r="D224" s="897" t="str">
        <f>IF(CostScenario="Higher cost",IF(ISBLANK('PTA-Hi'!D224)=FALSE,'PTA-Hi'!D224,""),IF(CostScenario="Lower cost",IF(ISBLANK('PTA-Lo'!D224)=FALSE,'PTA-Lo'!D224,""),IF(ISBLANK('PTA-Mid'!D224)=FALSE,'PTA-Mid'!D224,"")))</f>
        <v/>
      </c>
      <c r="E224" s="897" t="str">
        <f>IF(CostScenario="Higher cost",IF(ISBLANK('PTA-Hi'!E224)=FALSE,'PTA-Hi'!E224,""),IF(CostScenario="Lower cost",IF(ISBLANK('PTA-Lo'!E224)=FALSE,'PTA-Lo'!E224,""),IF(ISBLANK('PTA-Mid'!E224)=FALSE,'PTA-Mid'!E224,"")))</f>
        <v/>
      </c>
      <c r="F224" s="897" t="str">
        <f>IF(CostScenario="Higher cost",IF(ISBLANK('PTA-Hi'!F224)=FALSE,'PTA-Hi'!F224,""),IF(CostScenario="Lower cost",IF(ISBLANK('PTA-Lo'!F224)=FALSE,'PTA-Lo'!F224,""),IF(ISBLANK('PTA-Mid'!F224)=FALSE,'PTA-Mid'!F224,"")))</f>
        <v/>
      </c>
      <c r="G224" s="897" t="str">
        <f>IF(CostScenario="Higher cost",IF(ISBLANK('PTA-Hi'!G224)=FALSE,'PTA-Hi'!G224,""),IF(CostScenario="Lower cost",IF(ISBLANK('PTA-Lo'!G224)=FALSE,'PTA-Lo'!G224,""),IF(ISBLANK('PTA-Mid'!G224)=FALSE,'PTA-Mid'!G224,"")))</f>
        <v/>
      </c>
      <c r="H224" s="897" t="str">
        <f>IF(CostScenario="Higher cost",IF(ISBLANK('PTA-Hi'!H224)=FALSE,'PTA-Hi'!H224,""),IF(CostScenario="Lower cost",IF(ISBLANK('PTA-Lo'!H224)=FALSE,'PTA-Lo'!H224,""),IF(ISBLANK('PTA-Mid'!H224)=FALSE,'PTA-Mid'!H224,"")))</f>
        <v/>
      </c>
      <c r="I224" s="897">
        <f>IF(CostScenario="Higher cost",IF(ISBLANK('PTA-Hi'!I224)=FALSE,'PTA-Hi'!I224,""),IF(CostScenario="Lower cost",IF(ISBLANK('PTA-Lo'!I224)=FALSE,'PTA-Lo'!I224,""),IF(ISBLANK('PTA-Mid'!I224)=FALSE,'PTA-Mid'!I224,"")))</f>
        <v>2008</v>
      </c>
      <c r="J224" s="897">
        <f>IF(CostScenario="Higher cost",IF(ISBLANK('PTA-Hi'!J224)=FALSE,'PTA-Hi'!J224,""),IF(CostScenario="Lower cost",IF(ISBLANK('PTA-Lo'!J224)=FALSE,'PTA-Lo'!J224,""),IF(ISBLANK('PTA-Mid'!J224)=FALSE,'PTA-Mid'!J224,"")))</f>
        <v>2008</v>
      </c>
      <c r="K224" s="897">
        <f>IF(CostScenario="Higher cost",IF(ISBLANK('PTA-Hi'!K224)=FALSE,'PTA-Hi'!K224,""),IF(CostScenario="Lower cost",IF(ISBLANK('PTA-Lo'!K224)=FALSE,'PTA-Lo'!K224,""),IF(ISBLANK('PTA-Mid'!K224)=FALSE,'PTA-Mid'!K224,"")))</f>
        <v>2008</v>
      </c>
      <c r="L224" s="897" t="str">
        <f>IF(CostScenario="Higher cost",IF(ISBLANK('PTA-Hi'!L224)=FALSE,'PTA-Hi'!L224,""),IF(CostScenario="Lower cost",IF(ISBLANK('PTA-Lo'!L224)=FALSE,'PTA-Lo'!L224,""),IF(ISBLANK('PTA-Mid'!L224)=FALSE,'PTA-Mid'!L224,"")))</f>
        <v/>
      </c>
      <c r="M224" s="897" t="str">
        <f>IF(CostScenario="Higher cost",IF(ISBLANK('PTA-Hi'!M224)=FALSE,'PTA-Hi'!M224,""),IF(CostScenario="Lower cost",IF(ISBLANK('PTA-Lo'!M224)=FALSE,'PTA-Lo'!M224,""),IF(ISBLANK('PTA-Mid'!M224)=FALSE,'PTA-Mid'!M224,"")))</f>
        <v/>
      </c>
      <c r="N224" s="2740" t="str">
        <f>IF(CostScenario="Higher cost",IF(ISBLANK('PTA-Hi'!N224)=FALSE,'PTA-Hi'!N224,""),IF(CostScenario="Lower cost",IF(ISBLANK('PTA-Lo'!N224)=FALSE,'PTA-Lo'!N224,""),IF(ISBLANK('PTA-Mid'!N224)=FALSE,'PTA-Mid'!N224,"")))</f>
        <v/>
      </c>
      <c r="O224" s="2740" t="str">
        <f>IF(CostScenario="Higher cost",IF(ISBLANK('PTA-Hi'!O224)=FALSE,'PTA-Hi'!O224,""),IF(CostScenario="Lower cost",IF(ISBLANK('PTA-Lo'!O224)=FALSE,'PTA-Lo'!O224,""),IF(ISBLANK('PTA-Mid'!O224)=FALSE,'PTA-Mid'!O224,"")))</f>
        <v/>
      </c>
      <c r="P224" s="3249" t="str">
        <f>IF(CostScenario="Higher cost",IF(ISBLANK('PTA-Hi'!P224)=FALSE,'PTA-Hi'!P224,""),IF(CostScenario="Lower cost",IF(ISBLANK('PTA-Lo'!P224)=FALSE,'PTA-Lo'!P224,""),IF(ISBLANK('PTA-Mid'!P224)=FALSE,'PTA-Mid'!P224,"")))</f>
        <v/>
      </c>
      <c r="Q224" s="2740" t="str">
        <f>IF(CostScenario="Higher cost",IF(ISBLANK('PTA-Hi'!Q224)=FALSE,'PTA-Hi'!Q224,""),IF(CostScenario="Lower cost",IF(ISBLANK('PTA-Lo'!Q224)=FALSE,'PTA-Lo'!Q224,""),IF(ISBLANK('PTA-Mid'!Q224)=FALSE,'PTA-Mid'!Q224,"")))</f>
        <v/>
      </c>
      <c r="R224" s="897" t="str">
        <f>IF(CostScenario="Higher cost",IF(ISBLANK('PTA-Hi'!R224)=FALSE,'PTA-Hi'!R224,""),IF(CostScenario="Lower cost",IF(ISBLANK('PTA-Lo'!R224)=FALSE,'PTA-Lo'!R224,""),IF(ISBLANK('PTA-Mid'!R224)=FALSE,'PTA-Mid'!R224,"")))</f>
        <v/>
      </c>
      <c r="S224" s="3251" t="str">
        <f>IF(CostScenario="Higher cost",IF(ISBLANK('PTA-Hi'!S224)=FALSE,'PTA-Hi'!S224,""),IF(CostScenario="Lower cost",IF(ISBLANK('PTA-Lo'!S224)=FALSE,'PTA-Lo'!S224,""),IF(ISBLANK('PTA-Mid'!S224)=FALSE,'PTA-Mid'!S224,"")))</f>
        <v/>
      </c>
      <c r="T224" s="3251" t="str">
        <f>IF(CostScenario="Higher cost",IF(ISBLANK('PTA-Hi'!T224)=FALSE,'PTA-Hi'!T224,""),IF(CostScenario="Lower cost",IF(ISBLANK('PTA-Lo'!T224)=FALSE,'PTA-Lo'!T224,""),IF(ISBLANK('PTA-Mid'!T224)=FALSE,'PTA-Mid'!T224,"")))</f>
        <v/>
      </c>
      <c r="U224" s="897">
        <f>IF(CostScenario="Higher cost",IF(ISBLANK('PTA-Hi'!U224)=FALSE,'PTA-Hi'!U224,""),IF(CostScenario="Lower cost",IF(ISBLANK('PTA-Lo'!U224)=FALSE,'PTA-Lo'!U224,""),IF(ISBLANK('PTA-Mid'!U224)=FALSE,'PTA-Mid'!U224,"")))</f>
        <v>2008</v>
      </c>
      <c r="V224" s="897">
        <f>IF(CostScenario="Higher cost",IF(ISBLANK('PTA-Hi'!V224)=FALSE,'PTA-Hi'!V224,""),IF(CostScenario="Lower cost",IF(ISBLANK('PTA-Lo'!V224)=FALSE,'PTA-Lo'!V224,""),IF(ISBLANK('PTA-Mid'!V224)=FALSE,'PTA-Mid'!V224,"")))</f>
        <v>2008</v>
      </c>
      <c r="W224" s="2914"/>
      <c r="X224" s="897"/>
    </row>
    <row r="225" spans="1:24" s="30" customFormat="1">
      <c r="A225" s="956" t="s">
        <v>1206</v>
      </c>
      <c r="B225" s="957"/>
      <c r="C225" s="901" t="s">
        <v>1134</v>
      </c>
      <c r="D225" s="897" t="str">
        <f>IF(CostScenario="Higher cost",IF(ISBLANK('PTA-Hi'!D225)=FALSE,'PTA-Hi'!D225,""),IF(CostScenario="Lower cost",IF(ISBLANK('PTA-Lo'!D225)=FALSE,'PTA-Lo'!D225,""),IF(ISBLANK('PTA-Mid'!D225)=FALSE,'PTA-Mid'!D225,"")))</f>
        <v/>
      </c>
      <c r="E225" s="897" t="str">
        <f>IF(CostScenario="Higher cost",IF(ISBLANK('PTA-Hi'!E225)=FALSE,'PTA-Hi'!E225,""),IF(CostScenario="Lower cost",IF(ISBLANK('PTA-Lo'!E225)=FALSE,'PTA-Lo'!E225,""),IF(ISBLANK('PTA-Mid'!E225)=FALSE,'PTA-Mid'!E225,"")))</f>
        <v/>
      </c>
      <c r="F225" s="897" t="str">
        <f>IF(CostScenario="Higher cost",IF(ISBLANK('PTA-Hi'!F225)=FALSE,'PTA-Hi'!F225,""),IF(CostScenario="Lower cost",IF(ISBLANK('PTA-Lo'!F225)=FALSE,'PTA-Lo'!F225,""),IF(ISBLANK('PTA-Mid'!F225)=FALSE,'PTA-Mid'!F225,"")))</f>
        <v/>
      </c>
      <c r="G225" s="897" t="str">
        <f>IF(CostScenario="Higher cost",IF(ISBLANK('PTA-Hi'!G225)=FALSE,'PTA-Hi'!G225,""),IF(CostScenario="Lower cost",IF(ISBLANK('PTA-Lo'!G225)=FALSE,'PTA-Lo'!G225,""),IF(ISBLANK('PTA-Mid'!G225)=FALSE,'PTA-Mid'!G225,"")))</f>
        <v/>
      </c>
      <c r="H225" s="897" t="str">
        <f>IF(CostScenario="Higher cost",IF(ISBLANK('PTA-Hi'!H225)=FALSE,'PTA-Hi'!H225,""),IF(CostScenario="Lower cost",IF(ISBLANK('PTA-Lo'!H225)=FALSE,'PTA-Lo'!H225,""),IF(ISBLANK('PTA-Mid'!H225)=FALSE,'PTA-Mid'!H225,"")))</f>
        <v/>
      </c>
      <c r="I225" s="897">
        <f>IF(CostScenario="Higher cost",IF(ISBLANK('PTA-Hi'!I225)=FALSE,'PTA-Hi'!I225,""),IF(CostScenario="Lower cost",IF(ISBLANK('PTA-Lo'!I225)=FALSE,'PTA-Lo'!I225,""),IF(ISBLANK('PTA-Mid'!I225)=FALSE,'PTA-Mid'!I225,"")))</f>
        <v>10</v>
      </c>
      <c r="J225" s="897">
        <f>IF(CostScenario="Higher cost",IF(ISBLANK('PTA-Hi'!J225)=FALSE,'PTA-Hi'!J225,""),IF(CostScenario="Lower cost",IF(ISBLANK('PTA-Lo'!J225)=FALSE,'PTA-Lo'!J225,""),IF(ISBLANK('PTA-Mid'!J225)=FALSE,'PTA-Mid'!J225,"")))</f>
        <v>10</v>
      </c>
      <c r="K225" s="897">
        <f>IF(CostScenario="Higher cost",IF(ISBLANK('PTA-Hi'!K225)=FALSE,'PTA-Hi'!K225,""),IF(CostScenario="Lower cost",IF(ISBLANK('PTA-Lo'!K225)=FALSE,'PTA-Lo'!K225,""),IF(ISBLANK('PTA-Mid'!K225)=FALSE,'PTA-Mid'!K225,"")))</f>
        <v>10</v>
      </c>
      <c r="L225" s="897" t="str">
        <f>IF(CostScenario="Higher cost",IF(ISBLANK('PTA-Hi'!L225)=FALSE,'PTA-Hi'!L225,""),IF(CostScenario="Lower cost",IF(ISBLANK('PTA-Lo'!L225)=FALSE,'PTA-Lo'!L225,""),IF(ISBLANK('PTA-Mid'!L225)=FALSE,'PTA-Mid'!L225,"")))</f>
        <v/>
      </c>
      <c r="M225" s="897" t="str">
        <f>IF(CostScenario="Higher cost",IF(ISBLANK('PTA-Hi'!M225)=FALSE,'PTA-Hi'!M225,""),IF(CostScenario="Lower cost",IF(ISBLANK('PTA-Lo'!M225)=FALSE,'PTA-Lo'!M225,""),IF(ISBLANK('PTA-Mid'!M225)=FALSE,'PTA-Mid'!M225,"")))</f>
        <v/>
      </c>
      <c r="N225" s="2740" t="str">
        <f>IF(CostScenario="Higher cost",IF(ISBLANK('PTA-Hi'!N225)=FALSE,'PTA-Hi'!N225,""),IF(CostScenario="Lower cost",IF(ISBLANK('PTA-Lo'!N225)=FALSE,'PTA-Lo'!N225,""),IF(ISBLANK('PTA-Mid'!N225)=FALSE,'PTA-Mid'!N225,"")))</f>
        <v/>
      </c>
      <c r="O225" s="2740" t="str">
        <f>IF(CostScenario="Higher cost",IF(ISBLANK('PTA-Hi'!O225)=FALSE,'PTA-Hi'!O225,""),IF(CostScenario="Lower cost",IF(ISBLANK('PTA-Lo'!O225)=FALSE,'PTA-Lo'!O225,""),IF(ISBLANK('PTA-Mid'!O225)=FALSE,'PTA-Mid'!O225,"")))</f>
        <v/>
      </c>
      <c r="P225" s="3249" t="str">
        <f>IF(CostScenario="Higher cost",IF(ISBLANK('PTA-Hi'!P225)=FALSE,'PTA-Hi'!P225,""),IF(CostScenario="Lower cost",IF(ISBLANK('PTA-Lo'!P225)=FALSE,'PTA-Lo'!P225,""),IF(ISBLANK('PTA-Mid'!P225)=FALSE,'PTA-Mid'!P225,"")))</f>
        <v/>
      </c>
      <c r="Q225" s="2740" t="str">
        <f>IF(CostScenario="Higher cost",IF(ISBLANK('PTA-Hi'!Q225)=FALSE,'PTA-Hi'!Q225,""),IF(CostScenario="Lower cost",IF(ISBLANK('PTA-Lo'!Q225)=FALSE,'PTA-Lo'!Q225,""),IF(ISBLANK('PTA-Mid'!Q225)=FALSE,'PTA-Mid'!Q225,"")))</f>
        <v/>
      </c>
      <c r="R225" s="897" t="str">
        <f>IF(CostScenario="Higher cost",IF(ISBLANK('PTA-Hi'!R225)=FALSE,'PTA-Hi'!R225,""),IF(CostScenario="Lower cost",IF(ISBLANK('PTA-Lo'!R225)=FALSE,'PTA-Lo'!R225,""),IF(ISBLANK('PTA-Mid'!R225)=FALSE,'PTA-Mid'!R225,"")))</f>
        <v/>
      </c>
      <c r="S225" s="3251" t="str">
        <f>IF(CostScenario="Higher cost",IF(ISBLANK('PTA-Hi'!S225)=FALSE,'PTA-Hi'!S225,""),IF(CostScenario="Lower cost",IF(ISBLANK('PTA-Lo'!S225)=FALSE,'PTA-Lo'!S225,""),IF(ISBLANK('PTA-Mid'!S225)=FALSE,'PTA-Mid'!S225,"")))</f>
        <v/>
      </c>
      <c r="T225" s="3251" t="str">
        <f>IF(CostScenario="Higher cost",IF(ISBLANK('PTA-Hi'!T225)=FALSE,'PTA-Hi'!T225,""),IF(CostScenario="Lower cost",IF(ISBLANK('PTA-Lo'!T225)=FALSE,'PTA-Lo'!T225,""),IF(ISBLANK('PTA-Mid'!T225)=FALSE,'PTA-Mid'!T225,"")))</f>
        <v/>
      </c>
      <c r="U225" s="897">
        <f>IF(CostScenario="Higher cost",IF(ISBLANK('PTA-Hi'!U225)=FALSE,'PTA-Hi'!U225,""),IF(CostScenario="Lower cost",IF(ISBLANK('PTA-Lo'!U225)=FALSE,'PTA-Lo'!U225,""),IF(ISBLANK('PTA-Mid'!U225)=FALSE,'PTA-Mid'!U225,"")))</f>
        <v>10</v>
      </c>
      <c r="V225" s="897">
        <f>IF(CostScenario="Higher cost",IF(ISBLANK('PTA-Hi'!V225)=FALSE,'PTA-Hi'!V225,""),IF(CostScenario="Lower cost",IF(ISBLANK('PTA-Lo'!V225)=FALSE,'PTA-Lo'!V225,""),IF(ISBLANK('PTA-Mid'!V225)=FALSE,'PTA-Mid'!V225,"")))</f>
        <v>10</v>
      </c>
      <c r="W225" s="2914"/>
      <c r="X225" s="897"/>
    </row>
    <row r="226" spans="1:24" s="30" customFormat="1">
      <c r="A226" s="956" t="s">
        <v>43</v>
      </c>
      <c r="B226" s="957"/>
      <c r="C226" s="901" t="s">
        <v>42</v>
      </c>
      <c r="D226" s="897" t="str">
        <f>IF(CostScenario="Higher cost",IF(ISBLANK('PTA-Hi'!D226)=FALSE,'PTA-Hi'!D226,""),IF(CostScenario="Lower cost",IF(ISBLANK('PTA-Lo'!D226)=FALSE,'PTA-Lo'!D226,""),IF(ISBLANK('PTA-Mid'!D226)=FALSE,'PTA-Mid'!D226,"")))</f>
        <v/>
      </c>
      <c r="E226" s="897" t="str">
        <f>IF(CostScenario="Higher cost",IF(ISBLANK('PTA-Hi'!E226)=FALSE,'PTA-Hi'!E226,""),IF(CostScenario="Lower cost",IF(ISBLANK('PTA-Lo'!E226)=FALSE,'PTA-Lo'!E226,""),IF(ISBLANK('PTA-Mid'!E226)=FALSE,'PTA-Mid'!E226,"")))</f>
        <v/>
      </c>
      <c r="F226" s="897" t="str">
        <f>IF(CostScenario="Higher cost",IF(ISBLANK('PTA-Hi'!F226)=FALSE,'PTA-Hi'!F226,""),IF(CostScenario="Lower cost",IF(ISBLANK('PTA-Lo'!F226)=FALSE,'PTA-Lo'!F226,""),IF(ISBLANK('PTA-Mid'!F226)=FALSE,'PTA-Mid'!F226,"")))</f>
        <v/>
      </c>
      <c r="G226" s="897" t="str">
        <f>IF(CostScenario="Higher cost",IF(ISBLANK('PTA-Hi'!G226)=FALSE,'PTA-Hi'!G226,""),IF(CostScenario="Lower cost",IF(ISBLANK('PTA-Lo'!G226)=FALSE,'PTA-Lo'!G226,""),IF(ISBLANK('PTA-Mid'!G226)=FALSE,'PTA-Mid'!G226,"")))</f>
        <v/>
      </c>
      <c r="H226" s="897" t="str">
        <f>IF(CostScenario="Higher cost",IF(ISBLANK('PTA-Hi'!H226)=FALSE,'PTA-Hi'!H226,""),IF(CostScenario="Lower cost",IF(ISBLANK('PTA-Lo'!H226)=FALSE,'PTA-Lo'!H226,""),IF(ISBLANK('PTA-Mid'!H226)=FALSE,'PTA-Mid'!H226,"")))</f>
        <v/>
      </c>
      <c r="I226" s="897">
        <f>IF(CostScenario="Higher cost",IF(ISBLANK('PTA-Hi'!I226)=FALSE,'PTA-Hi'!I226,""),IF(CostScenario="Lower cost",IF(ISBLANK('PTA-Lo'!I226)=FALSE,'PTA-Lo'!I226,""),IF(ISBLANK('PTA-Mid'!I226)=FALSE,'PTA-Mid'!I226,"")))</f>
        <v>2017</v>
      </c>
      <c r="J226" s="897">
        <f>IF(CostScenario="Higher cost",IF(ISBLANK('PTA-Hi'!J226)=FALSE,'PTA-Hi'!J226,""),IF(CostScenario="Lower cost",IF(ISBLANK('PTA-Lo'!J226)=FALSE,'PTA-Lo'!J226,""),IF(ISBLANK('PTA-Mid'!J226)=FALSE,'PTA-Mid'!J226,"")))</f>
        <v>2014</v>
      </c>
      <c r="K226" s="897">
        <f>IF(CostScenario="Higher cost",IF(ISBLANK('PTA-Hi'!K226)=FALSE,'PTA-Hi'!K226,""),IF(CostScenario="Lower cost",IF(ISBLANK('PTA-Lo'!K226)=FALSE,'PTA-Lo'!K226,""),IF(ISBLANK('PTA-Mid'!K226)=FALSE,'PTA-Mid'!K226,"")))</f>
        <v>2014</v>
      </c>
      <c r="L226" s="897" t="str">
        <f>IF(CostScenario="Higher cost",IF(ISBLANK('PTA-Hi'!L226)=FALSE,'PTA-Hi'!L226,""),IF(CostScenario="Lower cost",IF(ISBLANK('PTA-Lo'!L226)=FALSE,'PTA-Lo'!L226,""),IF(ISBLANK('PTA-Mid'!L226)=FALSE,'PTA-Mid'!L226,"")))</f>
        <v/>
      </c>
      <c r="M226" s="897" t="str">
        <f>IF(CostScenario="Higher cost",IF(ISBLANK('PTA-Hi'!M226)=FALSE,'PTA-Hi'!M226,""),IF(CostScenario="Lower cost",IF(ISBLANK('PTA-Lo'!M226)=FALSE,'PTA-Lo'!M226,""),IF(ISBLANK('PTA-Mid'!M226)=FALSE,'PTA-Mid'!M226,"")))</f>
        <v/>
      </c>
      <c r="N226" s="2740" t="str">
        <f>IF(CostScenario="Higher cost",IF(ISBLANK('PTA-Hi'!N226)=FALSE,'PTA-Hi'!N226,""),IF(CostScenario="Lower cost",IF(ISBLANK('PTA-Lo'!N226)=FALSE,'PTA-Lo'!N226,""),IF(ISBLANK('PTA-Mid'!N226)=FALSE,'PTA-Mid'!N226,"")))</f>
        <v/>
      </c>
      <c r="O226" s="2740" t="str">
        <f>IF(CostScenario="Higher cost",IF(ISBLANK('PTA-Hi'!O226)=FALSE,'PTA-Hi'!O226,""),IF(CostScenario="Lower cost",IF(ISBLANK('PTA-Lo'!O226)=FALSE,'PTA-Lo'!O226,""),IF(ISBLANK('PTA-Mid'!O226)=FALSE,'PTA-Mid'!O226,"")))</f>
        <v/>
      </c>
      <c r="P226" s="3249" t="str">
        <f>IF(CostScenario="Higher cost",IF(ISBLANK('PTA-Hi'!P226)=FALSE,'PTA-Hi'!P226,""),IF(CostScenario="Lower cost",IF(ISBLANK('PTA-Lo'!P226)=FALSE,'PTA-Lo'!P226,""),IF(ISBLANK('PTA-Mid'!P226)=FALSE,'PTA-Mid'!P226,"")))</f>
        <v/>
      </c>
      <c r="Q226" s="2740" t="str">
        <f>IF(CostScenario="Higher cost",IF(ISBLANK('PTA-Hi'!Q226)=FALSE,'PTA-Hi'!Q226,""),IF(CostScenario="Lower cost",IF(ISBLANK('PTA-Lo'!Q226)=FALSE,'PTA-Lo'!Q226,""),IF(ISBLANK('PTA-Mid'!Q226)=FALSE,'PTA-Mid'!Q226,"")))</f>
        <v/>
      </c>
      <c r="R226" s="897" t="str">
        <f>IF(CostScenario="Higher cost",IF(ISBLANK('PTA-Hi'!R226)=FALSE,'PTA-Hi'!R226,""),IF(CostScenario="Lower cost",IF(ISBLANK('PTA-Lo'!R226)=FALSE,'PTA-Lo'!R226,""),IF(ISBLANK('PTA-Mid'!R226)=FALSE,'PTA-Mid'!R226,"")))</f>
        <v/>
      </c>
      <c r="S226" s="3251" t="str">
        <f>IF(CostScenario="Higher cost",IF(ISBLANK('PTA-Hi'!S226)=FALSE,'PTA-Hi'!S226,""),IF(CostScenario="Lower cost",IF(ISBLANK('PTA-Lo'!S226)=FALSE,'PTA-Lo'!S226,""),IF(ISBLANK('PTA-Mid'!S226)=FALSE,'PTA-Mid'!S226,"")))</f>
        <v/>
      </c>
      <c r="T226" s="3251" t="str">
        <f>IF(CostScenario="Higher cost",IF(ISBLANK('PTA-Hi'!T226)=FALSE,'PTA-Hi'!T226,""),IF(CostScenario="Lower cost",IF(ISBLANK('PTA-Lo'!T226)=FALSE,'PTA-Lo'!T226,""),IF(ISBLANK('PTA-Mid'!T226)=FALSE,'PTA-Mid'!T226,"")))</f>
        <v/>
      </c>
      <c r="U226" s="897">
        <f>IF(CostScenario="Higher cost",IF(ISBLANK('PTA-Hi'!U226)=FALSE,'PTA-Hi'!U226,""),IF(CostScenario="Lower cost",IF(ISBLANK('PTA-Lo'!U226)=FALSE,'PTA-Lo'!U226,""),IF(ISBLANK('PTA-Mid'!U226)=FALSE,'PTA-Mid'!U226,"")))</f>
        <v>2016</v>
      </c>
      <c r="V226" s="897">
        <f>IF(CostScenario="Higher cost",IF(ISBLANK('PTA-Hi'!V226)=FALSE,'PTA-Hi'!V226,""),IF(CostScenario="Lower cost",IF(ISBLANK('PTA-Lo'!V226)=FALSE,'PTA-Lo'!V226,""),IF(ISBLANK('PTA-Mid'!V226)=FALSE,'PTA-Mid'!V226,"")))</f>
        <v>2016</v>
      </c>
      <c r="W226" s="2914"/>
      <c r="X226" s="897"/>
    </row>
    <row r="227" spans="1:24" s="30" customFormat="1">
      <c r="A227" s="956" t="s">
        <v>475</v>
      </c>
      <c r="B227" s="957" t="s">
        <v>919</v>
      </c>
      <c r="C227" s="901" t="s">
        <v>919</v>
      </c>
      <c r="D227" s="897" t="str">
        <f>IF(CostScenario="Higher cost",IF(ISBLANK('PTA-Hi'!D227)=FALSE,'PTA-Hi'!D227,""),IF(CostScenario="Lower cost",IF(ISBLANK('PTA-Lo'!D227)=FALSE,'PTA-Lo'!D227,""),IF(ISBLANK('PTA-Mid'!D227)=FALSE,'PTA-Mid'!D227,"")))</f>
        <v>N</v>
      </c>
      <c r="E227" s="897" t="str">
        <f>IF(CostScenario="Higher cost",IF(ISBLANK('PTA-Hi'!E227)=FALSE,'PTA-Hi'!E227,""),IF(CostScenario="Lower cost",IF(ISBLANK('PTA-Lo'!E227)=FALSE,'PTA-Lo'!E227,""),IF(ISBLANK('PTA-Mid'!E227)=FALSE,'PTA-Mid'!E227,"")))</f>
        <v>N</v>
      </c>
      <c r="F227" s="897" t="str">
        <f>IF(CostScenario="Higher cost",IF(ISBLANK('PTA-Hi'!F227)=FALSE,'PTA-Hi'!F227,""),IF(CostScenario="Lower cost",IF(ISBLANK('PTA-Lo'!F227)=FALSE,'PTA-Lo'!F227,""),IF(ISBLANK('PTA-Mid'!F227)=FALSE,'PTA-Mid'!F227,"")))</f>
        <v>N</v>
      </c>
      <c r="G227" s="897" t="str">
        <f>IF(CostScenario="Higher cost",IF(ISBLANK('PTA-Hi'!G227)=FALSE,'PTA-Hi'!G227,""),IF(CostScenario="Lower cost",IF(ISBLANK('PTA-Lo'!G227)=FALSE,'PTA-Lo'!G227,""),IF(ISBLANK('PTA-Mid'!G227)=FALSE,'PTA-Mid'!G227,"")))</f>
        <v>N</v>
      </c>
      <c r="H227" s="897" t="str">
        <f>IF(CostScenario="Higher cost",IF(ISBLANK('PTA-Hi'!H227)=FALSE,'PTA-Hi'!H227,""),IF(CostScenario="Lower cost",IF(ISBLANK('PTA-Lo'!H227)=FALSE,'PTA-Lo'!H227,""),IF(ISBLANK('PTA-Mid'!H227)=FALSE,'PTA-Mid'!H227,"")))</f>
        <v>N</v>
      </c>
      <c r="I227" s="897" t="str">
        <f>IF(CostScenario="Higher cost",IF(ISBLANK('PTA-Hi'!I227)=FALSE,'PTA-Hi'!I227,""),IF(CostScenario="Lower cost",IF(ISBLANK('PTA-Lo'!I227)=FALSE,'PTA-Lo'!I227,""),IF(ISBLANK('PTA-Mid'!I227)=FALSE,'PTA-Mid'!I227,"")))</f>
        <v>N</v>
      </c>
      <c r="J227" s="895" t="str">
        <f>IF(CostScenario="Higher cost",IF(ISBLANK('PTA-Hi'!J227)=FALSE,'PTA-Hi'!J227,""),IF(CostScenario="Lower cost",IF(ISBLANK('PTA-Lo'!J227)=FALSE,'PTA-Lo'!J227,""),IF(ISBLANK('PTA-Mid'!J227)=FALSE,'PTA-Mid'!J227,"")))</f>
        <v>N</v>
      </c>
      <c r="K227" s="895" t="str">
        <f>IF(CostScenario="Higher cost",IF(ISBLANK('PTA-Hi'!K227)=FALSE,'PTA-Hi'!K227,""),IF(CostScenario="Lower cost",IF(ISBLANK('PTA-Lo'!K227)=FALSE,'PTA-Lo'!K227,""),IF(ISBLANK('PTA-Mid'!K227)=FALSE,'PTA-Mid'!K227,"")))</f>
        <v>N</v>
      </c>
      <c r="L227" s="897" t="str">
        <f>IF(CostScenario="Higher cost",IF(ISBLANK('PTA-Hi'!L227)=FALSE,'PTA-Hi'!L227,""),IF(CostScenario="Lower cost",IF(ISBLANK('PTA-Lo'!L227)=FALSE,'PTA-Lo'!L227,""),IF(ISBLANK('PTA-Mid'!L227)=FALSE,'PTA-Mid'!L227,"")))</f>
        <v>N</v>
      </c>
      <c r="M227" s="897" t="str">
        <f>IF(CostScenario="Higher cost",IF(ISBLANK('PTA-Hi'!M227)=FALSE,'PTA-Hi'!M227,""),IF(CostScenario="Lower cost",IF(ISBLANK('PTA-Lo'!M227)=FALSE,'PTA-Lo'!M227,""),IF(ISBLANK('PTA-Mid'!M227)=FALSE,'PTA-Mid'!M227,"")))</f>
        <v>N</v>
      </c>
      <c r="N227" s="2740" t="str">
        <f>IF(CostScenario="Higher cost",IF(ISBLANK('PTA-Hi'!N227)=FALSE,'PTA-Hi'!N227,""),IF(CostScenario="Lower cost",IF(ISBLANK('PTA-Lo'!N227)=FALSE,'PTA-Lo'!N227,""),IF(ISBLANK('PTA-Mid'!N227)=FALSE,'PTA-Mid'!N227,"")))</f>
        <v>N</v>
      </c>
      <c r="O227" s="2740" t="str">
        <f>IF(CostScenario="Higher cost",IF(ISBLANK('PTA-Hi'!O227)=FALSE,'PTA-Hi'!O227,""),IF(CostScenario="Lower cost",IF(ISBLANK('PTA-Lo'!O227)=FALSE,'PTA-Lo'!O227,""),IF(ISBLANK('PTA-Mid'!O227)=FALSE,'PTA-Mid'!O227,"")))</f>
        <v>N</v>
      </c>
      <c r="P227" s="3249" t="str">
        <f>IF(CostScenario="Higher cost",IF(ISBLANK('PTA-Hi'!P227)=FALSE,'PTA-Hi'!P227,""),IF(CostScenario="Lower cost",IF(ISBLANK('PTA-Lo'!P227)=FALSE,'PTA-Lo'!P227,""),IF(ISBLANK('PTA-Mid'!P227)=FALSE,'PTA-Mid'!P227,"")))</f>
        <v>N</v>
      </c>
      <c r="Q227" s="2740" t="str">
        <f>IF(CostScenario="Higher cost",IF(ISBLANK('PTA-Hi'!Q227)=FALSE,'PTA-Hi'!Q227,""),IF(CostScenario="Lower cost",IF(ISBLANK('PTA-Lo'!Q227)=FALSE,'PTA-Lo'!Q227,""),IF(ISBLANK('PTA-Mid'!Q227)=FALSE,'PTA-Mid'!Q227,"")))</f>
        <v>N</v>
      </c>
      <c r="R227" s="897" t="str">
        <f>IF(CostScenario="Higher cost",IF(ISBLANK('PTA-Hi'!R227)=FALSE,'PTA-Hi'!R227,""),IF(CostScenario="Lower cost",IF(ISBLANK('PTA-Lo'!R227)=FALSE,'PTA-Lo'!R227,""),IF(ISBLANK('PTA-Mid'!R227)=FALSE,'PTA-Mid'!R227,"")))</f>
        <v>N</v>
      </c>
      <c r="S227" s="3251" t="str">
        <f>IF(CostScenario="Higher cost",IF(ISBLANK('PTA-Hi'!S227)=FALSE,'PTA-Hi'!S227,""),IF(CostScenario="Lower cost",IF(ISBLANK('PTA-Lo'!S227)=FALSE,'PTA-Lo'!S227,""),IF(ISBLANK('PTA-Mid'!S227)=FALSE,'PTA-Mid'!S227,"")))</f>
        <v>N</v>
      </c>
      <c r="T227" s="3251" t="str">
        <f>IF(CostScenario="Higher cost",IF(ISBLANK('PTA-Hi'!T227)=FALSE,'PTA-Hi'!T227,""),IF(CostScenario="Lower cost",IF(ISBLANK('PTA-Lo'!T227)=FALSE,'PTA-Lo'!T227,""),IF(ISBLANK('PTA-Mid'!T227)=FALSE,'PTA-Mid'!T227,"")))</f>
        <v>N</v>
      </c>
      <c r="U227" s="897" t="str">
        <f>IF(CostScenario="Higher cost",IF(ISBLANK('PTA-Hi'!U227)=FALSE,'PTA-Hi'!U227,""),IF(CostScenario="Lower cost",IF(ISBLANK('PTA-Lo'!U227)=FALSE,'PTA-Lo'!U227,""),IF(ISBLANK('PTA-Mid'!U227)=FALSE,'PTA-Mid'!U227,"")))</f>
        <v>N</v>
      </c>
      <c r="V227" s="897" t="str">
        <f>IF(CostScenario="Higher cost",IF(ISBLANK('PTA-Hi'!V227)=FALSE,'PTA-Hi'!V227,""),IF(CostScenario="Lower cost",IF(ISBLANK('PTA-Lo'!V227)=FALSE,'PTA-Lo'!V227,""),IF(ISBLANK('PTA-Mid'!V227)=FALSE,'PTA-Mid'!V227,"")))</f>
        <v>N</v>
      </c>
      <c r="W227" s="2914"/>
      <c r="X227" s="897"/>
    </row>
    <row r="228" spans="1:24" s="30" customFormat="1">
      <c r="A228" s="956" t="s">
        <v>1136</v>
      </c>
      <c r="B228" s="957"/>
      <c r="C228" s="901" t="s">
        <v>476</v>
      </c>
      <c r="D228" s="897" t="str">
        <f>IF(CostScenario="Higher cost",IF(ISBLANK('PTA-Hi'!D228)=FALSE,'PTA-Hi'!D228,""),IF(CostScenario="Lower cost",IF(ISBLANK('PTA-Lo'!D228)=FALSE,'PTA-Lo'!D228,""),IF(ISBLANK('PTA-Mid'!D228)=FALSE,'PTA-Mid'!D228,"")))</f>
        <v>N</v>
      </c>
      <c r="E228" s="897" t="str">
        <f>IF(CostScenario="Higher cost",IF(ISBLANK('PTA-Hi'!E228)=FALSE,'PTA-Hi'!E228,""),IF(CostScenario="Lower cost",IF(ISBLANK('PTA-Lo'!E228)=FALSE,'PTA-Lo'!E228,""),IF(ISBLANK('PTA-Mid'!E228)=FALSE,'PTA-Mid'!E228,"")))</f>
        <v>N</v>
      </c>
      <c r="F228" s="897" t="str">
        <f>IF(CostScenario="Higher cost",IF(ISBLANK('PTA-Hi'!F228)=FALSE,'PTA-Hi'!F228,""),IF(CostScenario="Lower cost",IF(ISBLANK('PTA-Lo'!F228)=FALSE,'PTA-Lo'!F228,""),IF(ISBLANK('PTA-Mid'!F228)=FALSE,'PTA-Mid'!F228,"")))</f>
        <v>N</v>
      </c>
      <c r="G228" s="897" t="str">
        <f>IF(CostScenario="Higher cost",IF(ISBLANK('PTA-Hi'!G228)=FALSE,'PTA-Hi'!G228,""),IF(CostScenario="Lower cost",IF(ISBLANK('PTA-Lo'!G228)=FALSE,'PTA-Lo'!G228,""),IF(ISBLANK('PTA-Mid'!G228)=FALSE,'PTA-Mid'!G228,"")))</f>
        <v>N</v>
      </c>
      <c r="H228" s="897" t="str">
        <f>IF(CostScenario="Higher cost",IF(ISBLANK('PTA-Hi'!H228)=FALSE,'PTA-Hi'!H228,""),IF(CostScenario="Lower cost",IF(ISBLANK('PTA-Lo'!H228)=FALSE,'PTA-Lo'!H228,""),IF(ISBLANK('PTA-Mid'!H228)=FALSE,'PTA-Mid'!H228,"")))</f>
        <v>N</v>
      </c>
      <c r="I228" s="897" t="str">
        <f>IF(CostScenario="Higher cost",IF(ISBLANK('PTA-Hi'!I228)=FALSE,'PTA-Hi'!I228,""),IF(CostScenario="Lower cost",IF(ISBLANK('PTA-Lo'!I228)=FALSE,'PTA-Lo'!I228,""),IF(ISBLANK('PTA-Mid'!I228)=FALSE,'PTA-Mid'!I228,"")))</f>
        <v>N</v>
      </c>
      <c r="J228" s="897" t="str">
        <f>IF(CostScenario="Higher cost",IF(ISBLANK('PTA-Hi'!J228)=FALSE,'PTA-Hi'!J228,""),IF(CostScenario="Lower cost",IF(ISBLANK('PTA-Lo'!J228)=FALSE,'PTA-Lo'!J228,""),IF(ISBLANK('PTA-Mid'!J228)=FALSE,'PTA-Mid'!J228,"")))</f>
        <v>N</v>
      </c>
      <c r="K228" s="897" t="str">
        <f>IF(CostScenario="Higher cost",IF(ISBLANK('PTA-Hi'!K228)=FALSE,'PTA-Hi'!K228,""),IF(CostScenario="Lower cost",IF(ISBLANK('PTA-Lo'!K228)=FALSE,'PTA-Lo'!K228,""),IF(ISBLANK('PTA-Mid'!K228)=FALSE,'PTA-Mid'!K228,"")))</f>
        <v>N</v>
      </c>
      <c r="L228" s="897" t="str">
        <f>IF(CostScenario="Higher cost",IF(ISBLANK('PTA-Hi'!L228)=FALSE,'PTA-Hi'!L228,""),IF(CostScenario="Lower cost",IF(ISBLANK('PTA-Lo'!L228)=FALSE,'PTA-Lo'!L228,""),IF(ISBLANK('PTA-Mid'!L228)=FALSE,'PTA-Mid'!L228,"")))</f>
        <v>N</v>
      </c>
      <c r="M228" s="897" t="str">
        <f>IF(CostScenario="Higher cost",IF(ISBLANK('PTA-Hi'!M228)=FALSE,'PTA-Hi'!M228,""),IF(CostScenario="Lower cost",IF(ISBLANK('PTA-Lo'!M228)=FALSE,'PTA-Lo'!M228,""),IF(ISBLANK('PTA-Mid'!M228)=FALSE,'PTA-Mid'!M228,"")))</f>
        <v>N</v>
      </c>
      <c r="N228" s="2740" t="str">
        <f>IF(CostScenario="Higher cost",IF(ISBLANK('PTA-Hi'!N228)=FALSE,'PTA-Hi'!N228,""),IF(CostScenario="Lower cost",IF(ISBLANK('PTA-Lo'!N228)=FALSE,'PTA-Lo'!N228,""),IF(ISBLANK('PTA-Mid'!N228)=FALSE,'PTA-Mid'!N228,"")))</f>
        <v>N</v>
      </c>
      <c r="O228" s="2740" t="str">
        <f>IF(CostScenario="Higher cost",IF(ISBLANK('PTA-Hi'!O228)=FALSE,'PTA-Hi'!O228,""),IF(CostScenario="Lower cost",IF(ISBLANK('PTA-Lo'!O228)=FALSE,'PTA-Lo'!O228,""),IF(ISBLANK('PTA-Mid'!O228)=FALSE,'PTA-Mid'!O228,"")))</f>
        <v>N</v>
      </c>
      <c r="P228" s="3249" t="str">
        <f>IF(CostScenario="Higher cost",IF(ISBLANK('PTA-Hi'!P228)=FALSE,'PTA-Hi'!P228,""),IF(CostScenario="Lower cost",IF(ISBLANK('PTA-Lo'!P228)=FALSE,'PTA-Lo'!P228,""),IF(ISBLANK('PTA-Mid'!P228)=FALSE,'PTA-Mid'!P228,"")))</f>
        <v>N</v>
      </c>
      <c r="Q228" s="2740" t="str">
        <f>IF(CostScenario="Higher cost",IF(ISBLANK('PTA-Hi'!Q228)=FALSE,'PTA-Hi'!Q228,""),IF(CostScenario="Lower cost",IF(ISBLANK('PTA-Lo'!Q228)=FALSE,'PTA-Lo'!Q228,""),IF(ISBLANK('PTA-Mid'!Q228)=FALSE,'PTA-Mid'!Q228,"")))</f>
        <v>N</v>
      </c>
      <c r="R228" s="897" t="str">
        <f>IF(CostScenario="Higher cost",IF(ISBLANK('PTA-Hi'!R228)=FALSE,'PTA-Hi'!R228,""),IF(CostScenario="Lower cost",IF(ISBLANK('PTA-Lo'!R228)=FALSE,'PTA-Lo'!R228,""),IF(ISBLANK('PTA-Mid'!R228)=FALSE,'PTA-Mid'!R228,"")))</f>
        <v>N</v>
      </c>
      <c r="S228" s="3251" t="str">
        <f>IF(CostScenario="Higher cost",IF(ISBLANK('PTA-Hi'!S228)=FALSE,'PTA-Hi'!S228,""),IF(CostScenario="Lower cost",IF(ISBLANK('PTA-Lo'!S228)=FALSE,'PTA-Lo'!S228,""),IF(ISBLANK('PTA-Mid'!S228)=FALSE,'PTA-Mid'!S228,"")))</f>
        <v>N</v>
      </c>
      <c r="T228" s="3251" t="str">
        <f>IF(CostScenario="Higher cost",IF(ISBLANK('PTA-Hi'!T228)=FALSE,'PTA-Hi'!T228,""),IF(CostScenario="Lower cost",IF(ISBLANK('PTA-Lo'!T228)=FALSE,'PTA-Lo'!T228,""),IF(ISBLANK('PTA-Mid'!T228)=FALSE,'PTA-Mid'!T228,"")))</f>
        <v>N</v>
      </c>
      <c r="U228" s="897" t="str">
        <f>IF(CostScenario="Higher cost",IF(ISBLANK('PTA-Hi'!U228)=FALSE,'PTA-Hi'!U228,""),IF(CostScenario="Lower cost",IF(ISBLANK('PTA-Lo'!U228)=FALSE,'PTA-Lo'!U228,""),IF(ISBLANK('PTA-Mid'!U228)=FALSE,'PTA-Mid'!U228,"")))</f>
        <v>N</v>
      </c>
      <c r="V228" s="897" t="str">
        <f>IF(CostScenario="Higher cost",IF(ISBLANK('PTA-Hi'!V228)=FALSE,'PTA-Hi'!V228,""),IF(CostScenario="Lower cost",IF(ISBLANK('PTA-Lo'!V228)=FALSE,'PTA-Lo'!V228,""),IF(ISBLANK('PTA-Mid'!V228)=FALSE,'PTA-Mid'!V228,"")))</f>
        <v>N</v>
      </c>
      <c r="W228" s="2914"/>
      <c r="X228" s="897"/>
    </row>
    <row r="229" spans="1:24" s="30" customFormat="1">
      <c r="A229" s="956" t="s">
        <v>1007</v>
      </c>
      <c r="B229" s="957"/>
      <c r="C229" s="901" t="s">
        <v>101</v>
      </c>
      <c r="D229" s="897" t="str">
        <f>IF(CostScenario="Higher cost",IF(ISBLANK('PTA-Hi'!D229)=FALSE,'PTA-Hi'!D229,""),IF(CostScenario="Lower cost",IF(ISBLANK('PTA-Lo'!D229)=FALSE,'PTA-Lo'!D229,""),IF(ISBLANK('PTA-Mid'!D229)=FALSE,'PTA-Mid'!D229,"")))</f>
        <v/>
      </c>
      <c r="E229" s="897" t="str">
        <f>IF(CostScenario="Higher cost",IF(ISBLANK('PTA-Hi'!E229)=FALSE,'PTA-Hi'!E229,""),IF(CostScenario="Lower cost",IF(ISBLANK('PTA-Lo'!E229)=FALSE,'PTA-Lo'!E229,""),IF(ISBLANK('PTA-Mid'!E229)=FALSE,'PTA-Mid'!E229,"")))</f>
        <v/>
      </c>
      <c r="F229" s="897" t="str">
        <f>IF(CostScenario="Higher cost",IF(ISBLANK('PTA-Hi'!F229)=FALSE,'PTA-Hi'!F229,""),IF(CostScenario="Lower cost",IF(ISBLANK('PTA-Lo'!F229)=FALSE,'PTA-Lo'!F229,""),IF(ISBLANK('PTA-Mid'!F229)=FALSE,'PTA-Mid'!F229,"")))</f>
        <v/>
      </c>
      <c r="G229" s="897" t="str">
        <f>IF(CostScenario="Higher cost",IF(ISBLANK('PTA-Hi'!G229)=FALSE,'PTA-Hi'!G229,""),IF(CostScenario="Lower cost",IF(ISBLANK('PTA-Lo'!G229)=FALSE,'PTA-Lo'!G229,""),IF(ISBLANK('PTA-Mid'!G229)=FALSE,'PTA-Mid'!G229,"")))</f>
        <v/>
      </c>
      <c r="H229" s="897" t="str">
        <f>IF(CostScenario="Higher cost",IF(ISBLANK('PTA-Hi'!H229)=FALSE,'PTA-Hi'!H229,""),IF(CostScenario="Lower cost",IF(ISBLANK('PTA-Lo'!H229)=FALSE,'PTA-Lo'!H229,""),IF(ISBLANK('PTA-Mid'!H229)=FALSE,'PTA-Mid'!H229,"")))</f>
        <v/>
      </c>
      <c r="I229" s="897" t="str">
        <f>IF(CostScenario="Higher cost",IF(ISBLANK('PTA-Hi'!I229)=FALSE,'PTA-Hi'!I229,""),IF(CostScenario="Lower cost",IF(ISBLANK('PTA-Lo'!I229)=FALSE,'PTA-Lo'!I229,""),IF(ISBLANK('PTA-Mid'!I229)=FALSE,'PTA-Mid'!I229,"")))</f>
        <v/>
      </c>
      <c r="J229" s="1800">
        <f>IF(CostScenario="Higher cost",IF(ISBLANK('PTA-Hi'!J229)=FALSE,'PTA-Hi'!J229,""),IF(CostScenario="Lower cost",IF(ISBLANK('PTA-Lo'!J229)=FALSE,'PTA-Lo'!J229,""),IF(ISBLANK('PTA-Mid'!J229)=FALSE,'PTA-Mid'!J229,"")))</f>
        <v>0.15</v>
      </c>
      <c r="K229" s="1800">
        <f>IF(CostScenario="Higher cost",IF(ISBLANK('PTA-Hi'!K229)=FALSE,'PTA-Hi'!K229,""),IF(CostScenario="Lower cost",IF(ISBLANK('PTA-Lo'!K229)=FALSE,'PTA-Lo'!K229,""),IF(ISBLANK('PTA-Mid'!K229)=FALSE,'PTA-Mid'!K229,"")))</f>
        <v>0.15</v>
      </c>
      <c r="L229" s="897" t="str">
        <f>IF(CostScenario="Higher cost",IF(ISBLANK('PTA-Hi'!L229)=FALSE,'PTA-Hi'!L229,""),IF(CostScenario="Lower cost",IF(ISBLANK('PTA-Lo'!L229)=FALSE,'PTA-Lo'!L229,""),IF(ISBLANK('PTA-Mid'!L229)=FALSE,'PTA-Mid'!L229,"")))</f>
        <v/>
      </c>
      <c r="M229" s="897" t="str">
        <f>IF(CostScenario="Higher cost",IF(ISBLANK('PTA-Hi'!M229)=FALSE,'PTA-Hi'!M229,""),IF(CostScenario="Lower cost",IF(ISBLANK('PTA-Lo'!M229)=FALSE,'PTA-Lo'!M229,""),IF(ISBLANK('PTA-Mid'!M229)=FALSE,'PTA-Mid'!M229,"")))</f>
        <v/>
      </c>
      <c r="N229" s="2740" t="str">
        <f>IF(CostScenario="Higher cost",IF(ISBLANK('PTA-Hi'!N229)=FALSE,'PTA-Hi'!N229,""),IF(CostScenario="Lower cost",IF(ISBLANK('PTA-Lo'!N229)=FALSE,'PTA-Lo'!N229,""),IF(ISBLANK('PTA-Mid'!N229)=FALSE,'PTA-Mid'!N229,"")))</f>
        <v/>
      </c>
      <c r="O229" s="2740" t="str">
        <f>IF(CostScenario="Higher cost",IF(ISBLANK('PTA-Hi'!O229)=FALSE,'PTA-Hi'!O229,""),IF(CostScenario="Lower cost",IF(ISBLANK('PTA-Lo'!O229)=FALSE,'PTA-Lo'!O229,""),IF(ISBLANK('PTA-Mid'!O229)=FALSE,'PTA-Mid'!O229,"")))</f>
        <v/>
      </c>
      <c r="P229" s="3249" t="str">
        <f>IF(CostScenario="Higher cost",IF(ISBLANK('PTA-Hi'!P229)=FALSE,'PTA-Hi'!P229,""),IF(CostScenario="Lower cost",IF(ISBLANK('PTA-Lo'!P229)=FALSE,'PTA-Lo'!P229,""),IF(ISBLANK('PTA-Mid'!P229)=FALSE,'PTA-Mid'!P229,"")))</f>
        <v/>
      </c>
      <c r="Q229" s="2740" t="str">
        <f>IF(CostScenario="Higher cost",IF(ISBLANK('PTA-Hi'!Q229)=FALSE,'PTA-Hi'!Q229,""),IF(CostScenario="Lower cost",IF(ISBLANK('PTA-Lo'!Q229)=FALSE,'PTA-Lo'!Q229,""),IF(ISBLANK('PTA-Mid'!Q229)=FALSE,'PTA-Mid'!Q229,"")))</f>
        <v/>
      </c>
      <c r="R229" s="897" t="str">
        <f>IF(CostScenario="Higher cost",IF(ISBLANK('PTA-Hi'!R229)=FALSE,'PTA-Hi'!R229,""),IF(CostScenario="Lower cost",IF(ISBLANK('PTA-Lo'!R229)=FALSE,'PTA-Lo'!R229,""),IF(ISBLANK('PTA-Mid'!R229)=FALSE,'PTA-Mid'!R229,"")))</f>
        <v/>
      </c>
      <c r="S229" s="3251" t="str">
        <f>IF(CostScenario="Higher cost",IF(ISBLANK('PTA-Hi'!S229)=FALSE,'PTA-Hi'!S229,""),IF(CostScenario="Lower cost",IF(ISBLANK('PTA-Lo'!S229)=FALSE,'PTA-Lo'!S229,""),IF(ISBLANK('PTA-Mid'!S229)=FALSE,'PTA-Mid'!S229,"")))</f>
        <v/>
      </c>
      <c r="T229" s="3251" t="str">
        <f>IF(CostScenario="Higher cost",IF(ISBLANK('PTA-Hi'!T229)=FALSE,'PTA-Hi'!T229,""),IF(CostScenario="Lower cost",IF(ISBLANK('PTA-Lo'!T229)=FALSE,'PTA-Lo'!T229,""),IF(ISBLANK('PTA-Mid'!T229)=FALSE,'PTA-Mid'!T229,"")))</f>
        <v/>
      </c>
      <c r="U229" s="897" t="str">
        <f>IF(CostScenario="Higher cost",IF(ISBLANK('PTA-Hi'!U229)=FALSE,'PTA-Hi'!U229,""),IF(CostScenario="Lower cost",IF(ISBLANK('PTA-Lo'!U229)=FALSE,'PTA-Lo'!U229,""),IF(ISBLANK('PTA-Mid'!U229)=FALSE,'PTA-Mid'!U229,"")))</f>
        <v/>
      </c>
      <c r="V229" s="897" t="str">
        <f>IF(CostScenario="Higher cost",IF(ISBLANK('PTA-Hi'!V229)=FALSE,'PTA-Hi'!V229,""),IF(CostScenario="Lower cost",IF(ISBLANK('PTA-Lo'!V229)=FALSE,'PTA-Lo'!V229,""),IF(ISBLANK('PTA-Mid'!V229)=FALSE,'PTA-Mid'!V229,"")))</f>
        <v/>
      </c>
      <c r="W229" s="2914"/>
      <c r="X229" s="897"/>
    </row>
    <row r="230" spans="1:24" s="30" customFormat="1">
      <c r="A230" s="956" t="s">
        <v>1006</v>
      </c>
      <c r="B230" s="957"/>
      <c r="C230" s="901" t="s">
        <v>102</v>
      </c>
      <c r="D230" s="897" t="str">
        <f>IF(CostScenario="Higher cost",IF(ISBLANK('PTA-Hi'!D230)=FALSE,'PTA-Hi'!D230,""),IF(CostScenario="Lower cost",IF(ISBLANK('PTA-Lo'!D230)=FALSE,'PTA-Lo'!D230,""),IF(ISBLANK('PTA-Mid'!D230)=FALSE,'PTA-Mid'!D230,"")))</f>
        <v/>
      </c>
      <c r="E230" s="897" t="str">
        <f>IF(CostScenario="Higher cost",IF(ISBLANK('PTA-Hi'!E230)=FALSE,'PTA-Hi'!E230,""),IF(CostScenario="Lower cost",IF(ISBLANK('PTA-Lo'!E230)=FALSE,'PTA-Lo'!E230,""),IF(ISBLANK('PTA-Mid'!E230)=FALSE,'PTA-Mid'!E230,"")))</f>
        <v/>
      </c>
      <c r="F230" s="897" t="str">
        <f>IF(CostScenario="Higher cost",IF(ISBLANK('PTA-Hi'!F230)=FALSE,'PTA-Hi'!F230,""),IF(CostScenario="Lower cost",IF(ISBLANK('PTA-Lo'!F230)=FALSE,'PTA-Lo'!F230,""),IF(ISBLANK('PTA-Mid'!F230)=FALSE,'PTA-Mid'!F230,"")))</f>
        <v/>
      </c>
      <c r="G230" s="897" t="str">
        <f>IF(CostScenario="Higher cost",IF(ISBLANK('PTA-Hi'!G230)=FALSE,'PTA-Hi'!G230,""),IF(CostScenario="Lower cost",IF(ISBLANK('PTA-Lo'!G230)=FALSE,'PTA-Lo'!G230,""),IF(ISBLANK('PTA-Mid'!G230)=FALSE,'PTA-Mid'!G230,"")))</f>
        <v/>
      </c>
      <c r="H230" s="897" t="str">
        <f>IF(CostScenario="Higher cost",IF(ISBLANK('PTA-Hi'!H230)=FALSE,'PTA-Hi'!H230,""),IF(CostScenario="Lower cost",IF(ISBLANK('PTA-Lo'!H230)=FALSE,'PTA-Lo'!H230,""),IF(ISBLANK('PTA-Mid'!H230)=FALSE,'PTA-Mid'!H230,"")))</f>
        <v/>
      </c>
      <c r="I230" s="897" t="str">
        <f>IF(CostScenario="Higher cost",IF(ISBLANK('PTA-Hi'!I230)=FALSE,'PTA-Hi'!I230,""),IF(CostScenario="Lower cost",IF(ISBLANK('PTA-Lo'!I230)=FALSE,'PTA-Lo'!I230,""),IF(ISBLANK('PTA-Mid'!I230)=FALSE,'PTA-Mid'!I230,"")))</f>
        <v/>
      </c>
      <c r="J230" s="1800">
        <f>IF(CostScenario="Higher cost",IF(ISBLANK('PTA-Hi'!J230)=FALSE,'PTA-Hi'!J230,""),IF(CostScenario="Lower cost",IF(ISBLANK('PTA-Lo'!J230)=FALSE,'PTA-Lo'!J230,""),IF(ISBLANK('PTA-Mid'!J230)=FALSE,'PTA-Mid'!J230,"")))</f>
        <v>0.5</v>
      </c>
      <c r="K230" s="1800">
        <f>IF(CostScenario="Higher cost",IF(ISBLANK('PTA-Hi'!K230)=FALSE,'PTA-Hi'!K230,""),IF(CostScenario="Lower cost",IF(ISBLANK('PTA-Lo'!K230)=FALSE,'PTA-Lo'!K230,""),IF(ISBLANK('PTA-Mid'!K230)=FALSE,'PTA-Mid'!K230,"")))</f>
        <v>0.5</v>
      </c>
      <c r="L230" s="897" t="str">
        <f>IF(CostScenario="Higher cost",IF(ISBLANK('PTA-Hi'!L230)=FALSE,'PTA-Hi'!L230,""),IF(CostScenario="Lower cost",IF(ISBLANK('PTA-Lo'!L230)=FALSE,'PTA-Lo'!L230,""),IF(ISBLANK('PTA-Mid'!L230)=FALSE,'PTA-Mid'!L230,"")))</f>
        <v/>
      </c>
      <c r="M230" s="897" t="str">
        <f>IF(CostScenario="Higher cost",IF(ISBLANK('PTA-Hi'!M230)=FALSE,'PTA-Hi'!M230,""),IF(CostScenario="Lower cost",IF(ISBLANK('PTA-Lo'!M230)=FALSE,'PTA-Lo'!M230,""),IF(ISBLANK('PTA-Mid'!M230)=FALSE,'PTA-Mid'!M230,"")))</f>
        <v/>
      </c>
      <c r="N230" s="2740" t="str">
        <f>IF(CostScenario="Higher cost",IF(ISBLANK('PTA-Hi'!N230)=FALSE,'PTA-Hi'!N230,""),IF(CostScenario="Lower cost",IF(ISBLANK('PTA-Lo'!N230)=FALSE,'PTA-Lo'!N230,""),IF(ISBLANK('PTA-Mid'!N230)=FALSE,'PTA-Mid'!N230,"")))</f>
        <v/>
      </c>
      <c r="O230" s="2740" t="str">
        <f>IF(CostScenario="Higher cost",IF(ISBLANK('PTA-Hi'!O230)=FALSE,'PTA-Hi'!O230,""),IF(CostScenario="Lower cost",IF(ISBLANK('PTA-Lo'!O230)=FALSE,'PTA-Lo'!O230,""),IF(ISBLANK('PTA-Mid'!O230)=FALSE,'PTA-Mid'!O230,"")))</f>
        <v/>
      </c>
      <c r="P230" s="3249" t="str">
        <f>IF(CostScenario="Higher cost",IF(ISBLANK('PTA-Hi'!P230)=FALSE,'PTA-Hi'!P230,""),IF(CostScenario="Lower cost",IF(ISBLANK('PTA-Lo'!P230)=FALSE,'PTA-Lo'!P230,""),IF(ISBLANK('PTA-Mid'!P230)=FALSE,'PTA-Mid'!P230,"")))</f>
        <v/>
      </c>
      <c r="Q230" s="2740" t="str">
        <f>IF(CostScenario="Higher cost",IF(ISBLANK('PTA-Hi'!Q230)=FALSE,'PTA-Hi'!Q230,""),IF(CostScenario="Lower cost",IF(ISBLANK('PTA-Lo'!Q230)=FALSE,'PTA-Lo'!Q230,""),IF(ISBLANK('PTA-Mid'!Q230)=FALSE,'PTA-Mid'!Q230,"")))</f>
        <v/>
      </c>
      <c r="R230" s="897" t="str">
        <f>IF(CostScenario="Higher cost",IF(ISBLANK('PTA-Hi'!R230)=FALSE,'PTA-Hi'!R230,""),IF(CostScenario="Lower cost",IF(ISBLANK('PTA-Lo'!R230)=FALSE,'PTA-Lo'!R230,""),IF(ISBLANK('PTA-Mid'!R230)=FALSE,'PTA-Mid'!R230,"")))</f>
        <v/>
      </c>
      <c r="S230" s="3251" t="str">
        <f>IF(CostScenario="Higher cost",IF(ISBLANK('PTA-Hi'!S230)=FALSE,'PTA-Hi'!S230,""),IF(CostScenario="Lower cost",IF(ISBLANK('PTA-Lo'!S230)=FALSE,'PTA-Lo'!S230,""),IF(ISBLANK('PTA-Mid'!S230)=FALSE,'PTA-Mid'!S230,"")))</f>
        <v/>
      </c>
      <c r="T230" s="3251" t="str">
        <f>IF(CostScenario="Higher cost",IF(ISBLANK('PTA-Hi'!T230)=FALSE,'PTA-Hi'!T230,""),IF(CostScenario="Lower cost",IF(ISBLANK('PTA-Lo'!T230)=FALSE,'PTA-Lo'!T230,""),IF(ISBLANK('PTA-Mid'!T230)=FALSE,'PTA-Mid'!T230,"")))</f>
        <v/>
      </c>
      <c r="U230" s="897" t="str">
        <f>IF(CostScenario="Higher cost",IF(ISBLANK('PTA-Hi'!U230)=FALSE,'PTA-Hi'!U230,""),IF(CostScenario="Lower cost",IF(ISBLANK('PTA-Lo'!U230)=FALSE,'PTA-Lo'!U230,""),IF(ISBLANK('PTA-Mid'!U230)=FALSE,'PTA-Mid'!U230,"")))</f>
        <v/>
      </c>
      <c r="V230" s="897" t="str">
        <f>IF(CostScenario="Higher cost",IF(ISBLANK('PTA-Hi'!V230)=FALSE,'PTA-Hi'!V230,""),IF(CostScenario="Lower cost",IF(ISBLANK('PTA-Lo'!V230)=FALSE,'PTA-Lo'!V230,""),IF(ISBLANK('PTA-Mid'!V230)=FALSE,'PTA-Mid'!V230,"")))</f>
        <v/>
      </c>
      <c r="W230" s="2914"/>
      <c r="X230" s="897"/>
    </row>
    <row r="231" spans="1:24" s="30" customFormat="1">
      <c r="A231" s="956" t="s">
        <v>1214</v>
      </c>
      <c r="B231" s="957"/>
      <c r="C231" s="901" t="s">
        <v>1213</v>
      </c>
      <c r="D231" s="897" t="str">
        <f>IF(CostScenario="Higher cost",IF(ISBLANK('PTA-Hi'!D231)=FALSE,'PTA-Hi'!D231,""),IF(CostScenario="Lower cost",IF(ISBLANK('PTA-Lo'!D231)=FALSE,'PTA-Lo'!D231,""),IF(ISBLANK('PTA-Mid'!D231)=FALSE,'PTA-Mid'!D231,"")))</f>
        <v/>
      </c>
      <c r="E231" s="897" t="str">
        <f>IF(CostScenario="Higher cost",IF(ISBLANK('PTA-Hi'!E231)=FALSE,'PTA-Hi'!E231,""),IF(CostScenario="Lower cost",IF(ISBLANK('PTA-Lo'!E231)=FALSE,'PTA-Lo'!E231,""),IF(ISBLANK('PTA-Mid'!E231)=FALSE,'PTA-Mid'!E231,"")))</f>
        <v/>
      </c>
      <c r="F231" s="897" t="str">
        <f>IF(CostScenario="Higher cost",IF(ISBLANK('PTA-Hi'!F231)=FALSE,'PTA-Hi'!F231,""),IF(CostScenario="Lower cost",IF(ISBLANK('PTA-Lo'!F231)=FALSE,'PTA-Lo'!F231,""),IF(ISBLANK('PTA-Mid'!F231)=FALSE,'PTA-Mid'!F231,"")))</f>
        <v/>
      </c>
      <c r="G231" s="897" t="str">
        <f>IF(CostScenario="Higher cost",IF(ISBLANK('PTA-Hi'!G231)=FALSE,'PTA-Hi'!G231,""),IF(CostScenario="Lower cost",IF(ISBLANK('PTA-Lo'!G231)=FALSE,'PTA-Lo'!G231,""),IF(ISBLANK('PTA-Mid'!G231)=FALSE,'PTA-Mid'!G231,"")))</f>
        <v/>
      </c>
      <c r="H231" s="897" t="str">
        <f>IF(CostScenario="Higher cost",IF(ISBLANK('PTA-Hi'!H231)=FALSE,'PTA-Hi'!H231,""),IF(CostScenario="Lower cost",IF(ISBLANK('PTA-Lo'!H231)=FALSE,'PTA-Lo'!H231,""),IF(ISBLANK('PTA-Mid'!H231)=FALSE,'PTA-Mid'!H231,"")))</f>
        <v/>
      </c>
      <c r="I231" s="897">
        <f>IF(CostScenario="Higher cost",IF(ISBLANK('PTA-Hi'!I231)=FALSE,'PTA-Hi'!I231,""),IF(CostScenario="Lower cost",IF(ISBLANK('PTA-Lo'!I231)=FALSE,'PTA-Lo'!I231,""),IF(ISBLANK('PTA-Mid'!I231)=FALSE,'PTA-Mid'!I231,"")))</f>
        <v>2</v>
      </c>
      <c r="J231" s="897">
        <f>IF(CostScenario="Higher cost",IF(ISBLANK('PTA-Hi'!J231)=FALSE,'PTA-Hi'!J231,""),IF(CostScenario="Lower cost",IF(ISBLANK('PTA-Lo'!J231)=FALSE,'PTA-Lo'!J231,""),IF(ISBLANK('PTA-Mid'!J231)=FALSE,'PTA-Mid'!J231,"")))</f>
        <v>1</v>
      </c>
      <c r="K231" s="897">
        <f>IF(CostScenario="Higher cost",IF(ISBLANK('PTA-Hi'!K231)=FALSE,'PTA-Hi'!K231,""),IF(CostScenario="Lower cost",IF(ISBLANK('PTA-Lo'!K231)=FALSE,'PTA-Lo'!K231,""),IF(ISBLANK('PTA-Mid'!K231)=FALSE,'PTA-Mid'!K231,"")))</f>
        <v>1</v>
      </c>
      <c r="L231" s="897">
        <f>IF(CostScenario="Higher cost",IF(ISBLANK('PTA-Hi'!L231)=FALSE,'PTA-Hi'!L231,""),IF(CostScenario="Lower cost",IF(ISBLANK('PTA-Lo'!L231)=FALSE,'PTA-Lo'!L231,""),IF(ISBLANK('PTA-Mid'!L231)=FALSE,'PTA-Mid'!L231,"")))</f>
        <v>1</v>
      </c>
      <c r="M231" s="897">
        <f>IF(CostScenario="Higher cost",IF(ISBLANK('PTA-Hi'!M231)=FALSE,'PTA-Hi'!M231,""),IF(CostScenario="Lower cost",IF(ISBLANK('PTA-Lo'!M231)=FALSE,'PTA-Lo'!M231,""),IF(ISBLANK('PTA-Mid'!M231)=FALSE,'PTA-Mid'!M231,"")))</f>
        <v>1</v>
      </c>
      <c r="N231" s="2740">
        <f>IF(CostScenario="Higher cost",IF(ISBLANK('PTA-Hi'!N231)=FALSE,'PTA-Hi'!N231,""),IF(CostScenario="Lower cost",IF(ISBLANK('PTA-Lo'!N231)=FALSE,'PTA-Lo'!N231,""),IF(ISBLANK('PTA-Mid'!N231)=FALSE,'PTA-Mid'!N231,"")))</f>
        <v>1</v>
      </c>
      <c r="O231" s="2740">
        <f>IF(CostScenario="Higher cost",IF(ISBLANK('PTA-Hi'!O231)=FALSE,'PTA-Hi'!O231,""),IF(CostScenario="Lower cost",IF(ISBLANK('PTA-Lo'!O231)=FALSE,'PTA-Lo'!O231,""),IF(ISBLANK('PTA-Mid'!O231)=FALSE,'PTA-Mid'!O231,"")))</f>
        <v>1</v>
      </c>
      <c r="P231" s="3249">
        <f>IF(CostScenario="Higher cost",IF(ISBLANK('PTA-Hi'!P231)=FALSE,'PTA-Hi'!P231,""),IF(CostScenario="Lower cost",IF(ISBLANK('PTA-Lo'!P231)=FALSE,'PTA-Lo'!P231,""),IF(ISBLANK('PTA-Mid'!P231)=FALSE,'PTA-Mid'!P231,"")))</f>
        <v>1</v>
      </c>
      <c r="Q231" s="2740">
        <f>IF(CostScenario="Higher cost",IF(ISBLANK('PTA-Hi'!Q231)=FALSE,'PTA-Hi'!Q231,""),IF(CostScenario="Lower cost",IF(ISBLANK('PTA-Lo'!Q231)=FALSE,'PTA-Lo'!Q231,""),IF(ISBLANK('PTA-Mid'!Q231)=FALSE,'PTA-Mid'!Q231,"")))</f>
        <v>1</v>
      </c>
      <c r="R231" s="897">
        <f>IF(CostScenario="Higher cost",IF(ISBLANK('PTA-Hi'!R231)=FALSE,'PTA-Hi'!R231,""),IF(CostScenario="Lower cost",IF(ISBLANK('PTA-Lo'!R231)=FALSE,'PTA-Lo'!R231,""),IF(ISBLANK('PTA-Mid'!R231)=FALSE,'PTA-Mid'!R231,"")))</f>
        <v>1</v>
      </c>
      <c r="S231" s="3251">
        <f>IF(CostScenario="Higher cost",IF(ISBLANK('PTA-Hi'!S231)=FALSE,'PTA-Hi'!S231,""),IF(CostScenario="Lower cost",IF(ISBLANK('PTA-Lo'!S231)=FALSE,'PTA-Lo'!S231,""),IF(ISBLANK('PTA-Mid'!S231)=FALSE,'PTA-Mid'!S231,"")))</f>
        <v>1</v>
      </c>
      <c r="T231" s="3251">
        <f>IF(CostScenario="Higher cost",IF(ISBLANK('PTA-Hi'!T231)=FALSE,'PTA-Hi'!T231,""),IF(CostScenario="Lower cost",IF(ISBLANK('PTA-Lo'!T231)=FALSE,'PTA-Lo'!T231,""),IF(ISBLANK('PTA-Mid'!T231)=FALSE,'PTA-Mid'!T231,"")))</f>
        <v>1</v>
      </c>
      <c r="U231" s="897">
        <f>IF(CostScenario="Higher cost",IF(ISBLANK('PTA-Hi'!U231)=FALSE,'PTA-Hi'!U231,""),IF(CostScenario="Lower cost",IF(ISBLANK('PTA-Lo'!U231)=FALSE,'PTA-Lo'!U231,""),IF(ISBLANK('PTA-Mid'!U231)=FALSE,'PTA-Mid'!U231,"")))</f>
        <v>1</v>
      </c>
      <c r="V231" s="897">
        <f>IF(CostScenario="Higher cost",IF(ISBLANK('PTA-Hi'!V231)=FALSE,'PTA-Hi'!V231,""),IF(CostScenario="Lower cost",IF(ISBLANK('PTA-Lo'!V231)=FALSE,'PTA-Lo'!V231,""),IF(ISBLANK('PTA-Mid'!V231)=FALSE,'PTA-Mid'!V231,"")))</f>
        <v>1</v>
      </c>
      <c r="W231" s="2914"/>
      <c r="X231" s="897"/>
    </row>
    <row r="232" spans="1:24" s="2034" customFormat="1">
      <c r="A232" s="2027" t="s">
        <v>130</v>
      </c>
      <c r="B232" s="2032"/>
      <c r="C232" s="2029" t="s">
        <v>130</v>
      </c>
      <c r="D232" s="2033" t="str">
        <f>IF(CostScenario="Higher cost",IF(ISBLANK('PTA-Hi'!D232)=FALSE,'PTA-Hi'!D232,""),IF(CostScenario="Lower cost",IF(ISBLANK('PTA-Lo'!D232)=FALSE,'PTA-Lo'!D232,""),IF(ISBLANK('PTA-Mid'!D232)=FALSE,'PTA-Mid'!D232,"")))</f>
        <v/>
      </c>
      <c r="E232" s="2033" t="str">
        <f>IF(CostScenario="Higher cost",IF(ISBLANK('PTA-Hi'!E232)=FALSE,'PTA-Hi'!E232,""),IF(CostScenario="Lower cost",IF(ISBLANK('PTA-Lo'!E232)=FALSE,'PTA-Lo'!E232,""),IF(ISBLANK('PTA-Mid'!E232)=FALSE,'PTA-Mid'!E232,"")))</f>
        <v/>
      </c>
      <c r="F232" s="2033" t="str">
        <f>IF(CostScenario="Higher cost",IF(ISBLANK('PTA-Hi'!F232)=FALSE,'PTA-Hi'!F232,""),IF(CostScenario="Lower cost",IF(ISBLANK('PTA-Lo'!F232)=FALSE,'PTA-Lo'!F232,""),IF(ISBLANK('PTA-Mid'!F232)=FALSE,'PTA-Mid'!F232,"")))</f>
        <v/>
      </c>
      <c r="G232" s="2033" t="str">
        <f>IF(CostScenario="Higher cost",IF(ISBLANK('PTA-Hi'!G232)=FALSE,'PTA-Hi'!G232,""),IF(CostScenario="Lower cost",IF(ISBLANK('PTA-Lo'!G232)=FALSE,'PTA-Lo'!G232,""),IF(ISBLANK('PTA-Mid'!G232)=FALSE,'PTA-Mid'!G232,"")))</f>
        <v/>
      </c>
      <c r="H232" s="2033" t="str">
        <f>IF(CostScenario="Higher cost",IF(ISBLANK('PTA-Hi'!H232)=FALSE,'PTA-Hi'!H232,""),IF(CostScenario="Lower cost",IF(ISBLANK('PTA-Lo'!H232)=FALSE,'PTA-Lo'!H232,""),IF(ISBLANK('PTA-Mid'!H232)=FALSE,'PTA-Mid'!H232,"")))</f>
        <v/>
      </c>
      <c r="I232" s="2030">
        <f>IF(CostScenario="Higher cost",IF(ISBLANK('PTA-Hi'!I232)=FALSE,'PTA-Hi'!I232,""),IF(CostScenario="Lower cost",IF(ISBLANK('PTA-Lo'!I232)=FALSE,'PTA-Lo'!I232,""),IF(ISBLANK('PTA-Mid'!I232)=FALSE,'PTA-Mid'!I232,"")))</f>
        <v>2.1000000000000001E-2</v>
      </c>
      <c r="J232" s="2030">
        <f>IF(CostScenario="Higher cost",IF(ISBLANK('PTA-Hi'!J232)=FALSE,'PTA-Hi'!J232,""),IF(CostScenario="Lower cost",IF(ISBLANK('PTA-Lo'!J232)=FALSE,'PTA-Lo'!J232,""),IF(ISBLANK('PTA-Mid'!J232)=FALSE,'PTA-Mid'!J232,"")))</f>
        <v>2.1000000000000001E-2</v>
      </c>
      <c r="K232" s="2030">
        <f>IF(CostScenario="Higher cost",IF(ISBLANK('PTA-Hi'!K232)=FALSE,'PTA-Hi'!K232,""),IF(CostScenario="Lower cost",IF(ISBLANK('PTA-Lo'!K232)=FALSE,'PTA-Lo'!K232,""),IF(ISBLANK('PTA-Mid'!K232)=FALSE,'PTA-Mid'!K232,"")))</f>
        <v>2.1000000000000001E-2</v>
      </c>
      <c r="L232" s="2030">
        <f>IF(CostScenario="Higher cost",IF(ISBLANK('PTA-Hi'!L232)=FALSE,'PTA-Hi'!L232,""),IF(CostScenario="Lower cost",IF(ISBLANK('PTA-Lo'!L232)=FALSE,'PTA-Lo'!L232,""),IF(ISBLANK('PTA-Mid'!L232)=FALSE,'PTA-Mid'!L232,"")))</f>
        <v>2.1000000000000001E-2</v>
      </c>
      <c r="M232" s="2030">
        <f>IF(CostScenario="Higher cost",IF(ISBLANK('PTA-Hi'!M232)=FALSE,'PTA-Hi'!M232,""),IF(CostScenario="Lower cost",IF(ISBLANK('PTA-Lo'!M232)=FALSE,'PTA-Lo'!M232,""),IF(ISBLANK('PTA-Mid'!M232)=FALSE,'PTA-Mid'!M232,"")))</f>
        <v>2.1000000000000001E-2</v>
      </c>
      <c r="N232" s="2030">
        <f>IF(CostScenario="Higher cost",IF(ISBLANK('PTA-Hi'!N232)=FALSE,'PTA-Hi'!N232,""),IF(CostScenario="Lower cost",IF(ISBLANK('PTA-Lo'!N232)=FALSE,'PTA-Lo'!N232,""),IF(ISBLANK('PTA-Mid'!N232)=FALSE,'PTA-Mid'!N232,"")))</f>
        <v>2.1000000000000001E-2</v>
      </c>
      <c r="O232" s="2030">
        <f>IF(CostScenario="Higher cost",IF(ISBLANK('PTA-Hi'!O232)=FALSE,'PTA-Hi'!O232,""),IF(CostScenario="Lower cost",IF(ISBLANK('PTA-Lo'!O232)=FALSE,'PTA-Lo'!O232,""),IF(ISBLANK('PTA-Mid'!O232)=FALSE,'PTA-Mid'!O232,"")))</f>
        <v>2.1000000000000001E-2</v>
      </c>
      <c r="P232" s="2030">
        <f>IF(CostScenario="Higher cost",IF(ISBLANK('PTA-Hi'!P232)=FALSE,'PTA-Hi'!P232,""),IF(CostScenario="Lower cost",IF(ISBLANK('PTA-Lo'!P232)=FALSE,'PTA-Lo'!P232,""),IF(ISBLANK('PTA-Mid'!P232)=FALSE,'PTA-Mid'!P232,"")))</f>
        <v>2.1000000000000001E-2</v>
      </c>
      <c r="Q232" s="2030">
        <f>IF(CostScenario="Higher cost",IF(ISBLANK('PTA-Hi'!Q232)=FALSE,'PTA-Hi'!Q232,""),IF(CostScenario="Lower cost",IF(ISBLANK('PTA-Lo'!Q232)=FALSE,'PTA-Lo'!Q232,""),IF(ISBLANK('PTA-Mid'!Q232)=FALSE,'PTA-Mid'!Q232,"")))</f>
        <v>2.1000000000000001E-2</v>
      </c>
      <c r="R232" s="2030">
        <f>IF(CostScenario="Higher cost",IF(ISBLANK('PTA-Hi'!R232)=FALSE,'PTA-Hi'!R232,""),IF(CostScenario="Lower cost",IF(ISBLANK('PTA-Lo'!R232)=FALSE,'PTA-Lo'!R232,""),IF(ISBLANK('PTA-Mid'!R232)=FALSE,'PTA-Mid'!R232,"")))</f>
        <v>2.1000000000000001E-2</v>
      </c>
      <c r="S232" s="2030">
        <f>IF(CostScenario="Higher cost",IF(ISBLANK('PTA-Hi'!S232)=FALSE,'PTA-Hi'!S232,""),IF(CostScenario="Lower cost",IF(ISBLANK('PTA-Lo'!S232)=FALSE,'PTA-Lo'!S232,""),IF(ISBLANK('PTA-Mid'!S232)=FALSE,'PTA-Mid'!S232,"")))</f>
        <v>2.1000000000000001E-2</v>
      </c>
      <c r="T232" s="2030">
        <f>IF(CostScenario="Higher cost",IF(ISBLANK('PTA-Hi'!T232)=FALSE,'PTA-Hi'!T232,""),IF(CostScenario="Lower cost",IF(ISBLANK('PTA-Lo'!T232)=FALSE,'PTA-Lo'!T232,""),IF(ISBLANK('PTA-Mid'!T232)=FALSE,'PTA-Mid'!T232,"")))</f>
        <v>2.1000000000000001E-2</v>
      </c>
      <c r="U232" s="2030">
        <f>IF(CostScenario="Higher cost",IF(ISBLANK('PTA-Hi'!U232)=FALSE,'PTA-Hi'!U232,""),IF(CostScenario="Lower cost",IF(ISBLANK('PTA-Lo'!U232)=FALSE,'PTA-Lo'!U232,""),IF(ISBLANK('PTA-Mid'!U232)=FALSE,'PTA-Mid'!U232,"")))</f>
        <v>2.1000000000000001E-2</v>
      </c>
      <c r="V232" s="2030">
        <f>IF(CostScenario="Higher cost",IF(ISBLANK('PTA-Hi'!V232)=FALSE,'PTA-Hi'!V232,""),IF(CostScenario="Lower cost",IF(ISBLANK('PTA-Lo'!V232)=FALSE,'PTA-Lo'!V232,""),IF(ISBLANK('PTA-Mid'!V232)=FALSE,'PTA-Mid'!V232,"")))</f>
        <v>2.1000000000000001E-2</v>
      </c>
      <c r="W232" s="2030"/>
      <c r="X232" s="2030"/>
    </row>
    <row r="233" spans="1:24" s="7" customFormat="1">
      <c r="A233" s="900" t="s">
        <v>1211</v>
      </c>
      <c r="B233" s="959"/>
      <c r="C233" s="901" t="s">
        <v>1212</v>
      </c>
      <c r="D233" s="1249" t="str">
        <f>IF(CostScenario="Higher cost",IF(ISBLANK('PTA-Hi'!D233)=FALSE,'PTA-Hi'!D233,""),IF(CostScenario="Lower cost",IF(ISBLANK('PTA-Lo'!D233)=FALSE,'PTA-Lo'!D233,""),IF(ISBLANK('PTA-Mid'!D233)=FALSE,'PTA-Mid'!D233,"")))</f>
        <v/>
      </c>
      <c r="E233" s="1249" t="str">
        <f>IF(CostScenario="Higher cost",IF(ISBLANK('PTA-Hi'!E233)=FALSE,'PTA-Hi'!E233,""),IF(CostScenario="Lower cost",IF(ISBLANK('PTA-Lo'!E233)=FALSE,'PTA-Lo'!E233,""),IF(ISBLANK('PTA-Mid'!E233)=FALSE,'PTA-Mid'!E233,"")))</f>
        <v/>
      </c>
      <c r="F233" s="1249" t="str">
        <f>IF(CostScenario="Higher cost",IF(ISBLANK('PTA-Hi'!F233)=FALSE,'PTA-Hi'!F233,""),IF(CostScenario="Lower cost",IF(ISBLANK('PTA-Lo'!F233)=FALSE,'PTA-Lo'!F233,""),IF(ISBLANK('PTA-Mid'!F233)=FALSE,'PTA-Mid'!F233,"")))</f>
        <v/>
      </c>
      <c r="G233" s="1249" t="str">
        <f>IF(CostScenario="Higher cost",IF(ISBLANK('PTA-Hi'!G233)=FALSE,'PTA-Hi'!G233,""),IF(CostScenario="Lower cost",IF(ISBLANK('PTA-Lo'!G233)=FALSE,'PTA-Lo'!G233,""),IF(ISBLANK('PTA-Mid'!G233)=FALSE,'PTA-Mid'!G233,"")))</f>
        <v/>
      </c>
      <c r="H233" s="1249" t="str">
        <f>IF(CostScenario="Higher cost",IF(ISBLANK('PTA-Hi'!H233)=FALSE,'PTA-Hi'!H233,""),IF(CostScenario="Lower cost",IF(ISBLANK('PTA-Lo'!H233)=FALSE,'PTA-Lo'!H233,""),IF(ISBLANK('PTA-Mid'!H233)=FALSE,'PTA-Mid'!H233,"")))</f>
        <v/>
      </c>
      <c r="I233" s="897">
        <f>IF(CostScenario="Higher cost",IF(ISBLANK('PTA-Hi'!I233)=FALSE,'PTA-Hi'!I233,""),IF(CostScenario="Lower cost",IF(ISBLANK('PTA-Lo'!I233)=FALSE,'PTA-Lo'!I233,""),IF(ISBLANK('PTA-Mid'!I233)=FALSE,'PTA-Mid'!I233,"")))</f>
        <v>2008</v>
      </c>
      <c r="J233" s="897">
        <f>IF(CostScenario="Higher cost",IF(ISBLANK('PTA-Hi'!J233)=FALSE,'PTA-Hi'!J233,""),IF(CostScenario="Lower cost",IF(ISBLANK('PTA-Lo'!J233)=FALSE,'PTA-Lo'!J233,""),IF(ISBLANK('PTA-Mid'!J233)=FALSE,'PTA-Mid'!J233,"")))</f>
        <v>2008</v>
      </c>
      <c r="K233" s="897">
        <f>IF(CostScenario="Higher cost",IF(ISBLANK('PTA-Hi'!K233)=FALSE,'PTA-Hi'!K233,""),IF(CostScenario="Lower cost",IF(ISBLANK('PTA-Lo'!K233)=FALSE,'PTA-Lo'!K233,""),IF(ISBLANK('PTA-Mid'!K233)=FALSE,'PTA-Mid'!K233,"")))</f>
        <v>2008</v>
      </c>
      <c r="L233" s="897">
        <f>IF(CostScenario="Higher cost",IF(ISBLANK('PTA-Hi'!L233)=FALSE,'PTA-Hi'!L233,""),IF(CostScenario="Lower cost",IF(ISBLANK('PTA-Lo'!L233)=FALSE,'PTA-Lo'!L233,""),IF(ISBLANK('PTA-Mid'!L233)=FALSE,'PTA-Mid'!L233,"")))</f>
        <v>2008</v>
      </c>
      <c r="M233" s="897">
        <f>IF(CostScenario="Higher cost",IF(ISBLANK('PTA-Hi'!M233)=FALSE,'PTA-Hi'!M233,""),IF(CostScenario="Lower cost",IF(ISBLANK('PTA-Lo'!M233)=FALSE,'PTA-Lo'!M233,""),IF(ISBLANK('PTA-Mid'!M233)=FALSE,'PTA-Mid'!M233,"")))</f>
        <v>2008</v>
      </c>
      <c r="N233" s="2740">
        <f>IF(CostScenario="Higher cost",IF(ISBLANK('PTA-Hi'!N233)=FALSE,'PTA-Hi'!N233,""),IF(CostScenario="Lower cost",IF(ISBLANK('PTA-Lo'!N233)=FALSE,'PTA-Lo'!N233,""),IF(ISBLANK('PTA-Mid'!N233)=FALSE,'PTA-Mid'!N233,"")))</f>
        <v>2008</v>
      </c>
      <c r="O233" s="2740">
        <f>IF(CostScenario="Higher cost",IF(ISBLANK('PTA-Hi'!O233)=FALSE,'PTA-Hi'!O233,""),IF(CostScenario="Lower cost",IF(ISBLANK('PTA-Lo'!O233)=FALSE,'PTA-Lo'!O233,""),IF(ISBLANK('PTA-Mid'!O233)=FALSE,'PTA-Mid'!O233,"")))</f>
        <v>2008</v>
      </c>
      <c r="P233" s="3249">
        <f>IF(CostScenario="Higher cost",IF(ISBLANK('PTA-Hi'!P233)=FALSE,'PTA-Hi'!P233,""),IF(CostScenario="Lower cost",IF(ISBLANK('PTA-Lo'!P233)=FALSE,'PTA-Lo'!P233,""),IF(ISBLANK('PTA-Mid'!P233)=FALSE,'PTA-Mid'!P233,"")))</f>
        <v>2008</v>
      </c>
      <c r="Q233" s="2740">
        <f>IF(CostScenario="Higher cost",IF(ISBLANK('PTA-Hi'!Q233)=FALSE,'PTA-Hi'!Q233,""),IF(CostScenario="Lower cost",IF(ISBLANK('PTA-Lo'!Q233)=FALSE,'PTA-Lo'!Q233,""),IF(ISBLANK('PTA-Mid'!Q233)=FALSE,'PTA-Mid'!Q233,"")))</f>
        <v>2008</v>
      </c>
      <c r="R233" s="897">
        <f>IF(CostScenario="Higher cost",IF(ISBLANK('PTA-Hi'!R233)=FALSE,'PTA-Hi'!R233,""),IF(CostScenario="Lower cost",IF(ISBLANK('PTA-Lo'!R233)=FALSE,'PTA-Lo'!R233,""),IF(ISBLANK('PTA-Mid'!R233)=FALSE,'PTA-Mid'!R233,"")))</f>
        <v>2008</v>
      </c>
      <c r="S233" s="3251">
        <f>IF(CostScenario="Higher cost",IF(ISBLANK('PTA-Hi'!S233)=FALSE,'PTA-Hi'!S233,""),IF(CostScenario="Lower cost",IF(ISBLANK('PTA-Lo'!S233)=FALSE,'PTA-Lo'!S233,""),IF(ISBLANK('PTA-Mid'!S233)=FALSE,'PTA-Mid'!S233,"")))</f>
        <v>2008</v>
      </c>
      <c r="T233" s="3251">
        <f>IF(CostScenario="Higher cost",IF(ISBLANK('PTA-Hi'!T233)=FALSE,'PTA-Hi'!T233,""),IF(CostScenario="Lower cost",IF(ISBLANK('PTA-Lo'!T233)=FALSE,'PTA-Lo'!T233,""),IF(ISBLANK('PTA-Mid'!T233)=FALSE,'PTA-Mid'!T233,"")))</f>
        <v>2008</v>
      </c>
      <c r="U233" s="897">
        <f>IF(CostScenario="Higher cost",IF(ISBLANK('PTA-Hi'!U233)=FALSE,'PTA-Hi'!U233,""),IF(CostScenario="Lower cost",IF(ISBLANK('PTA-Lo'!U233)=FALSE,'PTA-Lo'!U233,""),IF(ISBLANK('PTA-Mid'!U233)=FALSE,'PTA-Mid'!U233,"")))</f>
        <v>2008</v>
      </c>
      <c r="V233" s="897">
        <f>IF(CostScenario="Higher cost",IF(ISBLANK('PTA-Hi'!V233)=FALSE,'PTA-Hi'!V233,""),IF(CostScenario="Lower cost",IF(ISBLANK('PTA-Lo'!V233)=FALSE,'PTA-Lo'!V233,""),IF(ISBLANK('PTA-Mid'!V233)=FALSE,'PTA-Mid'!V233,"")))</f>
        <v>2008</v>
      </c>
      <c r="W233" s="2914"/>
      <c r="X233" s="897"/>
    </row>
    <row r="234" spans="1:24" s="7" customFormat="1">
      <c r="A234" s="956" t="s">
        <v>1001</v>
      </c>
      <c r="B234" s="959"/>
      <c r="C234" s="901" t="s">
        <v>1002</v>
      </c>
      <c r="D234" s="1249" t="str">
        <f>IF(CostScenario="Higher cost",IF(ISBLANK('PTA-Hi'!D234)=FALSE,'PTA-Hi'!D234,""),IF(CostScenario="Lower cost",IF(ISBLANK('PTA-Lo'!D234)=FALSE,'PTA-Lo'!D234,""),IF(ISBLANK('PTA-Mid'!D234)=FALSE,'PTA-Mid'!D234,"")))</f>
        <v/>
      </c>
      <c r="E234" s="1249" t="str">
        <f>IF(CostScenario="Higher cost",IF(ISBLANK('PTA-Hi'!E234)=FALSE,'PTA-Hi'!E234,""),IF(CostScenario="Lower cost",IF(ISBLANK('PTA-Lo'!E234)=FALSE,'PTA-Lo'!E234,""),IF(ISBLANK('PTA-Mid'!E234)=FALSE,'PTA-Mid'!E234,"")))</f>
        <v/>
      </c>
      <c r="F234" s="1249" t="str">
        <f>IF(CostScenario="Higher cost",IF(ISBLANK('PTA-Hi'!F234)=FALSE,'PTA-Hi'!F234,""),IF(CostScenario="Lower cost",IF(ISBLANK('PTA-Lo'!F234)=FALSE,'PTA-Lo'!F234,""),IF(ISBLANK('PTA-Mid'!F234)=FALSE,'PTA-Mid'!F234,"")))</f>
        <v/>
      </c>
      <c r="G234" s="1249" t="str">
        <f>IF(CostScenario="Higher cost",IF(ISBLANK('PTA-Hi'!G234)=FALSE,'PTA-Hi'!G234,""),IF(CostScenario="Lower cost",IF(ISBLANK('PTA-Lo'!G234)=FALSE,'PTA-Lo'!G234,""),IF(ISBLANK('PTA-Mid'!G234)=FALSE,'PTA-Mid'!G234,"")))</f>
        <v/>
      </c>
      <c r="H234" s="1249" t="str">
        <f>IF(CostScenario="Higher cost",IF(ISBLANK('PTA-Hi'!H234)=FALSE,'PTA-Hi'!H234,""),IF(CostScenario="Lower cost",IF(ISBLANK('PTA-Lo'!H234)=FALSE,'PTA-Lo'!H234,""),IF(ISBLANK('PTA-Mid'!H234)=FALSE,'PTA-Mid'!H234,"")))</f>
        <v/>
      </c>
      <c r="I234" s="897">
        <f>IF(CostScenario="Higher cost",IF(ISBLANK('PTA-Hi'!I234)=FALSE,'PTA-Hi'!I234,""),IF(CostScenario="Lower cost",IF(ISBLANK('PTA-Lo'!I234)=FALSE,'PTA-Lo'!I234,""),IF(ISBLANK('PTA-Mid'!I234)=FALSE,'PTA-Mid'!I234,"")))</f>
        <v>10</v>
      </c>
      <c r="J234" s="897">
        <f>IF(CostScenario="Higher cost",IF(ISBLANK('PTA-Hi'!J234)=FALSE,'PTA-Hi'!J234,""),IF(CostScenario="Lower cost",IF(ISBLANK('PTA-Lo'!J234)=FALSE,'PTA-Lo'!J234,""),IF(ISBLANK('PTA-Mid'!J234)=FALSE,'PTA-Mid'!J234,"")))</f>
        <v>10</v>
      </c>
      <c r="K234" s="897">
        <f>IF(CostScenario="Higher cost",IF(ISBLANK('PTA-Hi'!K234)=FALSE,'PTA-Hi'!K234,""),IF(CostScenario="Lower cost",IF(ISBLANK('PTA-Lo'!K234)=FALSE,'PTA-Lo'!K234,""),IF(ISBLANK('PTA-Mid'!K234)=FALSE,'PTA-Mid'!K234,"")))</f>
        <v>10</v>
      </c>
      <c r="L234" s="897">
        <f>IF(CostScenario="Higher cost",IF(ISBLANK('PTA-Hi'!L234)=FALSE,'PTA-Hi'!L234,""),IF(CostScenario="Lower cost",IF(ISBLANK('PTA-Lo'!L234)=FALSE,'PTA-Lo'!L234,""),IF(ISBLANK('PTA-Mid'!L234)=FALSE,'PTA-Mid'!L234,"")))</f>
        <v>10</v>
      </c>
      <c r="M234" s="897">
        <f>IF(CostScenario="Higher cost",IF(ISBLANK('PTA-Hi'!M234)=FALSE,'PTA-Hi'!M234,""),IF(CostScenario="Lower cost",IF(ISBLANK('PTA-Lo'!M234)=FALSE,'PTA-Lo'!M234,""),IF(ISBLANK('PTA-Mid'!M234)=FALSE,'PTA-Mid'!M234,"")))</f>
        <v>10</v>
      </c>
      <c r="N234" s="2740">
        <f>IF(CostScenario="Higher cost",IF(ISBLANK('PTA-Hi'!N234)=FALSE,'PTA-Hi'!N234,""),IF(CostScenario="Lower cost",IF(ISBLANK('PTA-Lo'!N234)=FALSE,'PTA-Lo'!N234,""),IF(ISBLANK('PTA-Mid'!N234)=FALSE,'PTA-Mid'!N234,"")))</f>
        <v>10</v>
      </c>
      <c r="O234" s="2740">
        <f>IF(CostScenario="Higher cost",IF(ISBLANK('PTA-Hi'!O234)=FALSE,'PTA-Hi'!O234,""),IF(CostScenario="Lower cost",IF(ISBLANK('PTA-Lo'!O234)=FALSE,'PTA-Lo'!O234,""),IF(ISBLANK('PTA-Mid'!O234)=FALSE,'PTA-Mid'!O234,"")))</f>
        <v>10</v>
      </c>
      <c r="P234" s="3249">
        <f>IF(CostScenario="Higher cost",IF(ISBLANK('PTA-Hi'!P234)=FALSE,'PTA-Hi'!P234,""),IF(CostScenario="Lower cost",IF(ISBLANK('PTA-Lo'!P234)=FALSE,'PTA-Lo'!P234,""),IF(ISBLANK('PTA-Mid'!P234)=FALSE,'PTA-Mid'!P234,"")))</f>
        <v>10</v>
      </c>
      <c r="Q234" s="2740">
        <f>IF(CostScenario="Higher cost",IF(ISBLANK('PTA-Hi'!Q234)=FALSE,'PTA-Hi'!Q234,""),IF(CostScenario="Lower cost",IF(ISBLANK('PTA-Lo'!Q234)=FALSE,'PTA-Lo'!Q234,""),IF(ISBLANK('PTA-Mid'!Q234)=FALSE,'PTA-Mid'!Q234,"")))</f>
        <v>10</v>
      </c>
      <c r="R234" s="897">
        <f>IF(CostScenario="Higher cost",IF(ISBLANK('PTA-Hi'!R234)=FALSE,'PTA-Hi'!R234,""),IF(CostScenario="Lower cost",IF(ISBLANK('PTA-Lo'!R234)=FALSE,'PTA-Lo'!R234,""),IF(ISBLANK('PTA-Mid'!R234)=FALSE,'PTA-Mid'!R234,"")))</f>
        <v>10</v>
      </c>
      <c r="S234" s="3251">
        <f>IF(CostScenario="Higher cost",IF(ISBLANK('PTA-Hi'!S234)=FALSE,'PTA-Hi'!S234,""),IF(CostScenario="Lower cost",IF(ISBLANK('PTA-Lo'!S234)=FALSE,'PTA-Lo'!S234,""),IF(ISBLANK('PTA-Mid'!S234)=FALSE,'PTA-Mid'!S234,"")))</f>
        <v>10</v>
      </c>
      <c r="T234" s="3251">
        <f>IF(CostScenario="Higher cost",IF(ISBLANK('PTA-Hi'!T234)=FALSE,'PTA-Hi'!T234,""),IF(CostScenario="Lower cost",IF(ISBLANK('PTA-Lo'!T234)=FALSE,'PTA-Lo'!T234,""),IF(ISBLANK('PTA-Mid'!T234)=FALSE,'PTA-Mid'!T234,"")))</f>
        <v>10</v>
      </c>
      <c r="U234" s="897">
        <f>IF(CostScenario="Higher cost",IF(ISBLANK('PTA-Hi'!U234)=FALSE,'PTA-Hi'!U234,""),IF(CostScenario="Lower cost",IF(ISBLANK('PTA-Lo'!U234)=FALSE,'PTA-Lo'!U234,""),IF(ISBLANK('PTA-Mid'!U234)=FALSE,'PTA-Mid'!U234,"")))</f>
        <v>10</v>
      </c>
      <c r="V234" s="897">
        <f>IF(CostScenario="Higher cost",IF(ISBLANK('PTA-Hi'!V234)=FALSE,'PTA-Hi'!V234,""),IF(CostScenario="Lower cost",IF(ISBLANK('PTA-Lo'!V234)=FALSE,'PTA-Lo'!V234,""),IF(ISBLANK('PTA-Mid'!V234)=FALSE,'PTA-Mid'!V234,"")))</f>
        <v>10</v>
      </c>
      <c r="W234" s="2914"/>
      <c r="X234" s="897"/>
    </row>
    <row r="235" spans="1:24" s="7" customFormat="1">
      <c r="A235" s="956" t="s">
        <v>47</v>
      </c>
      <c r="B235" s="959"/>
      <c r="C235" s="901" t="s">
        <v>46</v>
      </c>
      <c r="D235" s="897" t="str">
        <f>IF(CostScenario="Higher cost",IF(ISBLANK('PTA-Hi'!D235)=FALSE,'PTA-Hi'!D235,""),IF(CostScenario="Lower cost",IF(ISBLANK('PTA-Lo'!D235)=FALSE,'PTA-Lo'!D235,""),IF(ISBLANK('PTA-Mid'!D235)=FALSE,'PTA-Mid'!D235,"")))</f>
        <v/>
      </c>
      <c r="E235" s="897" t="str">
        <f>IF(CostScenario="Higher cost",IF(ISBLANK('PTA-Hi'!E235)=FALSE,'PTA-Hi'!E235,""),IF(CostScenario="Lower cost",IF(ISBLANK('PTA-Lo'!E235)=FALSE,'PTA-Lo'!E235,""),IF(ISBLANK('PTA-Mid'!E235)=FALSE,'PTA-Mid'!E235,"")))</f>
        <v/>
      </c>
      <c r="F235" s="897" t="str">
        <f>IF(CostScenario="Higher cost",IF(ISBLANK('PTA-Hi'!F235)=FALSE,'PTA-Hi'!F235,""),IF(CostScenario="Lower cost",IF(ISBLANK('PTA-Lo'!F235)=FALSE,'PTA-Lo'!F235,""),IF(ISBLANK('PTA-Mid'!F235)=FALSE,'PTA-Mid'!F235,"")))</f>
        <v/>
      </c>
      <c r="G235" s="897" t="str">
        <f>IF(CostScenario="Higher cost",IF(ISBLANK('PTA-Hi'!G235)=FALSE,'PTA-Hi'!G235,""),IF(CostScenario="Lower cost",IF(ISBLANK('PTA-Lo'!G235)=FALSE,'PTA-Lo'!G235,""),IF(ISBLANK('PTA-Mid'!G235)=FALSE,'PTA-Mid'!G235,"")))</f>
        <v/>
      </c>
      <c r="H235" s="897" t="str">
        <f>IF(CostScenario="Higher cost",IF(ISBLANK('PTA-Hi'!H235)=FALSE,'PTA-Hi'!H235,""),IF(CostScenario="Lower cost",IF(ISBLANK('PTA-Lo'!H235)=FALSE,'PTA-Lo'!H235,""),IF(ISBLANK('PTA-Mid'!H235)=FALSE,'PTA-Mid'!H235,"")))</f>
        <v/>
      </c>
      <c r="I235" s="897">
        <f>IF(CostScenario="Higher cost",IF(ISBLANK('PTA-Hi'!I235)=FALSE,'PTA-Hi'!I235,""),IF(CostScenario="Lower cost",IF(ISBLANK('PTA-Lo'!I235)=FALSE,'PTA-Lo'!I235,""),IF(ISBLANK('PTA-Mid'!I235)=FALSE,'PTA-Mid'!I235,"")))</f>
        <v>2027</v>
      </c>
      <c r="J235" s="897">
        <f>IF(CostScenario="Higher cost",IF(ISBLANK('PTA-Hi'!J235)=FALSE,'PTA-Hi'!J235,""),IF(CostScenario="Lower cost",IF(ISBLANK('PTA-Lo'!J235)=FALSE,'PTA-Lo'!J235,""),IF(ISBLANK('PTA-Mid'!J235)=FALSE,'PTA-Mid'!J235,"")))</f>
        <v>2027</v>
      </c>
      <c r="K235" s="897">
        <f>IF(CostScenario="Higher cost",IF(ISBLANK('PTA-Hi'!K235)=FALSE,'PTA-Hi'!K235,""),IF(CostScenario="Lower cost",IF(ISBLANK('PTA-Lo'!K235)=FALSE,'PTA-Lo'!K235,""),IF(ISBLANK('PTA-Mid'!K235)=FALSE,'PTA-Mid'!K235,"")))</f>
        <v>2027</v>
      </c>
      <c r="L235" s="897">
        <f>IF(CostScenario="Higher cost",IF(ISBLANK('PTA-Hi'!L235)=FALSE,'PTA-Hi'!L235,""),IF(CostScenario="Lower cost",IF(ISBLANK('PTA-Lo'!L235)=FALSE,'PTA-Lo'!L235,""),IF(ISBLANK('PTA-Mid'!L235)=FALSE,'PTA-Mid'!L235,"")))</f>
        <v>2027</v>
      </c>
      <c r="M235" s="897">
        <f>IF(CostScenario="Higher cost",IF(ISBLANK('PTA-Hi'!M235)=FALSE,'PTA-Hi'!M235,""),IF(CostScenario="Lower cost",IF(ISBLANK('PTA-Lo'!M235)=FALSE,'PTA-Lo'!M235,""),IF(ISBLANK('PTA-Mid'!M235)=FALSE,'PTA-Mid'!M235,"")))</f>
        <v>2027</v>
      </c>
      <c r="N235" s="2740">
        <f>IF(CostScenario="Higher cost",IF(ISBLANK('PTA-Hi'!N235)=FALSE,'PTA-Hi'!N235,""),IF(CostScenario="Lower cost",IF(ISBLANK('PTA-Lo'!N235)=FALSE,'PTA-Lo'!N235,""),IF(ISBLANK('PTA-Mid'!N235)=FALSE,'PTA-Mid'!N235,"")))</f>
        <v>2027</v>
      </c>
      <c r="O235" s="2740">
        <f>IF(CostScenario="Higher cost",IF(ISBLANK('PTA-Hi'!O235)=FALSE,'PTA-Hi'!O235,""),IF(CostScenario="Lower cost",IF(ISBLANK('PTA-Lo'!O235)=FALSE,'PTA-Lo'!O235,""),IF(ISBLANK('PTA-Mid'!O235)=FALSE,'PTA-Mid'!O235,"")))</f>
        <v>2027</v>
      </c>
      <c r="P235" s="3249">
        <f>IF(CostScenario="Higher cost",IF(ISBLANK('PTA-Hi'!P235)=FALSE,'PTA-Hi'!P235,""),IF(CostScenario="Lower cost",IF(ISBLANK('PTA-Lo'!P235)=FALSE,'PTA-Lo'!P235,""),IF(ISBLANK('PTA-Mid'!P235)=FALSE,'PTA-Mid'!P235,"")))</f>
        <v>2027</v>
      </c>
      <c r="Q235" s="2740">
        <f>IF(CostScenario="Higher cost",IF(ISBLANK('PTA-Hi'!Q235)=FALSE,'PTA-Hi'!Q235,""),IF(CostScenario="Lower cost",IF(ISBLANK('PTA-Lo'!Q235)=FALSE,'PTA-Lo'!Q235,""),IF(ISBLANK('PTA-Mid'!Q235)=FALSE,'PTA-Mid'!Q235,"")))</f>
        <v>2027</v>
      </c>
      <c r="R235" s="897">
        <f>IF(CostScenario="Higher cost",IF(ISBLANK('PTA-Hi'!R235)=FALSE,'PTA-Hi'!R235,""),IF(CostScenario="Lower cost",IF(ISBLANK('PTA-Lo'!R235)=FALSE,'PTA-Lo'!R235,""),IF(ISBLANK('PTA-Mid'!R235)=FALSE,'PTA-Mid'!R235,"")))</f>
        <v>2027</v>
      </c>
      <c r="S235" s="3251">
        <f>IF(CostScenario="Higher cost",IF(ISBLANK('PTA-Hi'!S235)=FALSE,'PTA-Hi'!S235,""),IF(CostScenario="Lower cost",IF(ISBLANK('PTA-Lo'!S235)=FALSE,'PTA-Lo'!S235,""),IF(ISBLANK('PTA-Mid'!S235)=FALSE,'PTA-Mid'!S235,"")))</f>
        <v>2027</v>
      </c>
      <c r="T235" s="3251">
        <f>IF(CostScenario="Higher cost",IF(ISBLANK('PTA-Hi'!T235)=FALSE,'PTA-Hi'!T235,""),IF(CostScenario="Lower cost",IF(ISBLANK('PTA-Lo'!T235)=FALSE,'PTA-Lo'!T235,""),IF(ISBLANK('PTA-Mid'!T235)=FALSE,'PTA-Mid'!T235,"")))</f>
        <v>2027</v>
      </c>
      <c r="U235" s="897">
        <f>IF(CostScenario="Higher cost",IF(ISBLANK('PTA-Hi'!U235)=FALSE,'PTA-Hi'!U235,""),IF(CostScenario="Lower cost",IF(ISBLANK('PTA-Lo'!U235)=FALSE,'PTA-Lo'!U235,""),IF(ISBLANK('PTA-Mid'!U235)=FALSE,'PTA-Mid'!U235,"")))</f>
        <v>2027</v>
      </c>
      <c r="V235" s="897">
        <f>IF(CostScenario="Higher cost",IF(ISBLANK('PTA-Hi'!V235)=FALSE,'PTA-Hi'!V235,""),IF(CostScenario="Lower cost",IF(ISBLANK('PTA-Lo'!V235)=FALSE,'PTA-Lo'!V235,""),IF(ISBLANK('PTA-Mid'!V235)=FALSE,'PTA-Mid'!V235,"")))</f>
        <v>2027</v>
      </c>
      <c r="W235" s="2914"/>
      <c r="X235" s="897"/>
    </row>
    <row r="236" spans="1:24" s="7" customFormat="1">
      <c r="A236" s="961" t="s">
        <v>536</v>
      </c>
      <c r="B236" s="962"/>
      <c r="C236" s="963" t="s">
        <v>537</v>
      </c>
      <c r="D236" s="1249" t="str">
        <f>IF(CostScenario="Higher cost",IF(ISBLANK('PTA-Hi'!D236)=FALSE,'PTA-Hi'!D236,""),IF(CostScenario="Lower cost",IF(ISBLANK('PTA-Lo'!D236)=FALSE,'PTA-Lo'!D236,""),IF(ISBLANK('PTA-Mid'!D236)=FALSE,'PTA-Mid'!D236,"")))</f>
        <v/>
      </c>
      <c r="E236" s="1249" t="str">
        <f>IF(CostScenario="Higher cost",IF(ISBLANK('PTA-Hi'!E236)=FALSE,'PTA-Hi'!E236,""),IF(CostScenario="Lower cost",IF(ISBLANK('PTA-Lo'!E236)=FALSE,'PTA-Lo'!E236,""),IF(ISBLANK('PTA-Mid'!E236)=FALSE,'PTA-Mid'!E236,"")))</f>
        <v/>
      </c>
      <c r="F236" s="1249" t="str">
        <f>IF(CostScenario="Higher cost",IF(ISBLANK('PTA-Hi'!F236)=FALSE,'PTA-Hi'!F236,""),IF(CostScenario="Lower cost",IF(ISBLANK('PTA-Lo'!F236)=FALSE,'PTA-Lo'!F236,""),IF(ISBLANK('PTA-Mid'!F236)=FALSE,'PTA-Mid'!F236,"")))</f>
        <v/>
      </c>
      <c r="G236" s="1249" t="str">
        <f>IF(CostScenario="Higher cost",IF(ISBLANK('PTA-Hi'!G236)=FALSE,'PTA-Hi'!G236,""),IF(CostScenario="Lower cost",IF(ISBLANK('PTA-Lo'!G236)=FALSE,'PTA-Lo'!G236,""),IF(ISBLANK('PTA-Mid'!G236)=FALSE,'PTA-Mid'!G236,"")))</f>
        <v/>
      </c>
      <c r="H236" s="1249" t="str">
        <f>IF(CostScenario="Higher cost",IF(ISBLANK('PTA-Hi'!H236)=FALSE,'PTA-Hi'!H236,""),IF(CostScenario="Lower cost",IF(ISBLANK('PTA-Lo'!H236)=FALSE,'PTA-Lo'!H236,""),IF(ISBLANK('PTA-Mid'!H236)=FALSE,'PTA-Mid'!H236,"")))</f>
        <v/>
      </c>
      <c r="I236" s="867" t="str">
        <f>IF(CostScenario="Higher cost",IF(ISBLANK('PTA-Hi'!I236)=FALSE,'PTA-Hi'!I236,""),IF(CostScenario="Lower cost",IF(ISBLANK('PTA-Lo'!I236)=FALSE,'PTA-Lo'!I236,""),IF(ISBLANK('PTA-Mid'!I236)=FALSE,'PTA-Mid'!I236,"")))</f>
        <v/>
      </c>
      <c r="J236" s="867" t="str">
        <f>IF(CostScenario="Higher cost",IF(ISBLANK('PTA-Hi'!J236)=FALSE,'PTA-Hi'!J236,""),IF(CostScenario="Lower cost",IF(ISBLANK('PTA-Lo'!J236)=FALSE,'PTA-Lo'!J236,""),IF(ISBLANK('PTA-Mid'!J236)=FALSE,'PTA-Mid'!J236,"")))</f>
        <v/>
      </c>
      <c r="K236" s="867" t="str">
        <f>IF(CostScenario="Higher cost",IF(ISBLANK('PTA-Hi'!K236)=FALSE,'PTA-Hi'!K236,""),IF(CostScenario="Lower cost",IF(ISBLANK('PTA-Lo'!K236)=FALSE,'PTA-Lo'!K236,""),IF(ISBLANK('PTA-Mid'!K236)=FALSE,'PTA-Mid'!K236,"")))</f>
        <v/>
      </c>
      <c r="L236" s="2467">
        <f>IF(CostScenario="Higher cost",IF(ISBLANK('PTA-Hi'!L236)=FALSE,'PTA-Hi'!L236,""),IF(CostScenario="Lower cost",IF(ISBLANK('PTA-Lo'!L236)=FALSE,'PTA-Lo'!L236,""),IF(ISBLANK('PTA-Mid'!L236)=FALSE,'PTA-Mid'!L236,"")))</f>
        <v>0.55000000000000004</v>
      </c>
      <c r="M236" s="2467">
        <f>IF(CostScenario="Higher cost",IF(ISBLANK('PTA-Hi'!M236)=FALSE,'PTA-Hi'!M236,""),IF(CostScenario="Lower cost",IF(ISBLANK('PTA-Lo'!M236)=FALSE,'PTA-Lo'!M236,""),IF(ISBLANK('PTA-Mid'!M236)=FALSE,'PTA-Mid'!M236,"")))</f>
        <v>0.9</v>
      </c>
      <c r="N236" s="2467">
        <f>IF(CostScenario="Higher cost",IF(ISBLANK('PTA-Hi'!N236)=FALSE,'PTA-Hi'!N236,""),IF(CostScenario="Lower cost",IF(ISBLANK('PTA-Lo'!N236)=FALSE,'PTA-Lo'!N236,""),IF(ISBLANK('PTA-Mid'!N236)=FALSE,'PTA-Mid'!N236,"")))</f>
        <v>0.55000000000000004</v>
      </c>
      <c r="O236" s="2467">
        <f>IF(CostScenario="Higher cost",IF(ISBLANK('PTA-Hi'!O236)=FALSE,'PTA-Hi'!O236,""),IF(CostScenario="Lower cost",IF(ISBLANK('PTA-Lo'!O236)=FALSE,'PTA-Lo'!O236,""),IF(ISBLANK('PTA-Mid'!O236)=FALSE,'PTA-Mid'!O236,"")))</f>
        <v>0.9</v>
      </c>
      <c r="P236" s="2467">
        <f>IF(CostScenario="Higher cost",IF(ISBLANK('PTA-Hi'!P236)=FALSE,'PTA-Hi'!P236,""),IF(CostScenario="Lower cost",IF(ISBLANK('PTA-Lo'!P236)=FALSE,'PTA-Lo'!P236,""),IF(ISBLANK('PTA-Mid'!P236)=FALSE,'PTA-Mid'!P236,"")))</f>
        <v>0.9</v>
      </c>
      <c r="Q236" s="2467">
        <f>IF(CostScenario="Higher cost",IF(ISBLANK('PTA-Hi'!Q236)=FALSE,'PTA-Hi'!Q236,""),IF(CostScenario="Lower cost",IF(ISBLANK('PTA-Lo'!Q236)=FALSE,'PTA-Lo'!Q236,""),IF(ISBLANK('PTA-Mid'!Q236)=FALSE,'PTA-Mid'!Q236,"")))</f>
        <v>0.9</v>
      </c>
      <c r="R236" s="2467">
        <f>IF(CostScenario="Higher cost",IF(ISBLANK('PTA-Hi'!R236)=FALSE,'PTA-Hi'!R236,""),IF(CostScenario="Lower cost",IF(ISBLANK('PTA-Lo'!R236)=FALSE,'PTA-Lo'!R236,""),IF(ISBLANK('PTA-Mid'!R236)=FALSE,'PTA-Mid'!R236,"")))</f>
        <v>0.9</v>
      </c>
      <c r="S236" s="2467">
        <f>IF(CostScenario="Higher cost",IF(ISBLANK('PTA-Hi'!S236)=FALSE,'PTA-Hi'!S236,""),IF(CostScenario="Lower cost",IF(ISBLANK('PTA-Lo'!S236)=FALSE,'PTA-Lo'!S236,""),IF(ISBLANK('PTA-Mid'!S236)=FALSE,'PTA-Mid'!S236,"")))</f>
        <v>0.9</v>
      </c>
      <c r="T236" s="2467">
        <f>IF(CostScenario="Higher cost",IF(ISBLANK('PTA-Hi'!T236)=FALSE,'PTA-Hi'!T236,""),IF(CostScenario="Lower cost",IF(ISBLANK('PTA-Lo'!T236)=FALSE,'PTA-Lo'!T236,""),IF(ISBLANK('PTA-Mid'!T236)=FALSE,'PTA-Mid'!T236,"")))</f>
        <v>0.9</v>
      </c>
      <c r="U236" s="867" t="str">
        <f>IF(CostScenario="Higher cost",IF(ISBLANK('PTA-Hi'!U236)=FALSE,'PTA-Hi'!U236,""),IF(CostScenario="Lower cost",IF(ISBLANK('PTA-Lo'!U236)=FALSE,'PTA-Lo'!U236,""),IF(ISBLANK('PTA-Mid'!U236)=FALSE,'PTA-Mid'!U236,"")))</f>
        <v/>
      </c>
      <c r="V236" s="867" t="str">
        <f>IF(CostScenario="Higher cost",IF(ISBLANK('PTA-Hi'!V236)=FALSE,'PTA-Hi'!V236,""),IF(CostScenario="Lower cost",IF(ISBLANK('PTA-Lo'!V236)=FALSE,'PTA-Lo'!V236,""),IF(ISBLANK('PTA-Mid'!V236)=FALSE,'PTA-Mid'!V236,"")))</f>
        <v/>
      </c>
      <c r="W236" s="2915"/>
      <c r="X236" s="9"/>
    </row>
    <row r="237" spans="1:24" s="2332" customFormat="1">
      <c r="A237" s="961" t="s">
        <v>1639</v>
      </c>
      <c r="B237" s="962"/>
      <c r="C237" s="963" t="s">
        <v>1637</v>
      </c>
      <c r="D237" s="2501"/>
      <c r="E237" s="2501"/>
      <c r="F237" s="2501"/>
      <c r="G237" s="2501"/>
      <c r="H237" s="2501"/>
      <c r="I237" s="2339"/>
      <c r="J237" s="2339"/>
      <c r="K237" s="2339"/>
      <c r="L237" s="2467">
        <f>IF(CostScenario="Higher cost",IF(ISBLANK('PTA-Hi'!L237)=FALSE,'PTA-Hi'!L237,""),IF(CostScenario="Lower cost",IF(ISBLANK('PTA-Lo'!L237)=FALSE,'PTA-Lo'!L237,""),IF(ISBLANK('PTA-Mid'!L237)=FALSE,'PTA-Mid'!L237,"")))</f>
        <v>0.4</v>
      </c>
      <c r="M237" s="2467">
        <f>IF(CostScenario="Higher cost",IF(ISBLANK('PTA-Hi'!M237)=FALSE,'PTA-Hi'!M237,""),IF(CostScenario="Lower cost",IF(ISBLANK('PTA-Lo'!M237)=FALSE,'PTA-Lo'!M237,""),IF(ISBLANK('PTA-Mid'!M237)=FALSE,'PTA-Mid'!M237,"")))</f>
        <v>0</v>
      </c>
      <c r="N237" s="2467">
        <f>IF(CostScenario="Higher cost",IF(ISBLANK('PTA-Hi'!N237)=FALSE,'PTA-Hi'!N237,""),IF(CostScenario="Lower cost",IF(ISBLANK('PTA-Lo'!N237)=FALSE,'PTA-Lo'!N237,""),IF(ISBLANK('PTA-Mid'!N237)=FALSE,'PTA-Mid'!N237,"")))</f>
        <v>0.4</v>
      </c>
      <c r="O237" s="2467">
        <f>IF(CostScenario="Higher cost",IF(ISBLANK('PTA-Hi'!O237)=FALSE,'PTA-Hi'!O237,""),IF(CostScenario="Lower cost",IF(ISBLANK('PTA-Lo'!O237)=FALSE,'PTA-Lo'!O237,""),IF(ISBLANK('PTA-Mid'!O237)=FALSE,'PTA-Mid'!O237,"")))</f>
        <v>0</v>
      </c>
      <c r="P237" s="2467">
        <f>IF(CostScenario="Higher cost",IF(ISBLANK('PTA-Hi'!P237)=FALSE,'PTA-Hi'!P237,""),IF(CostScenario="Lower cost",IF(ISBLANK('PTA-Lo'!P237)=FALSE,'PTA-Lo'!P237,""),IF(ISBLANK('PTA-Mid'!P237)=FALSE,'PTA-Mid'!P237,"")))</f>
        <v>0</v>
      </c>
      <c r="Q237" s="2467">
        <f>IF(CostScenario="Higher cost",IF(ISBLANK('PTA-Hi'!Q237)=FALSE,'PTA-Hi'!Q237,""),IF(CostScenario="Lower cost",IF(ISBLANK('PTA-Lo'!Q237)=FALSE,'PTA-Lo'!Q237,""),IF(ISBLANK('PTA-Mid'!Q237)=FALSE,'PTA-Mid'!Q237,"")))</f>
        <v>0</v>
      </c>
      <c r="R237" s="2467">
        <f>IF(CostScenario="Higher cost",IF(ISBLANK('PTA-Hi'!R237)=FALSE,'PTA-Hi'!R237,""),IF(CostScenario="Lower cost",IF(ISBLANK('PTA-Lo'!R237)=FALSE,'PTA-Lo'!R237,""),IF(ISBLANK('PTA-Mid'!R237)=FALSE,'PTA-Mid'!R237,"")))</f>
        <v>0</v>
      </c>
      <c r="S237" s="2467">
        <f>IF(CostScenario="Higher cost",IF(ISBLANK('PTA-Hi'!S237)=FALSE,'PTA-Hi'!S237,""),IF(CostScenario="Lower cost",IF(ISBLANK('PTA-Lo'!S237)=FALSE,'PTA-Lo'!S237,""),IF(ISBLANK('PTA-Mid'!S237)=FALSE,'PTA-Mid'!S237,"")))</f>
        <v>0</v>
      </c>
      <c r="T237" s="2467">
        <f>IF(CostScenario="Higher cost",IF(ISBLANK('PTA-Hi'!T237)=FALSE,'PTA-Hi'!T237,""),IF(CostScenario="Lower cost",IF(ISBLANK('PTA-Lo'!T237)=FALSE,'PTA-Lo'!T237,""),IF(ISBLANK('PTA-Mid'!T237)=FALSE,'PTA-Mid'!T237,"")))</f>
        <v>0</v>
      </c>
      <c r="U237" s="2339"/>
      <c r="V237" s="2339"/>
      <c r="W237" s="2915"/>
    </row>
    <row r="238" spans="1:24" s="2332" customFormat="1">
      <c r="A238" s="961" t="s">
        <v>1640</v>
      </c>
      <c r="B238" s="962"/>
      <c r="C238" s="963" t="s">
        <v>1638</v>
      </c>
      <c r="D238" s="2501"/>
      <c r="E238" s="2501"/>
      <c r="F238" s="2501"/>
      <c r="G238" s="2501"/>
      <c r="H238" s="2501"/>
      <c r="I238" s="2339"/>
      <c r="J238" s="2339"/>
      <c r="K238" s="2339"/>
      <c r="L238" s="2506">
        <f>IF(CostScenario="Higher cost",IF(ISBLANK('PTA-Hi'!L238)=FALSE,'PTA-Hi'!L238,""),IF(CostScenario="Lower cost",IF(ISBLANK('PTA-Lo'!L238)=FALSE,'PTA-Lo'!L238,""),IF(ISBLANK('PTA-Mid'!L238)=FALSE,'PTA-Mid'!L238,"")))</f>
        <v>2030</v>
      </c>
      <c r="M238" s="2506">
        <f>IF(CostScenario="Higher cost",IF(ISBLANK('PTA-Hi'!M238)=FALSE,'PTA-Hi'!M238,""),IF(CostScenario="Lower cost",IF(ISBLANK('PTA-Lo'!M238)=FALSE,'PTA-Lo'!M238,""),IF(ISBLANK('PTA-Mid'!M238)=FALSE,'PTA-Mid'!M238,"")))</f>
        <v>2030</v>
      </c>
      <c r="N238" s="2506">
        <f>IF(CostScenario="Higher cost",IF(ISBLANK('PTA-Hi'!N238)=FALSE,'PTA-Hi'!N238,""),IF(CostScenario="Lower cost",IF(ISBLANK('PTA-Lo'!N238)=FALSE,'PTA-Lo'!N238,""),IF(ISBLANK('PTA-Mid'!N238)=FALSE,'PTA-Mid'!N238,"")))</f>
        <v>2030</v>
      </c>
      <c r="O238" s="2506">
        <f>IF(CostScenario="Higher cost",IF(ISBLANK('PTA-Hi'!O238)=FALSE,'PTA-Hi'!O238,""),IF(CostScenario="Lower cost",IF(ISBLANK('PTA-Lo'!O238)=FALSE,'PTA-Lo'!O238,""),IF(ISBLANK('PTA-Mid'!O238)=FALSE,'PTA-Mid'!O238,"")))</f>
        <v>2030</v>
      </c>
      <c r="P238" s="2506">
        <f>IF(CostScenario="Higher cost",IF(ISBLANK('PTA-Hi'!P238)=FALSE,'PTA-Hi'!P238,""),IF(CostScenario="Lower cost",IF(ISBLANK('PTA-Lo'!P238)=FALSE,'PTA-Lo'!P238,""),IF(ISBLANK('PTA-Mid'!P238)=FALSE,'PTA-Mid'!P238,"")))</f>
        <v>2030</v>
      </c>
      <c r="Q238" s="2506">
        <f>IF(CostScenario="Higher cost",IF(ISBLANK('PTA-Hi'!Q238)=FALSE,'PTA-Hi'!Q238,""),IF(CostScenario="Lower cost",IF(ISBLANK('PTA-Lo'!Q238)=FALSE,'PTA-Lo'!Q238,""),IF(ISBLANK('PTA-Mid'!Q238)=FALSE,'PTA-Mid'!Q238,"")))</f>
        <v>2030</v>
      </c>
      <c r="R238" s="2506">
        <f>IF(CostScenario="Higher cost",IF(ISBLANK('PTA-Hi'!R238)=FALSE,'PTA-Hi'!R238,""),IF(CostScenario="Lower cost",IF(ISBLANK('PTA-Lo'!R238)=FALSE,'PTA-Lo'!R238,""),IF(ISBLANK('PTA-Mid'!R238)=FALSE,'PTA-Mid'!R238,"")))</f>
        <v>2030</v>
      </c>
      <c r="S238" s="2506">
        <f>IF(CostScenario="Higher cost",IF(ISBLANK('PTA-Hi'!S238)=FALSE,'PTA-Hi'!S238,""),IF(CostScenario="Lower cost",IF(ISBLANK('PTA-Lo'!S238)=FALSE,'PTA-Lo'!S238,""),IF(ISBLANK('PTA-Mid'!S238)=FALSE,'PTA-Mid'!S238,"")))</f>
        <v>2030</v>
      </c>
      <c r="T238" s="2506">
        <f>IF(CostScenario="Higher cost",IF(ISBLANK('PTA-Hi'!T238)=FALSE,'PTA-Hi'!T238,""),IF(CostScenario="Lower cost",IF(ISBLANK('PTA-Lo'!T238)=FALSE,'PTA-Lo'!T238,""),IF(ISBLANK('PTA-Mid'!T238)=FALSE,'PTA-Mid'!T238,"")))</f>
        <v>2030</v>
      </c>
      <c r="U238" s="2339"/>
      <c r="V238" s="2339"/>
      <c r="W238" s="2915"/>
    </row>
    <row r="239" spans="1:24" s="2332" customFormat="1">
      <c r="A239" s="1719" t="s">
        <v>1664</v>
      </c>
      <c r="B239" s="1720"/>
      <c r="C239" s="1721" t="s">
        <v>1663</v>
      </c>
      <c r="D239" s="1800">
        <f>IF(CostScenario="Higher cost",IF(ISBLANK('PTA-Hi'!D239)=FALSE,'PTA-Hi'!D239,""),IF(CostScenario="Lower cost",IF(ISBLANK('PTA-Lo'!D239)=FALSE,'PTA-Lo'!D239,""),IF(ISBLANK('PTA-Mid'!D239)=FALSE,'PTA-Mid'!D239,"")))</f>
        <v>0.6</v>
      </c>
      <c r="E239" s="1800">
        <f>IF(CostScenario="Higher cost",IF(ISBLANK('PTA-Hi'!E239)=FALSE,'PTA-Hi'!E239,""),IF(CostScenario="Lower cost",IF(ISBLANK('PTA-Lo'!E239)=FALSE,'PTA-Lo'!E239,""),IF(ISBLANK('PTA-Mid'!E239)=FALSE,'PTA-Mid'!E239,"")))</f>
        <v>0.6</v>
      </c>
      <c r="F239" s="1800">
        <f>IF(CostScenario="Higher cost",IF(ISBLANK('PTA-Hi'!F239)=FALSE,'PTA-Hi'!F239,""),IF(CostScenario="Lower cost",IF(ISBLANK('PTA-Lo'!F239)=FALSE,'PTA-Lo'!F239,""),IF(ISBLANK('PTA-Mid'!F239)=FALSE,'PTA-Mid'!F239,"")))</f>
        <v>0.6</v>
      </c>
      <c r="G239" s="1800">
        <f>IF(CostScenario="Higher cost",IF(ISBLANK('PTA-Hi'!G239)=FALSE,'PTA-Hi'!G239,""),IF(CostScenario="Lower cost",IF(ISBLANK('PTA-Lo'!G239)=FALSE,'PTA-Lo'!G239,""),IF(ISBLANK('PTA-Mid'!G239)=FALSE,'PTA-Mid'!G239,"")))</f>
        <v>0.6</v>
      </c>
      <c r="H239" s="1800">
        <f>IF(CostScenario="Higher cost",IF(ISBLANK('PTA-Hi'!H239)=FALSE,'PTA-Hi'!H239,""),IF(CostScenario="Lower cost",IF(ISBLANK('PTA-Lo'!H239)=FALSE,'PTA-Lo'!H239,""),IF(ISBLANK('PTA-Mid'!H239)=FALSE,'PTA-Mid'!H239,"")))</f>
        <v>0.6</v>
      </c>
      <c r="I239" s="1800">
        <f>IF(CostScenario="Higher cost",IF(ISBLANK('PTA-Hi'!I239)=FALSE,'PTA-Hi'!I239,""),IF(CostScenario="Lower cost",IF(ISBLANK('PTA-Lo'!I239)=FALSE,'PTA-Lo'!I239,""),IF(ISBLANK('PTA-Mid'!I239)=FALSE,'PTA-Mid'!I239,"")))</f>
        <v>0.55000000000000004</v>
      </c>
      <c r="J239" s="1800">
        <f>IF(CostScenario="Higher cost",IF(ISBLANK('PTA-Hi'!J239)=FALSE,'PTA-Hi'!J239,""),IF(CostScenario="Lower cost",IF(ISBLANK('PTA-Lo'!J239)=FALSE,'PTA-Lo'!J239,""),IF(ISBLANK('PTA-Mid'!J239)=FALSE,'PTA-Mid'!J239,"")))</f>
        <v>0.7</v>
      </c>
      <c r="K239" s="1800">
        <f>IF(CostScenario="Higher cost",IF(ISBLANK('PTA-Hi'!K239)=FALSE,'PTA-Hi'!K239,""),IF(CostScenario="Lower cost",IF(ISBLANK('PTA-Lo'!K239)=FALSE,'PTA-Lo'!K239,""),IF(ISBLANK('PTA-Mid'!K239)=FALSE,'PTA-Mid'!K239,"")))</f>
        <v>0.65</v>
      </c>
      <c r="L239" s="1800">
        <f>IF(CostScenario="Higher cost",IF(ISBLANK('PTA-Hi'!L239)=FALSE,'PTA-Hi'!L239,""),IF(CostScenario="Lower cost",IF(ISBLANK('PTA-Lo'!L239)=FALSE,'PTA-Lo'!L239,""),IF(ISBLANK('PTA-Mid'!L239)=FALSE,'PTA-Mid'!L239,"")))</f>
        <v>0.6</v>
      </c>
      <c r="M239" s="1800">
        <f>IF(CostScenario="Higher cost",IF(ISBLANK('PTA-Hi'!M239)=FALSE,'PTA-Hi'!M239,""),IF(CostScenario="Lower cost",IF(ISBLANK('PTA-Lo'!M239)=FALSE,'PTA-Lo'!M239,""),IF(ISBLANK('PTA-Mid'!M239)=FALSE,'PTA-Mid'!M239,"")))</f>
        <v>0.6</v>
      </c>
      <c r="N239" s="1800">
        <f>IF(CostScenario="Higher cost",IF(ISBLANK('PTA-Hi'!N239)=FALSE,'PTA-Hi'!N239,""),IF(CostScenario="Lower cost",IF(ISBLANK('PTA-Lo'!N239)=FALSE,'PTA-Lo'!N239,""),IF(ISBLANK('PTA-Mid'!N239)=FALSE,'PTA-Mid'!N239,"")))</f>
        <v>0.6</v>
      </c>
      <c r="O239" s="1800">
        <f>IF(CostScenario="Higher cost",IF(ISBLANK('PTA-Hi'!O239)=FALSE,'PTA-Hi'!O239,""),IF(CostScenario="Lower cost",IF(ISBLANK('PTA-Lo'!O239)=FALSE,'PTA-Lo'!O239,""),IF(ISBLANK('PTA-Mid'!O239)=FALSE,'PTA-Mid'!O239,"")))</f>
        <v>0.6</v>
      </c>
      <c r="P239" s="1800">
        <f>IF(CostScenario="Higher cost",IF(ISBLANK('PTA-Hi'!P239)=FALSE,'PTA-Hi'!P239,""),IF(CostScenario="Lower cost",IF(ISBLANK('PTA-Lo'!P239)=FALSE,'PTA-Lo'!P239,""),IF(ISBLANK('PTA-Mid'!P239)=FALSE,'PTA-Mid'!P239,"")))</f>
        <v>0.6</v>
      </c>
      <c r="Q239" s="1800">
        <f>IF(CostScenario="Higher cost",IF(ISBLANK('PTA-Hi'!Q239)=FALSE,'PTA-Hi'!Q239,""),IF(CostScenario="Lower cost",IF(ISBLANK('PTA-Lo'!Q239)=FALSE,'PTA-Lo'!Q239,""),IF(ISBLANK('PTA-Mid'!Q239)=FALSE,'PTA-Mid'!Q239,"")))</f>
        <v>0.75</v>
      </c>
      <c r="R239" s="1800">
        <f>IF(CostScenario="Higher cost",IF(ISBLANK('PTA-Hi'!R239)=FALSE,'PTA-Hi'!R239,""),IF(CostScenario="Lower cost",IF(ISBLANK('PTA-Lo'!R239)=FALSE,'PTA-Lo'!R239,""),IF(ISBLANK('PTA-Mid'!R239)=FALSE,'PTA-Mid'!R239,"")))</f>
        <v>0.75</v>
      </c>
      <c r="S239" s="1800">
        <f>IF(CostScenario="Higher cost",IF(ISBLANK('PTA-Hi'!S239)=FALSE,'PTA-Hi'!S239,""),IF(CostScenario="Lower cost",IF(ISBLANK('PTA-Lo'!S239)=FALSE,'PTA-Lo'!S239,""),IF(ISBLANK('PTA-Mid'!S239)=FALSE,'PTA-Mid'!S239,"")))</f>
        <v>0.75</v>
      </c>
      <c r="T239" s="1800">
        <f>IF(CostScenario="Higher cost",IF(ISBLANK('PTA-Hi'!T239)=FALSE,'PTA-Hi'!T239,""),IF(CostScenario="Lower cost",IF(ISBLANK('PTA-Lo'!T239)=FALSE,'PTA-Lo'!T239,""),IF(ISBLANK('PTA-Mid'!T239)=FALSE,'PTA-Mid'!T239,"")))</f>
        <v>0.75</v>
      </c>
      <c r="U239" s="1800">
        <f>IF(CostScenario="Higher cost",IF(ISBLANK('PTA-Hi'!U239)=FALSE,'PTA-Hi'!U239,""),IF(CostScenario="Lower cost",IF(ISBLANK('PTA-Lo'!U239)=FALSE,'PTA-Lo'!U239,""),IF(ISBLANK('PTA-Mid'!U239)=FALSE,'PTA-Mid'!U239,"")))</f>
        <v>0.9</v>
      </c>
      <c r="V239" s="1800">
        <f>IF(CostScenario="Higher cost",IF(ISBLANK('PTA-Hi'!V239)=FALSE,'PTA-Hi'!V239,""),IF(CostScenario="Lower cost",IF(ISBLANK('PTA-Lo'!V239)=FALSE,'PTA-Lo'!V239,""),IF(ISBLANK('PTA-Mid'!V239)=FALSE,'PTA-Mid'!V239,"")))</f>
        <v>0.9</v>
      </c>
      <c r="W239" s="1800"/>
    </row>
    <row r="240" spans="1:24" s="2332" customFormat="1">
      <c r="A240" s="961"/>
      <c r="B240" s="962"/>
      <c r="C240" s="963"/>
      <c r="D240" s="2501"/>
      <c r="E240" s="2501"/>
      <c r="F240" s="2501"/>
      <c r="G240" s="2501"/>
      <c r="H240" s="2501"/>
      <c r="I240" s="2339"/>
      <c r="J240" s="2339"/>
      <c r="K240" s="2339"/>
      <c r="L240" s="2507"/>
      <c r="M240" s="2507"/>
      <c r="N240" s="2507"/>
      <c r="O240" s="2507"/>
      <c r="P240" s="2507"/>
      <c r="Q240" s="2507"/>
      <c r="R240" s="2507"/>
      <c r="S240" s="2507"/>
      <c r="T240" s="2507"/>
      <c r="U240" s="2339"/>
      <c r="V240" s="2339"/>
      <c r="W240" s="2915"/>
    </row>
    <row r="241" spans="1:53" s="1086" customFormat="1">
      <c r="A241" s="1082" t="s">
        <v>532</v>
      </c>
      <c r="B241" s="1083"/>
      <c r="C241" s="1084" t="s">
        <v>533</v>
      </c>
      <c r="D241" s="1085" t="str">
        <f>IF(CostScenario="Higher cost",IF(ISBLANK('PTA-Hi'!D241)=FALSE,'PTA-Hi'!D241,""),IF(CostScenario="Lower cost",IF(ISBLANK('PTA-Lo'!D241)=FALSE,'PTA-Lo'!D241,""),IF(ISBLANK('PTA-Mid'!D241)=FALSE,'PTA-Mid'!D241,"")))</f>
        <v/>
      </c>
      <c r="E241" s="1085" t="str">
        <f>IF(CostScenario="Higher cost",IF(ISBLANK('PTA-Hi'!E241)=FALSE,'PTA-Hi'!E241,""),IF(CostScenario="Lower cost",IF(ISBLANK('PTA-Lo'!E241)=FALSE,'PTA-Lo'!E241,""),IF(ISBLANK('PTA-Mid'!E241)=FALSE,'PTA-Mid'!E241,"")))</f>
        <v/>
      </c>
      <c r="F241" s="1085" t="str">
        <f>IF(CostScenario="Higher cost",IF(ISBLANK('PTA-Hi'!F241)=FALSE,'PTA-Hi'!F241,""),IF(CostScenario="Lower cost",IF(ISBLANK('PTA-Lo'!F241)=FALSE,'PTA-Lo'!F241,""),IF(ISBLANK('PTA-Mid'!F241)=FALSE,'PTA-Mid'!F241,"")))</f>
        <v/>
      </c>
      <c r="G241" s="1085" t="str">
        <f>IF(CostScenario="Higher cost",IF(ISBLANK('PTA-Hi'!G241)=FALSE,'PTA-Hi'!G241,""),IF(CostScenario="Lower cost",IF(ISBLANK('PTA-Lo'!G241)=FALSE,'PTA-Lo'!G241,""),IF(ISBLANK('PTA-Mid'!G241)=FALSE,'PTA-Mid'!G241,"")))</f>
        <v/>
      </c>
      <c r="H241" s="1085" t="str">
        <f>IF(CostScenario="Higher cost",IF(ISBLANK('PTA-Hi'!H241)=FALSE,'PTA-Hi'!H241,""),IF(CostScenario="Lower cost",IF(ISBLANK('PTA-Lo'!H241)=FALSE,'PTA-Lo'!H241,""),IF(ISBLANK('PTA-Mid'!H241)=FALSE,'PTA-Mid'!H241,"")))</f>
        <v/>
      </c>
      <c r="I241" s="1085" t="str">
        <f>IF(CostScenario="Higher cost",IF(ISBLANK('PTA-Hi'!I241)=FALSE,'PTA-Hi'!I241,""),IF(CostScenario="Lower cost",IF(ISBLANK('PTA-Lo'!I241)=FALSE,'PTA-Lo'!I241,""),IF(ISBLANK('PTA-Mid'!I241)=FALSE,'PTA-Mid'!I241,"")))</f>
        <v/>
      </c>
      <c r="J241" s="1085" t="str">
        <f>IF(CostScenario="Higher cost",IF(ISBLANK('PTA-Hi'!J241)=FALSE,'PTA-Hi'!J241,""),IF(CostScenario="Lower cost",IF(ISBLANK('PTA-Lo'!J241)=FALSE,'PTA-Lo'!J241,""),IF(ISBLANK('PTA-Mid'!J241)=FALSE,'PTA-Mid'!J241,"")))</f>
        <v/>
      </c>
      <c r="K241" s="1085" t="str">
        <f>IF(CostScenario="Higher cost",IF(ISBLANK('PTA-Hi'!K241)=FALSE,'PTA-Hi'!K241,""),IF(CostScenario="Lower cost",IF(ISBLANK('PTA-Lo'!K241)=FALSE,'PTA-Lo'!K241,""),IF(ISBLANK('PTA-Mid'!K241)=FALSE,'PTA-Mid'!K241,"")))</f>
        <v/>
      </c>
      <c r="L241" s="1089" t="str">
        <f>IF(CostScenario="Higher cost",IF(ISBLANK('PTA-Hi'!L241)=FALSE,'PTA-Hi'!L241,""),IF(CostScenario="Lower cost",IF(ISBLANK('PTA-Lo'!L241)=FALSE,'PTA-Lo'!L241,""),IF(ISBLANK('PTA-Mid'!L241)=FALSE,'PTA-Mid'!L241,"")))</f>
        <v/>
      </c>
      <c r="M241" s="1089" t="str">
        <f>IF(CostScenario="Higher cost",IF(ISBLANK('PTA-Hi'!M241)=FALSE,'PTA-Hi'!M241,""),IF(CostScenario="Lower cost",IF(ISBLANK('PTA-Lo'!M241)=FALSE,'PTA-Lo'!M241,""),IF(ISBLANK('PTA-Mid'!M241)=FALSE,'PTA-Mid'!M241,"")))</f>
        <v/>
      </c>
      <c r="N241" s="1089" t="str">
        <f>IF(CostScenario="Higher cost",IF(ISBLANK('PTA-Hi'!N241)=FALSE,'PTA-Hi'!N241,""),IF(CostScenario="Lower cost",IF(ISBLANK('PTA-Lo'!N241)=FALSE,'PTA-Lo'!N241,""),IF(ISBLANK('PTA-Mid'!N241)=FALSE,'PTA-Mid'!N241,"")))</f>
        <v/>
      </c>
      <c r="O241" s="1089" t="str">
        <f>IF(CostScenario="Higher cost",IF(ISBLANK('PTA-Hi'!O241)=FALSE,'PTA-Hi'!O241,""),IF(CostScenario="Lower cost",IF(ISBLANK('PTA-Lo'!O241)=FALSE,'PTA-Lo'!O241,""),IF(ISBLANK('PTA-Mid'!O241)=FALSE,'PTA-Mid'!O241,"")))</f>
        <v/>
      </c>
      <c r="P241" s="1089" t="str">
        <f>IF(CostScenario="Higher cost",IF(ISBLANK('PTA-Hi'!P241)=FALSE,'PTA-Hi'!P241,""),IF(CostScenario="Lower cost",IF(ISBLANK('PTA-Lo'!P241)=FALSE,'PTA-Lo'!P241,""),IF(ISBLANK('PTA-Mid'!P241)=FALSE,'PTA-Mid'!P241,"")))</f>
        <v/>
      </c>
      <c r="Q241" s="1089" t="str">
        <f>IF(CostScenario="Higher cost",IF(ISBLANK('PTA-Hi'!Q241)=FALSE,'PTA-Hi'!Q241,""),IF(CostScenario="Lower cost",IF(ISBLANK('PTA-Lo'!Q241)=FALSE,'PTA-Lo'!Q241,""),IF(ISBLANK('PTA-Mid'!Q241)=FALSE,'PTA-Mid'!Q241,"")))</f>
        <v/>
      </c>
      <c r="R241" s="1089" t="str">
        <f>IF(CostScenario="Higher cost",IF(ISBLANK('PTA-Hi'!R241)=FALSE,'PTA-Hi'!R241,""),IF(CostScenario="Lower cost",IF(ISBLANK('PTA-Lo'!R241)=FALSE,'PTA-Lo'!R241,""),IF(ISBLANK('PTA-Mid'!R241)=FALSE,'PTA-Mid'!R241,"")))</f>
        <v/>
      </c>
      <c r="S241" s="1089" t="str">
        <f>IF(CostScenario="Higher cost",IF(ISBLANK('PTA-Hi'!S241)=FALSE,'PTA-Hi'!S241,""),IF(CostScenario="Lower cost",IF(ISBLANK('PTA-Lo'!S241)=FALSE,'PTA-Lo'!S241,""),IF(ISBLANK('PTA-Mid'!S241)=FALSE,'PTA-Mid'!S241,"")))</f>
        <v/>
      </c>
      <c r="T241" s="1089" t="str">
        <f>IF(CostScenario="Higher cost",IF(ISBLANK('PTA-Hi'!T241)=FALSE,'PTA-Hi'!T241,""),IF(CostScenario="Lower cost",IF(ISBLANK('PTA-Lo'!T241)=FALSE,'PTA-Lo'!T241,""),IF(ISBLANK('PTA-Mid'!T241)=FALSE,'PTA-Mid'!T241,"")))</f>
        <v/>
      </c>
      <c r="U241" s="1085" t="str">
        <f>IF(CostScenario="Higher cost",IF(ISBLANK('PTA-Hi'!U241)=FALSE,'PTA-Hi'!U241,""),IF(CostScenario="Lower cost",IF(ISBLANK('PTA-Lo'!U241)=FALSE,'PTA-Lo'!U241,""),IF(ISBLANK('PTA-Mid'!U241)=FALSE,'PTA-Mid'!U241,"")))</f>
        <v/>
      </c>
      <c r="V241" s="1085" t="str">
        <f>IF(CostScenario="Higher cost",IF(ISBLANK('PTA-Hi'!V241)=FALSE,'PTA-Hi'!V241,""),IF(CostScenario="Lower cost",IF(ISBLANK('PTA-Lo'!V241)=FALSE,'PTA-Lo'!V241,""),IF(ISBLANK('PTA-Mid'!V241)=FALSE,'PTA-Mid'!V241,"")))</f>
        <v/>
      </c>
      <c r="W241" s="2980"/>
      <c r="X241" s="1121"/>
    </row>
    <row r="242" spans="1:53" s="1086" customFormat="1">
      <c r="A242" s="1082" t="s">
        <v>534</v>
      </c>
      <c r="B242" s="1083"/>
      <c r="C242" s="1084" t="s">
        <v>535</v>
      </c>
      <c r="D242" s="1085" t="str">
        <f>IF(CostScenario="Higher cost",IF(ISBLANK('PTA-Hi'!D242)=FALSE,'PTA-Hi'!D242,""),IF(CostScenario="Lower cost",IF(ISBLANK('PTA-Lo'!D242)=FALSE,'PTA-Lo'!D242,""),IF(ISBLANK('PTA-Mid'!D242)=FALSE,'PTA-Mid'!D242,"")))</f>
        <v/>
      </c>
      <c r="E242" s="1085" t="str">
        <f>IF(CostScenario="Higher cost",IF(ISBLANK('PTA-Hi'!E242)=FALSE,'PTA-Hi'!E242,""),IF(CostScenario="Lower cost",IF(ISBLANK('PTA-Lo'!E242)=FALSE,'PTA-Lo'!E242,""),IF(ISBLANK('PTA-Mid'!E242)=FALSE,'PTA-Mid'!E242,"")))</f>
        <v/>
      </c>
      <c r="F242" s="1085" t="str">
        <f>IF(CostScenario="Higher cost",IF(ISBLANK('PTA-Hi'!F242)=FALSE,'PTA-Hi'!F242,""),IF(CostScenario="Lower cost",IF(ISBLANK('PTA-Lo'!F242)=FALSE,'PTA-Lo'!F242,""),IF(ISBLANK('PTA-Mid'!F242)=FALSE,'PTA-Mid'!F242,"")))</f>
        <v/>
      </c>
      <c r="G242" s="1085" t="str">
        <f>IF(CostScenario="Higher cost",IF(ISBLANK('PTA-Hi'!G242)=FALSE,'PTA-Hi'!G242,""),IF(CostScenario="Lower cost",IF(ISBLANK('PTA-Lo'!G242)=FALSE,'PTA-Lo'!G242,""),IF(ISBLANK('PTA-Mid'!G242)=FALSE,'PTA-Mid'!G242,"")))</f>
        <v/>
      </c>
      <c r="H242" s="1085" t="str">
        <f>IF(CostScenario="Higher cost",IF(ISBLANK('PTA-Hi'!H242)=FALSE,'PTA-Hi'!H242,""),IF(CostScenario="Lower cost",IF(ISBLANK('PTA-Lo'!H242)=FALSE,'PTA-Lo'!H242,""),IF(ISBLANK('PTA-Mid'!H242)=FALSE,'PTA-Mid'!H242,"")))</f>
        <v/>
      </c>
      <c r="I242" s="1085" t="str">
        <f>IF(CostScenario="Higher cost",IF(ISBLANK('PTA-Hi'!I242)=FALSE,'PTA-Hi'!I242,""),IF(CostScenario="Lower cost",IF(ISBLANK('PTA-Lo'!I242)=FALSE,'PTA-Lo'!I242,""),IF(ISBLANK('PTA-Mid'!I242)=FALSE,'PTA-Mid'!I242,"")))</f>
        <v/>
      </c>
      <c r="J242" s="1085" t="str">
        <f>IF(CostScenario="Higher cost",IF(ISBLANK('PTA-Hi'!J242)=FALSE,'PTA-Hi'!J242,""),IF(CostScenario="Lower cost",IF(ISBLANK('PTA-Lo'!J242)=FALSE,'PTA-Lo'!J242,""),IF(ISBLANK('PTA-Mid'!J242)=FALSE,'PTA-Mid'!J242,"")))</f>
        <v/>
      </c>
      <c r="K242" s="1085" t="str">
        <f>IF(CostScenario="Higher cost",IF(ISBLANK('PTA-Hi'!K242)=FALSE,'PTA-Hi'!K242,""),IF(CostScenario="Lower cost",IF(ISBLANK('PTA-Lo'!K242)=FALSE,'PTA-Lo'!K242,""),IF(ISBLANK('PTA-Mid'!K242)=FALSE,'PTA-Mid'!K242,"")))</f>
        <v/>
      </c>
      <c r="L242" s="1085" t="str">
        <f>IF(CostScenario="Higher cost",IF(ISBLANK('PTA-Hi'!L242)=FALSE,'PTA-Hi'!L242,""),IF(CostScenario="Lower cost",IF(ISBLANK('PTA-Lo'!L242)=FALSE,'PTA-Lo'!L242,""),IF(ISBLANK('PTA-Mid'!L242)=FALSE,'PTA-Mid'!L242,"")))</f>
        <v/>
      </c>
      <c r="M242" s="1085" t="str">
        <f>IF(CostScenario="Higher cost",IF(ISBLANK('PTA-Hi'!M242)=FALSE,'PTA-Hi'!M242,""),IF(CostScenario="Lower cost",IF(ISBLANK('PTA-Lo'!M242)=FALSE,'PTA-Lo'!M242,""),IF(ISBLANK('PTA-Mid'!M242)=FALSE,'PTA-Mid'!M242,"")))</f>
        <v/>
      </c>
      <c r="N242" s="1085" t="str">
        <f>IF(CostScenario="Higher cost",IF(ISBLANK('PTA-Hi'!N242)=FALSE,'PTA-Hi'!N242,""),IF(CostScenario="Lower cost",IF(ISBLANK('PTA-Lo'!N242)=FALSE,'PTA-Lo'!N242,""),IF(ISBLANK('PTA-Mid'!N242)=FALSE,'PTA-Mid'!N242,"")))</f>
        <v/>
      </c>
      <c r="O242" s="1085" t="str">
        <f>IF(CostScenario="Higher cost",IF(ISBLANK('PTA-Hi'!O242)=FALSE,'PTA-Hi'!O242,""),IF(CostScenario="Lower cost",IF(ISBLANK('PTA-Lo'!O242)=FALSE,'PTA-Lo'!O242,""),IF(ISBLANK('PTA-Mid'!O242)=FALSE,'PTA-Mid'!O242,"")))</f>
        <v/>
      </c>
      <c r="P242" s="1085" t="str">
        <f>IF(CostScenario="Higher cost",IF(ISBLANK('PTA-Hi'!P242)=FALSE,'PTA-Hi'!P242,""),IF(CostScenario="Lower cost",IF(ISBLANK('PTA-Lo'!P242)=FALSE,'PTA-Lo'!P242,""),IF(ISBLANK('PTA-Mid'!P242)=FALSE,'PTA-Mid'!P242,"")))</f>
        <v/>
      </c>
      <c r="Q242" s="1085" t="str">
        <f>IF(CostScenario="Higher cost",IF(ISBLANK('PTA-Hi'!Q242)=FALSE,'PTA-Hi'!Q242,""),IF(CostScenario="Lower cost",IF(ISBLANK('PTA-Lo'!Q242)=FALSE,'PTA-Lo'!Q242,""),IF(ISBLANK('PTA-Mid'!Q242)=FALSE,'PTA-Mid'!Q242,"")))</f>
        <v/>
      </c>
      <c r="R242" s="1085" t="str">
        <f>IF(CostScenario="Higher cost",IF(ISBLANK('PTA-Hi'!R242)=FALSE,'PTA-Hi'!R242,""),IF(CostScenario="Lower cost",IF(ISBLANK('PTA-Lo'!R242)=FALSE,'PTA-Lo'!R242,""),IF(ISBLANK('PTA-Mid'!R242)=FALSE,'PTA-Mid'!R242,"")))</f>
        <v/>
      </c>
      <c r="S242" s="1085" t="str">
        <f>IF(CostScenario="Higher cost",IF(ISBLANK('PTA-Hi'!S242)=FALSE,'PTA-Hi'!S242,""),IF(CostScenario="Lower cost",IF(ISBLANK('PTA-Lo'!S242)=FALSE,'PTA-Lo'!S242,""),IF(ISBLANK('PTA-Mid'!S242)=FALSE,'PTA-Mid'!S242,"")))</f>
        <v/>
      </c>
      <c r="T242" s="1085" t="str">
        <f>IF(CostScenario="Higher cost",IF(ISBLANK('PTA-Hi'!T242)=FALSE,'PTA-Hi'!T242,""),IF(CostScenario="Lower cost",IF(ISBLANK('PTA-Lo'!T242)=FALSE,'PTA-Lo'!T242,""),IF(ISBLANK('PTA-Mid'!T242)=FALSE,'PTA-Mid'!T242,"")))</f>
        <v/>
      </c>
      <c r="U242" s="1085" t="str">
        <f>IF(CostScenario="Higher cost",IF(ISBLANK('PTA-Hi'!U242)=FALSE,'PTA-Hi'!U242,""),IF(CostScenario="Lower cost",IF(ISBLANK('PTA-Lo'!U242)=FALSE,'PTA-Lo'!U242,""),IF(ISBLANK('PTA-Mid'!U242)=FALSE,'PTA-Mid'!U242,"")))</f>
        <v/>
      </c>
      <c r="V242" s="1085" t="str">
        <f>IF(CostScenario="Higher cost",IF(ISBLANK('PTA-Hi'!V242)=FALSE,'PTA-Hi'!V242,""),IF(CostScenario="Lower cost",IF(ISBLANK('PTA-Lo'!V242)=FALSE,'PTA-Lo'!V242,""),IF(ISBLANK('PTA-Mid'!V242)=FALSE,'PTA-Mid'!V242,"")))</f>
        <v/>
      </c>
      <c r="W242" s="2980"/>
      <c r="X242" s="867"/>
    </row>
    <row r="243" spans="1:53" s="1086" customFormat="1">
      <c r="A243" s="1082" t="s">
        <v>109</v>
      </c>
      <c r="B243" s="1083"/>
      <c r="C243" s="1084" t="s">
        <v>543</v>
      </c>
      <c r="D243" s="1085" t="str">
        <f>IF(CostScenario="Higher cost",IF(ISBLANK('PTA-Hi'!D243)=FALSE,'PTA-Hi'!D243,""),IF(CostScenario="Lower cost",IF(ISBLANK('PTA-Lo'!D243)=FALSE,'PTA-Lo'!D243,""),IF(ISBLANK('PTA-Mid'!D243)=FALSE,'PTA-Mid'!D243,"")))</f>
        <v/>
      </c>
      <c r="E243" s="1085" t="str">
        <f>IF(CostScenario="Higher cost",IF(ISBLANK('PTA-Hi'!E243)=FALSE,'PTA-Hi'!E243,""),IF(CostScenario="Lower cost",IF(ISBLANK('PTA-Lo'!E243)=FALSE,'PTA-Lo'!E243,""),IF(ISBLANK('PTA-Mid'!E243)=FALSE,'PTA-Mid'!E243,"")))</f>
        <v/>
      </c>
      <c r="F243" s="1085" t="str">
        <f>IF(CostScenario="Higher cost",IF(ISBLANK('PTA-Hi'!F243)=FALSE,'PTA-Hi'!F243,""),IF(CostScenario="Lower cost",IF(ISBLANK('PTA-Lo'!F243)=FALSE,'PTA-Lo'!F243,""),IF(ISBLANK('PTA-Mid'!F243)=FALSE,'PTA-Mid'!F243,"")))</f>
        <v/>
      </c>
      <c r="G243" s="1085" t="str">
        <f>IF(CostScenario="Higher cost",IF(ISBLANK('PTA-Hi'!G243)=FALSE,'PTA-Hi'!G243,""),IF(CostScenario="Lower cost",IF(ISBLANK('PTA-Lo'!G243)=FALSE,'PTA-Lo'!G243,""),IF(ISBLANK('PTA-Mid'!G243)=FALSE,'PTA-Mid'!G243,"")))</f>
        <v/>
      </c>
      <c r="H243" s="1085" t="str">
        <f>IF(CostScenario="Higher cost",IF(ISBLANK('PTA-Hi'!H243)=FALSE,'PTA-Hi'!H243,""),IF(CostScenario="Lower cost",IF(ISBLANK('PTA-Lo'!H243)=FALSE,'PTA-Lo'!H243,""),IF(ISBLANK('PTA-Mid'!H243)=FALSE,'PTA-Mid'!H243,"")))</f>
        <v/>
      </c>
      <c r="I243" s="1088" t="str">
        <f>IF(CostScenario="Higher cost",IF(ISBLANK('PTA-Hi'!I243)=FALSE,'PTA-Hi'!I243,""),IF(CostScenario="Lower cost",IF(ISBLANK('PTA-Lo'!I243)=FALSE,'PTA-Lo'!I243,""),IF(ISBLANK('PTA-Mid'!I243)=FALSE,'PTA-Mid'!I243,"")))</f>
        <v/>
      </c>
      <c r="J243" s="1085" t="str">
        <f>IF(CostScenario="Higher cost",IF(ISBLANK('PTA-Hi'!J243)=FALSE,'PTA-Hi'!J243,""),IF(CostScenario="Lower cost",IF(ISBLANK('PTA-Lo'!J243)=FALSE,'PTA-Lo'!J243,""),IF(ISBLANK('PTA-Mid'!J243)=FALSE,'PTA-Mid'!J243,"")))</f>
        <v/>
      </c>
      <c r="K243" s="1085" t="str">
        <f>IF(CostScenario="Higher cost",IF(ISBLANK('PTA-Hi'!K243)=FALSE,'PTA-Hi'!K243,""),IF(CostScenario="Lower cost",IF(ISBLANK('PTA-Lo'!K243)=FALSE,'PTA-Lo'!K243,""),IF(ISBLANK('PTA-Mid'!K243)=FALSE,'PTA-Mid'!K243,"")))</f>
        <v/>
      </c>
      <c r="L243" s="1085" t="str">
        <f>IF(CostScenario="Higher cost",IF(ISBLANK('PTA-Hi'!L243)=FALSE,'PTA-Hi'!L243,""),IF(CostScenario="Lower cost",IF(ISBLANK('PTA-Lo'!L243)=FALSE,'PTA-Lo'!L243,""),IF(ISBLANK('PTA-Mid'!L243)=FALSE,'PTA-Mid'!L243,"")))</f>
        <v/>
      </c>
      <c r="M243" s="1085" t="str">
        <f>IF(CostScenario="Higher cost",IF(ISBLANK('PTA-Hi'!M243)=FALSE,'PTA-Hi'!M243,""),IF(CostScenario="Lower cost",IF(ISBLANK('PTA-Lo'!M243)=FALSE,'PTA-Lo'!M243,""),IF(ISBLANK('PTA-Mid'!M243)=FALSE,'PTA-Mid'!M243,"")))</f>
        <v/>
      </c>
      <c r="N243" s="1085" t="str">
        <f>IF(CostScenario="Higher cost",IF(ISBLANK('PTA-Hi'!N243)=FALSE,'PTA-Hi'!N243,""),IF(CostScenario="Lower cost",IF(ISBLANK('PTA-Lo'!N243)=FALSE,'PTA-Lo'!N243,""),IF(ISBLANK('PTA-Mid'!N243)=FALSE,'PTA-Mid'!N243,"")))</f>
        <v/>
      </c>
      <c r="O243" s="1085" t="str">
        <f>IF(CostScenario="Higher cost",IF(ISBLANK('PTA-Hi'!O243)=FALSE,'PTA-Hi'!O243,""),IF(CostScenario="Lower cost",IF(ISBLANK('PTA-Lo'!O243)=FALSE,'PTA-Lo'!O243,""),IF(ISBLANK('PTA-Mid'!O243)=FALSE,'PTA-Mid'!O243,"")))</f>
        <v/>
      </c>
      <c r="P243" s="1085" t="str">
        <f>IF(CostScenario="Higher cost",IF(ISBLANK('PTA-Hi'!P243)=FALSE,'PTA-Hi'!P243,""),IF(CostScenario="Lower cost",IF(ISBLANK('PTA-Lo'!P243)=FALSE,'PTA-Lo'!P243,""),IF(ISBLANK('PTA-Mid'!P243)=FALSE,'PTA-Mid'!P243,"")))</f>
        <v/>
      </c>
      <c r="Q243" s="1085" t="str">
        <f>IF(CostScenario="Higher cost",IF(ISBLANK('PTA-Hi'!Q243)=FALSE,'PTA-Hi'!Q243,""),IF(CostScenario="Lower cost",IF(ISBLANK('PTA-Lo'!Q243)=FALSE,'PTA-Lo'!Q243,""),IF(ISBLANK('PTA-Mid'!Q243)=FALSE,'PTA-Mid'!Q243,"")))</f>
        <v/>
      </c>
      <c r="R243" s="1085" t="str">
        <f>IF(CostScenario="Higher cost",IF(ISBLANK('PTA-Hi'!R243)=FALSE,'PTA-Hi'!R243,""),IF(CostScenario="Lower cost",IF(ISBLANK('PTA-Lo'!R243)=FALSE,'PTA-Lo'!R243,""),IF(ISBLANK('PTA-Mid'!R243)=FALSE,'PTA-Mid'!R243,"")))</f>
        <v/>
      </c>
      <c r="S243" s="1085" t="str">
        <f>IF(CostScenario="Higher cost",IF(ISBLANK('PTA-Hi'!S243)=FALSE,'PTA-Hi'!S243,""),IF(CostScenario="Lower cost",IF(ISBLANK('PTA-Lo'!S243)=FALSE,'PTA-Lo'!S243,""),IF(ISBLANK('PTA-Mid'!S243)=FALSE,'PTA-Mid'!S243,"")))</f>
        <v/>
      </c>
      <c r="T243" s="1085" t="str">
        <f>IF(CostScenario="Higher cost",IF(ISBLANK('PTA-Hi'!T243)=FALSE,'PTA-Hi'!T243,""),IF(CostScenario="Lower cost",IF(ISBLANK('PTA-Lo'!T243)=FALSE,'PTA-Lo'!T243,""),IF(ISBLANK('PTA-Mid'!T243)=FALSE,'PTA-Mid'!T243,"")))</f>
        <v/>
      </c>
      <c r="U243" s="1087" t="str">
        <f>IF(CostScenario="Higher cost",IF(ISBLANK('PTA-Hi'!U243)=FALSE,'PTA-Hi'!U243,""),IF(CostScenario="Lower cost",IF(ISBLANK('PTA-Lo'!U243)=FALSE,'PTA-Lo'!U243,""),IF(ISBLANK('PTA-Mid'!U243)=FALSE,'PTA-Mid'!U243,"")))</f>
        <v/>
      </c>
      <c r="V243" s="1087" t="str">
        <f>IF(CostScenario="Higher cost",IF(ISBLANK('PTA-Hi'!V243)=FALSE,'PTA-Hi'!V243,""),IF(CostScenario="Lower cost",IF(ISBLANK('PTA-Lo'!V243)=FALSE,'PTA-Lo'!V243,""),IF(ISBLANK('PTA-Mid'!V243)=FALSE,'PTA-Mid'!V243,"")))</f>
        <v/>
      </c>
      <c r="W243" s="2981"/>
      <c r="X243" s="867"/>
    </row>
    <row r="244" spans="1:53" s="7" customFormat="1">
      <c r="A244" s="28"/>
      <c r="C244" s="70"/>
      <c r="D244" s="28"/>
      <c r="E244" s="28"/>
      <c r="F244" s="28"/>
      <c r="G244" s="28"/>
      <c r="H244" s="28"/>
      <c r="N244" s="2331"/>
      <c r="O244" s="2331"/>
      <c r="P244" s="2331"/>
      <c r="Q244" s="2331"/>
      <c r="S244" s="2331"/>
      <c r="T244" s="2331"/>
      <c r="W244" s="2332"/>
      <c r="X244" s="9"/>
    </row>
    <row r="245" spans="1:53" s="7" customFormat="1">
      <c r="A245" s="28" t="s">
        <v>905</v>
      </c>
      <c r="C245" s="70" t="s">
        <v>444</v>
      </c>
      <c r="D245" s="2750">
        <f>IF(CostScenario="Higher cost",IF(ISBLANK('PTA-Hi'!D245)=FALSE,'PTA-Hi'!D245,""),IF(CostScenario="Lower cost",IF(ISBLANK('PTA-Lo'!D245)=FALSE,'PTA-Lo'!D245,""),IF(ISBLANK('PTA-Mid'!D245)=FALSE,'PTA-Mid'!D245,"")))</f>
        <v>5.0000000000000001E-3</v>
      </c>
      <c r="E245" s="2750">
        <f>IF(CostScenario="Higher cost",IF(ISBLANK('PTA-Hi'!E245)=FALSE,'PTA-Hi'!E245,""),IF(CostScenario="Lower cost",IF(ISBLANK('PTA-Lo'!E245)=FALSE,'PTA-Lo'!E245,""),IF(ISBLANK('PTA-Mid'!E245)=FALSE,'PTA-Mid'!E245,"")))</f>
        <v>5.0000000000000001E-3</v>
      </c>
      <c r="F245" s="2750">
        <f>IF(CostScenario="Higher cost",IF(ISBLANK('PTA-Hi'!F245)=FALSE,'PTA-Hi'!F245,""),IF(CostScenario="Lower cost",IF(ISBLANK('PTA-Lo'!F245)=FALSE,'PTA-Lo'!F245,""),IF(ISBLANK('PTA-Mid'!F245)=FALSE,'PTA-Mid'!F245,"")))</f>
        <v>5.0000000000000001E-3</v>
      </c>
      <c r="G245" s="2750">
        <f>IF(CostScenario="Higher cost",IF(ISBLANK('PTA-Hi'!G245)=FALSE,'PTA-Hi'!G245,""),IF(CostScenario="Lower cost",IF(ISBLANK('PTA-Lo'!G245)=FALSE,'PTA-Lo'!G245,""),IF(ISBLANK('PTA-Mid'!G245)=FALSE,'PTA-Mid'!G245,"")))</f>
        <v>5.0000000000000001E-3</v>
      </c>
      <c r="H245" s="2750">
        <f>IF(CostScenario="Higher cost",IF(ISBLANK('PTA-Hi'!H245)=FALSE,'PTA-Hi'!H245,""),IF(CostScenario="Lower cost",IF(ISBLANK('PTA-Lo'!H245)=FALSE,'PTA-Lo'!H245,""),IF(ISBLANK('PTA-Mid'!H245)=FALSE,'PTA-Mid'!H245,"")))</f>
        <v>5.0000000000000001E-3</v>
      </c>
      <c r="I245" s="2750">
        <f>IF(CostScenario="Higher cost",IF(ISBLANK('PTA-Hi'!I245)=FALSE,'PTA-Hi'!I245,""),IF(CostScenario="Lower cost",IF(ISBLANK('PTA-Lo'!I245)=FALSE,'PTA-Lo'!I245,""),IF(ISBLANK('PTA-Mid'!I245)=FALSE,'PTA-Mid'!I245,"")))</f>
        <v>5.0000000000000001E-3</v>
      </c>
      <c r="J245" s="2750">
        <f>IF(CostScenario="Higher cost",IF(ISBLANK('PTA-Hi'!J245)=FALSE,'PTA-Hi'!J245,""),IF(CostScenario="Lower cost",IF(ISBLANK('PTA-Lo'!J245)=FALSE,'PTA-Lo'!J245,""),IF(ISBLANK('PTA-Mid'!J245)=FALSE,'PTA-Mid'!J245,"")))</f>
        <v>5.0000000000000001E-3</v>
      </c>
      <c r="K245" s="2750">
        <f>IF(CostScenario="Higher cost",IF(ISBLANK('PTA-Hi'!K245)=FALSE,'PTA-Hi'!K245,""),IF(CostScenario="Lower cost",IF(ISBLANK('PTA-Lo'!K245)=FALSE,'PTA-Lo'!K245,""),IF(ISBLANK('PTA-Mid'!K245)=FALSE,'PTA-Mid'!K245,"")))</f>
        <v>5.0000000000000001E-3</v>
      </c>
      <c r="L245" s="2750">
        <f>IF(CostScenario="Higher cost",IF(ISBLANK('PTA-Hi'!L245)=FALSE,'PTA-Hi'!L245,""),IF(CostScenario="Lower cost",IF(ISBLANK('PTA-Lo'!L245)=FALSE,'PTA-Lo'!L245,""),IF(ISBLANK('PTA-Mid'!L245)=FALSE,'PTA-Mid'!L245,"")))</f>
        <v>5.0000000000000001E-3</v>
      </c>
      <c r="M245" s="2750">
        <f>IF(CostScenario="Higher cost",IF(ISBLANK('PTA-Hi'!M245)=FALSE,'PTA-Hi'!M245,""),IF(CostScenario="Lower cost",IF(ISBLANK('PTA-Lo'!M245)=FALSE,'PTA-Lo'!M245,""),IF(ISBLANK('PTA-Mid'!M245)=FALSE,'PTA-Mid'!M245,"")))</f>
        <v>5.0000000000000001E-3</v>
      </c>
      <c r="N245" s="2750">
        <f>IF(CostScenario="Higher cost",IF(ISBLANK('PTA-Hi'!N245)=FALSE,'PTA-Hi'!N245,""),IF(CostScenario="Lower cost",IF(ISBLANK('PTA-Lo'!N245)=FALSE,'PTA-Lo'!N245,""),IF(ISBLANK('PTA-Mid'!N245)=FALSE,'PTA-Mid'!N245,"")))</f>
        <v>5.0000000000000001E-3</v>
      </c>
      <c r="O245" s="2750">
        <f>IF(CostScenario="Higher cost",IF(ISBLANK('PTA-Hi'!O245)=FALSE,'PTA-Hi'!O245,""),IF(CostScenario="Lower cost",IF(ISBLANK('PTA-Lo'!O245)=FALSE,'PTA-Lo'!O245,""),IF(ISBLANK('PTA-Mid'!O245)=FALSE,'PTA-Mid'!O245,"")))</f>
        <v>5.0000000000000001E-3</v>
      </c>
      <c r="P245" s="2750">
        <f>IF(CostScenario="Higher cost",IF(ISBLANK('PTA-Hi'!P245)=FALSE,'PTA-Hi'!P245,""),IF(CostScenario="Lower cost",IF(ISBLANK('PTA-Lo'!P245)=FALSE,'PTA-Lo'!P245,""),IF(ISBLANK('PTA-Mid'!P245)=FALSE,'PTA-Mid'!P245,"")))</f>
        <v>5.0000000000000001E-3</v>
      </c>
      <c r="Q245" s="2750">
        <f>IF(CostScenario="Higher cost",IF(ISBLANK('PTA-Hi'!Q245)=FALSE,'PTA-Hi'!Q245,""),IF(CostScenario="Lower cost",IF(ISBLANK('PTA-Lo'!Q245)=FALSE,'PTA-Lo'!Q245,""),IF(ISBLANK('PTA-Mid'!Q245)=FALSE,'PTA-Mid'!Q245,"")))</f>
        <v>0.01</v>
      </c>
      <c r="R245" s="2750">
        <f>IF(CostScenario="Higher cost",IF(ISBLANK('PTA-Hi'!R245)=FALSE,'PTA-Hi'!R245,""),IF(CostScenario="Lower cost",IF(ISBLANK('PTA-Lo'!R245)=FALSE,'PTA-Lo'!R245,""),IF(ISBLANK('PTA-Mid'!R245)=FALSE,'PTA-Mid'!R245,"")))</f>
        <v>0.01</v>
      </c>
      <c r="S245" s="2750">
        <f>IF(CostScenario="Higher cost",IF(ISBLANK('PTA-Hi'!S245)=FALSE,'PTA-Hi'!S245,""),IF(CostScenario="Lower cost",IF(ISBLANK('PTA-Lo'!S245)=FALSE,'PTA-Lo'!S245,""),IF(ISBLANK('PTA-Mid'!S245)=FALSE,'PTA-Mid'!S245,"")))</f>
        <v>0.01</v>
      </c>
      <c r="T245" s="2750">
        <f>IF(CostScenario="Higher cost",IF(ISBLANK('PTA-Hi'!T245)=FALSE,'PTA-Hi'!T245,""),IF(CostScenario="Lower cost",IF(ISBLANK('PTA-Lo'!T245)=FALSE,'PTA-Lo'!T245,""),IF(ISBLANK('PTA-Mid'!T245)=FALSE,'PTA-Mid'!T245,"")))</f>
        <v>0.01</v>
      </c>
      <c r="U245" s="2750">
        <f>IF(CostScenario="Higher cost",IF(ISBLANK('PTA-Hi'!U245)=FALSE,'PTA-Hi'!U245,""),IF(CostScenario="Lower cost",IF(ISBLANK('PTA-Lo'!U245)=FALSE,'PTA-Lo'!U245,""),IF(ISBLANK('PTA-Mid'!U245)=FALSE,'PTA-Mid'!U245,"")))</f>
        <v>5.0000000000000001E-3</v>
      </c>
      <c r="V245" s="2750">
        <f>IF(CostScenario="Higher cost",IF(ISBLANK('PTA-Hi'!V245)=FALSE,'PTA-Hi'!V245,""),IF(CostScenario="Lower cost",IF(ISBLANK('PTA-Lo'!V245)=FALSE,'PTA-Lo'!V245,""),IF(ISBLANK('PTA-Mid'!V245)=FALSE,'PTA-Mid'!V245,"")))</f>
        <v>5.0000000000000001E-3</v>
      </c>
      <c r="W245" s="2750"/>
      <c r="X245" s="96"/>
      <c r="Z245" s="2751"/>
      <c r="AA245" s="2751"/>
      <c r="AB245" s="2751"/>
      <c r="AC245" s="2751"/>
      <c r="AD245" s="2751"/>
      <c r="AE245" s="2751"/>
      <c r="AF245" s="2751"/>
      <c r="AG245" s="2751"/>
      <c r="AH245" s="2751"/>
      <c r="AI245" s="2751"/>
      <c r="AJ245" s="2751"/>
      <c r="AK245" s="2751"/>
      <c r="AL245" s="2751"/>
    </row>
    <row r="246" spans="1:53" s="7" customFormat="1">
      <c r="A246" s="28"/>
      <c r="C246" s="70"/>
      <c r="D246" s="28"/>
      <c r="E246" s="28"/>
      <c r="F246" s="28"/>
      <c r="G246" s="28"/>
      <c r="H246" s="28"/>
      <c r="N246" s="2331"/>
      <c r="O246" s="2331"/>
      <c r="P246" s="2331"/>
      <c r="Q246" s="2331"/>
      <c r="S246" s="2331"/>
      <c r="T246" s="2331"/>
      <c r="W246" s="2331"/>
      <c r="X246" s="9"/>
    </row>
    <row r="247" spans="1:53" s="7" customFormat="1">
      <c r="A247" s="28"/>
      <c r="C247" s="70"/>
      <c r="D247" s="28"/>
      <c r="E247" s="28"/>
      <c r="F247" s="28"/>
      <c r="G247" s="28"/>
      <c r="H247" s="28"/>
      <c r="N247" s="2331"/>
      <c r="O247" s="2331"/>
      <c r="P247" s="2331"/>
      <c r="Q247" s="2331"/>
      <c r="S247" s="2331"/>
      <c r="T247" s="2331"/>
      <c r="W247" s="2331"/>
      <c r="X247" s="9"/>
    </row>
    <row r="248" spans="1:53" s="7" customFormat="1">
      <c r="A248" s="28"/>
      <c r="C248" s="70"/>
      <c r="D248" s="28"/>
      <c r="E248" s="28"/>
      <c r="F248" s="28"/>
      <c r="G248" s="28"/>
      <c r="H248" s="28"/>
      <c r="N248" s="2331"/>
      <c r="O248" s="2331"/>
      <c r="P248" s="2331"/>
      <c r="Q248" s="2331"/>
      <c r="S248" s="2331"/>
      <c r="T248" s="2331"/>
      <c r="W248" s="2331"/>
      <c r="X248" s="9"/>
    </row>
    <row r="249" spans="1:53" s="7" customFormat="1">
      <c r="A249" s="28"/>
      <c r="C249" s="70"/>
      <c r="D249" s="28"/>
      <c r="E249" s="28"/>
      <c r="F249" s="28"/>
      <c r="G249" s="28"/>
      <c r="H249" s="28"/>
      <c r="N249" s="2331"/>
      <c r="O249" s="2331"/>
      <c r="P249" s="2331"/>
      <c r="Q249" s="2331"/>
      <c r="S249" s="2331"/>
      <c r="T249" s="2331"/>
      <c r="W249" s="2331"/>
      <c r="X249" s="9"/>
    </row>
    <row r="250" spans="1:53" s="1495" customFormat="1">
      <c r="B250" s="1495" t="s">
        <v>1051</v>
      </c>
      <c r="C250" s="1953" t="s">
        <v>482</v>
      </c>
    </row>
    <row r="251" spans="1:53" s="1954" customFormat="1">
      <c r="A251" s="1955"/>
      <c r="B251" s="1955" t="s">
        <v>755</v>
      </c>
      <c r="C251" s="1956" t="s">
        <v>334</v>
      </c>
      <c r="J251" s="1954">
        <v>0</v>
      </c>
      <c r="K251" s="1954">
        <v>0</v>
      </c>
      <c r="X251" s="1495"/>
    </row>
    <row r="252" spans="1:53" s="1957" customFormat="1">
      <c r="A252" s="1958"/>
      <c r="B252" s="1958" t="s">
        <v>683</v>
      </c>
      <c r="C252" s="1959" t="s">
        <v>1270</v>
      </c>
      <c r="D252" s="1954"/>
      <c r="E252" s="1954"/>
      <c r="F252" s="1954"/>
      <c r="G252" s="1954"/>
      <c r="H252" s="1954">
        <v>1</v>
      </c>
      <c r="I252" s="1954"/>
      <c r="J252" s="1954">
        <v>1</v>
      </c>
      <c r="K252" s="1954">
        <v>1</v>
      </c>
      <c r="L252" s="1954"/>
      <c r="M252" s="1954"/>
      <c r="N252" s="1954"/>
      <c r="O252" s="1954"/>
      <c r="P252" s="1954"/>
      <c r="Q252" s="1954"/>
      <c r="R252" s="1954"/>
      <c r="S252" s="1954"/>
      <c r="T252" s="1954"/>
      <c r="X252" s="1495"/>
      <c r="Z252" s="1954"/>
      <c r="AA252" s="1954"/>
      <c r="AB252" s="1954"/>
      <c r="AC252" s="1954"/>
      <c r="AD252" s="1954"/>
      <c r="AE252" s="1954"/>
      <c r="AF252" s="1954"/>
      <c r="AG252" s="1954"/>
      <c r="AH252" s="1954"/>
      <c r="AI252" s="1954"/>
      <c r="AJ252" s="1954"/>
      <c r="AK252" s="1954"/>
      <c r="AL252" s="1954"/>
      <c r="AM252" s="1954"/>
      <c r="AN252" s="1954"/>
      <c r="AO252" s="1954"/>
      <c r="AP252" s="1954"/>
      <c r="AQ252" s="1954"/>
      <c r="AR252" s="1954"/>
      <c r="AS252" s="1954"/>
      <c r="AT252" s="1954"/>
      <c r="AU252" s="1954"/>
      <c r="AV252" s="1954"/>
      <c r="AW252" s="1954"/>
      <c r="AX252" s="1954"/>
      <c r="AY252" s="1954"/>
      <c r="AZ252" s="1954"/>
      <c r="BA252" s="1954"/>
    </row>
    <row r="253" spans="1:53" s="1954" customFormat="1">
      <c r="B253" s="1954" t="s">
        <v>699</v>
      </c>
      <c r="C253" s="1960" t="s">
        <v>1277</v>
      </c>
      <c r="H253" s="1954">
        <v>222591.6</v>
      </c>
      <c r="J253" s="1954">
        <v>260000</v>
      </c>
      <c r="K253" s="1954">
        <v>260000</v>
      </c>
      <c r="X253" s="1495"/>
    </row>
    <row r="254" spans="1:53" s="1954" customFormat="1">
      <c r="B254" s="1954" t="s">
        <v>719</v>
      </c>
      <c r="C254" s="1956" t="s">
        <v>121</v>
      </c>
      <c r="H254" s="1954">
        <v>5.0000000000000001E-3</v>
      </c>
      <c r="J254" s="1954">
        <v>5.0000000000000001E-3</v>
      </c>
      <c r="K254" s="1954">
        <v>5.0000000000000001E-3</v>
      </c>
      <c r="X254" s="1495"/>
    </row>
    <row r="255" spans="1:53" s="1954" customFormat="1">
      <c r="B255" s="1961" t="s">
        <v>757</v>
      </c>
      <c r="C255" s="1956" t="s">
        <v>1256</v>
      </c>
      <c r="X255" s="1495"/>
    </row>
    <row r="256" spans="1:53" s="1954" customFormat="1">
      <c r="B256" s="1962" t="s">
        <v>758</v>
      </c>
      <c r="C256" s="1956" t="s">
        <v>1257</v>
      </c>
      <c r="X256" s="1495"/>
    </row>
    <row r="257" spans="2:24" s="1954" customFormat="1">
      <c r="B257" s="1962"/>
      <c r="C257" s="1956" t="s">
        <v>463</v>
      </c>
      <c r="X257" s="1495"/>
    </row>
    <row r="258" spans="2:24" s="1954" customFormat="1">
      <c r="B258" s="1961" t="s">
        <v>759</v>
      </c>
      <c r="C258" s="1956" t="s">
        <v>678</v>
      </c>
      <c r="X258" s="1495"/>
    </row>
    <row r="259" spans="2:24" s="1954" customFormat="1">
      <c r="B259" s="1962" t="s">
        <v>760</v>
      </c>
      <c r="C259" s="1956" t="s">
        <v>679</v>
      </c>
      <c r="X259" s="1495"/>
    </row>
    <row r="260" spans="2:24" s="1954" customFormat="1">
      <c r="B260" s="1962"/>
      <c r="C260" s="1956" t="s">
        <v>463</v>
      </c>
      <c r="X260" s="1495"/>
    </row>
    <row r="261" spans="2:24" s="1954" customFormat="1">
      <c r="B261" s="1954" t="s">
        <v>761</v>
      </c>
      <c r="C261" s="1956" t="s">
        <v>469</v>
      </c>
      <c r="X261" s="1495"/>
    </row>
    <row r="262" spans="2:24" s="1954" customFormat="1">
      <c r="B262" s="1954" t="s">
        <v>762</v>
      </c>
      <c r="C262" s="1956" t="s">
        <v>470</v>
      </c>
      <c r="X262" s="1495"/>
    </row>
    <row r="263" spans="2:24" s="1954" customFormat="1">
      <c r="B263" s="1963" t="s">
        <v>764</v>
      </c>
      <c r="C263" s="1956" t="s">
        <v>472</v>
      </c>
      <c r="X263" s="1495"/>
    </row>
    <row r="264" spans="2:24" s="1954" customFormat="1">
      <c r="B264" s="1963" t="s">
        <v>765</v>
      </c>
      <c r="C264" s="1956" t="s">
        <v>473</v>
      </c>
      <c r="X264" s="1495"/>
    </row>
    <row r="265" spans="2:24" s="1954" customFormat="1">
      <c r="B265" s="1961" t="s">
        <v>766</v>
      </c>
      <c r="C265" s="1956" t="s">
        <v>467</v>
      </c>
      <c r="X265" s="1495"/>
    </row>
    <row r="266" spans="2:24" s="1954" customFormat="1">
      <c r="B266" s="1964" t="s">
        <v>767</v>
      </c>
      <c r="C266" s="1956" t="s">
        <v>466</v>
      </c>
      <c r="X266" s="1495"/>
    </row>
    <row r="267" spans="2:24" s="1954" customFormat="1">
      <c r="B267" s="1965" t="s">
        <v>768</v>
      </c>
      <c r="C267" s="1956" t="s">
        <v>463</v>
      </c>
      <c r="X267" s="1495"/>
    </row>
    <row r="268" spans="2:24" s="1954" customFormat="1">
      <c r="B268" s="1964" t="s">
        <v>769</v>
      </c>
      <c r="C268" s="1956" t="s">
        <v>464</v>
      </c>
      <c r="H268" s="1954">
        <v>48</v>
      </c>
      <c r="X268" s="1495"/>
    </row>
    <row r="269" spans="2:24" s="1954" customFormat="1">
      <c r="B269" s="1962" t="s">
        <v>722</v>
      </c>
      <c r="C269" s="1956" t="s">
        <v>1041</v>
      </c>
      <c r="J269" s="1954">
        <v>25000</v>
      </c>
      <c r="K269" s="1954">
        <v>25000</v>
      </c>
      <c r="X269" s="1495"/>
    </row>
    <row r="270" spans="2:24" s="1954" customFormat="1">
      <c r="B270" s="1966" t="s">
        <v>779</v>
      </c>
      <c r="C270" s="1960" t="s">
        <v>1044</v>
      </c>
      <c r="H270" s="1954">
        <v>0</v>
      </c>
      <c r="J270" s="1954">
        <v>0</v>
      </c>
      <c r="K270" s="1954">
        <v>0</v>
      </c>
      <c r="X270" s="1495"/>
    </row>
    <row r="271" spans="2:24" s="1954" customFormat="1">
      <c r="B271" s="1955" t="s">
        <v>784</v>
      </c>
      <c r="C271" s="1960" t="s">
        <v>1045</v>
      </c>
      <c r="H271" s="1954">
        <v>0</v>
      </c>
      <c r="J271" s="1954">
        <v>0</v>
      </c>
      <c r="K271" s="1954">
        <v>0</v>
      </c>
      <c r="X271" s="1495"/>
    </row>
    <row r="272" spans="2:24" s="1954" customFormat="1">
      <c r="C272" s="1960"/>
      <c r="X272" s="1495"/>
    </row>
    <row r="273" spans="2:24" s="1954" customFormat="1">
      <c r="C273" s="1967" t="s">
        <v>1225</v>
      </c>
      <c r="X273" s="1495"/>
    </row>
    <row r="274" spans="2:24" s="1954" customFormat="1">
      <c r="C274" s="1960" t="s">
        <v>1250</v>
      </c>
      <c r="X274" s="1495"/>
    </row>
    <row r="275" spans="2:24" s="1954" customFormat="1">
      <c r="C275" s="1960" t="s">
        <v>1251</v>
      </c>
      <c r="X275" s="1495"/>
    </row>
    <row r="276" spans="2:24" s="1954" customFormat="1">
      <c r="C276" s="1960" t="s">
        <v>1252</v>
      </c>
      <c r="X276" s="1495"/>
    </row>
    <row r="277" spans="2:24" s="1954" customFormat="1">
      <c r="C277" s="1960" t="s">
        <v>1253</v>
      </c>
      <c r="X277" s="1495"/>
    </row>
    <row r="278" spans="2:24" s="1954" customFormat="1">
      <c r="C278" s="1960" t="s">
        <v>1254</v>
      </c>
      <c r="X278" s="1495"/>
    </row>
    <row r="279" spans="2:24" s="1954" customFormat="1">
      <c r="C279" s="1960" t="s">
        <v>1255</v>
      </c>
      <c r="X279" s="1495"/>
    </row>
    <row r="280" spans="2:24" s="1954" customFormat="1">
      <c r="C280" s="1960" t="s">
        <v>458</v>
      </c>
      <c r="X280" s="1495"/>
    </row>
    <row r="281" spans="2:24" s="1954" customFormat="1">
      <c r="C281" s="1960" t="s">
        <v>1258</v>
      </c>
      <c r="X281" s="1495"/>
    </row>
    <row r="282" spans="2:24" s="1954" customFormat="1">
      <c r="C282" s="1960" t="s">
        <v>951</v>
      </c>
      <c r="X282" s="1495"/>
    </row>
    <row r="283" spans="2:24" s="1954" customFormat="1">
      <c r="C283" s="1960" t="s">
        <v>1259</v>
      </c>
      <c r="X283" s="1495"/>
    </row>
    <row r="284" spans="2:24" s="1968" customFormat="1">
      <c r="C284" s="1960"/>
      <c r="U284" s="1954"/>
      <c r="V284" s="1954"/>
      <c r="W284" s="1954"/>
      <c r="X284" s="1494"/>
    </row>
    <row r="285" spans="2:24" s="1954" customFormat="1">
      <c r="C285" s="1969" t="s">
        <v>1158</v>
      </c>
      <c r="X285" s="1495"/>
    </row>
    <row r="286" spans="2:24" s="1954" customFormat="1">
      <c r="B286" s="1954" t="s">
        <v>1159</v>
      </c>
      <c r="C286" s="1956" t="s">
        <v>1341</v>
      </c>
      <c r="U286" s="1968"/>
      <c r="V286" s="1968"/>
      <c r="W286" s="1968"/>
      <c r="X286" s="1495"/>
    </row>
    <row r="287" spans="2:24" s="1954" customFormat="1">
      <c r="B287" s="1954" t="s">
        <v>1160</v>
      </c>
      <c r="C287" s="1956" t="s">
        <v>1342</v>
      </c>
      <c r="U287" s="1968"/>
      <c r="V287" s="1968"/>
      <c r="W287" s="1968"/>
      <c r="X287" s="1495"/>
    </row>
    <row r="288" spans="2:24" s="1954" customFormat="1">
      <c r="B288" s="1954" t="s">
        <v>1161</v>
      </c>
      <c r="C288" s="1956" t="s">
        <v>1343</v>
      </c>
      <c r="U288" s="1968"/>
      <c r="V288" s="1968"/>
      <c r="W288" s="1968"/>
      <c r="X288" s="1495"/>
    </row>
    <row r="289" spans="2:24" s="1954" customFormat="1">
      <c r="B289" s="1954" t="s">
        <v>1162</v>
      </c>
      <c r="C289" s="1956" t="s">
        <v>1344</v>
      </c>
      <c r="U289" s="1968"/>
      <c r="V289" s="1968"/>
      <c r="W289" s="1968"/>
      <c r="X289" s="1495"/>
    </row>
    <row r="290" spans="2:24" s="1954" customFormat="1">
      <c r="B290" s="1954" t="s">
        <v>1163</v>
      </c>
      <c r="C290" s="1956" t="s">
        <v>294</v>
      </c>
      <c r="U290" s="1968"/>
      <c r="V290" s="1968"/>
      <c r="W290" s="1968"/>
      <c r="X290" s="1495"/>
    </row>
    <row r="291" spans="2:24" s="1954" customFormat="1">
      <c r="B291" s="1954" t="s">
        <v>1164</v>
      </c>
      <c r="C291" s="1956" t="s">
        <v>295</v>
      </c>
      <c r="U291" s="1968"/>
      <c r="V291" s="1968"/>
      <c r="W291" s="1968"/>
      <c r="X291" s="1495"/>
    </row>
    <row r="292" spans="2:24" s="1954" customFormat="1">
      <c r="B292" s="1954" t="s">
        <v>1165</v>
      </c>
      <c r="C292" s="1956" t="s">
        <v>296</v>
      </c>
      <c r="U292" s="1968"/>
      <c r="V292" s="1968"/>
      <c r="W292" s="1968"/>
      <c r="X292" s="1495"/>
    </row>
    <row r="293" spans="2:24" s="1954" customFormat="1">
      <c r="B293" s="1954" t="s">
        <v>1166</v>
      </c>
      <c r="C293" s="1956" t="s">
        <v>387</v>
      </c>
      <c r="U293" s="1968"/>
      <c r="V293" s="1968"/>
      <c r="W293" s="1968"/>
      <c r="X293" s="1495"/>
    </row>
    <row r="294" spans="2:24" s="1954" customFormat="1">
      <c r="B294" s="1954" t="s">
        <v>1167</v>
      </c>
      <c r="C294" s="1956" t="s">
        <v>375</v>
      </c>
      <c r="U294" s="1968"/>
      <c r="V294" s="1968"/>
      <c r="W294" s="1968"/>
      <c r="X294" s="1495"/>
    </row>
    <row r="295" spans="2:24" s="1954" customFormat="1">
      <c r="C295" s="1969" t="s">
        <v>1158</v>
      </c>
      <c r="U295" s="1968"/>
      <c r="V295" s="1968"/>
      <c r="W295" s="1968"/>
      <c r="X295" s="1495"/>
    </row>
    <row r="296" spans="2:24" s="1954" customFormat="1">
      <c r="B296" s="1954" t="s">
        <v>1168</v>
      </c>
      <c r="C296" s="1956" t="s">
        <v>1341</v>
      </c>
      <c r="U296" s="1968"/>
      <c r="V296" s="1968"/>
      <c r="W296" s="1968"/>
      <c r="X296" s="1495"/>
    </row>
    <row r="297" spans="2:24" s="1954" customFormat="1">
      <c r="B297" s="1954" t="s">
        <v>1169</v>
      </c>
      <c r="C297" s="1956" t="s">
        <v>1342</v>
      </c>
      <c r="U297" s="1968"/>
      <c r="V297" s="1968"/>
      <c r="W297" s="1968"/>
      <c r="X297" s="1495"/>
    </row>
    <row r="298" spans="2:24" s="1954" customFormat="1">
      <c r="B298" s="1954" t="s">
        <v>1170</v>
      </c>
      <c r="C298" s="1956" t="s">
        <v>1343</v>
      </c>
      <c r="U298" s="1968"/>
      <c r="V298" s="1968"/>
      <c r="W298" s="1968"/>
      <c r="X298" s="1495"/>
    </row>
    <row r="299" spans="2:24" s="1954" customFormat="1">
      <c r="B299" s="1954" t="s">
        <v>1171</v>
      </c>
      <c r="C299" s="1956" t="s">
        <v>1344</v>
      </c>
      <c r="U299" s="1968"/>
      <c r="V299" s="1968"/>
      <c r="W299" s="1968"/>
      <c r="X299" s="1495"/>
    </row>
    <row r="300" spans="2:24" s="1954" customFormat="1">
      <c r="B300" s="1954" t="s">
        <v>1172</v>
      </c>
      <c r="C300" s="1956" t="s">
        <v>294</v>
      </c>
      <c r="U300" s="1968"/>
      <c r="V300" s="1968"/>
      <c r="W300" s="1968"/>
      <c r="X300" s="1495"/>
    </row>
    <row r="301" spans="2:24" s="1954" customFormat="1">
      <c r="B301" s="1954" t="s">
        <v>1173</v>
      </c>
      <c r="C301" s="1956" t="s">
        <v>295</v>
      </c>
      <c r="U301" s="1968"/>
      <c r="V301" s="1968"/>
      <c r="W301" s="1968"/>
      <c r="X301" s="1495"/>
    </row>
    <row r="302" spans="2:24" s="1954" customFormat="1">
      <c r="B302" s="1954" t="s">
        <v>1174</v>
      </c>
      <c r="C302" s="1956" t="s">
        <v>296</v>
      </c>
      <c r="U302" s="1968"/>
      <c r="V302" s="1968"/>
      <c r="W302" s="1968"/>
      <c r="X302" s="1495"/>
    </row>
    <row r="303" spans="2:24" s="1954" customFormat="1">
      <c r="B303" s="1954" t="s">
        <v>1175</v>
      </c>
      <c r="C303" s="1956" t="s">
        <v>387</v>
      </c>
      <c r="U303" s="1968"/>
      <c r="V303" s="1968"/>
      <c r="W303" s="1968"/>
      <c r="X303" s="1495"/>
    </row>
    <row r="304" spans="2:24" s="1954" customFormat="1">
      <c r="B304" s="1954" t="s">
        <v>1176</v>
      </c>
      <c r="C304" s="1956" t="s">
        <v>375</v>
      </c>
      <c r="U304" s="1968"/>
      <c r="V304" s="1968"/>
      <c r="W304" s="1968"/>
      <c r="X304" s="1495"/>
    </row>
    <row r="305" spans="2:24" s="1954" customFormat="1">
      <c r="B305" s="1962" t="s">
        <v>721</v>
      </c>
      <c r="C305" s="1956" t="s">
        <v>417</v>
      </c>
      <c r="D305" s="1970">
        <v>197</v>
      </c>
      <c r="E305" s="1970">
        <v>197</v>
      </c>
      <c r="F305" s="1970">
        <v>197</v>
      </c>
      <c r="G305" s="1970">
        <v>197</v>
      </c>
      <c r="H305" s="1970">
        <v>197</v>
      </c>
      <c r="J305" s="1970">
        <v>250000</v>
      </c>
      <c r="K305" s="1970">
        <v>12000</v>
      </c>
      <c r="L305" s="1970"/>
      <c r="M305" s="1970"/>
      <c r="N305" s="1970"/>
      <c r="O305" s="1970"/>
      <c r="P305" s="1970"/>
      <c r="Q305" s="1970"/>
      <c r="R305" s="1970"/>
      <c r="S305" s="1970"/>
      <c r="T305" s="1970"/>
      <c r="U305" s="1968"/>
      <c r="V305" s="1968"/>
      <c r="W305" s="1968"/>
      <c r="X305" s="1495"/>
    </row>
    <row r="306" spans="2:24" s="1954" customFormat="1">
      <c r="B306" s="1971" t="s">
        <v>723</v>
      </c>
      <c r="C306" s="1960" t="s">
        <v>164</v>
      </c>
      <c r="D306" s="1954">
        <v>9.1418999999999997</v>
      </c>
      <c r="E306" s="1954">
        <v>9.1418999999999997</v>
      </c>
      <c r="F306" s="1954">
        <v>9.1418999999999997</v>
      </c>
      <c r="G306" s="1954">
        <v>1.2058</v>
      </c>
      <c r="H306" s="1954">
        <v>1.2034</v>
      </c>
      <c r="J306" s="1954">
        <v>0</v>
      </c>
      <c r="U306" s="1968"/>
      <c r="V306" s="1968"/>
      <c r="W306" s="1968"/>
      <c r="X306" s="1495"/>
    </row>
    <row r="307" spans="2:24">
      <c r="C307" s="178"/>
      <c r="N307" s="2329"/>
      <c r="O307" s="2329"/>
      <c r="Q307" s="2329"/>
      <c r="U307"/>
      <c r="V307"/>
      <c r="W307" s="2329"/>
      <c r="X307" s="89"/>
    </row>
    <row r="308" spans="2:24">
      <c r="N308" s="2329"/>
      <c r="O308" s="2329"/>
      <c r="Q308" s="2329"/>
      <c r="U308"/>
      <c r="V308"/>
      <c r="W308" s="2329"/>
      <c r="X308" s="89"/>
    </row>
    <row r="309" spans="2:24">
      <c r="N309" s="2329"/>
      <c r="O309" s="2329"/>
      <c r="Q309" s="2329"/>
      <c r="U309"/>
      <c r="V309"/>
      <c r="W309" s="2329"/>
      <c r="X309" s="89"/>
    </row>
    <row r="310" spans="2:24">
      <c r="N310" s="2329"/>
      <c r="O310" s="2329"/>
      <c r="Q310" s="2329"/>
      <c r="U310"/>
      <c r="V310"/>
      <c r="W310" s="2329"/>
      <c r="X310" s="89"/>
    </row>
    <row r="311" spans="2:24">
      <c r="N311" s="2329"/>
      <c r="O311" s="2329"/>
      <c r="Q311" s="2329"/>
      <c r="U311"/>
      <c r="V311"/>
      <c r="W311" s="2329"/>
      <c r="X311" s="89"/>
    </row>
    <row r="312" spans="2:24">
      <c r="N312" s="2329"/>
      <c r="O312" s="2329"/>
      <c r="Q312" s="2329"/>
      <c r="U312"/>
      <c r="V312"/>
      <c r="W312" s="2329"/>
      <c r="X312" s="89"/>
    </row>
    <row r="313" spans="2:24">
      <c r="N313" s="2329"/>
      <c r="O313" s="2329"/>
      <c r="Q313" s="2329"/>
      <c r="U313"/>
      <c r="V313"/>
      <c r="W313" s="2329"/>
      <c r="X313" s="89"/>
    </row>
    <row r="314" spans="2:24">
      <c r="N314" s="2329"/>
      <c r="O314" s="2329"/>
      <c r="Q314" s="2329"/>
      <c r="U314"/>
      <c r="V314"/>
      <c r="W314" s="2329"/>
      <c r="X314" s="89"/>
    </row>
    <row r="315" spans="2:24">
      <c r="N315" s="2329"/>
      <c r="O315" s="2329"/>
      <c r="Q315" s="2329"/>
      <c r="U315"/>
      <c r="V315"/>
      <c r="W315" s="2329"/>
      <c r="X315" s="89"/>
    </row>
    <row r="316" spans="2:24">
      <c r="N316" s="2329"/>
      <c r="O316" s="2329"/>
      <c r="Q316" s="2329"/>
      <c r="U316"/>
      <c r="V316"/>
      <c r="W316" s="2329"/>
      <c r="X316" s="89"/>
    </row>
    <row r="317" spans="2:24">
      <c r="N317" s="2329"/>
      <c r="O317" s="2329"/>
      <c r="Q317" s="2329"/>
      <c r="U317"/>
      <c r="V317"/>
      <c r="W317" s="2329"/>
      <c r="X317" s="89"/>
    </row>
    <row r="318" spans="2:24">
      <c r="N318" s="2329"/>
      <c r="O318" s="2329"/>
      <c r="Q318" s="2329"/>
      <c r="U318"/>
      <c r="V318"/>
      <c r="W318" s="2329"/>
      <c r="X318" s="89"/>
    </row>
    <row r="319" spans="2:24">
      <c r="N319" s="2329"/>
      <c r="O319" s="2329"/>
      <c r="Q319" s="2329"/>
      <c r="U319"/>
      <c r="V319"/>
      <c r="W319" s="2329"/>
      <c r="X319" s="89"/>
    </row>
    <row r="320" spans="2:24">
      <c r="N320" s="2329"/>
      <c r="O320" s="2329"/>
      <c r="Q320" s="2329"/>
      <c r="U320"/>
      <c r="V320"/>
      <c r="W320" s="2329"/>
      <c r="X320" s="89"/>
    </row>
    <row r="321" spans="14:24">
      <c r="N321" s="2329"/>
      <c r="O321" s="2329"/>
      <c r="Q321" s="2329"/>
      <c r="U321"/>
      <c r="V321"/>
      <c r="W321" s="2329"/>
      <c r="X321" s="89"/>
    </row>
    <row r="322" spans="14:24">
      <c r="N322" s="2329"/>
      <c r="O322" s="2329"/>
      <c r="Q322" s="2329"/>
      <c r="U322"/>
      <c r="V322"/>
      <c r="W322" s="2329"/>
      <c r="X322" s="89"/>
    </row>
    <row r="323" spans="14:24">
      <c r="N323" s="2329"/>
      <c r="O323" s="2329"/>
      <c r="Q323" s="2329"/>
      <c r="U323"/>
      <c r="V323"/>
      <c r="W323" s="2329"/>
      <c r="X323" s="89"/>
    </row>
    <row r="324" spans="14:24">
      <c r="N324" s="2329"/>
      <c r="O324" s="2329"/>
      <c r="Q324" s="2329"/>
      <c r="U324"/>
      <c r="V324"/>
      <c r="W324" s="2329"/>
      <c r="X324" s="89"/>
    </row>
    <row r="325" spans="14:24">
      <c r="N325" s="2329"/>
      <c r="O325" s="2329"/>
      <c r="Q325" s="2329"/>
      <c r="U325"/>
      <c r="V325"/>
      <c r="W325" s="2329"/>
      <c r="X325" s="89"/>
    </row>
    <row r="326" spans="14:24">
      <c r="N326" s="2329"/>
      <c r="O326" s="2329"/>
      <c r="Q326" s="2329"/>
      <c r="U326"/>
      <c r="V326"/>
      <c r="W326" s="2329"/>
      <c r="X326" s="89"/>
    </row>
    <row r="327" spans="14:24">
      <c r="N327" s="2329"/>
      <c r="O327" s="2329"/>
      <c r="Q327" s="2329"/>
      <c r="U327"/>
      <c r="V327"/>
      <c r="W327" s="2329"/>
      <c r="X327" s="89"/>
    </row>
    <row r="328" spans="14:24">
      <c r="N328" s="2329"/>
      <c r="O328" s="2329"/>
      <c r="Q328" s="2329"/>
      <c r="U328"/>
      <c r="V328"/>
      <c r="W328" s="2329"/>
      <c r="X328" s="89"/>
    </row>
    <row r="329" spans="14:24">
      <c r="N329" s="2329"/>
      <c r="O329" s="2329"/>
      <c r="Q329" s="2329"/>
      <c r="U329"/>
      <c r="V329"/>
      <c r="W329" s="2329"/>
      <c r="X329" s="89"/>
    </row>
    <row r="330" spans="14:24">
      <c r="N330" s="2329"/>
      <c r="O330" s="2329"/>
      <c r="Q330" s="2329"/>
      <c r="U330"/>
      <c r="V330"/>
      <c r="W330" s="2329"/>
      <c r="X330" s="89"/>
    </row>
    <row r="331" spans="14:24">
      <c r="N331" s="2329"/>
      <c r="O331" s="2329"/>
      <c r="Q331" s="2329"/>
      <c r="U331"/>
      <c r="V331"/>
      <c r="W331" s="2329"/>
      <c r="X331" s="89"/>
    </row>
    <row r="332" spans="14:24">
      <c r="N332" s="2329"/>
      <c r="O332" s="2329"/>
      <c r="Q332" s="2329"/>
      <c r="U332"/>
      <c r="V332"/>
      <c r="W332" s="2329"/>
      <c r="X332" s="89"/>
    </row>
    <row r="333" spans="14:24">
      <c r="N333" s="2329"/>
      <c r="O333" s="2329"/>
      <c r="Q333" s="2329"/>
      <c r="U333"/>
      <c r="V333"/>
      <c r="W333" s="2329"/>
      <c r="X333" s="89"/>
    </row>
    <row r="334" spans="14:24">
      <c r="N334" s="2329"/>
      <c r="O334" s="2329"/>
      <c r="Q334" s="2329"/>
      <c r="U334"/>
      <c r="V334"/>
      <c r="W334" s="2329"/>
      <c r="X334" s="89"/>
    </row>
    <row r="335" spans="14:24">
      <c r="N335" s="2329"/>
      <c r="O335" s="2329"/>
      <c r="Q335" s="2329"/>
      <c r="U335"/>
      <c r="V335"/>
      <c r="W335" s="2329"/>
      <c r="X335" s="89"/>
    </row>
    <row r="336" spans="14:24">
      <c r="N336" s="2329"/>
      <c r="O336" s="2329"/>
      <c r="Q336" s="2329"/>
      <c r="U336"/>
      <c r="V336"/>
      <c r="W336" s="2329"/>
      <c r="X336" s="89"/>
    </row>
    <row r="337" spans="14:24">
      <c r="N337" s="2329"/>
      <c r="O337" s="2329"/>
      <c r="Q337" s="2329"/>
      <c r="U337"/>
      <c r="V337"/>
      <c r="W337" s="2329"/>
      <c r="X337" s="89"/>
    </row>
    <row r="338" spans="14:24">
      <c r="N338" s="2329"/>
      <c r="O338" s="2329"/>
      <c r="Q338" s="2329"/>
      <c r="U338"/>
      <c r="V338"/>
      <c r="W338" s="2329"/>
      <c r="X338" s="89"/>
    </row>
    <row r="339" spans="14:24">
      <c r="N339" s="2329"/>
      <c r="O339" s="2329"/>
      <c r="Q339" s="2329"/>
      <c r="U339"/>
      <c r="V339"/>
      <c r="W339" s="2329"/>
      <c r="X339" s="89"/>
    </row>
    <row r="340" spans="14:24">
      <c r="N340" s="2329"/>
      <c r="O340" s="2329"/>
      <c r="Q340" s="2329"/>
      <c r="U340"/>
      <c r="V340"/>
      <c r="W340" s="2329"/>
      <c r="X340" s="89"/>
    </row>
    <row r="341" spans="14:24">
      <c r="N341" s="2329"/>
      <c r="O341" s="2329"/>
      <c r="Q341" s="2329"/>
      <c r="U341"/>
      <c r="V341"/>
      <c r="W341" s="2329"/>
      <c r="X341" s="89"/>
    </row>
    <row r="342" spans="14:24">
      <c r="N342" s="2329"/>
      <c r="O342" s="2329"/>
      <c r="Q342" s="2329"/>
      <c r="U342"/>
      <c r="V342"/>
      <c r="W342" s="2329"/>
      <c r="X342" s="89"/>
    </row>
    <row r="343" spans="14:24">
      <c r="N343" s="2329"/>
      <c r="O343" s="2329"/>
      <c r="Q343" s="2329"/>
      <c r="U343"/>
      <c r="V343"/>
      <c r="W343" s="2329"/>
      <c r="X343" s="89"/>
    </row>
    <row r="344" spans="14:24">
      <c r="N344" s="2329"/>
      <c r="O344" s="2329"/>
      <c r="Q344" s="2329"/>
      <c r="U344"/>
      <c r="V344"/>
      <c r="W344" s="2329"/>
      <c r="X344" s="89"/>
    </row>
    <row r="345" spans="14:24">
      <c r="N345" s="2329"/>
      <c r="O345" s="2329"/>
      <c r="Q345" s="2329"/>
      <c r="U345"/>
      <c r="V345"/>
      <c r="W345" s="2329"/>
      <c r="X345" s="89"/>
    </row>
    <row r="346" spans="14:24">
      <c r="N346" s="2329"/>
      <c r="O346" s="2329"/>
      <c r="Q346" s="2329"/>
      <c r="U346"/>
      <c r="V346"/>
      <c r="W346" s="2329"/>
      <c r="X346" s="89"/>
    </row>
    <row r="347" spans="14:24">
      <c r="N347" s="2329"/>
      <c r="O347" s="2329"/>
      <c r="Q347" s="2329"/>
      <c r="U347"/>
      <c r="V347"/>
      <c r="W347" s="2329"/>
      <c r="X347" s="89"/>
    </row>
    <row r="348" spans="14:24">
      <c r="N348" s="2329"/>
      <c r="O348" s="2329"/>
      <c r="Q348" s="2329"/>
      <c r="U348"/>
      <c r="V348"/>
      <c r="W348" s="2329"/>
      <c r="X348" s="89"/>
    </row>
    <row r="349" spans="14:24">
      <c r="N349" s="2329"/>
      <c r="O349" s="2329"/>
      <c r="Q349" s="2329"/>
      <c r="U349"/>
      <c r="V349"/>
      <c r="W349" s="2329"/>
      <c r="X349" s="89"/>
    </row>
    <row r="350" spans="14:24">
      <c r="N350" s="2329"/>
      <c r="O350" s="2329"/>
      <c r="Q350" s="2329"/>
      <c r="U350"/>
      <c r="V350"/>
      <c r="W350" s="2329"/>
      <c r="X350" s="89"/>
    </row>
    <row r="351" spans="14:24">
      <c r="N351" s="2329"/>
      <c r="O351" s="2329"/>
      <c r="Q351" s="2329"/>
      <c r="U351"/>
      <c r="V351"/>
      <c r="W351" s="2329"/>
      <c r="X351" s="89"/>
    </row>
    <row r="352" spans="14:24">
      <c r="N352" s="2329"/>
      <c r="O352" s="2329"/>
      <c r="Q352" s="2329"/>
      <c r="U352"/>
      <c r="V352"/>
      <c r="W352" s="2329"/>
      <c r="X352" s="89"/>
    </row>
    <row r="353" spans="14:24">
      <c r="N353" s="2329"/>
      <c r="O353" s="2329"/>
      <c r="Q353" s="2329"/>
      <c r="U353"/>
      <c r="V353"/>
      <c r="W353" s="2329"/>
      <c r="X353" s="89"/>
    </row>
    <row r="354" spans="14:24">
      <c r="N354" s="2329"/>
      <c r="O354" s="2329"/>
      <c r="Q354" s="2329"/>
      <c r="U354"/>
      <c r="V354"/>
      <c r="W354" s="2329"/>
      <c r="X354" s="89"/>
    </row>
    <row r="355" spans="14:24">
      <c r="N355" s="2329"/>
      <c r="O355" s="2329"/>
      <c r="Q355" s="2329"/>
      <c r="U355"/>
      <c r="V355"/>
      <c r="W355" s="2329"/>
      <c r="X355" s="89"/>
    </row>
    <row r="356" spans="14:24">
      <c r="N356" s="2329"/>
      <c r="O356" s="2329"/>
      <c r="Q356" s="2329"/>
      <c r="U356"/>
      <c r="V356"/>
      <c r="W356" s="2329"/>
      <c r="X356" s="89"/>
    </row>
    <row r="357" spans="14:24">
      <c r="N357" s="2329"/>
      <c r="O357" s="2329"/>
      <c r="Q357" s="2329"/>
      <c r="U357"/>
      <c r="V357"/>
      <c r="W357" s="2329"/>
      <c r="X357" s="89"/>
    </row>
    <row r="358" spans="14:24">
      <c r="N358" s="2329"/>
      <c r="O358" s="2329"/>
      <c r="Q358" s="2329"/>
      <c r="U358"/>
      <c r="V358"/>
      <c r="W358" s="2329"/>
      <c r="X358" s="89"/>
    </row>
    <row r="359" spans="14:24">
      <c r="N359" s="2329"/>
      <c r="O359" s="2329"/>
      <c r="Q359" s="2329"/>
      <c r="U359"/>
      <c r="V359"/>
      <c r="W359" s="2329"/>
      <c r="X359" s="89"/>
    </row>
    <row r="360" spans="14:24">
      <c r="N360" s="2329"/>
      <c r="O360" s="2329"/>
      <c r="Q360" s="2329"/>
      <c r="U360"/>
      <c r="V360"/>
      <c r="W360" s="2329"/>
      <c r="X360" s="89"/>
    </row>
    <row r="361" spans="14:24">
      <c r="N361" s="2329"/>
      <c r="O361" s="2329"/>
      <c r="Q361" s="2329"/>
      <c r="U361"/>
      <c r="V361"/>
      <c r="W361" s="2329"/>
      <c r="X361" s="89"/>
    </row>
    <row r="362" spans="14:24">
      <c r="N362" s="2329"/>
      <c r="O362" s="2329"/>
      <c r="Q362" s="2329"/>
      <c r="U362"/>
      <c r="V362"/>
      <c r="W362" s="2329"/>
      <c r="X362" s="89"/>
    </row>
    <row r="363" spans="14:24">
      <c r="N363" s="2329"/>
      <c r="O363" s="2329"/>
      <c r="Q363" s="2329"/>
      <c r="U363"/>
      <c r="V363"/>
      <c r="W363" s="2329"/>
      <c r="X363" s="89"/>
    </row>
    <row r="364" spans="14:24">
      <c r="N364" s="2329"/>
      <c r="O364" s="2329"/>
      <c r="Q364" s="2329"/>
      <c r="U364"/>
      <c r="V364"/>
      <c r="W364" s="2329"/>
      <c r="X364" s="89"/>
    </row>
    <row r="365" spans="14:24">
      <c r="N365" s="2329"/>
      <c r="O365" s="2329"/>
      <c r="Q365" s="2329"/>
      <c r="U365"/>
      <c r="V365"/>
      <c r="W365" s="2329"/>
      <c r="X365" s="89"/>
    </row>
    <row r="366" spans="14:24">
      <c r="N366" s="2329"/>
      <c r="O366" s="2329"/>
      <c r="Q366" s="2329"/>
      <c r="U366"/>
      <c r="V366"/>
      <c r="W366" s="2329"/>
      <c r="X366" s="89"/>
    </row>
    <row r="367" spans="14:24">
      <c r="N367" s="2329"/>
      <c r="O367" s="2329"/>
      <c r="Q367" s="2329"/>
      <c r="U367"/>
      <c r="V367"/>
      <c r="W367" s="2329"/>
      <c r="X367" s="89"/>
    </row>
    <row r="368" spans="14:24">
      <c r="N368" s="2329"/>
      <c r="O368" s="2329"/>
      <c r="Q368" s="2329"/>
      <c r="U368"/>
      <c r="V368"/>
      <c r="W368" s="2329"/>
      <c r="X368" s="89"/>
    </row>
    <row r="369" spans="14:23">
      <c r="N369" s="2329"/>
      <c r="O369" s="2329"/>
      <c r="Q369" s="2329"/>
      <c r="U369"/>
      <c r="V369"/>
      <c r="W369" s="2329"/>
    </row>
    <row r="370" spans="14:23">
      <c r="N370" s="2329"/>
      <c r="O370" s="2329"/>
      <c r="Q370" s="2329"/>
      <c r="U370"/>
      <c r="V370"/>
      <c r="W370" s="2329"/>
    </row>
    <row r="371" spans="14:23">
      <c r="N371" s="2329"/>
      <c r="O371" s="2329"/>
      <c r="Q371" s="2329"/>
      <c r="U371"/>
      <c r="V371"/>
      <c r="W371" s="2329"/>
    </row>
    <row r="372" spans="14:23">
      <c r="N372" s="2329"/>
      <c r="O372" s="2329"/>
      <c r="Q372" s="2329"/>
      <c r="U372"/>
      <c r="V372"/>
      <c r="W372" s="2329"/>
    </row>
    <row r="373" spans="14:23">
      <c r="N373" s="2329"/>
      <c r="O373" s="2329"/>
      <c r="Q373" s="2329"/>
      <c r="U373"/>
      <c r="V373"/>
      <c r="W373" s="2329"/>
    </row>
    <row r="374" spans="14:23">
      <c r="N374" s="2329"/>
      <c r="O374" s="2329"/>
      <c r="Q374" s="2329"/>
      <c r="U374"/>
      <c r="V374"/>
      <c r="W374" s="2329"/>
    </row>
    <row r="375" spans="14:23">
      <c r="N375" s="2329"/>
      <c r="O375" s="2329"/>
      <c r="Q375" s="2329"/>
      <c r="U375"/>
      <c r="V375"/>
      <c r="W375" s="2329"/>
    </row>
    <row r="376" spans="14:23">
      <c r="N376" s="2329"/>
      <c r="O376" s="2329"/>
      <c r="Q376" s="2329"/>
      <c r="U376"/>
      <c r="V376"/>
      <c r="W376" s="2329"/>
    </row>
    <row r="377" spans="14:23">
      <c r="N377" s="2329"/>
      <c r="O377" s="2329"/>
      <c r="Q377" s="2329"/>
      <c r="U377"/>
      <c r="V377"/>
      <c r="W377" s="2329"/>
    </row>
    <row r="378" spans="14:23">
      <c r="N378" s="2329"/>
      <c r="O378" s="2329"/>
      <c r="Q378" s="2329"/>
      <c r="U378"/>
      <c r="V378"/>
      <c r="W378" s="2329"/>
    </row>
    <row r="379" spans="14:23">
      <c r="N379" s="2329"/>
      <c r="O379" s="2329"/>
      <c r="Q379" s="2329"/>
      <c r="U379"/>
      <c r="V379"/>
      <c r="W379" s="2329"/>
    </row>
    <row r="380" spans="14:23">
      <c r="N380" s="2329"/>
      <c r="O380" s="2329"/>
      <c r="Q380" s="2329"/>
      <c r="U380"/>
      <c r="V380"/>
      <c r="W380" s="2329"/>
    </row>
    <row r="381" spans="14:23">
      <c r="N381" s="2329"/>
      <c r="O381" s="2329"/>
      <c r="Q381" s="2329"/>
      <c r="U381"/>
      <c r="V381"/>
      <c r="W381" s="2329"/>
    </row>
    <row r="382" spans="14:23">
      <c r="N382" s="2329"/>
      <c r="O382" s="2329"/>
      <c r="Q382" s="2329"/>
      <c r="U382"/>
      <c r="V382"/>
      <c r="W382" s="2329"/>
    </row>
    <row r="383" spans="14:23">
      <c r="N383" s="2329"/>
      <c r="O383" s="2329"/>
      <c r="Q383" s="2329"/>
      <c r="U383"/>
      <c r="V383"/>
      <c r="W383" s="2329"/>
    </row>
    <row r="384" spans="14:23">
      <c r="N384" s="2329"/>
      <c r="O384" s="2329"/>
      <c r="Q384" s="2329"/>
      <c r="U384"/>
      <c r="V384"/>
      <c r="W384" s="2329"/>
    </row>
    <row r="385" spans="14:23">
      <c r="N385" s="2329"/>
      <c r="O385" s="2329"/>
      <c r="Q385" s="2329"/>
      <c r="U385"/>
      <c r="V385"/>
      <c r="W385" s="2329"/>
    </row>
    <row r="386" spans="14:23">
      <c r="N386" s="2329"/>
      <c r="O386" s="2329"/>
      <c r="Q386" s="2329"/>
      <c r="U386"/>
      <c r="V386"/>
      <c r="W386" s="2329"/>
    </row>
    <row r="387" spans="14:23">
      <c r="N387" s="2329"/>
      <c r="O387" s="2329"/>
      <c r="Q387" s="2329"/>
      <c r="U387"/>
      <c r="V387"/>
      <c r="W387" s="2329"/>
    </row>
    <row r="388" spans="14:23">
      <c r="N388" s="2329"/>
      <c r="O388" s="2329"/>
      <c r="Q388" s="2329"/>
      <c r="U388"/>
      <c r="V388"/>
      <c r="W388" s="2329"/>
    </row>
    <row r="389" spans="14:23">
      <c r="N389" s="2329"/>
      <c r="O389" s="2329"/>
      <c r="Q389" s="2329"/>
      <c r="U389"/>
      <c r="V389"/>
      <c r="W389" s="2329"/>
    </row>
    <row r="390" spans="14:23">
      <c r="N390" s="2329"/>
      <c r="O390" s="2329"/>
      <c r="Q390" s="2329"/>
      <c r="U390"/>
      <c r="V390"/>
      <c r="W390" s="2329"/>
    </row>
    <row r="391" spans="14:23">
      <c r="N391" s="2329"/>
      <c r="O391" s="2329"/>
      <c r="Q391" s="2329"/>
      <c r="U391"/>
      <c r="V391"/>
      <c r="W391" s="2329"/>
    </row>
    <row r="392" spans="14:23">
      <c r="N392" s="2329"/>
      <c r="O392" s="2329"/>
      <c r="Q392" s="2329"/>
      <c r="U392"/>
      <c r="V392"/>
      <c r="W392" s="2329"/>
    </row>
    <row r="393" spans="14:23">
      <c r="N393" s="2329"/>
      <c r="O393" s="2329"/>
      <c r="Q393" s="2329"/>
      <c r="U393"/>
      <c r="V393"/>
      <c r="W393" s="2329"/>
    </row>
    <row r="394" spans="14:23">
      <c r="N394" s="2329"/>
      <c r="O394" s="2329"/>
      <c r="Q394" s="2329"/>
      <c r="U394"/>
      <c r="V394"/>
      <c r="W394" s="2329"/>
    </row>
    <row r="395" spans="14:23">
      <c r="N395" s="2329"/>
      <c r="O395" s="2329"/>
      <c r="Q395" s="2329"/>
      <c r="U395"/>
      <c r="V395"/>
      <c r="W395" s="2329"/>
    </row>
    <row r="396" spans="14:23">
      <c r="N396" s="2329"/>
      <c r="O396" s="2329"/>
      <c r="Q396" s="2329"/>
      <c r="U396"/>
      <c r="V396"/>
      <c r="W396" s="2329"/>
    </row>
    <row r="397" spans="14:23">
      <c r="N397" s="2329"/>
      <c r="O397" s="2329"/>
      <c r="Q397" s="2329"/>
      <c r="U397"/>
      <c r="V397"/>
      <c r="W397" s="2329"/>
    </row>
    <row r="398" spans="14:23">
      <c r="N398" s="2329"/>
      <c r="O398" s="2329"/>
      <c r="Q398" s="2329"/>
      <c r="U398"/>
      <c r="V398"/>
      <c r="W398" s="2329"/>
    </row>
    <row r="399" spans="14:23">
      <c r="N399" s="2329"/>
      <c r="O399" s="2329"/>
      <c r="Q399" s="2329"/>
      <c r="U399"/>
      <c r="V399"/>
      <c r="W399" s="2329"/>
    </row>
    <row r="400" spans="14:23">
      <c r="N400" s="2329"/>
      <c r="O400" s="2329"/>
      <c r="Q400" s="2329"/>
      <c r="U400"/>
      <c r="V400"/>
      <c r="W400" s="2329"/>
    </row>
    <row r="401" spans="14:23">
      <c r="N401" s="2329"/>
      <c r="O401" s="2329"/>
      <c r="Q401" s="2329"/>
      <c r="U401"/>
      <c r="V401"/>
      <c r="W401" s="2329"/>
    </row>
    <row r="402" spans="14:23">
      <c r="N402" s="2329"/>
      <c r="O402" s="2329"/>
      <c r="Q402" s="2329"/>
      <c r="U402"/>
      <c r="V402"/>
      <c r="W402" s="2329"/>
    </row>
    <row r="403" spans="14:23">
      <c r="N403" s="2329"/>
      <c r="O403" s="2329"/>
      <c r="Q403" s="2329"/>
      <c r="U403"/>
      <c r="V403"/>
      <c r="W403" s="2329"/>
    </row>
    <row r="404" spans="14:23">
      <c r="N404" s="2329"/>
      <c r="O404" s="2329"/>
      <c r="Q404" s="2329"/>
      <c r="U404"/>
      <c r="V404"/>
      <c r="W404" s="2329"/>
    </row>
    <row r="405" spans="14:23">
      <c r="N405" s="2329"/>
      <c r="O405" s="2329"/>
      <c r="Q405" s="2329"/>
      <c r="U405"/>
      <c r="V405"/>
      <c r="W405" s="2329"/>
    </row>
    <row r="406" spans="14:23">
      <c r="N406" s="2329"/>
      <c r="O406" s="2329"/>
      <c r="Q406" s="2329"/>
      <c r="U406"/>
      <c r="V406"/>
      <c r="W406" s="2329"/>
    </row>
    <row r="407" spans="14:23">
      <c r="N407" s="2329"/>
      <c r="O407" s="2329"/>
      <c r="Q407" s="2329"/>
      <c r="U407"/>
      <c r="V407"/>
      <c r="W407" s="2329"/>
    </row>
    <row r="408" spans="14:23">
      <c r="N408" s="2329"/>
      <c r="O408" s="2329"/>
      <c r="Q408" s="2329"/>
      <c r="U408"/>
      <c r="V408"/>
      <c r="W408" s="2329"/>
    </row>
    <row r="409" spans="14:23">
      <c r="N409" s="2329"/>
      <c r="O409" s="2329"/>
      <c r="Q409" s="2329"/>
      <c r="U409"/>
      <c r="V409"/>
      <c r="W409" s="2329"/>
    </row>
    <row r="410" spans="14:23">
      <c r="N410" s="2329"/>
      <c r="O410" s="2329"/>
      <c r="Q410" s="2329"/>
      <c r="U410"/>
      <c r="V410"/>
      <c r="W410" s="2329"/>
    </row>
    <row r="411" spans="14:23">
      <c r="N411" s="2329"/>
      <c r="O411" s="2329"/>
      <c r="Q411" s="2329"/>
      <c r="U411"/>
      <c r="V411"/>
      <c r="W411" s="2329"/>
    </row>
    <row r="412" spans="14:23">
      <c r="N412" s="2329"/>
      <c r="O412" s="2329"/>
      <c r="Q412" s="2329"/>
      <c r="U412"/>
      <c r="V412"/>
      <c r="W412" s="2329"/>
    </row>
    <row r="413" spans="14:23">
      <c r="N413" s="2329"/>
      <c r="O413" s="2329"/>
      <c r="Q413" s="2329"/>
      <c r="U413"/>
      <c r="V413"/>
      <c r="W413" s="2329"/>
    </row>
    <row r="414" spans="14:23">
      <c r="N414" s="2329"/>
      <c r="O414" s="2329"/>
      <c r="Q414" s="2329"/>
      <c r="U414"/>
      <c r="V414"/>
      <c r="W414" s="2329"/>
    </row>
    <row r="415" spans="14:23">
      <c r="N415" s="2329"/>
      <c r="O415" s="2329"/>
      <c r="Q415" s="2329"/>
      <c r="U415"/>
      <c r="V415"/>
      <c r="W415" s="2329"/>
    </row>
    <row r="416" spans="14:23">
      <c r="U416"/>
      <c r="V416"/>
      <c r="W416" s="2329"/>
    </row>
    <row r="417" spans="21:23">
      <c r="U417"/>
      <c r="V417"/>
      <c r="W417" s="2329"/>
    </row>
    <row r="418" spans="21:23">
      <c r="U418"/>
      <c r="V418"/>
      <c r="W418" s="2329"/>
    </row>
    <row r="419" spans="21:23">
      <c r="U419"/>
      <c r="V419"/>
      <c r="W419" s="2329"/>
    </row>
    <row r="420" spans="21:23">
      <c r="U420"/>
      <c r="V420"/>
      <c r="W420" s="2329"/>
    </row>
    <row r="421" spans="21:23">
      <c r="U421"/>
      <c r="V421"/>
      <c r="W421" s="2329"/>
    </row>
    <row r="422" spans="21:23">
      <c r="U422"/>
      <c r="V422"/>
      <c r="W422" s="2329"/>
    </row>
    <row r="423" spans="21:23">
      <c r="U423"/>
      <c r="V423"/>
      <c r="W423" s="2329"/>
    </row>
    <row r="424" spans="21:23">
      <c r="U424"/>
      <c r="V424"/>
      <c r="W424" s="2329"/>
    </row>
    <row r="425" spans="21:23">
      <c r="U425"/>
      <c r="V425"/>
      <c r="W425" s="2329"/>
    </row>
    <row r="426" spans="21:23">
      <c r="U426"/>
      <c r="V426"/>
      <c r="W426" s="2329"/>
    </row>
    <row r="427" spans="21:23">
      <c r="U427"/>
      <c r="V427"/>
      <c r="W427" s="2329"/>
    </row>
    <row r="428" spans="21:23">
      <c r="U428"/>
      <c r="V428"/>
      <c r="W428" s="2329"/>
    </row>
    <row r="429" spans="21:23">
      <c r="U429"/>
      <c r="V429"/>
      <c r="W429" s="2329"/>
    </row>
    <row r="430" spans="21:23">
      <c r="U430"/>
      <c r="V430"/>
      <c r="W430" s="2329"/>
    </row>
    <row r="431" spans="21:23">
      <c r="U431"/>
      <c r="V431"/>
      <c r="W431" s="2329"/>
    </row>
    <row r="432" spans="21:23">
      <c r="U432"/>
      <c r="V432"/>
      <c r="W432" s="2329"/>
    </row>
    <row r="433" spans="21:23">
      <c r="U433"/>
      <c r="V433"/>
      <c r="W433" s="2329"/>
    </row>
    <row r="434" spans="21:23">
      <c r="U434"/>
      <c r="V434"/>
      <c r="W434" s="2329"/>
    </row>
    <row r="435" spans="21:23">
      <c r="U435"/>
      <c r="V435"/>
      <c r="W435" s="2329"/>
    </row>
    <row r="436" spans="21:23">
      <c r="U436"/>
      <c r="V436"/>
      <c r="W436" s="2329"/>
    </row>
    <row r="437" spans="21:23">
      <c r="U437"/>
      <c r="V437"/>
      <c r="W437" s="2329"/>
    </row>
    <row r="438" spans="21:23">
      <c r="U438"/>
      <c r="V438"/>
      <c r="W438" s="2329"/>
    </row>
    <row r="439" spans="21:23">
      <c r="U439"/>
      <c r="V439"/>
      <c r="W439" s="2329"/>
    </row>
    <row r="440" spans="21:23">
      <c r="U440"/>
      <c r="V440"/>
      <c r="W440" s="2329"/>
    </row>
    <row r="441" spans="21:23">
      <c r="U441"/>
      <c r="V441"/>
      <c r="W441" s="2329"/>
    </row>
    <row r="442" spans="21:23">
      <c r="U442"/>
      <c r="V442"/>
      <c r="W442" s="2329"/>
    </row>
    <row r="443" spans="21:23">
      <c r="U443"/>
      <c r="V443"/>
      <c r="W443" s="2329"/>
    </row>
    <row r="444" spans="21:23">
      <c r="U444"/>
      <c r="V444"/>
      <c r="W444" s="2329"/>
    </row>
    <row r="445" spans="21:23">
      <c r="U445"/>
      <c r="V445"/>
      <c r="W445" s="2329"/>
    </row>
    <row r="446" spans="21:23">
      <c r="U446"/>
      <c r="V446"/>
      <c r="W446" s="2329"/>
    </row>
    <row r="447" spans="21:23">
      <c r="U447"/>
      <c r="V447"/>
      <c r="W447" s="2329"/>
    </row>
    <row r="448" spans="21:23">
      <c r="U448"/>
      <c r="V448"/>
      <c r="W448" s="2329"/>
    </row>
    <row r="449" spans="21:23">
      <c r="U449"/>
      <c r="V449"/>
      <c r="W449" s="2329"/>
    </row>
    <row r="450" spans="21:23">
      <c r="U450"/>
      <c r="V450"/>
      <c r="W450" s="2329"/>
    </row>
    <row r="451" spans="21:23">
      <c r="U451"/>
      <c r="V451"/>
      <c r="W451" s="2329"/>
    </row>
    <row r="452" spans="21:23">
      <c r="U452"/>
      <c r="V452"/>
      <c r="W452" s="2329"/>
    </row>
    <row r="453" spans="21:23">
      <c r="U453"/>
      <c r="V453"/>
      <c r="W453" s="2329"/>
    </row>
    <row r="454" spans="21:23">
      <c r="U454"/>
      <c r="V454"/>
      <c r="W454" s="2329"/>
    </row>
    <row r="455" spans="21:23">
      <c r="U455"/>
      <c r="V455"/>
      <c r="W455" s="2329"/>
    </row>
    <row r="456" spans="21:23">
      <c r="U456"/>
      <c r="V456"/>
      <c r="W456" s="2329"/>
    </row>
    <row r="457" spans="21:23">
      <c r="U457"/>
      <c r="V457"/>
      <c r="W457" s="2329"/>
    </row>
    <row r="458" spans="21:23">
      <c r="U458"/>
      <c r="V458"/>
      <c r="W458" s="2329"/>
    </row>
    <row r="459" spans="21:23">
      <c r="U459"/>
      <c r="V459"/>
      <c r="W459" s="2329"/>
    </row>
    <row r="460" spans="21:23">
      <c r="U460"/>
      <c r="V460"/>
      <c r="W460" s="2329"/>
    </row>
    <row r="461" spans="21:23">
      <c r="U461"/>
      <c r="V461"/>
      <c r="W461" s="2329"/>
    </row>
    <row r="462" spans="21:23">
      <c r="U462"/>
      <c r="V462"/>
      <c r="W462" s="2329"/>
    </row>
    <row r="463" spans="21:23">
      <c r="U463"/>
      <c r="V463"/>
      <c r="W463" s="2329"/>
    </row>
    <row r="464" spans="21:23">
      <c r="U464"/>
      <c r="V464"/>
      <c r="W464" s="2329"/>
    </row>
    <row r="465" spans="21:23">
      <c r="U465"/>
      <c r="V465"/>
      <c r="W465" s="2329"/>
    </row>
    <row r="466" spans="21:23">
      <c r="U466"/>
      <c r="V466"/>
      <c r="W466" s="2329"/>
    </row>
    <row r="467" spans="21:23">
      <c r="U467"/>
      <c r="V467"/>
      <c r="W467" s="2329"/>
    </row>
    <row r="468" spans="21:23">
      <c r="U468"/>
      <c r="V468"/>
      <c r="W468" s="2329"/>
    </row>
    <row r="469" spans="21:23">
      <c r="U469"/>
      <c r="V469"/>
      <c r="W469" s="2329"/>
    </row>
    <row r="470" spans="21:23">
      <c r="U470"/>
      <c r="V470"/>
      <c r="W470" s="2329"/>
    </row>
    <row r="471" spans="21:23">
      <c r="U471"/>
      <c r="V471"/>
      <c r="W471" s="2329"/>
    </row>
    <row r="472" spans="21:23">
      <c r="U472"/>
      <c r="V472"/>
      <c r="W472" s="2329"/>
    </row>
    <row r="473" spans="21:23">
      <c r="U473"/>
      <c r="V473"/>
      <c r="W473" s="2329"/>
    </row>
    <row r="474" spans="21:23">
      <c r="U474"/>
      <c r="V474"/>
      <c r="W474" s="2329"/>
    </row>
    <row r="475" spans="21:23">
      <c r="U475"/>
      <c r="V475"/>
      <c r="W475" s="2329"/>
    </row>
    <row r="476" spans="21:23">
      <c r="U476"/>
      <c r="V476"/>
      <c r="W476" s="2329"/>
    </row>
    <row r="477" spans="21:23">
      <c r="U477"/>
      <c r="V477"/>
      <c r="W477" s="2329"/>
    </row>
    <row r="478" spans="21:23">
      <c r="U478"/>
      <c r="V478"/>
      <c r="W478" s="2329"/>
    </row>
    <row r="479" spans="21:23">
      <c r="U479"/>
      <c r="V479"/>
      <c r="W479" s="2329"/>
    </row>
    <row r="480" spans="21:23">
      <c r="U480"/>
      <c r="V480"/>
      <c r="W480" s="2329"/>
    </row>
    <row r="481" spans="21:23">
      <c r="U481"/>
      <c r="V481"/>
      <c r="W481" s="2329"/>
    </row>
    <row r="482" spans="21:23">
      <c r="U482"/>
      <c r="V482"/>
      <c r="W482" s="2329"/>
    </row>
    <row r="483" spans="21:23">
      <c r="U483"/>
      <c r="V483"/>
      <c r="W483" s="2329"/>
    </row>
    <row r="484" spans="21:23">
      <c r="U484"/>
      <c r="V484"/>
      <c r="W484" s="2329"/>
    </row>
    <row r="485" spans="21:23">
      <c r="U485"/>
      <c r="V485"/>
      <c r="W485" s="2329"/>
    </row>
    <row r="486" spans="21:23">
      <c r="U486"/>
      <c r="V486"/>
      <c r="W486" s="2329"/>
    </row>
    <row r="487" spans="21:23">
      <c r="U487"/>
      <c r="V487"/>
      <c r="W487" s="2329"/>
    </row>
    <row r="488" spans="21:23">
      <c r="U488"/>
      <c r="V488"/>
      <c r="W488" s="2329"/>
    </row>
    <row r="489" spans="21:23">
      <c r="U489"/>
      <c r="V489"/>
      <c r="W489" s="2329"/>
    </row>
    <row r="490" spans="21:23">
      <c r="U490"/>
      <c r="V490"/>
      <c r="W490" s="2329"/>
    </row>
    <row r="491" spans="21:23">
      <c r="U491"/>
      <c r="V491"/>
      <c r="W491" s="2329"/>
    </row>
    <row r="492" spans="21:23">
      <c r="U492"/>
      <c r="V492"/>
      <c r="W492" s="2329"/>
    </row>
    <row r="493" spans="21:23">
      <c r="U493"/>
      <c r="V493"/>
      <c r="W493" s="2329"/>
    </row>
    <row r="494" spans="21:23">
      <c r="U494"/>
      <c r="V494"/>
      <c r="W494" s="2329"/>
    </row>
    <row r="495" spans="21:23">
      <c r="U495"/>
      <c r="V495"/>
      <c r="W495" s="2329"/>
    </row>
    <row r="496" spans="21:23">
      <c r="U496"/>
      <c r="V496"/>
      <c r="W496" s="2329"/>
    </row>
    <row r="497" spans="21:23">
      <c r="U497"/>
      <c r="V497"/>
      <c r="W497" s="2329"/>
    </row>
    <row r="498" spans="21:23">
      <c r="U498"/>
      <c r="V498"/>
      <c r="W498" s="2329"/>
    </row>
    <row r="499" spans="21:23">
      <c r="U499"/>
      <c r="V499"/>
      <c r="W499" s="2329"/>
    </row>
    <row r="500" spans="21:23">
      <c r="U500"/>
      <c r="V500"/>
      <c r="W500" s="2329"/>
    </row>
    <row r="501" spans="21:23">
      <c r="U501"/>
      <c r="V501"/>
      <c r="W501" s="2329"/>
    </row>
    <row r="502" spans="21:23">
      <c r="U502"/>
      <c r="V502"/>
      <c r="W502" s="2329"/>
    </row>
    <row r="503" spans="21:23">
      <c r="U503"/>
      <c r="V503"/>
      <c r="W503" s="2329"/>
    </row>
    <row r="504" spans="21:23">
      <c r="U504"/>
      <c r="V504"/>
      <c r="W504" s="2329"/>
    </row>
    <row r="505" spans="21:23">
      <c r="U505"/>
      <c r="V505"/>
      <c r="W505" s="2329"/>
    </row>
    <row r="506" spans="21:23">
      <c r="U506"/>
      <c r="V506"/>
      <c r="W506" s="2329"/>
    </row>
    <row r="507" spans="21:23">
      <c r="U507"/>
      <c r="V507"/>
      <c r="W507" s="2329"/>
    </row>
    <row r="508" spans="21:23">
      <c r="U508"/>
      <c r="V508"/>
      <c r="W508" s="2329"/>
    </row>
    <row r="509" spans="21:23">
      <c r="U509"/>
      <c r="V509"/>
      <c r="W509" s="2329"/>
    </row>
    <row r="510" spans="21:23">
      <c r="U510"/>
      <c r="V510"/>
      <c r="W510" s="2329"/>
    </row>
    <row r="511" spans="21:23">
      <c r="U511"/>
      <c r="V511"/>
      <c r="W511" s="2329"/>
    </row>
    <row r="512" spans="21:23">
      <c r="U512"/>
      <c r="V512"/>
      <c r="W512" s="2329"/>
    </row>
    <row r="513" spans="21:23">
      <c r="U513"/>
      <c r="V513"/>
      <c r="W513" s="2329"/>
    </row>
    <row r="514" spans="21:23">
      <c r="U514"/>
      <c r="V514"/>
      <c r="W514" s="2329"/>
    </row>
    <row r="515" spans="21:23">
      <c r="U515"/>
      <c r="V515"/>
      <c r="W515" s="2329"/>
    </row>
    <row r="516" spans="21:23">
      <c r="U516"/>
      <c r="V516"/>
      <c r="W516" s="2329"/>
    </row>
    <row r="517" spans="21:23">
      <c r="U517"/>
      <c r="V517"/>
      <c r="W517" s="2329"/>
    </row>
    <row r="518" spans="21:23">
      <c r="U518"/>
      <c r="V518"/>
      <c r="W518" s="2329"/>
    </row>
    <row r="519" spans="21:23">
      <c r="U519"/>
      <c r="V519"/>
      <c r="W519" s="2329"/>
    </row>
    <row r="520" spans="21:23">
      <c r="U520"/>
      <c r="V520"/>
      <c r="W520" s="2329"/>
    </row>
    <row r="521" spans="21:23">
      <c r="U521"/>
      <c r="V521"/>
      <c r="W521" s="2329"/>
    </row>
    <row r="522" spans="21:23">
      <c r="U522"/>
      <c r="V522"/>
      <c r="W522" s="2329"/>
    </row>
    <row r="523" spans="21:23">
      <c r="U523"/>
      <c r="V523"/>
      <c r="W523" s="2329"/>
    </row>
    <row r="524" spans="21:23">
      <c r="U524"/>
      <c r="V524"/>
      <c r="W524" s="2329"/>
    </row>
    <row r="525" spans="21:23">
      <c r="U525"/>
      <c r="V525"/>
      <c r="W525" s="2329"/>
    </row>
    <row r="526" spans="21:23">
      <c r="U526"/>
      <c r="V526"/>
      <c r="W526" s="2329"/>
    </row>
    <row r="527" spans="21:23">
      <c r="U527"/>
      <c r="V527"/>
      <c r="W527" s="2329"/>
    </row>
    <row r="528" spans="21:23">
      <c r="U528"/>
      <c r="V528"/>
      <c r="W528" s="2329"/>
    </row>
    <row r="529" spans="21:23">
      <c r="U529"/>
      <c r="V529"/>
      <c r="W529" s="2329"/>
    </row>
    <row r="530" spans="21:23">
      <c r="U530"/>
      <c r="V530"/>
      <c r="W530" s="2329"/>
    </row>
    <row r="531" spans="21:23">
      <c r="U531"/>
      <c r="V531"/>
      <c r="W531" s="2329"/>
    </row>
    <row r="532" spans="21:23">
      <c r="U532"/>
      <c r="V532"/>
      <c r="W532" s="2329"/>
    </row>
    <row r="533" spans="21:23">
      <c r="U533"/>
      <c r="V533"/>
      <c r="W533" s="2329"/>
    </row>
    <row r="534" spans="21:23">
      <c r="U534"/>
      <c r="V534"/>
      <c r="W534" s="2329"/>
    </row>
    <row r="535" spans="21:23">
      <c r="U535"/>
      <c r="V535"/>
      <c r="W535" s="2329"/>
    </row>
    <row r="536" spans="21:23">
      <c r="U536"/>
      <c r="V536"/>
      <c r="W536" s="2329"/>
    </row>
    <row r="537" spans="21:23">
      <c r="U537"/>
      <c r="V537"/>
      <c r="W537" s="2329"/>
    </row>
    <row r="538" spans="21:23">
      <c r="U538"/>
      <c r="V538"/>
      <c r="W538" s="2329"/>
    </row>
    <row r="539" spans="21:23">
      <c r="U539"/>
      <c r="V539"/>
      <c r="W539" s="2329"/>
    </row>
    <row r="540" spans="21:23">
      <c r="U540"/>
      <c r="V540"/>
      <c r="W540" s="2329"/>
    </row>
    <row r="541" spans="21:23">
      <c r="U541"/>
      <c r="V541"/>
      <c r="W541" s="2329"/>
    </row>
    <row r="542" spans="21:23">
      <c r="U542"/>
      <c r="V542"/>
      <c r="W542" s="2329"/>
    </row>
    <row r="543" spans="21:23">
      <c r="U543"/>
      <c r="V543"/>
      <c r="W543" s="2329"/>
    </row>
    <row r="544" spans="21:23">
      <c r="U544"/>
      <c r="V544"/>
      <c r="W544" s="2329"/>
    </row>
    <row r="545" spans="21:23">
      <c r="U545"/>
      <c r="V545"/>
      <c r="W545" s="2329"/>
    </row>
    <row r="546" spans="21:23">
      <c r="U546"/>
      <c r="V546"/>
      <c r="W546" s="2329"/>
    </row>
    <row r="547" spans="21:23">
      <c r="U547"/>
      <c r="V547"/>
      <c r="W547" s="2329"/>
    </row>
    <row r="548" spans="21:23">
      <c r="U548"/>
      <c r="V548"/>
      <c r="W548" s="2329"/>
    </row>
    <row r="549" spans="21:23">
      <c r="U549"/>
      <c r="V549"/>
      <c r="W549" s="2329"/>
    </row>
    <row r="550" spans="21:23">
      <c r="U550"/>
      <c r="V550"/>
      <c r="W550" s="2329"/>
    </row>
    <row r="551" spans="21:23">
      <c r="U551"/>
      <c r="V551"/>
      <c r="W551" s="2329"/>
    </row>
    <row r="552" spans="21:23">
      <c r="U552"/>
      <c r="V552"/>
      <c r="W552" s="2329"/>
    </row>
    <row r="553" spans="21:23">
      <c r="U553"/>
      <c r="V553"/>
      <c r="W553" s="2329"/>
    </row>
    <row r="554" spans="21:23">
      <c r="U554"/>
      <c r="V554"/>
      <c r="W554" s="2329"/>
    </row>
    <row r="555" spans="21:23">
      <c r="U555"/>
      <c r="V555"/>
      <c r="W555" s="2329"/>
    </row>
    <row r="556" spans="21:23">
      <c r="U556"/>
      <c r="V556"/>
      <c r="W556" s="2329"/>
    </row>
    <row r="557" spans="21:23">
      <c r="U557"/>
      <c r="V557"/>
      <c r="W557" s="2329"/>
    </row>
    <row r="558" spans="21:23">
      <c r="U558"/>
      <c r="V558"/>
      <c r="W558" s="2329"/>
    </row>
    <row r="559" spans="21:23">
      <c r="U559"/>
      <c r="V559"/>
      <c r="W559"/>
    </row>
    <row r="560" spans="21:23">
      <c r="U560"/>
      <c r="V560"/>
      <c r="W560"/>
    </row>
    <row r="561" spans="21:23">
      <c r="U561"/>
      <c r="V561"/>
      <c r="W561"/>
    </row>
    <row r="562" spans="21:23">
      <c r="U562"/>
      <c r="V562"/>
      <c r="W562"/>
    </row>
    <row r="563" spans="21:23">
      <c r="U563"/>
      <c r="V563"/>
      <c r="W563"/>
    </row>
    <row r="564" spans="21:23">
      <c r="U564"/>
      <c r="V564"/>
      <c r="W564"/>
    </row>
    <row r="565" spans="21:23">
      <c r="U565"/>
      <c r="V565"/>
      <c r="W565"/>
    </row>
    <row r="566" spans="21:23">
      <c r="U566"/>
      <c r="V566"/>
      <c r="W566"/>
    </row>
    <row r="567" spans="21:23">
      <c r="U567"/>
      <c r="V567"/>
      <c r="W567"/>
    </row>
    <row r="568" spans="21:23">
      <c r="U568"/>
      <c r="V568"/>
      <c r="W568"/>
    </row>
    <row r="569" spans="21:23">
      <c r="U569"/>
      <c r="V569"/>
      <c r="W569"/>
    </row>
    <row r="570" spans="21:23">
      <c r="U570"/>
      <c r="V570"/>
      <c r="W570"/>
    </row>
    <row r="571" spans="21:23">
      <c r="U571"/>
      <c r="V571"/>
      <c r="W571"/>
    </row>
    <row r="572" spans="21:23">
      <c r="U572"/>
      <c r="V572"/>
      <c r="W572"/>
    </row>
    <row r="573" spans="21:23">
      <c r="U573"/>
      <c r="V573"/>
      <c r="W573"/>
    </row>
    <row r="574" spans="21:23">
      <c r="U574"/>
      <c r="V574"/>
      <c r="W574"/>
    </row>
    <row r="575" spans="21:23">
      <c r="U575"/>
      <c r="V575"/>
      <c r="W575"/>
    </row>
    <row r="576" spans="21:23">
      <c r="U576"/>
      <c r="V576"/>
      <c r="W576"/>
    </row>
    <row r="577" spans="21:23">
      <c r="U577"/>
      <c r="V577"/>
      <c r="W577"/>
    </row>
    <row r="578" spans="21:23">
      <c r="U578"/>
      <c r="V578"/>
      <c r="W578"/>
    </row>
    <row r="579" spans="21:23">
      <c r="U579"/>
      <c r="V579"/>
      <c r="W579"/>
    </row>
    <row r="580" spans="21:23">
      <c r="U580"/>
      <c r="V580"/>
      <c r="W580"/>
    </row>
    <row r="581" spans="21:23">
      <c r="U581"/>
      <c r="V581"/>
      <c r="W581"/>
    </row>
    <row r="582" spans="21:23">
      <c r="U582"/>
      <c r="V582"/>
      <c r="W582"/>
    </row>
    <row r="583" spans="21:23">
      <c r="U583"/>
      <c r="V583"/>
      <c r="W583"/>
    </row>
    <row r="584" spans="21:23">
      <c r="U584"/>
      <c r="V584"/>
      <c r="W584"/>
    </row>
    <row r="585" spans="21:23">
      <c r="U585"/>
      <c r="V585"/>
      <c r="W585"/>
    </row>
    <row r="586" spans="21:23">
      <c r="U586"/>
      <c r="V586"/>
      <c r="W586"/>
    </row>
    <row r="587" spans="21:23">
      <c r="U587"/>
      <c r="V587"/>
      <c r="W587"/>
    </row>
    <row r="588" spans="21:23">
      <c r="U588"/>
      <c r="V588"/>
      <c r="W588"/>
    </row>
    <row r="589" spans="21:23">
      <c r="U589"/>
      <c r="V589"/>
      <c r="W589"/>
    </row>
  </sheetData>
  <phoneticPr fontId="77" type="noConversion"/>
  <pageMargins left="0.75" right="0.75" top="1" bottom="1" header="0.5" footer="0.5"/>
  <pageSetup orientation="portrait" horizontalDpi="4294967293"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33CCFF"/>
  </sheetPr>
  <dimension ref="A1:DX589"/>
  <sheetViews>
    <sheetView zoomScaleNormal="100" workbookViewId="0">
      <pane xSplit="3" ySplit="2" topLeftCell="Q3" activePane="bottomRight" state="frozen"/>
      <selection activeCell="J116" sqref="J116"/>
      <selection pane="topRight" activeCell="J116" sqref="J116"/>
      <selection pane="bottomLeft" activeCell="J116" sqref="J116"/>
      <selection pane="bottomRight" activeCell="U17" sqref="U17"/>
    </sheetView>
  </sheetViews>
  <sheetFormatPr defaultColWidth="9.140625" defaultRowHeight="12.75"/>
  <cols>
    <col min="1" max="1" width="26.140625" style="1521" customWidth="1"/>
    <col min="2" max="2" width="10.42578125" style="1521" hidden="1" customWidth="1"/>
    <col min="3" max="3" width="30.7109375" style="1522" customWidth="1"/>
    <col min="4" max="4" width="14.85546875" style="1523" customWidth="1"/>
    <col min="5" max="5" width="16" style="1523" customWidth="1"/>
    <col min="6" max="6" width="17.140625" style="1523" customWidth="1"/>
    <col min="7" max="7" width="21.85546875" style="1523" customWidth="1"/>
    <col min="8" max="8" width="20.85546875" style="1523" customWidth="1"/>
    <col min="9" max="9" width="13.42578125" style="1521" customWidth="1"/>
    <col min="10" max="11" width="15.5703125" style="1521" customWidth="1"/>
    <col min="12" max="13" width="15.7109375" style="1521" customWidth="1"/>
    <col min="14" max="16" width="15.28515625" style="1521" customWidth="1"/>
    <col min="17" max="17" width="14.7109375" style="1521" customWidth="1"/>
    <col min="18" max="18" width="14.28515625" style="1521" customWidth="1"/>
    <col min="19" max="19" width="14.7109375" style="1521" customWidth="1"/>
    <col min="20" max="20" width="14.28515625" style="1521" customWidth="1"/>
    <col min="21" max="21" width="17.5703125" style="1524" customWidth="1"/>
    <col min="22" max="22" width="15.85546875" style="1524" customWidth="1"/>
    <col min="23" max="23" width="17.5703125" style="1524" customWidth="1"/>
    <col min="27" max="27" width="12.42578125" style="4234" customWidth="1"/>
    <col min="28" max="28" width="12.5703125" style="4234" customWidth="1"/>
    <col min="29" max="29" width="13.7109375" style="4234" customWidth="1"/>
    <col min="30" max="30" width="14.5703125" style="4234" customWidth="1"/>
    <col min="31" max="32" width="17.5703125" style="4234" customWidth="1"/>
    <col min="33" max="33" width="16.7109375" style="2919" customWidth="1"/>
    <col min="34" max="34" width="22.140625" style="2919" customWidth="1"/>
    <col min="35" max="35" width="17.5703125" style="2919" customWidth="1"/>
    <col min="37" max="167" width="9.5703125" style="1521" customWidth="1"/>
    <col min="168" max="16384" width="9.140625" style="1521"/>
  </cols>
  <sheetData>
    <row r="1" spans="1:128" ht="15">
      <c r="A1" s="1520" t="s">
        <v>416</v>
      </c>
      <c r="H1" s="1711"/>
      <c r="I1" s="1524"/>
      <c r="J1" s="1524"/>
      <c r="K1" s="1524"/>
      <c r="L1" s="1524"/>
      <c r="M1" s="1524"/>
      <c r="N1" s="1524"/>
      <c r="O1" s="1524"/>
      <c r="P1" s="1524"/>
      <c r="Q1" s="1524"/>
      <c r="R1" s="1524"/>
      <c r="S1" s="1524"/>
      <c r="T1" s="1524"/>
    </row>
    <row r="2" spans="1:128" s="1530" customFormat="1" ht="79.5" customHeight="1">
      <c r="A2" s="1525" t="s">
        <v>1396</v>
      </c>
      <c r="B2" s="1526" t="s">
        <v>952</v>
      </c>
      <c r="C2" s="1527" t="s">
        <v>1397</v>
      </c>
      <c r="D2" s="1528" t="str">
        <f>("Generation Turbine"&amp;" "&amp;TEXT(D7,"0.0")&amp;" MW")</f>
        <v>Generation Turbine 49.9 MW</v>
      </c>
      <c r="E2" s="1528" t="str">
        <f>("Generation Turbine"&amp;" "&amp;TEXT(E7,"0")&amp;" MW")</f>
        <v>Generation Turbine 100 MW</v>
      </c>
      <c r="F2" s="1528" t="str">
        <f>("Generation Turbine - Advanced"&amp;" "&amp;TEXT(F7,"0")&amp;" MW")</f>
        <v>Generation Turbine - Advanced 200 MW</v>
      </c>
      <c r="G2" s="1528" t="str">
        <f>("Combined Cycle - 2 CTs No Duct Firing"&amp;" "&amp;TEXT(G7,"0")&amp;" MW")</f>
        <v>Combined Cycle - 2 CTs No Duct Firing 500 MW</v>
      </c>
      <c r="H2" s="1528" t="str">
        <f>("Combined Cycle - 2 CTs With Duct Firing"&amp;" "&amp;TEXT(H7,"0")&amp;" MW")</f>
        <v>Combined Cycle - 2 CTs With Duct Firing 550 MW</v>
      </c>
      <c r="I2" s="3014" t="str">
        <f>("Biomass Fluidized Bed Boiler"&amp;" "&amp;TEXT(I7,0)&amp;" MW")</f>
        <v>Biomass Fluidized Bed Boiler 50 MW</v>
      </c>
      <c r="J2" s="3011" t="str">
        <f>("Geothermal  Binary"&amp;" "&amp;TEXT(J7,0)&amp;" MW")</f>
        <v>Geothermal  Binary 30 MW</v>
      </c>
      <c r="K2" s="3011" t="str">
        <f>("Geothermal  Flash"&amp;" "&amp;TEXT(K7,0)&amp;" MW")</f>
        <v>Geothermal  Flash 30 MW</v>
      </c>
      <c r="L2" s="3013" t="str">
        <f>("Solar Parabolic Trough W/O Storage" &amp;" "&amp;TEXT(L7,0)&amp;" MW")</f>
        <v>Solar Parabolic Trough W/O Storage 250 MW</v>
      </c>
      <c r="M2" s="3013" t="str">
        <f>("Solar Parabolic Trough With Storage"&amp;" "&amp;TEXT(M7,0)&amp;" MW")</f>
        <v>Solar Parabolic Trough With Storage 250 MW</v>
      </c>
      <c r="N2" s="3013" t="str">
        <f>("Solar Power Tower W/O Storage"&amp;" "&amp;TEXT(N7,0)&amp;" MW")</f>
        <v>Solar Power Tower W/O Storage 100 MW</v>
      </c>
      <c r="O2" s="3013" t="str">
        <f>("Solar Power Tower With Storage"&amp;" "&amp;TEXT(O7,0)&amp;" MW 6 HRs")</f>
        <v>Solar Power Tower With Storage 100 MW 6 HRs</v>
      </c>
      <c r="P2" s="3013" t="str">
        <f>("Solar Power Tower With Storage"&amp;" "&amp;TEXT(P7,0)&amp;" MW 11 HRs")</f>
        <v>Solar Power Tower With Storage 100 MW 11 HRs</v>
      </c>
      <c r="Q2" s="3013" t="str">
        <f>("Solar Photovoltaic (Thin-Film)"&amp;" "&amp;TEXT(Q7,0)&amp;" MW")</f>
        <v>Solar Photovoltaic (Thin-Film) 100 MW</v>
      </c>
      <c r="R2" s="3013" t="str">
        <f>("Solar Photovoltaic (Single Axis)"&amp;" "&amp;TEXT(R7,0)&amp;" MW")</f>
        <v>Solar Photovoltaic (Single Axis) 100 MW</v>
      </c>
      <c r="S2" s="3013" t="str">
        <f>("Solar Photovoltaic (Thin-Film)"&amp;" "&amp;TEXT(S7,0)&amp;" MW")</f>
        <v>Solar Photovoltaic (Thin-Film) 20 MW</v>
      </c>
      <c r="T2" s="3013" t="str">
        <f>("Solar Photovoltaic (Single Axis)"&amp;" "&amp;TEXT(T7,0)&amp;" MW")</f>
        <v>Solar Photovoltaic (Single Axis) 20 MW</v>
      </c>
      <c r="U2" s="3010" t="str">
        <f>("Wind - Class 3"&amp;" "&amp;TEXT(U7,0)&amp;" MW")</f>
        <v>Wind - Class 3 100 MW</v>
      </c>
      <c r="V2" s="3010" t="str">
        <f>("Wind - Class 4"&amp;" "&amp;TEXT(V7,0)&amp;" MW")</f>
        <v>Wind - Class 4 100 MW</v>
      </c>
      <c r="W2" s="1529"/>
      <c r="AA2" s="4235"/>
      <c r="AB2" s="4235"/>
      <c r="AC2" s="4235"/>
      <c r="AD2" s="4235"/>
      <c r="AE2" s="4235"/>
      <c r="AF2" s="4235"/>
      <c r="AG2" s="4236"/>
      <c r="AH2" s="4236"/>
      <c r="AI2" s="4236"/>
    </row>
    <row r="3" spans="1:128" s="1532" customFormat="1" ht="51" customHeight="1">
      <c r="A3" s="1531" t="s">
        <v>297</v>
      </c>
      <c r="B3" s="1532" t="s">
        <v>680</v>
      </c>
      <c r="C3" s="1533" t="s">
        <v>1152</v>
      </c>
      <c r="D3" s="3252" t="s">
        <v>1909</v>
      </c>
      <c r="E3" s="3252" t="s">
        <v>1910</v>
      </c>
      <c r="F3" s="3252" t="s">
        <v>1911</v>
      </c>
      <c r="G3" s="3252" t="s">
        <v>1912</v>
      </c>
      <c r="H3" s="3252" t="s">
        <v>1913</v>
      </c>
      <c r="I3" s="3252" t="s">
        <v>1713</v>
      </c>
      <c r="J3" s="3252" t="s">
        <v>1782</v>
      </c>
      <c r="K3" s="3252" t="s">
        <v>1782</v>
      </c>
      <c r="L3" s="3253" t="s">
        <v>1784</v>
      </c>
      <c r="M3" s="3253" t="s">
        <v>1783</v>
      </c>
      <c r="N3" s="3253" t="s">
        <v>1783</v>
      </c>
      <c r="O3" s="3253" t="s">
        <v>1882</v>
      </c>
      <c r="P3" s="3253" t="s">
        <v>1882</v>
      </c>
      <c r="Q3" s="3255" t="s">
        <v>2053</v>
      </c>
      <c r="R3" s="3252" t="s">
        <v>2054</v>
      </c>
      <c r="S3" s="3255" t="s">
        <v>2053</v>
      </c>
      <c r="T3" s="3252" t="s">
        <v>2054</v>
      </c>
      <c r="U3" s="3252" t="s">
        <v>2052</v>
      </c>
      <c r="V3" s="3252" t="s">
        <v>2052</v>
      </c>
      <c r="W3" s="1534"/>
      <c r="AA3" s="4237"/>
      <c r="AB3" s="4237"/>
      <c r="AC3" s="4237"/>
      <c r="AD3" s="4237"/>
      <c r="AE3" s="4237"/>
      <c r="AF3" s="4237"/>
      <c r="AG3" s="3256"/>
      <c r="AH3" s="3256"/>
      <c r="AI3" s="3256"/>
    </row>
    <row r="4" spans="1:128" s="1536" customFormat="1" ht="13.7" customHeight="1">
      <c r="A4" s="1535" t="s">
        <v>1077</v>
      </c>
      <c r="C4" s="1537" t="s">
        <v>962</v>
      </c>
      <c r="D4" s="2778">
        <v>2011</v>
      </c>
      <c r="E4" s="2778">
        <v>2011</v>
      </c>
      <c r="F4" s="2778">
        <v>2011</v>
      </c>
      <c r="G4" s="2778">
        <v>2011</v>
      </c>
      <c r="H4" s="2778">
        <v>2011</v>
      </c>
      <c r="I4" s="2778">
        <v>2011</v>
      </c>
      <c r="J4" s="2778">
        <v>2011</v>
      </c>
      <c r="K4" s="2778">
        <v>2011</v>
      </c>
      <c r="L4" s="2778">
        <v>2011</v>
      </c>
      <c r="M4" s="2778">
        <v>2011</v>
      </c>
      <c r="N4" s="2778">
        <v>2011</v>
      </c>
      <c r="O4" s="2778">
        <v>2011</v>
      </c>
      <c r="P4" s="2778">
        <v>2011</v>
      </c>
      <c r="Q4" s="2778">
        <v>2011</v>
      </c>
      <c r="R4" s="2778">
        <v>2011</v>
      </c>
      <c r="S4" s="2778">
        <v>2011</v>
      </c>
      <c r="T4" s="2778">
        <v>2011</v>
      </c>
      <c r="U4" s="2778">
        <v>2011</v>
      </c>
      <c r="V4" s="2778">
        <v>2011</v>
      </c>
      <c r="W4" s="1538"/>
      <c r="AA4" s="1559"/>
      <c r="AB4" s="1559"/>
      <c r="AC4" s="1559"/>
      <c r="AD4" s="1559"/>
      <c r="AE4" s="1559"/>
      <c r="AF4" s="1559"/>
      <c r="AG4" s="2920"/>
      <c r="AH4" s="2920"/>
      <c r="AI4" s="2920"/>
    </row>
    <row r="5" spans="1:128" s="1536" customFormat="1" ht="13.7" customHeight="1">
      <c r="A5" s="1540" t="s">
        <v>1140</v>
      </c>
      <c r="B5" s="1541"/>
      <c r="C5" s="1542" t="s">
        <v>157</v>
      </c>
      <c r="D5" s="1537" t="s">
        <v>165</v>
      </c>
      <c r="E5" s="1537" t="s">
        <v>165</v>
      </c>
      <c r="F5" s="1537" t="s">
        <v>165</v>
      </c>
      <c r="G5" s="1537" t="s">
        <v>165</v>
      </c>
      <c r="H5" s="1537" t="s">
        <v>165</v>
      </c>
      <c r="I5" s="2779" t="s">
        <v>282</v>
      </c>
      <c r="J5" s="2779" t="s">
        <v>551</v>
      </c>
      <c r="K5" s="2779" t="s">
        <v>551</v>
      </c>
      <c r="L5" s="3012" t="s">
        <v>132</v>
      </c>
      <c r="M5" s="3012" t="s">
        <v>132</v>
      </c>
      <c r="N5" s="3012" t="s">
        <v>132</v>
      </c>
      <c r="O5" s="3012" t="s">
        <v>132</v>
      </c>
      <c r="P5" s="3012" t="s">
        <v>132</v>
      </c>
      <c r="Q5" s="2779" t="s">
        <v>132</v>
      </c>
      <c r="R5" s="2779" t="s">
        <v>132</v>
      </c>
      <c r="S5" s="2779" t="s">
        <v>132</v>
      </c>
      <c r="T5" s="2779" t="s">
        <v>132</v>
      </c>
      <c r="U5" s="2773" t="s">
        <v>131</v>
      </c>
      <c r="V5" s="2773" t="s">
        <v>131</v>
      </c>
      <c r="W5" s="1537"/>
      <c r="AA5" s="1544"/>
      <c r="AB5" s="1544"/>
      <c r="AC5" s="1544"/>
      <c r="AD5" s="1544"/>
      <c r="AE5" s="1544"/>
      <c r="AF5" s="1544"/>
      <c r="AG5" s="2921"/>
      <c r="AH5" s="2921"/>
      <c r="AI5" s="2921"/>
    </row>
    <row r="6" spans="1:128" s="1536" customFormat="1" ht="14.25">
      <c r="A6" s="4203"/>
      <c r="B6" s="1538"/>
      <c r="C6" s="1608" t="s">
        <v>1282</v>
      </c>
      <c r="D6" s="1538"/>
      <c r="E6" s="1538"/>
      <c r="F6" s="1538"/>
      <c r="G6" s="1538"/>
      <c r="H6" s="1538"/>
      <c r="I6" s="1538"/>
      <c r="J6" s="1538"/>
      <c r="K6" s="1538"/>
      <c r="L6" s="1538"/>
      <c r="M6" s="1538"/>
      <c r="N6" s="1538"/>
      <c r="O6" s="1538"/>
      <c r="P6" s="1538"/>
      <c r="Q6" s="1538"/>
      <c r="R6" s="1538"/>
      <c r="S6" s="1538"/>
      <c r="T6" s="1538"/>
      <c r="U6" s="3004"/>
      <c r="V6" s="3004"/>
      <c r="W6" s="1538"/>
      <c r="AA6" s="1559"/>
      <c r="AB6" s="1559"/>
      <c r="AC6" s="1559"/>
      <c r="AD6" s="1559"/>
      <c r="AE6" s="1559"/>
      <c r="AF6" s="1559"/>
      <c r="AG6" s="2920"/>
      <c r="AH6" s="2920"/>
      <c r="AI6" s="2920"/>
    </row>
    <row r="7" spans="1:128" s="1536" customFormat="1" ht="14.25">
      <c r="A7" s="1545" t="s">
        <v>797</v>
      </c>
      <c r="B7" s="1546" t="s">
        <v>681</v>
      </c>
      <c r="C7" s="1548" t="s">
        <v>419</v>
      </c>
      <c r="D7" s="1538">
        <v>49.9</v>
      </c>
      <c r="E7" s="1538">
        <v>100</v>
      </c>
      <c r="F7" s="1538">
        <v>200</v>
      </c>
      <c r="G7" s="1538">
        <v>500</v>
      </c>
      <c r="H7" s="1538">
        <f>ROUND(G7/(1-0.091),0)</f>
        <v>550</v>
      </c>
      <c r="I7" s="4126">
        <v>50</v>
      </c>
      <c r="J7" s="4126">
        <v>30</v>
      </c>
      <c r="K7" s="4126">
        <v>30</v>
      </c>
      <c r="L7" s="3004">
        <v>250</v>
      </c>
      <c r="M7" s="3004">
        <v>250</v>
      </c>
      <c r="N7" s="3004">
        <v>100</v>
      </c>
      <c r="O7" s="3004">
        <v>100</v>
      </c>
      <c r="P7" s="3004">
        <v>100</v>
      </c>
      <c r="Q7" s="3004">
        <v>100</v>
      </c>
      <c r="R7" s="3004">
        <v>100</v>
      </c>
      <c r="S7" s="3004">
        <v>20</v>
      </c>
      <c r="T7" s="3004">
        <v>20</v>
      </c>
      <c r="U7" s="3004">
        <v>100</v>
      </c>
      <c r="V7" s="3004">
        <v>100</v>
      </c>
      <c r="W7" s="1538"/>
      <c r="AA7" s="1559"/>
      <c r="AB7" s="1559"/>
      <c r="AC7" s="1559"/>
      <c r="AD7" s="1559"/>
      <c r="AE7" s="1559"/>
      <c r="AF7" s="1559"/>
      <c r="AG7" s="2920"/>
      <c r="AH7" s="2920"/>
      <c r="AI7" s="2920"/>
    </row>
    <row r="8" spans="1:128" s="1551" customFormat="1" ht="14.25">
      <c r="A8" s="1545" t="s">
        <v>1375</v>
      </c>
      <c r="B8" s="1546" t="s">
        <v>682</v>
      </c>
      <c r="C8" s="1548" t="s">
        <v>1374</v>
      </c>
      <c r="D8" s="1549">
        <v>3.4000000000000002E-2</v>
      </c>
      <c r="E8" s="1549">
        <v>3.4000000000000002E-2</v>
      </c>
      <c r="F8" s="1549">
        <v>3.4000000000000002E-2</v>
      </c>
      <c r="G8" s="1586">
        <v>2.9000000000000001E-2</v>
      </c>
      <c r="H8" s="1586">
        <v>2.9000000000000001E-2</v>
      </c>
      <c r="I8" s="4127">
        <v>0.04</v>
      </c>
      <c r="J8" s="4127">
        <v>0.115</v>
      </c>
      <c r="K8" s="4127">
        <v>0.17</v>
      </c>
      <c r="L8" s="4127">
        <v>0.1071</v>
      </c>
      <c r="M8" s="4127">
        <v>0.1071</v>
      </c>
      <c r="N8" s="4127">
        <v>0.12</v>
      </c>
      <c r="O8" s="4127">
        <v>0.12</v>
      </c>
      <c r="P8" s="4127">
        <v>0.125</v>
      </c>
      <c r="Q8" s="4128">
        <v>1.4999999999999999E-2</v>
      </c>
      <c r="R8" s="4128">
        <v>0.03</v>
      </c>
      <c r="S8" s="4128">
        <v>1.4999999999999999E-2</v>
      </c>
      <c r="T8" s="4128">
        <v>0.03</v>
      </c>
      <c r="U8" s="4128">
        <v>0.02</v>
      </c>
      <c r="V8" s="4128">
        <v>0.02</v>
      </c>
      <c r="W8" s="1549"/>
      <c r="AA8" s="1555"/>
      <c r="AB8" s="1555"/>
      <c r="AC8" s="1555"/>
      <c r="AD8" s="1555"/>
      <c r="AE8" s="1555"/>
      <c r="AF8" s="1555"/>
      <c r="AG8" s="2922"/>
      <c r="AH8" s="2922"/>
      <c r="AI8" s="2922"/>
      <c r="AK8" s="1550"/>
      <c r="AL8" s="1550"/>
      <c r="AM8" s="1550"/>
      <c r="AN8" s="1550"/>
      <c r="AO8" s="1550"/>
      <c r="AP8" s="1550"/>
      <c r="AQ8" s="1550"/>
      <c r="AR8" s="1550"/>
      <c r="AS8" s="1550"/>
      <c r="AT8" s="1550"/>
      <c r="AU8" s="1550"/>
      <c r="AV8" s="1550"/>
      <c r="AW8" s="1550"/>
      <c r="AX8" s="1550"/>
      <c r="AY8" s="1550"/>
      <c r="AZ8" s="1550"/>
      <c r="BA8" s="1550"/>
      <c r="BB8" s="1550"/>
      <c r="BC8" s="1550"/>
      <c r="BD8" s="1550"/>
      <c r="BE8" s="1550"/>
      <c r="BF8" s="1550"/>
      <c r="BG8" s="1550"/>
      <c r="BH8" s="1550"/>
      <c r="BI8" s="1550"/>
      <c r="BJ8" s="1550"/>
      <c r="BK8" s="1550"/>
      <c r="BL8" s="1550"/>
      <c r="BM8" s="1550"/>
      <c r="BN8" s="1550"/>
      <c r="BO8" s="1550"/>
      <c r="BP8" s="1550"/>
      <c r="BQ8" s="1550"/>
      <c r="BR8" s="1550"/>
      <c r="BS8" s="1550"/>
      <c r="BT8" s="1550"/>
      <c r="BU8" s="1550"/>
      <c r="BV8" s="1550"/>
      <c r="BW8" s="1550"/>
      <c r="BX8" s="1550"/>
      <c r="BY8" s="1550"/>
      <c r="BZ8" s="1550"/>
      <c r="CA8" s="1550"/>
      <c r="CB8" s="1550"/>
      <c r="CC8" s="1550"/>
      <c r="CD8" s="1550"/>
      <c r="CE8" s="1550"/>
      <c r="CF8" s="1550"/>
      <c r="CG8" s="1550"/>
      <c r="CH8" s="1550"/>
      <c r="CI8" s="1550"/>
      <c r="CJ8" s="1550"/>
      <c r="CK8" s="1550"/>
      <c r="CL8" s="1550"/>
      <c r="CM8" s="1550"/>
      <c r="CN8" s="1550"/>
      <c r="CO8" s="1550"/>
      <c r="CP8" s="1550"/>
      <c r="CQ8" s="1550"/>
      <c r="CR8" s="1550"/>
      <c r="CS8" s="1550"/>
      <c r="CT8" s="1550"/>
      <c r="CU8" s="1550"/>
      <c r="CV8" s="1550"/>
      <c r="CW8" s="1550"/>
      <c r="CX8" s="1550"/>
      <c r="CY8" s="1550"/>
      <c r="CZ8" s="1550"/>
      <c r="DA8" s="1550"/>
      <c r="DB8" s="1550"/>
      <c r="DC8" s="1550"/>
      <c r="DD8" s="1550"/>
      <c r="DE8" s="1550"/>
      <c r="DF8" s="1550"/>
      <c r="DG8" s="1550"/>
      <c r="DH8" s="1550"/>
      <c r="DI8" s="1550"/>
      <c r="DJ8" s="1550"/>
      <c r="DK8" s="1550"/>
      <c r="DL8" s="1550"/>
      <c r="DM8" s="1550"/>
      <c r="DN8" s="1550"/>
      <c r="DO8" s="1550"/>
      <c r="DP8" s="1550"/>
      <c r="DQ8" s="1550"/>
      <c r="DR8" s="1550"/>
      <c r="DS8" s="1550"/>
      <c r="DT8" s="1550"/>
      <c r="DU8" s="1550"/>
      <c r="DV8" s="1550"/>
      <c r="DW8" s="1550"/>
      <c r="DX8" s="1550"/>
    </row>
    <row r="9" spans="1:128" s="1536" customFormat="1" ht="14.25">
      <c r="A9" s="1545" t="s">
        <v>798</v>
      </c>
      <c r="B9" s="1552" t="s">
        <v>685</v>
      </c>
      <c r="C9" s="1548" t="s">
        <v>96</v>
      </c>
      <c r="D9" s="4107">
        <f>IF(OwnerType="POU",0.082%,IF(OwnerType="IOU",0.011%,0.055%))</f>
        <v>5.5000000000000003E-4</v>
      </c>
      <c r="E9" s="4107">
        <f>IF(OwnerType="POU",0.082%,IF(OwnerType="IOU",0.011%,0.055%))</f>
        <v>5.5000000000000003E-4</v>
      </c>
      <c r="F9" s="4107">
        <f>IF(OwnerType="POU",0.124%,IF(OwnerType="IOU",0.016%,0.082%))</f>
        <v>8.1999999999999998E-4</v>
      </c>
      <c r="G9" s="4107">
        <v>1.7799999999999999E-3</v>
      </c>
      <c r="H9" s="4117">
        <v>1.7799999999999999E-3</v>
      </c>
      <c r="I9" s="1553">
        <v>1E-3</v>
      </c>
      <c r="J9" s="4127">
        <v>5.0000000000000001E-3</v>
      </c>
      <c r="K9" s="4127">
        <v>5.0000000000000001E-3</v>
      </c>
      <c r="L9" s="4127">
        <v>5.0000000000000001E-3</v>
      </c>
      <c r="M9" s="4127">
        <v>5.0000000000000001E-3</v>
      </c>
      <c r="N9" s="4127">
        <v>5.0000000000000001E-3</v>
      </c>
      <c r="O9" s="4127">
        <v>5.0000000000000001E-3</v>
      </c>
      <c r="P9" s="4127">
        <v>5.0000000000000001E-3</v>
      </c>
      <c r="Q9" s="4129">
        <v>9.4999999999999998E-3</v>
      </c>
      <c r="R9" s="4129">
        <v>5.4999999999999997E-3</v>
      </c>
      <c r="S9" s="4129">
        <v>9.4999999999999998E-3</v>
      </c>
      <c r="T9" s="4129">
        <v>5.4999999999999997E-3</v>
      </c>
      <c r="U9" s="4130">
        <v>3.0000000000000001E-3</v>
      </c>
      <c r="V9" s="4130">
        <v>3.0000000000000001E-3</v>
      </c>
      <c r="W9" s="1553"/>
      <c r="AA9" s="1554"/>
      <c r="AB9" s="1554"/>
      <c r="AC9" s="1554"/>
      <c r="AD9" s="1555"/>
      <c r="AE9" s="1554"/>
      <c r="AF9" s="1554"/>
      <c r="AG9" s="2923"/>
      <c r="AH9" s="2923"/>
      <c r="AI9" s="2923"/>
    </row>
    <row r="10" spans="1:128" s="1536" customFormat="1">
      <c r="A10" s="2983" t="s">
        <v>1776</v>
      </c>
      <c r="B10" s="2984"/>
      <c r="C10" s="2985" t="s">
        <v>1769</v>
      </c>
      <c r="D10" s="3248">
        <v>0.33</v>
      </c>
      <c r="E10" s="3248">
        <v>0.33</v>
      </c>
      <c r="F10" s="3248">
        <v>0.33</v>
      </c>
      <c r="G10" s="3248">
        <v>0.33</v>
      </c>
      <c r="H10" s="1575">
        <v>0.33</v>
      </c>
      <c r="I10" s="1568">
        <v>0.4</v>
      </c>
      <c r="J10" s="1568">
        <v>0.4</v>
      </c>
      <c r="K10" s="1568">
        <v>0.4</v>
      </c>
      <c r="L10" s="1568">
        <v>0.4</v>
      </c>
      <c r="M10" s="1568">
        <v>0.4</v>
      </c>
      <c r="N10" s="1568">
        <v>0.4</v>
      </c>
      <c r="O10" s="1568">
        <v>0.4</v>
      </c>
      <c r="P10" s="1568">
        <v>0.4</v>
      </c>
      <c r="Q10" s="1568">
        <v>0.4</v>
      </c>
      <c r="R10" s="1568">
        <v>0.4</v>
      </c>
      <c r="S10" s="1568">
        <v>0.4</v>
      </c>
      <c r="T10" s="1568">
        <v>0.4</v>
      </c>
      <c r="U10" s="1568">
        <v>0.4</v>
      </c>
      <c r="V10" s="1568">
        <v>0.4</v>
      </c>
      <c r="W10" s="1553"/>
      <c r="AA10" s="1554"/>
      <c r="AB10" s="1554"/>
      <c r="AC10" s="1554"/>
      <c r="AD10" s="1555"/>
      <c r="AE10" s="1554"/>
      <c r="AF10" s="1554"/>
      <c r="AG10" s="2923"/>
      <c r="AH10" s="2923"/>
      <c r="AI10" s="2923"/>
    </row>
    <row r="11" spans="1:128" s="1536" customFormat="1">
      <c r="A11" s="2983" t="s">
        <v>1775</v>
      </c>
      <c r="B11" s="2984"/>
      <c r="C11" s="2985" t="s">
        <v>1878</v>
      </c>
      <c r="D11" s="1549">
        <v>2.8500000000000001E-2</v>
      </c>
      <c r="E11" s="1549">
        <v>2.8500000000000001E-2</v>
      </c>
      <c r="F11" s="1549">
        <v>2.8500000000000001E-2</v>
      </c>
      <c r="G11" s="1549">
        <v>2.8500000000000001E-2</v>
      </c>
      <c r="H11" s="1549">
        <v>2.8500000000000001E-2</v>
      </c>
      <c r="I11" s="1553">
        <f>0.4%+$L$11</f>
        <v>3.9000000000000007E-2</v>
      </c>
      <c r="J11" s="1553">
        <f>0.4%+$L$11</f>
        <v>3.9000000000000007E-2</v>
      </c>
      <c r="K11" s="1553">
        <f>0.4%+$L$11</f>
        <v>3.9000000000000007E-2</v>
      </c>
      <c r="L11" s="4131">
        <v>3.5000000000000003E-2</v>
      </c>
      <c r="M11" s="4131">
        <v>3.5000000000000003E-2</v>
      </c>
      <c r="N11" s="4131">
        <v>3.5000000000000003E-2</v>
      </c>
      <c r="O11" s="4131">
        <v>3.5000000000000003E-2</v>
      </c>
      <c r="P11" s="4131">
        <v>3.5000000000000003E-2</v>
      </c>
      <c r="Q11" s="4131">
        <v>3.5000000000000003E-2</v>
      </c>
      <c r="R11" s="4131">
        <v>3.5000000000000003E-2</v>
      </c>
      <c r="S11" s="4131">
        <v>3.5000000000000003E-2</v>
      </c>
      <c r="T11" s="4131">
        <v>3.5000000000000003E-2</v>
      </c>
      <c r="U11" s="4131">
        <v>3.5000000000000003E-2</v>
      </c>
      <c r="V11" s="4131">
        <v>3.5000000000000003E-2</v>
      </c>
      <c r="W11" s="1553"/>
      <c r="AA11" s="1554"/>
      <c r="AB11" s="1554"/>
      <c r="AC11" s="1554"/>
      <c r="AD11" s="1555"/>
      <c r="AE11" s="1554"/>
      <c r="AF11" s="1554"/>
      <c r="AG11" s="2923"/>
      <c r="AH11" s="2923"/>
      <c r="AI11" s="2923"/>
    </row>
    <row r="12" spans="1:128" s="1536" customFormat="1" ht="14.25">
      <c r="A12" s="2983" t="s">
        <v>1774</v>
      </c>
      <c r="B12" s="2984"/>
      <c r="C12" s="2985" t="s">
        <v>1770</v>
      </c>
      <c r="D12" s="2995">
        <v>1.37</v>
      </c>
      <c r="E12" s="2995">
        <v>1.37</v>
      </c>
      <c r="F12" s="2995">
        <v>1.37</v>
      </c>
      <c r="G12" s="2995">
        <v>1.37</v>
      </c>
      <c r="H12" s="2995">
        <v>1.37</v>
      </c>
      <c r="I12" s="1924">
        <v>1.7149999999999999</v>
      </c>
      <c r="J12" s="4132">
        <v>1.79</v>
      </c>
      <c r="K12" s="4132">
        <v>1.79</v>
      </c>
      <c r="L12" s="4132">
        <v>1.345</v>
      </c>
      <c r="M12" s="4132">
        <v>1.345</v>
      </c>
      <c r="N12" s="4132">
        <v>1.345</v>
      </c>
      <c r="O12" s="4132">
        <v>1.345</v>
      </c>
      <c r="P12" s="4132">
        <v>1.345</v>
      </c>
      <c r="Q12" s="4133">
        <v>1.345</v>
      </c>
      <c r="R12" s="4133">
        <v>1.345</v>
      </c>
      <c r="S12" s="4133">
        <v>1.345</v>
      </c>
      <c r="T12" s="4133">
        <v>1.345</v>
      </c>
      <c r="U12" s="4134">
        <v>1.345</v>
      </c>
      <c r="V12" s="4134">
        <v>1.345</v>
      </c>
      <c r="W12" s="1553"/>
      <c r="AA12" s="1554"/>
      <c r="AB12" s="1554"/>
      <c r="AC12" s="1554"/>
      <c r="AD12" s="1555"/>
      <c r="AE12" s="1554"/>
      <c r="AF12" s="1554"/>
      <c r="AG12" s="2923"/>
      <c r="AH12" s="2923"/>
      <c r="AI12" s="2923"/>
    </row>
    <row r="13" spans="1:128" s="1536" customFormat="1" ht="14.25">
      <c r="A13" s="2983" t="s">
        <v>1773</v>
      </c>
      <c r="B13" s="2984"/>
      <c r="C13" s="2985" t="s">
        <v>1771</v>
      </c>
      <c r="D13" s="2995">
        <v>1.37</v>
      </c>
      <c r="E13" s="2995">
        <v>1.37</v>
      </c>
      <c r="F13" s="2995">
        <v>1.37</v>
      </c>
      <c r="G13" s="2995">
        <v>1.37</v>
      </c>
      <c r="H13" s="2995">
        <v>1.37</v>
      </c>
      <c r="I13" s="1924">
        <v>1.7149999999999999</v>
      </c>
      <c r="J13" s="4132">
        <v>1.79</v>
      </c>
      <c r="K13" s="4132">
        <v>1.79</v>
      </c>
      <c r="L13" s="4132">
        <v>1.27</v>
      </c>
      <c r="M13" s="4132">
        <v>1.27</v>
      </c>
      <c r="N13" s="4132">
        <v>1.27</v>
      </c>
      <c r="O13" s="4132">
        <v>1.27</v>
      </c>
      <c r="P13" s="4132">
        <v>1.27</v>
      </c>
      <c r="Q13" s="4133">
        <v>1.27</v>
      </c>
      <c r="R13" s="4133">
        <v>1.27</v>
      </c>
      <c r="S13" s="4133">
        <v>1.27</v>
      </c>
      <c r="T13" s="4133">
        <v>1.27</v>
      </c>
      <c r="U13" s="4134">
        <v>1.27</v>
      </c>
      <c r="V13" s="4134">
        <v>1.27</v>
      </c>
      <c r="W13" s="1553"/>
      <c r="AA13" s="1554"/>
      <c r="AB13" s="1554"/>
      <c r="AC13" s="1554"/>
      <c r="AD13" s="1555"/>
      <c r="AE13" s="1554"/>
      <c r="AF13" s="1554"/>
      <c r="AG13" s="2923"/>
      <c r="AH13" s="2923"/>
      <c r="AI13" s="2923"/>
    </row>
    <row r="14" spans="1:128" s="1536" customFormat="1">
      <c r="A14" s="2989" t="s">
        <v>799</v>
      </c>
      <c r="B14" s="2990" t="s">
        <v>686</v>
      </c>
      <c r="C14" s="2991" t="s">
        <v>1772</v>
      </c>
      <c r="D14" s="4204">
        <v>10</v>
      </c>
      <c r="E14" s="4204">
        <v>10</v>
      </c>
      <c r="F14" s="4204">
        <v>10</v>
      </c>
      <c r="G14" s="4204">
        <v>10</v>
      </c>
      <c r="H14" s="1538">
        <v>10</v>
      </c>
      <c r="I14" s="1538">
        <f>I15-10</f>
        <v>20</v>
      </c>
      <c r="J14" s="1538">
        <f t="shared" ref="J14:V14" si="0">J15-10</f>
        <v>20</v>
      </c>
      <c r="K14" s="1538">
        <f t="shared" si="0"/>
        <v>20</v>
      </c>
      <c r="L14" s="1538">
        <f t="shared" si="0"/>
        <v>20</v>
      </c>
      <c r="M14" s="1538">
        <f t="shared" si="0"/>
        <v>20</v>
      </c>
      <c r="N14" s="1538">
        <f t="shared" si="0"/>
        <v>20</v>
      </c>
      <c r="O14" s="1538">
        <f t="shared" si="0"/>
        <v>20</v>
      </c>
      <c r="P14" s="1538">
        <f t="shared" si="0"/>
        <v>20</v>
      </c>
      <c r="Q14" s="1538">
        <f t="shared" si="0"/>
        <v>20</v>
      </c>
      <c r="R14" s="1538">
        <f t="shared" si="0"/>
        <v>20</v>
      </c>
      <c r="S14" s="1538">
        <f t="shared" si="0"/>
        <v>20</v>
      </c>
      <c r="T14" s="1538">
        <f t="shared" si="0"/>
        <v>20</v>
      </c>
      <c r="U14" s="1538">
        <f t="shared" si="0"/>
        <v>20</v>
      </c>
      <c r="V14" s="1538">
        <f t="shared" si="0"/>
        <v>20</v>
      </c>
      <c r="W14" s="1538"/>
      <c r="AA14" s="1559"/>
      <c r="AB14" s="1559"/>
      <c r="AC14" s="1559"/>
      <c r="AD14" s="1559"/>
      <c r="AE14" s="1559"/>
      <c r="AF14" s="1559"/>
      <c r="AG14" s="2920"/>
      <c r="AH14" s="2920"/>
      <c r="AI14" s="2920"/>
    </row>
    <row r="15" spans="1:128" s="1536" customFormat="1">
      <c r="A15" s="2989" t="s">
        <v>800</v>
      </c>
      <c r="B15" s="2990" t="s">
        <v>687</v>
      </c>
      <c r="C15" s="2991" t="s">
        <v>115</v>
      </c>
      <c r="D15" s="4204">
        <v>30</v>
      </c>
      <c r="E15" s="4204">
        <v>30</v>
      </c>
      <c r="F15" s="4204">
        <v>30</v>
      </c>
      <c r="G15" s="4204">
        <v>30</v>
      </c>
      <c r="H15" s="1538">
        <v>30</v>
      </c>
      <c r="I15" s="1538">
        <v>30</v>
      </c>
      <c r="J15" s="1538">
        <v>30</v>
      </c>
      <c r="K15" s="1538">
        <v>30</v>
      </c>
      <c r="L15" s="1538">
        <v>30</v>
      </c>
      <c r="M15" s="1538">
        <v>30</v>
      </c>
      <c r="N15" s="1538">
        <v>30</v>
      </c>
      <c r="O15" s="1538">
        <v>30</v>
      </c>
      <c r="P15" s="1538">
        <v>30</v>
      </c>
      <c r="Q15" s="1538">
        <v>30</v>
      </c>
      <c r="R15" s="1538">
        <v>30</v>
      </c>
      <c r="S15" s="1538">
        <v>30</v>
      </c>
      <c r="T15" s="1538">
        <v>30</v>
      </c>
      <c r="U15" s="1538">
        <v>30</v>
      </c>
      <c r="V15" s="1538">
        <v>30</v>
      </c>
      <c r="W15" s="1538"/>
      <c r="AA15" s="1559"/>
      <c r="AB15" s="1559"/>
      <c r="AC15" s="1559"/>
      <c r="AD15" s="1559"/>
      <c r="AE15" s="1559"/>
      <c r="AF15" s="1559"/>
      <c r="AG15" s="2920"/>
      <c r="AH15" s="2920"/>
      <c r="AI15" s="2920"/>
    </row>
    <row r="16" spans="1:128" s="1536" customFormat="1">
      <c r="A16" s="2989" t="s">
        <v>801</v>
      </c>
      <c r="B16" s="2990" t="s">
        <v>688</v>
      </c>
      <c r="C16" s="2991" t="s">
        <v>1287</v>
      </c>
      <c r="D16" s="1538">
        <v>15</v>
      </c>
      <c r="E16" s="1538">
        <v>15</v>
      </c>
      <c r="F16" s="1538">
        <v>15</v>
      </c>
      <c r="G16" s="1538">
        <v>20</v>
      </c>
      <c r="H16" s="1538">
        <v>20</v>
      </c>
      <c r="I16" s="1538">
        <v>5</v>
      </c>
      <c r="J16" s="1538">
        <v>5</v>
      </c>
      <c r="K16" s="1538">
        <v>5</v>
      </c>
      <c r="L16" s="1538">
        <v>5</v>
      </c>
      <c r="M16" s="1538">
        <v>5</v>
      </c>
      <c r="N16" s="1538">
        <v>5</v>
      </c>
      <c r="O16" s="1538">
        <v>5</v>
      </c>
      <c r="P16" s="1538">
        <v>5</v>
      </c>
      <c r="Q16" s="1538">
        <v>5</v>
      </c>
      <c r="R16" s="1538">
        <v>5</v>
      </c>
      <c r="S16" s="1538">
        <v>5</v>
      </c>
      <c r="T16" s="1538">
        <v>5</v>
      </c>
      <c r="U16" s="1538">
        <v>5</v>
      </c>
      <c r="V16" s="1538">
        <v>5</v>
      </c>
      <c r="W16" s="1538"/>
      <c r="AA16" s="1559"/>
      <c r="AB16" s="1559"/>
      <c r="AC16" s="1559"/>
      <c r="AD16" s="1559"/>
      <c r="AE16" s="1559"/>
      <c r="AF16" s="1559"/>
      <c r="AG16" s="2920"/>
      <c r="AH16" s="2920"/>
      <c r="AI16" s="2920"/>
    </row>
    <row r="17" spans="1:35" s="1536" customFormat="1">
      <c r="A17" s="2989" t="s">
        <v>802</v>
      </c>
      <c r="B17" s="2990" t="s">
        <v>689</v>
      </c>
      <c r="C17" s="2991" t="s">
        <v>1288</v>
      </c>
      <c r="D17" s="1538">
        <f t="shared" ref="D17:H17" si="1">D16</f>
        <v>15</v>
      </c>
      <c r="E17" s="1538">
        <f t="shared" si="1"/>
        <v>15</v>
      </c>
      <c r="F17" s="1538">
        <f t="shared" si="1"/>
        <v>15</v>
      </c>
      <c r="G17" s="1538">
        <f t="shared" si="1"/>
        <v>20</v>
      </c>
      <c r="H17" s="1538">
        <f t="shared" si="1"/>
        <v>20</v>
      </c>
      <c r="I17" s="1538">
        <v>20</v>
      </c>
      <c r="J17" s="1538">
        <v>20</v>
      </c>
      <c r="K17" s="1538">
        <v>20</v>
      </c>
      <c r="L17" s="1538">
        <v>20</v>
      </c>
      <c r="M17" s="1538">
        <v>20</v>
      </c>
      <c r="N17" s="1538">
        <v>20</v>
      </c>
      <c r="O17" s="1538">
        <v>20</v>
      </c>
      <c r="P17" s="1538">
        <v>20</v>
      </c>
      <c r="Q17" s="1538">
        <v>20</v>
      </c>
      <c r="R17" s="1538">
        <v>20</v>
      </c>
      <c r="S17" s="1538">
        <v>20</v>
      </c>
      <c r="T17" s="1538">
        <v>20</v>
      </c>
      <c r="U17" s="1538">
        <v>30</v>
      </c>
      <c r="V17" s="1538">
        <v>30</v>
      </c>
      <c r="W17" s="1538"/>
      <c r="AA17" s="1559"/>
      <c r="AB17" s="1559"/>
      <c r="AC17" s="1559"/>
      <c r="AD17" s="1559"/>
      <c r="AE17" s="1559"/>
      <c r="AF17" s="1559"/>
      <c r="AG17" s="2920"/>
      <c r="AH17" s="2920"/>
      <c r="AI17" s="2920"/>
    </row>
    <row r="18" spans="1:35" s="1536" customFormat="1">
      <c r="A18" s="1535"/>
      <c r="C18" s="1560" t="s">
        <v>1284</v>
      </c>
      <c r="D18" s="1538"/>
      <c r="E18" s="1538"/>
      <c r="F18" s="1538"/>
      <c r="G18" s="1538"/>
      <c r="H18" s="1538"/>
      <c r="I18" s="1538"/>
      <c r="J18" s="1538"/>
      <c r="K18" s="1538"/>
      <c r="L18" s="1538"/>
      <c r="M18" s="1538"/>
      <c r="N18" s="1538"/>
      <c r="O18" s="1538"/>
      <c r="P18" s="1538"/>
      <c r="Q18" s="1538"/>
      <c r="R18" s="1538"/>
      <c r="S18" s="1538"/>
      <c r="T18" s="1538"/>
      <c r="U18" s="1538"/>
      <c r="V18" s="1538"/>
      <c r="W18" s="1538"/>
      <c r="AA18" s="1559"/>
      <c r="AB18" s="1559"/>
      <c r="AC18" s="1559"/>
      <c r="AD18" s="1559"/>
      <c r="AE18" s="1559"/>
      <c r="AF18" s="1559"/>
      <c r="AG18" s="2920"/>
      <c r="AH18" s="2920"/>
      <c r="AI18" s="2920"/>
    </row>
    <row r="19" spans="1:35" s="2071" customFormat="1" ht="14.25">
      <c r="A19" s="2068" t="s">
        <v>391</v>
      </c>
      <c r="B19" s="2069" t="s">
        <v>690</v>
      </c>
      <c r="C19" s="2070" t="s">
        <v>1271</v>
      </c>
      <c r="D19" s="4205">
        <v>10585</v>
      </c>
      <c r="E19" s="4205">
        <v>10585</v>
      </c>
      <c r="F19" s="4205">
        <v>9880</v>
      </c>
      <c r="G19" s="4204">
        <v>7250</v>
      </c>
      <c r="H19" s="1538">
        <f>G19</f>
        <v>7250</v>
      </c>
      <c r="I19" s="4135">
        <v>14500</v>
      </c>
      <c r="J19" s="4136">
        <f>AVERAGE(34633,34120)</f>
        <v>34376.5</v>
      </c>
      <c r="K19" s="4136">
        <f>AVERAGE(34633,34120)</f>
        <v>34376.5</v>
      </c>
      <c r="L19" s="1640"/>
      <c r="M19" s="1640"/>
      <c r="N19" s="1640"/>
      <c r="O19" s="1640"/>
      <c r="P19" s="1640"/>
      <c r="Q19" s="1640"/>
      <c r="R19" s="1640"/>
      <c r="S19" s="1640"/>
      <c r="T19" s="1640"/>
      <c r="U19" s="1640"/>
      <c r="V19" s="1640"/>
      <c r="W19" s="1640"/>
      <c r="AA19" s="4238"/>
      <c r="AB19" s="4238"/>
      <c r="AC19" s="4238"/>
      <c r="AD19" s="4238"/>
      <c r="AE19" s="4238"/>
      <c r="AF19" s="4238"/>
      <c r="AG19" s="2924"/>
      <c r="AH19" s="2924"/>
      <c r="AI19" s="2924"/>
    </row>
    <row r="20" spans="1:35" s="1536" customFormat="1">
      <c r="A20" s="1540" t="s">
        <v>803</v>
      </c>
      <c r="B20" s="1541" t="s">
        <v>691</v>
      </c>
      <c r="C20" s="1563" t="s">
        <v>1369</v>
      </c>
      <c r="D20" s="3242">
        <f t="shared" ref="D20:H20" si="2">2.8*D7</f>
        <v>139.72</v>
      </c>
      <c r="E20" s="3242">
        <f t="shared" si="2"/>
        <v>280</v>
      </c>
      <c r="F20" s="3242">
        <f t="shared" si="2"/>
        <v>560</v>
      </c>
      <c r="G20" s="3242">
        <f t="shared" si="2"/>
        <v>1400</v>
      </c>
      <c r="H20" s="1538">
        <f t="shared" si="2"/>
        <v>1540</v>
      </c>
      <c r="I20" s="1538"/>
      <c r="J20" s="1538"/>
      <c r="K20" s="1538"/>
      <c r="L20" s="1538"/>
      <c r="M20" s="1538"/>
      <c r="N20" s="1538"/>
      <c r="O20" s="1538"/>
      <c r="P20" s="1538"/>
      <c r="Q20" s="1538"/>
      <c r="R20" s="1538"/>
      <c r="S20" s="1538"/>
      <c r="T20" s="1538"/>
      <c r="U20" s="1538"/>
      <c r="V20" s="1538"/>
      <c r="W20" s="1538"/>
      <c r="AA20" s="1559"/>
      <c r="AB20" s="1559"/>
      <c r="AC20" s="1559"/>
      <c r="AD20" s="1559"/>
      <c r="AE20" s="1559"/>
      <c r="AF20" s="1559"/>
      <c r="AG20" s="2920"/>
      <c r="AH20" s="2920"/>
      <c r="AI20" s="2920"/>
    </row>
    <row r="21" spans="1:35" s="1565" customFormat="1">
      <c r="A21" s="1540" t="s">
        <v>804</v>
      </c>
      <c r="B21" s="1564" t="s">
        <v>692</v>
      </c>
      <c r="C21" s="1563" t="s">
        <v>1371</v>
      </c>
      <c r="D21" s="3242">
        <v>120</v>
      </c>
      <c r="E21" s="3242">
        <v>120</v>
      </c>
      <c r="F21" s="3242">
        <v>120</v>
      </c>
      <c r="G21" s="3242">
        <v>25</v>
      </c>
      <c r="H21" s="1538">
        <v>25</v>
      </c>
      <c r="I21" s="1538"/>
      <c r="J21" s="1538"/>
      <c r="K21" s="1538"/>
      <c r="L21" s="1538"/>
      <c r="M21" s="1538"/>
      <c r="N21" s="1538"/>
      <c r="O21" s="1538"/>
      <c r="P21" s="1538"/>
      <c r="Q21" s="1538"/>
      <c r="R21" s="1538"/>
      <c r="S21" s="1538"/>
      <c r="T21" s="1538"/>
      <c r="U21" s="1538"/>
      <c r="V21" s="1538"/>
      <c r="W21" s="1538"/>
      <c r="AA21" s="1559"/>
      <c r="AB21" s="1559"/>
      <c r="AC21" s="1559"/>
      <c r="AD21" s="1559"/>
      <c r="AE21" s="1559"/>
      <c r="AF21" s="1559"/>
      <c r="AG21" s="2920"/>
      <c r="AH21" s="2920"/>
      <c r="AI21" s="2920"/>
    </row>
    <row r="22" spans="1:35" s="1565" customFormat="1" ht="14.25">
      <c r="A22" s="1540" t="s">
        <v>1008</v>
      </c>
      <c r="B22" s="1564"/>
      <c r="C22" s="1563" t="s">
        <v>1331</v>
      </c>
      <c r="D22" s="4107">
        <f>IF(OwnerType="POU",0.082%,IF(OwnerType="IOU",0.011%,0.055%))</f>
        <v>5.5000000000000003E-4</v>
      </c>
      <c r="E22" s="4107">
        <f>IF(OwnerType="POU",0.082%,IF(OwnerType="IOU",0.011%,0.055%))</f>
        <v>5.5000000000000003E-4</v>
      </c>
      <c r="F22" s="4107">
        <f>IF(OwnerType="POU",0.124%,IF(OwnerType="IOU",0.016%,0.082%))</f>
        <v>8.1999999999999998E-4</v>
      </c>
      <c r="G22" s="4107">
        <v>1.7799999999999999E-3</v>
      </c>
      <c r="H22" s="4117">
        <v>1.7799999999999999E-3</v>
      </c>
      <c r="I22" s="1553">
        <v>1.5E-3</v>
      </c>
      <c r="J22" s="4127">
        <v>0.03</v>
      </c>
      <c r="K22" s="4127">
        <v>0.03</v>
      </c>
      <c r="L22" s="1568">
        <v>0</v>
      </c>
      <c r="M22" s="1568">
        <v>0</v>
      </c>
      <c r="N22" s="1568">
        <v>0</v>
      </c>
      <c r="O22" s="1568">
        <v>0</v>
      </c>
      <c r="P22" s="1568">
        <v>0</v>
      </c>
      <c r="Q22" s="1568">
        <v>0</v>
      </c>
      <c r="R22" s="1568">
        <v>0</v>
      </c>
      <c r="S22" s="1568">
        <v>0</v>
      </c>
      <c r="T22" s="1568">
        <v>0</v>
      </c>
      <c r="U22" s="1568">
        <v>0</v>
      </c>
      <c r="V22" s="1568">
        <v>0</v>
      </c>
      <c r="W22" s="1568"/>
      <c r="AA22" s="1554"/>
      <c r="AB22" s="1554"/>
      <c r="AC22" s="1722"/>
      <c r="AD22" s="1722"/>
      <c r="AE22" s="1722"/>
      <c r="AF22" s="1722"/>
      <c r="AG22" s="2925"/>
      <c r="AH22" s="2925"/>
      <c r="AI22" s="2925"/>
    </row>
    <row r="23" spans="1:35" s="1565" customFormat="1">
      <c r="A23" s="1535"/>
      <c r="B23" s="1536"/>
      <c r="C23" s="1560" t="s">
        <v>1291</v>
      </c>
      <c r="D23" s="1538"/>
      <c r="E23" s="1538"/>
      <c r="F23" s="1538"/>
      <c r="G23" s="1538"/>
      <c r="H23" s="1538"/>
      <c r="I23" s="1538"/>
      <c r="J23" s="1538"/>
      <c r="K23" s="1538"/>
      <c r="L23" s="1538"/>
      <c r="M23" s="1538"/>
      <c r="N23" s="1538"/>
      <c r="O23" s="1538"/>
      <c r="P23" s="1538"/>
      <c r="Q23" s="1538"/>
      <c r="R23" s="1538"/>
      <c r="S23" s="1538"/>
      <c r="T23" s="1538"/>
      <c r="U23" s="1538"/>
      <c r="V23" s="1538"/>
      <c r="W23" s="1538"/>
      <c r="AA23" s="1559"/>
      <c r="AB23" s="1559"/>
      <c r="AC23" s="1559"/>
      <c r="AD23" s="1559"/>
      <c r="AE23" s="1559"/>
      <c r="AF23" s="1559"/>
      <c r="AG23" s="2920"/>
      <c r="AH23" s="2920"/>
      <c r="AI23" s="2920"/>
    </row>
    <row r="24" spans="1:35" s="1565" customFormat="1">
      <c r="A24" s="1569"/>
      <c r="B24" s="1570"/>
      <c r="C24" s="1547" t="s">
        <v>123</v>
      </c>
      <c r="D24" s="1538"/>
      <c r="E24" s="1538"/>
      <c r="F24" s="1538"/>
      <c r="G24" s="1538"/>
      <c r="H24" s="1538"/>
      <c r="I24" s="1538"/>
      <c r="J24" s="1538"/>
      <c r="K24" s="1538"/>
      <c r="L24" s="1538"/>
      <c r="M24" s="1538"/>
      <c r="N24" s="1538"/>
      <c r="O24" s="1538"/>
      <c r="P24" s="1538"/>
      <c r="Q24" s="1538"/>
      <c r="R24" s="1538"/>
      <c r="S24" s="1538"/>
      <c r="T24" s="1538"/>
      <c r="U24" s="1538"/>
      <c r="V24" s="1538"/>
      <c r="W24" s="1538"/>
      <c r="AA24" s="1559"/>
      <c r="AB24" s="1559"/>
      <c r="AC24" s="1559"/>
      <c r="AD24" s="1559"/>
      <c r="AE24" s="1559"/>
      <c r="AF24" s="1559"/>
      <c r="AG24" s="2920"/>
      <c r="AH24" s="2920"/>
      <c r="AI24" s="2920"/>
    </row>
    <row r="25" spans="1:35" s="1565" customFormat="1" ht="14.25">
      <c r="A25" s="1569" t="s">
        <v>805</v>
      </c>
      <c r="B25" s="1571" t="s">
        <v>693</v>
      </c>
      <c r="C25" s="1572" t="s">
        <v>423</v>
      </c>
      <c r="D25" s="1586">
        <v>1</v>
      </c>
      <c r="E25" s="1586">
        <v>1</v>
      </c>
      <c r="F25" s="1575">
        <v>0.75</v>
      </c>
      <c r="G25" s="1575">
        <v>0.75</v>
      </c>
      <c r="H25" s="1575">
        <v>0.75</v>
      </c>
      <c r="I25" s="4137">
        <v>0.5</v>
      </c>
      <c r="J25" s="4137">
        <v>0.20406260907892176</v>
      </c>
      <c r="K25" s="4137">
        <v>0.24265601841198373</v>
      </c>
      <c r="L25" s="4137">
        <v>0.5</v>
      </c>
      <c r="M25" s="4137">
        <v>0.5</v>
      </c>
      <c r="N25" s="4137">
        <v>0.5</v>
      </c>
      <c r="O25" s="4137">
        <v>0.5</v>
      </c>
      <c r="P25" s="4137">
        <v>0.5</v>
      </c>
      <c r="Q25" s="4137">
        <v>1</v>
      </c>
      <c r="R25" s="4137">
        <v>1</v>
      </c>
      <c r="S25" s="4137">
        <v>1</v>
      </c>
      <c r="T25" s="4137">
        <v>1</v>
      </c>
      <c r="U25" s="4137">
        <v>0.95</v>
      </c>
      <c r="V25" s="4137">
        <v>0.95</v>
      </c>
      <c r="W25" s="1575"/>
      <c r="AA25" s="1590"/>
      <c r="AB25" s="1590"/>
      <c r="AC25" s="1590"/>
      <c r="AD25" s="1590"/>
      <c r="AE25" s="1590"/>
      <c r="AF25" s="1590"/>
      <c r="AG25" s="2927"/>
      <c r="AH25" s="2927"/>
      <c r="AI25" s="2926"/>
    </row>
    <row r="26" spans="1:35" s="1565" customFormat="1" ht="14.25">
      <c r="A26" s="1569" t="s">
        <v>806</v>
      </c>
      <c r="B26" s="1571" t="s">
        <v>694</v>
      </c>
      <c r="C26" s="1572" t="s">
        <v>252</v>
      </c>
      <c r="D26" s="1586">
        <v>0</v>
      </c>
      <c r="E26" s="1586">
        <v>0</v>
      </c>
      <c r="F26" s="1575">
        <v>0.25</v>
      </c>
      <c r="G26" s="1575">
        <v>0.25</v>
      </c>
      <c r="H26" s="1575">
        <v>0.25</v>
      </c>
      <c r="I26" s="4137">
        <v>0.4</v>
      </c>
      <c r="J26" s="4137">
        <v>0.20406260907892176</v>
      </c>
      <c r="K26" s="4137">
        <v>0.24082161296497639</v>
      </c>
      <c r="L26" s="4137">
        <v>0.5</v>
      </c>
      <c r="M26" s="4137">
        <v>0.5</v>
      </c>
      <c r="N26" s="4137">
        <v>0.5</v>
      </c>
      <c r="O26" s="4137">
        <v>0.5</v>
      </c>
      <c r="P26" s="4137">
        <v>0.5</v>
      </c>
      <c r="Q26" s="4137">
        <v>0</v>
      </c>
      <c r="R26" s="4137">
        <v>0</v>
      </c>
      <c r="S26" s="4137">
        <v>0</v>
      </c>
      <c r="T26" s="4137">
        <v>0</v>
      </c>
      <c r="U26" s="4137">
        <v>0.05</v>
      </c>
      <c r="V26" s="4137">
        <v>0.05</v>
      </c>
      <c r="W26" s="1575"/>
      <c r="AA26" s="1590"/>
      <c r="AB26" s="1590"/>
      <c r="AC26" s="1590"/>
      <c r="AD26" s="1590"/>
      <c r="AE26" s="1590"/>
      <c r="AF26" s="1590"/>
      <c r="AG26" s="2927"/>
      <c r="AH26" s="2927"/>
      <c r="AI26" s="2926"/>
    </row>
    <row r="27" spans="1:35" s="1565" customFormat="1" ht="14.25">
      <c r="A27" s="1569" t="s">
        <v>807</v>
      </c>
      <c r="B27" s="1571" t="s">
        <v>695</v>
      </c>
      <c r="C27" s="1572" t="s">
        <v>253</v>
      </c>
      <c r="D27" s="1575">
        <v>0</v>
      </c>
      <c r="E27" s="1575">
        <v>0</v>
      </c>
      <c r="F27" s="1575">
        <v>0</v>
      </c>
      <c r="G27" s="1575">
        <v>0</v>
      </c>
      <c r="H27" s="1575">
        <v>0</v>
      </c>
      <c r="I27" s="4137">
        <v>0.1</v>
      </c>
      <c r="J27" s="4137">
        <v>0.17704708409707434</v>
      </c>
      <c r="K27" s="4137">
        <v>0.23898720751796906</v>
      </c>
      <c r="L27" s="4137">
        <v>0</v>
      </c>
      <c r="M27" s="4137">
        <v>0</v>
      </c>
      <c r="N27" s="4137">
        <v>0</v>
      </c>
      <c r="O27" s="4137">
        <v>0</v>
      </c>
      <c r="P27" s="4137">
        <v>0</v>
      </c>
      <c r="Q27" s="4137">
        <v>0</v>
      </c>
      <c r="R27" s="4137">
        <v>0</v>
      </c>
      <c r="S27" s="4137">
        <v>0</v>
      </c>
      <c r="T27" s="4137">
        <v>0</v>
      </c>
      <c r="U27" s="4137">
        <v>0</v>
      </c>
      <c r="V27" s="4137">
        <v>0</v>
      </c>
      <c r="W27" s="1575"/>
      <c r="AA27" s="1590"/>
      <c r="AB27" s="1590"/>
      <c r="AC27" s="1590"/>
      <c r="AD27" s="1590"/>
      <c r="AE27" s="1590"/>
      <c r="AF27" s="1590"/>
      <c r="AG27" s="2927"/>
      <c r="AH27" s="2927"/>
      <c r="AI27" s="2927"/>
    </row>
    <row r="28" spans="1:35" s="1565" customFormat="1" ht="14.25">
      <c r="A28" s="1569" t="s">
        <v>808</v>
      </c>
      <c r="B28" s="1571" t="s">
        <v>696</v>
      </c>
      <c r="C28" s="1572" t="s">
        <v>254</v>
      </c>
      <c r="D28" s="1575">
        <v>0</v>
      </c>
      <c r="E28" s="1575">
        <v>0</v>
      </c>
      <c r="F28" s="1575">
        <v>0</v>
      </c>
      <c r="G28" s="1575">
        <v>0</v>
      </c>
      <c r="H28" s="1575">
        <v>0</v>
      </c>
      <c r="I28" s="4137">
        <v>0</v>
      </c>
      <c r="J28" s="4137">
        <v>0.16457730770429585</v>
      </c>
      <c r="K28" s="4137">
        <v>0.12930043034025682</v>
      </c>
      <c r="L28" s="4137">
        <v>0</v>
      </c>
      <c r="M28" s="4137">
        <v>0</v>
      </c>
      <c r="N28" s="4137">
        <v>0</v>
      </c>
      <c r="O28" s="4137">
        <v>0</v>
      </c>
      <c r="P28" s="4137">
        <v>0</v>
      </c>
      <c r="Q28" s="4137">
        <v>0</v>
      </c>
      <c r="R28" s="4137">
        <v>0</v>
      </c>
      <c r="S28" s="4137">
        <v>0</v>
      </c>
      <c r="T28" s="4137">
        <v>0</v>
      </c>
      <c r="U28" s="4137">
        <v>0</v>
      </c>
      <c r="V28" s="4137">
        <v>0</v>
      </c>
      <c r="W28" s="1575"/>
      <c r="AA28" s="1590"/>
      <c r="AB28" s="1590"/>
      <c r="AC28" s="1590"/>
      <c r="AD28" s="1590"/>
      <c r="AE28" s="1590"/>
      <c r="AF28" s="1590"/>
      <c r="AG28" s="2927"/>
      <c r="AH28" s="2927"/>
      <c r="AI28" s="2927"/>
    </row>
    <row r="29" spans="1:35" s="1565" customFormat="1" ht="14.25">
      <c r="A29" s="1569" t="s">
        <v>809</v>
      </c>
      <c r="B29" s="1571" t="s">
        <v>697</v>
      </c>
      <c r="C29" s="1572" t="s">
        <v>255</v>
      </c>
      <c r="D29" s="1575">
        <v>0</v>
      </c>
      <c r="E29" s="1575">
        <v>0</v>
      </c>
      <c r="F29" s="1575">
        <v>0</v>
      </c>
      <c r="G29" s="1575">
        <v>0</v>
      </c>
      <c r="H29" s="1575">
        <v>0</v>
      </c>
      <c r="I29" s="4137">
        <v>0</v>
      </c>
      <c r="J29" s="4137">
        <v>4.9071429364634378E-2</v>
      </c>
      <c r="K29" s="4137">
        <v>2.0896128898671401E-2</v>
      </c>
      <c r="L29" s="4137">
        <v>0</v>
      </c>
      <c r="M29" s="4137">
        <v>0</v>
      </c>
      <c r="N29" s="4137">
        <v>0</v>
      </c>
      <c r="O29" s="4137">
        <v>0</v>
      </c>
      <c r="P29" s="4137">
        <v>0</v>
      </c>
      <c r="Q29" s="4137">
        <v>0</v>
      </c>
      <c r="R29" s="4137">
        <v>0</v>
      </c>
      <c r="S29" s="4137">
        <v>0</v>
      </c>
      <c r="T29" s="4137">
        <v>0</v>
      </c>
      <c r="U29" s="4137">
        <v>0</v>
      </c>
      <c r="V29" s="4137">
        <v>0</v>
      </c>
      <c r="W29" s="1575"/>
      <c r="AA29" s="1590"/>
      <c r="AB29" s="1590"/>
      <c r="AC29" s="1590"/>
      <c r="AD29" s="1590"/>
      <c r="AE29" s="1590"/>
      <c r="AF29" s="1590"/>
      <c r="AG29" s="2927"/>
      <c r="AH29" s="2927"/>
      <c r="AI29" s="2927"/>
    </row>
    <row r="30" spans="1:35" s="1565" customFormat="1" ht="14.25">
      <c r="A30" s="1569" t="s">
        <v>609</v>
      </c>
      <c r="B30" s="1571" t="s">
        <v>697</v>
      </c>
      <c r="C30" s="1572" t="s">
        <v>256</v>
      </c>
      <c r="D30" s="1575">
        <v>0</v>
      </c>
      <c r="E30" s="1575">
        <v>0</v>
      </c>
      <c r="F30" s="1575">
        <v>0</v>
      </c>
      <c r="G30" s="1575">
        <v>0</v>
      </c>
      <c r="H30" s="1575">
        <v>0</v>
      </c>
      <c r="I30" s="4137">
        <v>0</v>
      </c>
      <c r="J30" s="4137">
        <v>0.20117896067615176</v>
      </c>
      <c r="K30" s="4137">
        <v>0.1273386018661426</v>
      </c>
      <c r="L30" s="4137">
        <v>0</v>
      </c>
      <c r="M30" s="4137">
        <v>0</v>
      </c>
      <c r="N30" s="4137">
        <v>0</v>
      </c>
      <c r="O30" s="4137">
        <v>0</v>
      </c>
      <c r="P30" s="4137">
        <v>0</v>
      </c>
      <c r="Q30" s="4137">
        <v>0</v>
      </c>
      <c r="R30" s="4137">
        <v>0</v>
      </c>
      <c r="S30" s="4137">
        <v>0</v>
      </c>
      <c r="T30" s="4137">
        <v>0</v>
      </c>
      <c r="U30" s="4137">
        <v>0</v>
      </c>
      <c r="V30" s="4137">
        <v>0</v>
      </c>
      <c r="W30" s="1575"/>
      <c r="AA30" s="1590"/>
      <c r="AB30" s="1590"/>
      <c r="AC30" s="1590"/>
      <c r="AD30" s="1590"/>
      <c r="AE30" s="1590"/>
      <c r="AF30" s="1590"/>
      <c r="AG30" s="2927"/>
      <c r="AH30" s="2927"/>
      <c r="AI30" s="2927"/>
    </row>
    <row r="31" spans="1:35" s="1565" customFormat="1" ht="14.25">
      <c r="A31" s="1569"/>
      <c r="B31" s="1570"/>
      <c r="C31" s="1547" t="s">
        <v>123</v>
      </c>
      <c r="D31" s="1568">
        <f t="shared" ref="D31:H31" si="3">SUM(D25:D30)</f>
        <v>1</v>
      </c>
      <c r="E31" s="1568">
        <f t="shared" si="3"/>
        <v>1</v>
      </c>
      <c r="F31" s="1568">
        <f t="shared" si="3"/>
        <v>1</v>
      </c>
      <c r="G31" s="1568">
        <f t="shared" si="3"/>
        <v>1</v>
      </c>
      <c r="H31" s="1568">
        <f t="shared" si="3"/>
        <v>1</v>
      </c>
      <c r="I31" s="1568">
        <f t="shared" ref="I31:O31" si="4">SUM(I25:I30)</f>
        <v>1</v>
      </c>
      <c r="J31" s="1568">
        <f t="shared" si="4"/>
        <v>1</v>
      </c>
      <c r="K31" s="1568">
        <f t="shared" si="4"/>
        <v>1</v>
      </c>
      <c r="L31" s="1568">
        <f t="shared" si="4"/>
        <v>1</v>
      </c>
      <c r="M31" s="1568">
        <f t="shared" si="4"/>
        <v>1</v>
      </c>
      <c r="N31" s="1568">
        <f t="shared" si="4"/>
        <v>1</v>
      </c>
      <c r="O31" s="1568">
        <f t="shared" si="4"/>
        <v>1</v>
      </c>
      <c r="P31" s="1568">
        <f>SUM(P25:P30)</f>
        <v>1</v>
      </c>
      <c r="Q31" s="1568">
        <f>SUM(Q25:Q30)</f>
        <v>1</v>
      </c>
      <c r="R31" s="1568">
        <f>SUM(R25:R30)</f>
        <v>1</v>
      </c>
      <c r="S31" s="1568">
        <f>SUM(S25:S30)</f>
        <v>1</v>
      </c>
      <c r="T31" s="1568">
        <f>SUM(T25:T30)</f>
        <v>1</v>
      </c>
      <c r="U31" s="4138">
        <f t="shared" ref="U31:V31" si="5">SUM(U25:U30)</f>
        <v>1</v>
      </c>
      <c r="V31" s="4138">
        <f t="shared" si="5"/>
        <v>1</v>
      </c>
      <c r="W31" s="1568"/>
      <c r="AA31" s="1559"/>
      <c r="AB31" s="1559"/>
      <c r="AC31" s="1559"/>
      <c r="AD31" s="1559"/>
      <c r="AE31" s="1559"/>
      <c r="AF31" s="1559"/>
      <c r="AG31" s="2925"/>
      <c r="AH31" s="2925"/>
      <c r="AI31" s="2925"/>
    </row>
    <row r="32" spans="1:35" s="1583" customFormat="1" ht="14.25">
      <c r="A32" s="1576" t="s">
        <v>1190</v>
      </c>
      <c r="B32" s="1577" t="s">
        <v>693</v>
      </c>
      <c r="C32" s="1578" t="s">
        <v>1332</v>
      </c>
      <c r="D32" s="1579">
        <v>9</v>
      </c>
      <c r="E32" s="1579">
        <v>9</v>
      </c>
      <c r="F32" s="1579">
        <v>12</v>
      </c>
      <c r="G32" s="1579">
        <v>12</v>
      </c>
      <c r="H32" s="1579">
        <v>12</v>
      </c>
      <c r="I32" s="4139">
        <v>12</v>
      </c>
      <c r="J32" s="4139">
        <v>12</v>
      </c>
      <c r="K32" s="4139">
        <v>12</v>
      </c>
      <c r="L32" s="4139">
        <v>12</v>
      </c>
      <c r="M32" s="4139">
        <v>12</v>
      </c>
      <c r="N32" s="4139">
        <v>12</v>
      </c>
      <c r="O32" s="4139">
        <v>12</v>
      </c>
      <c r="P32" s="4139">
        <v>12</v>
      </c>
      <c r="Q32" s="3004">
        <v>12</v>
      </c>
      <c r="R32" s="3004">
        <v>12</v>
      </c>
      <c r="S32" s="3004">
        <v>12</v>
      </c>
      <c r="T32" s="3004">
        <v>12</v>
      </c>
      <c r="U32" s="4139">
        <v>12</v>
      </c>
      <c r="V32" s="4139">
        <v>12</v>
      </c>
      <c r="W32" s="1579"/>
      <c r="AA32" s="1582"/>
      <c r="AB32" s="1582"/>
      <c r="AC32" s="1582"/>
      <c r="AD32" s="1582"/>
      <c r="AE32" s="1582"/>
      <c r="AF32" s="1582"/>
      <c r="AG32" s="2928"/>
      <c r="AH32" s="2928"/>
      <c r="AI32" s="2928"/>
    </row>
    <row r="33" spans="1:44" s="1583" customFormat="1" ht="14.25">
      <c r="A33" s="1576" t="s">
        <v>1191</v>
      </c>
      <c r="B33" s="1577" t="s">
        <v>694</v>
      </c>
      <c r="C33" s="1578" t="s">
        <v>1333</v>
      </c>
      <c r="D33" s="1579">
        <v>0</v>
      </c>
      <c r="E33" s="1579">
        <v>0</v>
      </c>
      <c r="F33" s="1579">
        <v>3</v>
      </c>
      <c r="G33" s="1579">
        <v>12</v>
      </c>
      <c r="H33" s="1579">
        <v>12</v>
      </c>
      <c r="I33" s="4139">
        <v>12</v>
      </c>
      <c r="J33" s="4139">
        <v>12</v>
      </c>
      <c r="K33" s="4139">
        <v>12</v>
      </c>
      <c r="L33" s="4139">
        <v>12</v>
      </c>
      <c r="M33" s="4139">
        <v>12</v>
      </c>
      <c r="N33" s="4139">
        <v>12</v>
      </c>
      <c r="O33" s="4139">
        <v>12</v>
      </c>
      <c r="P33" s="4139">
        <v>12</v>
      </c>
      <c r="Q33" s="3004">
        <v>0</v>
      </c>
      <c r="R33" s="3004">
        <v>0</v>
      </c>
      <c r="S33" s="3004">
        <v>0</v>
      </c>
      <c r="T33" s="3004">
        <v>0</v>
      </c>
      <c r="U33" s="4139">
        <v>6</v>
      </c>
      <c r="V33" s="4139">
        <v>6</v>
      </c>
      <c r="W33" s="1579"/>
      <c r="AA33" s="1582"/>
      <c r="AB33" s="1582"/>
      <c r="AC33" s="1582"/>
      <c r="AD33" s="1582"/>
      <c r="AE33" s="1582"/>
      <c r="AF33" s="1582"/>
      <c r="AG33" s="2928"/>
      <c r="AH33" s="2928"/>
      <c r="AI33" s="2928"/>
    </row>
    <row r="34" spans="1:44" s="1583" customFormat="1" ht="14.25">
      <c r="A34" s="1576" t="s">
        <v>1192</v>
      </c>
      <c r="B34" s="1577" t="s">
        <v>695</v>
      </c>
      <c r="C34" s="1578" t="s">
        <v>1334</v>
      </c>
      <c r="D34" s="1579">
        <v>0</v>
      </c>
      <c r="E34" s="1579">
        <v>0</v>
      </c>
      <c r="F34" s="1579">
        <v>0</v>
      </c>
      <c r="G34" s="1579">
        <v>0</v>
      </c>
      <c r="H34" s="1579">
        <v>0</v>
      </c>
      <c r="I34" s="4139">
        <v>12</v>
      </c>
      <c r="J34" s="4139">
        <v>12</v>
      </c>
      <c r="K34" s="4139">
        <v>12</v>
      </c>
      <c r="L34" s="4139">
        <v>0</v>
      </c>
      <c r="M34" s="4139">
        <v>0</v>
      </c>
      <c r="N34" s="4139">
        <v>0</v>
      </c>
      <c r="O34" s="4139">
        <v>0</v>
      </c>
      <c r="P34" s="4139">
        <v>0</v>
      </c>
      <c r="Q34" s="3004">
        <v>0</v>
      </c>
      <c r="R34" s="3004">
        <v>0</v>
      </c>
      <c r="S34" s="3004">
        <v>0</v>
      </c>
      <c r="T34" s="3004">
        <v>0</v>
      </c>
      <c r="U34" s="4139">
        <v>0</v>
      </c>
      <c r="V34" s="4139">
        <v>0</v>
      </c>
      <c r="W34" s="1579"/>
      <c r="AA34" s="1582"/>
      <c r="AB34" s="1582"/>
      <c r="AC34" s="1582"/>
      <c r="AD34" s="1582"/>
      <c r="AE34" s="1582"/>
      <c r="AF34" s="1582"/>
      <c r="AG34" s="2928"/>
      <c r="AH34" s="2928"/>
      <c r="AI34" s="2928"/>
    </row>
    <row r="35" spans="1:44" s="1583" customFormat="1" ht="14.25">
      <c r="A35" s="1576" t="s">
        <v>1193</v>
      </c>
      <c r="B35" s="1577" t="s">
        <v>696</v>
      </c>
      <c r="C35" s="1578" t="s">
        <v>1335</v>
      </c>
      <c r="D35" s="1579">
        <v>0</v>
      </c>
      <c r="E35" s="1579">
        <v>0</v>
      </c>
      <c r="F35" s="1579">
        <v>0</v>
      </c>
      <c r="G35" s="1579">
        <v>0</v>
      </c>
      <c r="H35" s="1579">
        <v>0</v>
      </c>
      <c r="I35" s="4139">
        <v>0</v>
      </c>
      <c r="J35" s="4139">
        <v>12</v>
      </c>
      <c r="K35" s="4139">
        <v>12</v>
      </c>
      <c r="L35" s="4139">
        <v>0</v>
      </c>
      <c r="M35" s="4139">
        <v>0</v>
      </c>
      <c r="N35" s="4139">
        <v>0</v>
      </c>
      <c r="O35" s="4139">
        <v>0</v>
      </c>
      <c r="P35" s="4139">
        <v>0</v>
      </c>
      <c r="Q35" s="3004">
        <v>0</v>
      </c>
      <c r="R35" s="3004">
        <v>0</v>
      </c>
      <c r="S35" s="3004">
        <v>0</v>
      </c>
      <c r="T35" s="3004">
        <v>0</v>
      </c>
      <c r="U35" s="4139">
        <v>0</v>
      </c>
      <c r="V35" s="4139">
        <v>0</v>
      </c>
      <c r="W35" s="1579"/>
      <c r="AA35" s="1582"/>
      <c r="AB35" s="1582"/>
      <c r="AC35" s="1582"/>
      <c r="AD35" s="1582"/>
      <c r="AE35" s="1582"/>
      <c r="AF35" s="1582"/>
      <c r="AG35" s="2928"/>
      <c r="AH35" s="2928"/>
      <c r="AI35" s="2928"/>
    </row>
    <row r="36" spans="1:44" s="1583" customFormat="1" ht="14.25">
      <c r="A36" s="1576" t="s">
        <v>1194</v>
      </c>
      <c r="B36" s="1577" t="s">
        <v>697</v>
      </c>
      <c r="C36" s="1578" t="s">
        <v>1336</v>
      </c>
      <c r="D36" s="1579">
        <v>0</v>
      </c>
      <c r="E36" s="1579">
        <v>0</v>
      </c>
      <c r="F36" s="1579">
        <v>0</v>
      </c>
      <c r="G36" s="1579">
        <v>0</v>
      </c>
      <c r="H36" s="1579">
        <v>0</v>
      </c>
      <c r="I36" s="4139">
        <v>0</v>
      </c>
      <c r="J36" s="4139">
        <v>12</v>
      </c>
      <c r="K36" s="4139">
        <v>12</v>
      </c>
      <c r="L36" s="4139">
        <v>0</v>
      </c>
      <c r="M36" s="4139">
        <v>0</v>
      </c>
      <c r="N36" s="4139">
        <v>0</v>
      </c>
      <c r="O36" s="4139">
        <v>0</v>
      </c>
      <c r="P36" s="4139">
        <v>0</v>
      </c>
      <c r="Q36" s="3004">
        <v>0</v>
      </c>
      <c r="R36" s="3004">
        <v>0</v>
      </c>
      <c r="S36" s="3004">
        <v>0</v>
      </c>
      <c r="T36" s="3004">
        <v>0</v>
      </c>
      <c r="U36" s="4139">
        <v>0</v>
      </c>
      <c r="V36" s="4139">
        <v>0</v>
      </c>
      <c r="W36" s="1579"/>
      <c r="AA36" s="1582"/>
      <c r="AB36" s="1582"/>
      <c r="AC36" s="1582"/>
      <c r="AD36" s="1582"/>
      <c r="AE36" s="1582"/>
      <c r="AF36" s="1582"/>
      <c r="AG36" s="2928"/>
      <c r="AH36" s="2928"/>
      <c r="AI36" s="2928"/>
    </row>
    <row r="37" spans="1:44" s="1583" customFormat="1" ht="14.25">
      <c r="A37" s="1576" t="s">
        <v>608</v>
      </c>
      <c r="B37" s="1577" t="s">
        <v>697</v>
      </c>
      <c r="C37" s="1578" t="s">
        <v>251</v>
      </c>
      <c r="D37" s="1579">
        <v>0</v>
      </c>
      <c r="E37" s="1579">
        <v>0</v>
      </c>
      <c r="F37" s="1579">
        <v>0</v>
      </c>
      <c r="G37" s="1579">
        <v>0</v>
      </c>
      <c r="H37" s="1579">
        <v>0</v>
      </c>
      <c r="I37" s="4139">
        <v>0</v>
      </c>
      <c r="J37" s="4139">
        <v>24</v>
      </c>
      <c r="K37" s="4139">
        <v>18</v>
      </c>
      <c r="L37" s="4139">
        <v>0</v>
      </c>
      <c r="M37" s="4139">
        <v>0</v>
      </c>
      <c r="N37" s="4139">
        <v>0</v>
      </c>
      <c r="O37" s="4139">
        <v>0</v>
      </c>
      <c r="P37" s="4139">
        <v>0</v>
      </c>
      <c r="Q37" s="3004">
        <v>0</v>
      </c>
      <c r="R37" s="3004">
        <v>0</v>
      </c>
      <c r="S37" s="3004">
        <v>0</v>
      </c>
      <c r="T37" s="3004">
        <v>0</v>
      </c>
      <c r="U37" s="4139">
        <v>0</v>
      </c>
      <c r="V37" s="4139">
        <v>0</v>
      </c>
      <c r="W37" s="1579"/>
      <c r="AA37" s="1582"/>
      <c r="AB37" s="1582"/>
      <c r="AC37" s="1582"/>
      <c r="AD37" s="1582"/>
      <c r="AE37" s="1582"/>
      <c r="AF37" s="1582"/>
      <c r="AG37" s="2928"/>
      <c r="AH37" s="2928"/>
      <c r="AI37" s="2928"/>
    </row>
    <row r="38" spans="1:44" s="1583" customFormat="1">
      <c r="A38" s="1584"/>
      <c r="B38" s="1585"/>
      <c r="C38" s="1560" t="s">
        <v>1290</v>
      </c>
      <c r="D38" s="1579"/>
      <c r="E38" s="1579"/>
      <c r="F38" s="1579"/>
      <c r="G38" s="1579"/>
      <c r="H38" s="1579"/>
      <c r="I38" s="1579"/>
      <c r="J38" s="1579"/>
      <c r="K38" s="1579"/>
      <c r="L38" s="1579"/>
      <c r="M38" s="1579"/>
      <c r="N38" s="1579"/>
      <c r="O38" s="1579"/>
      <c r="P38" s="1579"/>
      <c r="Q38" s="1579"/>
      <c r="R38" s="1579"/>
      <c r="S38" s="1579"/>
      <c r="T38" s="1579"/>
      <c r="U38" s="1579"/>
      <c r="V38" s="1579"/>
      <c r="W38" s="1579"/>
      <c r="AA38" s="1582"/>
      <c r="AB38" s="1582"/>
      <c r="AC38" s="1582"/>
      <c r="AD38" s="1582"/>
      <c r="AE38" s="1582"/>
      <c r="AF38" s="1582"/>
      <c r="AG38" s="2928"/>
      <c r="AH38" s="2928"/>
      <c r="AI38" s="2928"/>
    </row>
    <row r="39" spans="1:44" s="1593" customFormat="1">
      <c r="A39" s="914"/>
      <c r="B39" s="914" t="s">
        <v>698</v>
      </c>
      <c r="C39" s="918" t="s">
        <v>1890</v>
      </c>
      <c r="D39" s="1596">
        <f>(D40/D41)/((1-D46)*IF(D40&lt;(1-D46)*(1-D45),1,(1-D45)))</f>
        <v>5.2943667937314698E-2</v>
      </c>
      <c r="E39" s="1596">
        <f t="shared" ref="E39:V39" si="6">(E40/E41)/((1-E46)*IF(E40&lt;(1-E46)*(1-E45),1,(1-E45)))</f>
        <v>5.2153958485449049E-2</v>
      </c>
      <c r="F39" s="1596">
        <f t="shared" si="6"/>
        <v>7.8230937728173577E-2</v>
      </c>
      <c r="G39" s="1596">
        <f t="shared" si="6"/>
        <v>0.5830605564648117</v>
      </c>
      <c r="H39" s="1596">
        <f t="shared" si="6"/>
        <v>0.5830605564648117</v>
      </c>
      <c r="I39" s="1596">
        <f t="shared" si="6"/>
        <v>0.88681318681318688</v>
      </c>
      <c r="J39" s="1596">
        <f t="shared" si="6"/>
        <v>0.87179487179487181</v>
      </c>
      <c r="K39" s="1596">
        <f t="shared" si="6"/>
        <v>0.87179487179487181</v>
      </c>
      <c r="L39" s="1596">
        <f t="shared" si="6"/>
        <v>0.33166458072590743</v>
      </c>
      <c r="M39" s="1596">
        <f t="shared" si="6"/>
        <v>0.53817271589486859</v>
      </c>
      <c r="N39" s="1596">
        <f t="shared" si="6"/>
        <v>0.38798498122653319</v>
      </c>
      <c r="O39" s="1596">
        <f t="shared" si="6"/>
        <v>0.50062578222778487</v>
      </c>
      <c r="P39" s="1596">
        <f t="shared" si="6"/>
        <v>0.70087609511889881</v>
      </c>
      <c r="Q39" s="1596">
        <f t="shared" si="6"/>
        <v>0.28235294117647058</v>
      </c>
      <c r="R39" s="1596">
        <f t="shared" si="6"/>
        <v>0.3294117647058824</v>
      </c>
      <c r="S39" s="1596">
        <f t="shared" si="6"/>
        <v>0.28235294117647058</v>
      </c>
      <c r="T39" s="1596">
        <f t="shared" si="6"/>
        <v>0.3294117647058824</v>
      </c>
      <c r="U39" s="1596">
        <f t="shared" si="6"/>
        <v>0.26262626262626265</v>
      </c>
      <c r="V39" s="1596">
        <f t="shared" si="6"/>
        <v>0.25252525252525254</v>
      </c>
      <c r="W39" s="1568"/>
      <c r="AA39" s="1588"/>
      <c r="AB39" s="1588"/>
      <c r="AC39" s="1589"/>
      <c r="AD39" s="1588"/>
      <c r="AE39" s="1590"/>
      <c r="AF39" s="1588"/>
      <c r="AG39" s="2929"/>
      <c r="AH39" s="2929"/>
      <c r="AI39" s="2929"/>
      <c r="AK39" s="1592"/>
      <c r="AL39" s="1592"/>
      <c r="AM39" s="1592"/>
      <c r="AN39" s="1592"/>
      <c r="AO39" s="1592"/>
      <c r="AP39" s="1592"/>
      <c r="AQ39" s="1592"/>
    </row>
    <row r="40" spans="1:44" s="1565" customFormat="1" ht="15">
      <c r="A40" s="1594" t="s">
        <v>1888</v>
      </c>
      <c r="B40" s="1595"/>
      <c r="C40" s="3260" t="s">
        <v>1889</v>
      </c>
      <c r="D40" s="4206">
        <f>IF(OwnerType="POU",7.5%,IF(OwnerType="IOU",1%,5%))</f>
        <v>0.05</v>
      </c>
      <c r="E40" s="4206">
        <f>IF(OwnerType="POU",7.5%,IF(OwnerType="IOU",1%,5%))</f>
        <v>0.05</v>
      </c>
      <c r="F40" s="4206">
        <f>1.5*E40</f>
        <v>7.5000000000000011E-2</v>
      </c>
      <c r="G40" s="3261">
        <v>0.56999999999999995</v>
      </c>
      <c r="H40" s="4128">
        <v>0.56999999999999995</v>
      </c>
      <c r="I40" s="4128">
        <f>80.7%</f>
        <v>0.80700000000000005</v>
      </c>
      <c r="J40" s="4128">
        <v>0.85</v>
      </c>
      <c r="K40" s="4128">
        <v>0.85</v>
      </c>
      <c r="L40" s="4128">
        <v>0.26500000000000001</v>
      </c>
      <c r="M40" s="4128">
        <v>0.43</v>
      </c>
      <c r="N40" s="4128">
        <v>0.31</v>
      </c>
      <c r="O40" s="4128">
        <v>0.4</v>
      </c>
      <c r="P40" s="4128">
        <v>0.56000000000000005</v>
      </c>
      <c r="Q40" s="4128">
        <v>0.24</v>
      </c>
      <c r="R40" s="4128">
        <v>0.28000000000000003</v>
      </c>
      <c r="S40" s="4128">
        <v>0.24</v>
      </c>
      <c r="T40" s="4128">
        <v>0.28000000000000003</v>
      </c>
      <c r="U40" s="4128">
        <v>0.26</v>
      </c>
      <c r="V40" s="4128">
        <v>0.25</v>
      </c>
      <c r="W40" s="1596"/>
      <c r="Z40" s="1601"/>
      <c r="AA40" s="1589"/>
      <c r="AB40" s="1589"/>
      <c r="AC40" s="1589"/>
      <c r="AD40" s="1589"/>
      <c r="AE40" s="1588"/>
      <c r="AF40" s="1588"/>
      <c r="AG40" s="2931"/>
      <c r="AH40" s="2931"/>
      <c r="AI40" s="2931"/>
      <c r="AJ40" s="1601"/>
      <c r="AK40" s="1574"/>
      <c r="AL40" s="1574"/>
      <c r="AM40" s="1574"/>
      <c r="AN40" s="1574"/>
      <c r="AO40" s="1574"/>
      <c r="AP40" s="1574"/>
      <c r="AQ40" s="1574"/>
      <c r="AR40" s="1601"/>
    </row>
    <row r="41" spans="1:44" s="1601" customFormat="1">
      <c r="A41" s="1597" t="s">
        <v>1012</v>
      </c>
      <c r="B41" s="1598" t="s">
        <v>684</v>
      </c>
      <c r="C41" s="1599" t="s">
        <v>971</v>
      </c>
      <c r="D41" s="1575">
        <v>1</v>
      </c>
      <c r="E41" s="1575">
        <v>1</v>
      </c>
      <c r="F41" s="1575">
        <v>1</v>
      </c>
      <c r="G41" s="1575">
        <v>1</v>
      </c>
      <c r="H41" s="1575">
        <v>1</v>
      </c>
      <c r="I41" s="1738">
        <v>1</v>
      </c>
      <c r="J41" s="1586">
        <v>1</v>
      </c>
      <c r="K41" s="1586">
        <v>1</v>
      </c>
      <c r="L41" s="1596">
        <v>0.85</v>
      </c>
      <c r="M41" s="1596">
        <v>0.85</v>
      </c>
      <c r="N41" s="1596">
        <v>0.85</v>
      </c>
      <c r="O41" s="1596">
        <v>0.85</v>
      </c>
      <c r="P41" s="1596">
        <v>0.85</v>
      </c>
      <c r="Q41" s="1596">
        <v>0.85</v>
      </c>
      <c r="R41" s="1596">
        <v>0.85</v>
      </c>
      <c r="S41" s="1596">
        <v>0.85</v>
      </c>
      <c r="T41" s="1596">
        <v>0.85</v>
      </c>
      <c r="U41" s="1586">
        <v>1</v>
      </c>
      <c r="V41" s="1586">
        <v>1</v>
      </c>
      <c r="W41" s="1738"/>
    </row>
    <row r="42" spans="1:44" s="1565" customFormat="1">
      <c r="A42" s="1594" t="s">
        <v>810</v>
      </c>
      <c r="B42" s="1595"/>
      <c r="C42" s="1602" t="s">
        <v>1013</v>
      </c>
      <c r="D42" s="1538">
        <f t="shared" ref="D42:H42" si="7">D15</f>
        <v>30</v>
      </c>
      <c r="E42" s="1538">
        <f t="shared" si="7"/>
        <v>30</v>
      </c>
      <c r="F42" s="1538">
        <f t="shared" si="7"/>
        <v>30</v>
      </c>
      <c r="G42" s="1538">
        <f t="shared" si="7"/>
        <v>30</v>
      </c>
      <c r="H42" s="1538">
        <f t="shared" si="7"/>
        <v>30</v>
      </c>
      <c r="I42" s="1538">
        <v>20</v>
      </c>
      <c r="J42" s="1538">
        <v>30</v>
      </c>
      <c r="K42" s="1538">
        <v>30</v>
      </c>
      <c r="L42" s="1538">
        <v>20</v>
      </c>
      <c r="M42" s="1538">
        <v>20</v>
      </c>
      <c r="N42" s="1538">
        <v>20</v>
      </c>
      <c r="O42" s="1538">
        <v>20</v>
      </c>
      <c r="P42" s="1538">
        <v>20</v>
      </c>
      <c r="Q42" s="1538">
        <v>20</v>
      </c>
      <c r="R42" s="1538">
        <v>20</v>
      </c>
      <c r="S42" s="1538">
        <v>20</v>
      </c>
      <c r="T42" s="1538">
        <v>20</v>
      </c>
      <c r="U42" s="1538">
        <v>30</v>
      </c>
      <c r="V42" s="1538">
        <v>30</v>
      </c>
      <c r="W42" s="1538"/>
      <c r="AA42" s="1559"/>
      <c r="AB42" s="1559"/>
      <c r="AC42" s="1559"/>
      <c r="AD42" s="1559"/>
      <c r="AE42" s="1559"/>
      <c r="AF42" s="1559"/>
      <c r="AG42" s="2920"/>
      <c r="AH42" s="2920"/>
      <c r="AI42" s="2920"/>
      <c r="AK42" s="1566"/>
      <c r="AL42" s="1566"/>
      <c r="AM42" s="1566"/>
      <c r="AN42" s="1566"/>
      <c r="AO42" s="1566"/>
      <c r="AP42" s="1566"/>
      <c r="AQ42" s="1566"/>
    </row>
    <row r="43" spans="1:44" s="1565" customFormat="1">
      <c r="A43" s="1594" t="s">
        <v>811</v>
      </c>
      <c r="B43" s="1595" t="s">
        <v>700</v>
      </c>
      <c r="C43" s="1602" t="s">
        <v>100</v>
      </c>
      <c r="D43" s="1538">
        <v>876</v>
      </c>
      <c r="E43" s="1538">
        <v>876</v>
      </c>
      <c r="F43" s="1538">
        <v>876</v>
      </c>
      <c r="G43" s="1585">
        <v>14839.44</v>
      </c>
      <c r="H43" s="1585">
        <v>14839.44</v>
      </c>
      <c r="I43" s="1538">
        <v>0</v>
      </c>
      <c r="J43" s="1538">
        <v>0</v>
      </c>
      <c r="K43" s="1538">
        <v>0</v>
      </c>
      <c r="L43" s="1538"/>
      <c r="M43" s="1538"/>
      <c r="N43" s="1538"/>
      <c r="O43" s="1538"/>
      <c r="P43" s="1538"/>
      <c r="Q43" s="1538"/>
      <c r="R43" s="1538"/>
      <c r="S43" s="1538"/>
      <c r="T43" s="1538"/>
      <c r="U43" s="1585"/>
      <c r="V43" s="1585"/>
      <c r="W43" s="1585"/>
      <c r="AA43" s="1559"/>
      <c r="AB43" s="1559"/>
      <c r="AC43" s="1604"/>
      <c r="AD43" s="1559"/>
      <c r="AE43" s="1559"/>
      <c r="AF43" s="1559"/>
      <c r="AG43" s="2920"/>
      <c r="AH43" s="2920"/>
      <c r="AI43" s="2932"/>
      <c r="AK43" s="1566"/>
      <c r="AL43" s="1566"/>
      <c r="AM43" s="1566"/>
      <c r="AN43" s="1566"/>
      <c r="AO43" s="1566"/>
      <c r="AP43" s="1566"/>
      <c r="AQ43" s="1566"/>
    </row>
    <row r="44" spans="1:44" s="1565" customFormat="1">
      <c r="A44" s="1594" t="s">
        <v>1014</v>
      </c>
      <c r="B44" s="1595"/>
      <c r="C44" s="1605" t="s">
        <v>1016</v>
      </c>
      <c r="D44" s="1640">
        <f t="shared" ref="D44:R44" si="8">D45*8760</f>
        <v>238.27199999999999</v>
      </c>
      <c r="E44" s="1640">
        <f t="shared" si="8"/>
        <v>278.56800000000004</v>
      </c>
      <c r="F44" s="1640">
        <f t="shared" si="8"/>
        <v>278.56800000000004</v>
      </c>
      <c r="G44" s="1640">
        <f t="shared" si="8"/>
        <v>527.35199999999998</v>
      </c>
      <c r="H44" s="1640">
        <f t="shared" si="8"/>
        <v>527.35199999999998</v>
      </c>
      <c r="I44" s="1640">
        <f t="shared" si="8"/>
        <v>665.76</v>
      </c>
      <c r="J44" s="1640">
        <f t="shared" si="8"/>
        <v>350.40000000000003</v>
      </c>
      <c r="K44" s="1640">
        <f t="shared" si="8"/>
        <v>350.40000000000003</v>
      </c>
      <c r="L44" s="1640">
        <f t="shared" si="8"/>
        <v>175.20000000000002</v>
      </c>
      <c r="M44" s="1640">
        <f t="shared" si="8"/>
        <v>175.20000000000002</v>
      </c>
      <c r="N44" s="1640">
        <f t="shared" si="8"/>
        <v>175.20000000000002</v>
      </c>
      <c r="O44" s="1640">
        <f t="shared" si="8"/>
        <v>175.20000000000002</v>
      </c>
      <c r="P44" s="1640">
        <f t="shared" si="8"/>
        <v>175.20000000000002</v>
      </c>
      <c r="Q44" s="1640">
        <f t="shared" si="8"/>
        <v>131.4</v>
      </c>
      <c r="R44" s="1640">
        <f t="shared" si="8"/>
        <v>131.4</v>
      </c>
      <c r="S44" s="1640">
        <f>S45*8760</f>
        <v>131.4</v>
      </c>
      <c r="T44" s="1640">
        <f>T45*8760</f>
        <v>131.4</v>
      </c>
      <c r="U44" s="1640">
        <f>U45*8760</f>
        <v>0</v>
      </c>
      <c r="V44" s="1640">
        <f>V45*8760</f>
        <v>0</v>
      </c>
      <c r="W44" s="1538"/>
      <c r="AA44" s="1559"/>
      <c r="AB44" s="1559"/>
      <c r="AC44" s="1559"/>
      <c r="AD44" s="1559"/>
      <c r="AE44" s="1559"/>
      <c r="AF44" s="1559"/>
      <c r="AG44" s="2920"/>
      <c r="AH44" s="2920"/>
      <c r="AI44" s="2920"/>
    </row>
    <row r="45" spans="1:44" s="1565" customFormat="1" ht="14.25">
      <c r="A45" s="1594" t="s">
        <v>1218</v>
      </c>
      <c r="B45" s="1595" t="s">
        <v>701</v>
      </c>
      <c r="C45" s="1605" t="s">
        <v>1296</v>
      </c>
      <c r="D45" s="1549">
        <v>2.7199999999999998E-2</v>
      </c>
      <c r="E45" s="1549">
        <v>3.1800000000000002E-2</v>
      </c>
      <c r="F45" s="1549">
        <v>3.1800000000000002E-2</v>
      </c>
      <c r="G45" s="1549">
        <v>6.0199999999999997E-2</v>
      </c>
      <c r="H45" s="1549">
        <v>6.0199999999999997E-2</v>
      </c>
      <c r="I45" s="4130">
        <v>7.5999999999999998E-2</v>
      </c>
      <c r="J45" s="1549">
        <v>0.04</v>
      </c>
      <c r="K45" s="1549">
        <v>0.04</v>
      </c>
      <c r="L45" s="4128">
        <v>0.02</v>
      </c>
      <c r="M45" s="4128">
        <v>0.02</v>
      </c>
      <c r="N45" s="4128">
        <v>0.02</v>
      </c>
      <c r="O45" s="4128">
        <v>0.02</v>
      </c>
      <c r="P45" s="4128">
        <v>0.02</v>
      </c>
      <c r="Q45" s="4129">
        <v>1.4999999999999999E-2</v>
      </c>
      <c r="R45" s="4129">
        <v>1.4999999999999999E-2</v>
      </c>
      <c r="S45" s="4129">
        <v>1.4999999999999999E-2</v>
      </c>
      <c r="T45" s="4129">
        <v>1.4999999999999999E-2</v>
      </c>
      <c r="U45" s="4129">
        <v>0</v>
      </c>
      <c r="V45" s="4129">
        <v>0</v>
      </c>
      <c r="W45" s="1549"/>
      <c r="AA45" s="1554"/>
      <c r="AB45" s="1554"/>
      <c r="AC45" s="1555"/>
      <c r="AD45" s="1555"/>
      <c r="AE45" s="1555"/>
      <c r="AF45" s="1555"/>
      <c r="AG45" s="2922"/>
      <c r="AH45" s="2922"/>
      <c r="AI45" s="2922"/>
    </row>
    <row r="46" spans="1:44" s="1565" customFormat="1" ht="14.25">
      <c r="A46" s="1594" t="s">
        <v>973</v>
      </c>
      <c r="B46" s="1595" t="s">
        <v>702</v>
      </c>
      <c r="C46" s="1602" t="s">
        <v>1297</v>
      </c>
      <c r="D46" s="1549">
        <v>5.5599999999999997E-2</v>
      </c>
      <c r="E46" s="1549">
        <v>4.1300000000000003E-2</v>
      </c>
      <c r="F46" s="1549">
        <v>4.1300000000000003E-2</v>
      </c>
      <c r="G46" s="1549">
        <v>2.24E-2</v>
      </c>
      <c r="H46" s="1549">
        <v>2.24E-2</v>
      </c>
      <c r="I46" s="4130">
        <v>0.09</v>
      </c>
      <c r="J46" s="1549">
        <v>2.5000000000000001E-2</v>
      </c>
      <c r="K46" s="1549">
        <v>2.5000000000000001E-2</v>
      </c>
      <c r="L46" s="4128">
        <v>0.06</v>
      </c>
      <c r="M46" s="4128">
        <v>0.06</v>
      </c>
      <c r="N46" s="4128">
        <v>0.06</v>
      </c>
      <c r="O46" s="4128">
        <v>0.06</v>
      </c>
      <c r="P46" s="4128">
        <v>0.06</v>
      </c>
      <c r="Q46" s="4129">
        <v>0</v>
      </c>
      <c r="R46" s="4129">
        <v>0</v>
      </c>
      <c r="S46" s="4129">
        <v>0</v>
      </c>
      <c r="T46" s="4129">
        <v>0</v>
      </c>
      <c r="U46" s="4129">
        <v>0.01</v>
      </c>
      <c r="V46" s="4129">
        <v>0.01</v>
      </c>
      <c r="W46" s="1549"/>
      <c r="AA46" s="1554"/>
      <c r="AB46" s="1554"/>
      <c r="AC46" s="1555"/>
      <c r="AD46" s="1555"/>
      <c r="AE46" s="1555"/>
      <c r="AF46" s="1555"/>
      <c r="AG46" s="2922"/>
      <c r="AH46" s="2922"/>
      <c r="AI46" s="2922"/>
    </row>
    <row r="47" spans="1:44" s="1565" customFormat="1">
      <c r="A47" s="1594"/>
      <c r="B47" s="1595"/>
      <c r="C47" s="1606" t="s">
        <v>403</v>
      </c>
      <c r="D47" s="1538">
        <f>(1-D46)*(1-D45)</f>
        <v>0.91871232000000003</v>
      </c>
      <c r="E47" s="1538">
        <f t="shared" ref="E47:V47" si="9">(1-E46)*(1-E45)</f>
        <v>0.92821334</v>
      </c>
      <c r="F47" s="1538">
        <f t="shared" si="9"/>
        <v>0.92821334</v>
      </c>
      <c r="G47" s="1538">
        <f t="shared" si="9"/>
        <v>0.91874847999999998</v>
      </c>
      <c r="H47" s="1538">
        <f t="shared" si="9"/>
        <v>0.91874847999999998</v>
      </c>
      <c r="I47" s="1538">
        <f t="shared" si="9"/>
        <v>0.84084000000000003</v>
      </c>
      <c r="J47" s="1538">
        <f t="shared" si="9"/>
        <v>0.93599999999999994</v>
      </c>
      <c r="K47" s="1538">
        <f t="shared" si="9"/>
        <v>0.93599999999999994</v>
      </c>
      <c r="L47" s="1538">
        <f t="shared" si="9"/>
        <v>0.92119999999999991</v>
      </c>
      <c r="M47" s="1538">
        <f t="shared" si="9"/>
        <v>0.92119999999999991</v>
      </c>
      <c r="N47" s="1538">
        <f t="shared" si="9"/>
        <v>0.92119999999999991</v>
      </c>
      <c r="O47" s="1538">
        <f t="shared" si="9"/>
        <v>0.92119999999999991</v>
      </c>
      <c r="P47" s="1538">
        <f t="shared" si="9"/>
        <v>0.92119999999999991</v>
      </c>
      <c r="Q47" s="1538">
        <f t="shared" si="9"/>
        <v>0.98499999999999999</v>
      </c>
      <c r="R47" s="1538">
        <f t="shared" si="9"/>
        <v>0.98499999999999999</v>
      </c>
      <c r="S47" s="1538">
        <f t="shared" si="9"/>
        <v>0.98499999999999999</v>
      </c>
      <c r="T47" s="1538">
        <f t="shared" si="9"/>
        <v>0.98499999999999999</v>
      </c>
      <c r="U47" s="1538">
        <f t="shared" si="9"/>
        <v>0.99</v>
      </c>
      <c r="V47" s="1538">
        <f t="shared" si="9"/>
        <v>0.99</v>
      </c>
      <c r="W47" s="1538"/>
      <c r="AA47" s="1559"/>
      <c r="AB47" s="1559"/>
      <c r="AC47" s="1559"/>
      <c r="AD47" s="1559"/>
      <c r="AE47" s="1559"/>
      <c r="AF47" s="1559"/>
      <c r="AG47" s="2920"/>
      <c r="AH47" s="2920"/>
      <c r="AI47" s="2920"/>
    </row>
    <row r="48" spans="1:44" s="1565" customFormat="1" ht="14.25">
      <c r="A48" s="1594" t="s">
        <v>412</v>
      </c>
      <c r="B48" s="1595"/>
      <c r="C48" s="1602" t="s">
        <v>410</v>
      </c>
      <c r="D48" s="3342">
        <f t="shared" ref="D48:H48" si="10">D74+(D51*D65+SUMPRODUCT(D52:D56,D66:D70)*D59)*D73/(D7*1000)</f>
        <v>26.854149723682205</v>
      </c>
      <c r="E48" s="3342">
        <f t="shared" si="10"/>
        <v>25.947222738385001</v>
      </c>
      <c r="F48" s="3342">
        <f t="shared" si="10"/>
        <v>23.869979877847602</v>
      </c>
      <c r="G48" s="3342">
        <f t="shared" si="10"/>
        <v>32.687916232334665</v>
      </c>
      <c r="H48" s="1635">
        <f t="shared" si="10"/>
        <v>32.690034022686902</v>
      </c>
      <c r="I48" s="4134">
        <v>100.5</v>
      </c>
      <c r="J48" s="4134">
        <v>84.93</v>
      </c>
      <c r="K48" s="4134">
        <v>84.93</v>
      </c>
      <c r="L48" s="4140">
        <f>IF(StartYr&gt;2020,57.1, -0.000086864311*StartYr^3 + 0.538256898072*StartYr^2 - 1112.41154187985*StartYr + 766797.224106153)</f>
        <v>67.114937288220972</v>
      </c>
      <c r="M48" s="4140">
        <f>IF(StartYr&gt;2020,57.1, -0.000086864311*StartYr^3 + 0.538256898072*StartYr^2 - 1112.41154187985*StartYr + 766797.224106153)</f>
        <v>67.114937288220972</v>
      </c>
      <c r="N48" s="4140">
        <f>IF(StartYr&gt;2020,40.96,-0.0008503281*StartYr^3 + 5.1980707466*StartYr^2 - 10593.1510009525*StartYr + 7196751.31523416)</f>
        <v>59.40503191575408</v>
      </c>
      <c r="O48" s="4140">
        <f>IF(StartYr&gt;2020,53.11, -0.0000807982*StartYr^3 + 0.5006682652*StartYr^2 - 1034.7273928918*StartYr + 713248.705813719)</f>
        <v>62.661361298756674</v>
      </c>
      <c r="P48" s="4140">
        <f>IF(StartYr&gt;2020,53.11, -0.0000807982*StartYr^3 + 0.5006682652*StartYr^2 - 1034.7273928918*StartYr + 713248.705813719)</f>
        <v>62.661361298756674</v>
      </c>
      <c r="Q48" s="3004">
        <v>25</v>
      </c>
      <c r="R48" s="3004">
        <v>28</v>
      </c>
      <c r="S48" s="3004">
        <v>25</v>
      </c>
      <c r="T48" s="3004">
        <v>28</v>
      </c>
      <c r="U48" s="3004">
        <v>0</v>
      </c>
      <c r="V48" s="3004">
        <v>0</v>
      </c>
      <c r="W48" s="1538"/>
      <c r="AA48" s="1559"/>
      <c r="AB48" s="1559"/>
      <c r="AC48" s="1559"/>
      <c r="AD48" s="1559"/>
      <c r="AE48" s="1559"/>
      <c r="AF48" s="1559"/>
      <c r="AG48" s="2920"/>
      <c r="AH48" s="2920"/>
      <c r="AI48" s="2920"/>
    </row>
    <row r="49" spans="1:35" s="1565" customFormat="1" ht="15">
      <c r="A49" s="1594" t="s">
        <v>413</v>
      </c>
      <c r="B49" s="1595"/>
      <c r="C49" s="1602" t="s">
        <v>411</v>
      </c>
      <c r="D49" s="2777">
        <v>0</v>
      </c>
      <c r="E49" s="2777">
        <v>0</v>
      </c>
      <c r="F49" s="2777">
        <v>0</v>
      </c>
      <c r="G49" s="3343">
        <v>0.58443773698594481</v>
      </c>
      <c r="H49" s="3343">
        <v>0.58443773698594481</v>
      </c>
      <c r="I49" s="4134">
        <v>5</v>
      </c>
      <c r="J49" s="4134">
        <v>0</v>
      </c>
      <c r="K49" s="3004">
        <v>0</v>
      </c>
      <c r="L49" s="3004">
        <v>0</v>
      </c>
      <c r="M49" s="3004">
        <v>0</v>
      </c>
      <c r="N49" s="3004">
        <v>0</v>
      </c>
      <c r="O49" s="3004">
        <v>0</v>
      </c>
      <c r="P49" s="3004">
        <v>0</v>
      </c>
      <c r="Q49" s="3004">
        <v>0</v>
      </c>
      <c r="R49" s="3004">
        <v>0</v>
      </c>
      <c r="S49" s="3004">
        <v>0</v>
      </c>
      <c r="T49" s="3004">
        <v>0</v>
      </c>
      <c r="U49" s="3004">
        <v>9</v>
      </c>
      <c r="V49" s="3004">
        <v>9</v>
      </c>
      <c r="W49" s="1665"/>
      <c r="AA49" s="1559"/>
      <c r="AB49" s="1559"/>
      <c r="AC49" s="1559"/>
      <c r="AD49" s="1559"/>
      <c r="AE49" s="1559"/>
      <c r="AF49" s="1559"/>
      <c r="AG49" s="2920"/>
      <c r="AH49" s="2920"/>
      <c r="AI49" s="2920"/>
    </row>
    <row r="50" spans="1:35" s="1565" customFormat="1">
      <c r="A50" s="1535"/>
      <c r="B50" s="1536"/>
      <c r="C50" s="1608" t="s">
        <v>1337</v>
      </c>
      <c r="D50" s="1538"/>
      <c r="E50" s="1538" t="s">
        <v>2049</v>
      </c>
      <c r="F50" s="1538"/>
      <c r="G50" s="1538"/>
      <c r="H50" s="1538"/>
      <c r="I50" s="1538"/>
      <c r="J50" s="1538"/>
      <c r="K50" s="1538"/>
      <c r="L50" s="1538"/>
      <c r="M50" s="1538"/>
      <c r="N50" s="1538"/>
      <c r="O50" s="1538"/>
      <c r="P50" s="1538"/>
      <c r="Q50" s="1538"/>
      <c r="R50" s="1538"/>
      <c r="S50" s="1538"/>
      <c r="T50" s="1538"/>
      <c r="U50" s="1538"/>
      <c r="V50" s="1538"/>
      <c r="W50" s="1538"/>
      <c r="AA50" s="1559"/>
      <c r="AB50" s="1559"/>
      <c r="AC50" s="1559"/>
      <c r="AD50" s="1559"/>
      <c r="AE50" s="1559"/>
      <c r="AF50" s="1559"/>
      <c r="AG50" s="2920"/>
      <c r="AH50" s="2920"/>
      <c r="AI50" s="2920"/>
    </row>
    <row r="51" spans="1:35" s="1536" customFormat="1" ht="15">
      <c r="A51" s="922" t="s">
        <v>812</v>
      </c>
      <c r="B51" s="146" t="s">
        <v>703</v>
      </c>
      <c r="C51" s="2260" t="s">
        <v>1540</v>
      </c>
      <c r="D51" s="4207">
        <f>ROUND(0.118*(4.321*LN(D$7)-13.072),2)</f>
        <v>0.45</v>
      </c>
      <c r="E51" s="4207">
        <f>ROUND(0.118*(4.321*LN(E$7)-13.072),2)</f>
        <v>0.81</v>
      </c>
      <c r="F51" s="4207">
        <f>ROUND(0.118*(4.321*LN(F$7)-13.072),2)</f>
        <v>1.1599999999999999</v>
      </c>
      <c r="G51" s="4207">
        <f>ROUND(0.112*0.0404*G$7,2)</f>
        <v>2.2599999999999998</v>
      </c>
      <c r="H51" s="4134">
        <f>ROUND(0.112*0.0404*H$7,2)</f>
        <v>2.4900000000000002</v>
      </c>
      <c r="I51" s="1538"/>
      <c r="J51" s="1538"/>
      <c r="K51" s="1538"/>
      <c r="L51" s="1538"/>
      <c r="M51" s="1538"/>
      <c r="N51" s="1538"/>
      <c r="O51" s="1538"/>
      <c r="P51" s="1538"/>
      <c r="Q51" s="1538"/>
      <c r="R51" s="1538"/>
      <c r="S51" s="1538"/>
      <c r="T51" s="1538"/>
      <c r="U51" s="1538"/>
      <c r="V51" s="1538"/>
      <c r="W51" s="1538"/>
      <c r="AA51" s="1559"/>
      <c r="AB51" s="1559"/>
      <c r="AC51" s="1559"/>
      <c r="AD51" s="1559"/>
      <c r="AE51" s="1559"/>
      <c r="AF51" s="1559"/>
      <c r="AG51" s="2920"/>
      <c r="AH51" s="2920"/>
      <c r="AI51" s="2920"/>
    </row>
    <row r="52" spans="1:35" s="1536" customFormat="1" ht="15">
      <c r="A52" s="922" t="s">
        <v>1536</v>
      </c>
      <c r="B52" s="146" t="s">
        <v>704</v>
      </c>
      <c r="C52" s="2260" t="s">
        <v>1541</v>
      </c>
      <c r="D52" s="4207">
        <f>ROUND(0.384*(4.321*LN(D$7)-13.072),2)</f>
        <v>1.47</v>
      </c>
      <c r="E52" s="4207">
        <f>ROUND(0.384*(4.321*LN(E$7)-13.072),2)</f>
        <v>2.62</v>
      </c>
      <c r="F52" s="4207">
        <f>ROUND(0.384*(4.321*LN(F$7)-13.072),2)</f>
        <v>3.77</v>
      </c>
      <c r="G52" s="4207">
        <f>ROUND(0.506*0.0404*G$7,2)</f>
        <v>10.220000000000001</v>
      </c>
      <c r="H52" s="4134">
        <f>ROUND(0.506*0.0404*H$7,2)</f>
        <v>11.24</v>
      </c>
      <c r="I52" s="1538"/>
      <c r="J52" s="1538"/>
      <c r="K52" s="1538"/>
      <c r="L52" s="1538"/>
      <c r="M52" s="1538"/>
      <c r="N52" s="1538"/>
      <c r="O52" s="1538"/>
      <c r="P52" s="1538"/>
      <c r="Q52" s="1538"/>
      <c r="R52" s="1538"/>
      <c r="S52" s="1538"/>
      <c r="T52" s="1538"/>
      <c r="U52" s="1538"/>
      <c r="V52" s="1538"/>
      <c r="W52" s="1538"/>
      <c r="AA52" s="1559"/>
      <c r="AB52" s="1559"/>
      <c r="AC52" s="1559"/>
      <c r="AD52" s="1559"/>
      <c r="AE52" s="1559"/>
      <c r="AF52" s="1559"/>
      <c r="AG52" s="2920"/>
      <c r="AH52" s="2920"/>
      <c r="AI52" s="2920"/>
    </row>
    <row r="53" spans="1:35" s="1536" customFormat="1" ht="15">
      <c r="A53" s="922" t="s">
        <v>1537</v>
      </c>
      <c r="B53" s="146" t="s">
        <v>705</v>
      </c>
      <c r="C53" s="2260" t="s">
        <v>1542</v>
      </c>
      <c r="D53" s="4207">
        <f>ROUND(0.207*(4.321*LN(D$7)-13.072),2)</f>
        <v>0.79</v>
      </c>
      <c r="E53" s="4207">
        <f>ROUND(0.207*(4.321*LN(E$7)-13.072),2)</f>
        <v>1.41</v>
      </c>
      <c r="F53" s="4207">
        <f>ROUND(0.207*(4.321*LN(F$7)-13.072),2)</f>
        <v>2.0299999999999998</v>
      </c>
      <c r="G53" s="4207">
        <f>ROUND(0.157*0.0404*G$7,2)</f>
        <v>3.17</v>
      </c>
      <c r="H53" s="4134">
        <f>ROUND(0.157*0.0404*H$7,2)</f>
        <v>3.49</v>
      </c>
      <c r="I53" s="1538"/>
      <c r="J53" s="1538"/>
      <c r="K53" s="1538"/>
      <c r="L53" s="1538"/>
      <c r="M53" s="1538"/>
      <c r="N53" s="1538"/>
      <c r="O53" s="1538"/>
      <c r="P53" s="1538"/>
      <c r="Q53" s="1538"/>
      <c r="R53" s="1538"/>
      <c r="S53" s="1538"/>
      <c r="T53" s="1538"/>
      <c r="U53" s="1538"/>
      <c r="V53" s="1538"/>
      <c r="W53" s="1538"/>
      <c r="AA53" s="1559"/>
      <c r="AB53" s="1559"/>
      <c r="AC53" s="1559"/>
      <c r="AD53" s="1559"/>
      <c r="AE53" s="1559"/>
      <c r="AF53" s="1559"/>
      <c r="AG53" s="2920"/>
      <c r="AH53" s="2920"/>
      <c r="AI53" s="2920"/>
    </row>
    <row r="54" spans="1:35" s="1536" customFormat="1" ht="15">
      <c r="A54" s="922" t="s">
        <v>1545</v>
      </c>
      <c r="B54" s="146" t="s">
        <v>706</v>
      </c>
      <c r="C54" s="2260" t="s">
        <v>1539</v>
      </c>
      <c r="D54" s="4207">
        <f>ROUND(0.082*(4.321*LN(D$7)-13.072),2)</f>
        <v>0.31</v>
      </c>
      <c r="E54" s="4207">
        <f>ROUND(0.082*(4.321*LN(E$7)-13.072),2)</f>
        <v>0.56000000000000005</v>
      </c>
      <c r="F54" s="4207">
        <f>ROUND(0.082*(4.321*LN(F$7)-13.072),2)</f>
        <v>0.81</v>
      </c>
      <c r="G54" s="4207">
        <f>ROUND(0*0.0404*G$7,2)</f>
        <v>0</v>
      </c>
      <c r="H54" s="4134">
        <f>ROUND(0*0.0404*H$7,2)</f>
        <v>0</v>
      </c>
      <c r="I54" s="1538"/>
      <c r="J54" s="1538"/>
      <c r="K54" s="1538"/>
      <c r="L54" s="1538"/>
      <c r="M54" s="1538"/>
      <c r="N54" s="1538"/>
      <c r="O54" s="1538"/>
      <c r="P54" s="1538"/>
      <c r="Q54" s="1538"/>
      <c r="R54" s="1538"/>
      <c r="S54" s="1538"/>
      <c r="T54" s="1538"/>
      <c r="U54" s="1538"/>
      <c r="V54" s="1538"/>
      <c r="W54" s="1538"/>
      <c r="AA54" s="1559"/>
      <c r="AB54" s="1559"/>
      <c r="AC54" s="1559"/>
      <c r="AD54" s="1559"/>
      <c r="AE54" s="1559"/>
      <c r="AF54" s="1559"/>
      <c r="AG54" s="2920"/>
      <c r="AH54" s="2920"/>
      <c r="AI54" s="2920"/>
    </row>
    <row r="55" spans="1:35" s="1536" customFormat="1" ht="15">
      <c r="A55" s="922" t="s">
        <v>813</v>
      </c>
      <c r="B55" s="146" t="s">
        <v>707</v>
      </c>
      <c r="C55" s="2260" t="s">
        <v>1543</v>
      </c>
      <c r="D55" s="4207">
        <f>ROUND(0.101*(4.321*LN(D$7)-13.072),2)</f>
        <v>0.39</v>
      </c>
      <c r="E55" s="4207">
        <f>ROUND(0.101*(4.321*LN(E$7)-13.072),2)</f>
        <v>0.69</v>
      </c>
      <c r="F55" s="4207">
        <f>ROUND(0.101*(4.321*LN(F$7)-13.072),2)</f>
        <v>0.99</v>
      </c>
      <c r="G55" s="4207">
        <f>ROUND(0.118*0.0404*G$7,2)</f>
        <v>2.38</v>
      </c>
      <c r="H55" s="4134">
        <f>ROUND(0.118*0.0404*H$7,2)</f>
        <v>2.62</v>
      </c>
      <c r="I55" s="1538"/>
      <c r="J55" s="1538"/>
      <c r="K55" s="1538"/>
      <c r="L55" s="1538"/>
      <c r="M55" s="1538"/>
      <c r="N55" s="1538"/>
      <c r="O55" s="1538"/>
      <c r="P55" s="1538"/>
      <c r="Q55" s="1538"/>
      <c r="R55" s="1538"/>
      <c r="S55" s="1538"/>
      <c r="T55" s="1538"/>
      <c r="U55" s="1538"/>
      <c r="V55" s="1538"/>
      <c r="W55" s="1538"/>
      <c r="AA55" s="1559"/>
      <c r="AB55" s="1559"/>
      <c r="AC55" s="1559"/>
      <c r="AD55" s="1559"/>
      <c r="AE55" s="1559"/>
      <c r="AF55" s="1559"/>
      <c r="AG55" s="2920"/>
      <c r="AH55" s="2920"/>
      <c r="AI55" s="2920"/>
    </row>
    <row r="56" spans="1:35" s="1536" customFormat="1" ht="15">
      <c r="A56" s="922" t="s">
        <v>1538</v>
      </c>
      <c r="B56" s="146"/>
      <c r="C56" s="2260" t="s">
        <v>1544</v>
      </c>
      <c r="D56" s="4207">
        <f>ROUND(0.109*(4.321*LN(D$7)-13.072),2)</f>
        <v>0.42</v>
      </c>
      <c r="E56" s="4207">
        <f>ROUND(0.109*(4.321*LN(E$7)-13.072),2)</f>
        <v>0.74</v>
      </c>
      <c r="F56" s="4207">
        <f>ROUND(0.109*(4.321*LN(F$7)-13.072),2)</f>
        <v>1.07</v>
      </c>
      <c r="G56" s="4207">
        <f>ROUND(0.108*0.0404*G$7,2)</f>
        <v>2.1800000000000002</v>
      </c>
      <c r="H56" s="4134">
        <f>ROUND(0.108*0.0404*H$7,2)</f>
        <v>2.4</v>
      </c>
      <c r="I56" s="1538"/>
      <c r="J56" s="1538"/>
      <c r="K56" s="1538"/>
      <c r="L56" s="1538"/>
      <c r="M56" s="1538"/>
      <c r="N56" s="1538"/>
      <c r="O56" s="1538"/>
      <c r="P56" s="1538"/>
      <c r="Q56" s="1538"/>
      <c r="R56" s="1538"/>
      <c r="S56" s="1538"/>
      <c r="T56" s="1538"/>
      <c r="U56" s="1538"/>
      <c r="V56" s="1538"/>
      <c r="W56" s="1538"/>
      <c r="AA56" s="1559"/>
      <c r="AB56" s="1559"/>
      <c r="AC56" s="1559"/>
      <c r="AD56" s="1559"/>
      <c r="AE56" s="1559"/>
      <c r="AF56" s="1559"/>
      <c r="AG56" s="2920"/>
      <c r="AH56" s="2920"/>
      <c r="AI56" s="2920"/>
    </row>
    <row r="57" spans="1:35" s="1536" customFormat="1" ht="15.75">
      <c r="A57" s="922"/>
      <c r="B57" s="146"/>
      <c r="C57" s="923" t="s">
        <v>1310</v>
      </c>
      <c r="D57" s="3294"/>
      <c r="E57" s="3295"/>
      <c r="F57" s="3295"/>
      <c r="G57" s="1538"/>
      <c r="H57" s="1538"/>
      <c r="I57" s="1538"/>
      <c r="J57" s="1538"/>
      <c r="K57" s="1538"/>
      <c r="L57" s="1538"/>
      <c r="M57" s="1538"/>
      <c r="N57" s="1538"/>
      <c r="O57" s="1538"/>
      <c r="P57" s="1538"/>
      <c r="Q57" s="1538"/>
      <c r="R57" s="1538"/>
      <c r="S57" s="1538"/>
      <c r="T57" s="1538"/>
      <c r="U57" s="1538"/>
      <c r="V57" s="1538"/>
      <c r="W57" s="1538"/>
      <c r="AA57" s="1559"/>
      <c r="AB57" s="1559"/>
      <c r="AC57" s="1559"/>
      <c r="AD57" s="1559"/>
      <c r="AE57" s="1559"/>
      <c r="AF57" s="1559"/>
      <c r="AG57" s="2920"/>
      <c r="AH57" s="2920"/>
      <c r="AI57" s="2920"/>
    </row>
    <row r="58" spans="1:35" s="1538" customFormat="1" ht="15.75">
      <c r="A58" s="924" t="s">
        <v>814</v>
      </c>
      <c r="B58" s="925" t="s">
        <v>708</v>
      </c>
      <c r="C58" s="2260" t="s">
        <v>1540</v>
      </c>
      <c r="D58" s="3295"/>
      <c r="E58" s="3295"/>
      <c r="F58" s="3295"/>
      <c r="AA58" s="1559"/>
      <c r="AB58" s="1559"/>
      <c r="AC58" s="1559"/>
      <c r="AD58" s="1559"/>
      <c r="AE58" s="1559"/>
      <c r="AF58" s="1559"/>
      <c r="AG58" s="2920"/>
      <c r="AH58" s="2920"/>
      <c r="AI58" s="2920"/>
    </row>
    <row r="59" spans="1:35" s="1538" customFormat="1">
      <c r="A59" s="924" t="s">
        <v>1533</v>
      </c>
      <c r="B59" s="925" t="s">
        <v>709</v>
      </c>
      <c r="C59" s="2260" t="s">
        <v>1541</v>
      </c>
      <c r="D59" s="1612">
        <v>2080</v>
      </c>
      <c r="E59" s="1612">
        <v>2080</v>
      </c>
      <c r="F59" s="1612">
        <v>2080</v>
      </c>
      <c r="G59" s="3293">
        <v>2080</v>
      </c>
      <c r="H59" s="3293">
        <v>2080</v>
      </c>
      <c r="J59" s="1612"/>
      <c r="K59" s="1612"/>
      <c r="L59" s="1612"/>
      <c r="M59" s="1612"/>
      <c r="N59" s="1612"/>
      <c r="O59" s="1612"/>
      <c r="P59" s="1612"/>
      <c r="Q59" s="1612"/>
      <c r="R59" s="1612"/>
      <c r="S59" s="1612"/>
      <c r="T59" s="1612"/>
      <c r="AA59" s="1559"/>
      <c r="AB59" s="1559"/>
      <c r="AC59" s="1559"/>
      <c r="AD59" s="1559"/>
      <c r="AE59" s="1613"/>
      <c r="AF59" s="1613"/>
      <c r="AG59" s="2957"/>
      <c r="AH59" s="2957"/>
      <c r="AI59" s="2920"/>
    </row>
    <row r="60" spans="1:35" s="1538" customFormat="1">
      <c r="A60" s="924" t="s">
        <v>1534</v>
      </c>
      <c r="B60" s="925" t="s">
        <v>710</v>
      </c>
      <c r="C60" s="2260" t="s">
        <v>1542</v>
      </c>
      <c r="D60" s="1612">
        <v>2080</v>
      </c>
      <c r="E60" s="1612">
        <v>2080</v>
      </c>
      <c r="F60" s="1612">
        <v>2080</v>
      </c>
      <c r="G60" s="3293">
        <v>2080</v>
      </c>
      <c r="H60" s="3293">
        <v>2080</v>
      </c>
      <c r="J60" s="1612"/>
      <c r="K60" s="1612"/>
      <c r="L60" s="1612"/>
      <c r="M60" s="1612"/>
      <c r="N60" s="1612"/>
      <c r="O60" s="1612"/>
      <c r="P60" s="1612"/>
      <c r="Q60" s="1612"/>
      <c r="R60" s="1612"/>
      <c r="S60" s="1612"/>
      <c r="T60" s="1612"/>
      <c r="AA60" s="1559"/>
      <c r="AB60" s="1559"/>
      <c r="AC60" s="1559"/>
      <c r="AD60" s="1559"/>
      <c r="AE60" s="1613"/>
      <c r="AF60" s="1613"/>
      <c r="AG60" s="2957"/>
      <c r="AH60" s="2957"/>
      <c r="AI60" s="2920"/>
    </row>
    <row r="61" spans="1:35" s="1538" customFormat="1">
      <c r="A61" s="924" t="s">
        <v>1546</v>
      </c>
      <c r="B61" s="925" t="s">
        <v>711</v>
      </c>
      <c r="C61" s="2260" t="s">
        <v>1539</v>
      </c>
      <c r="D61" s="1612">
        <v>2080</v>
      </c>
      <c r="E61" s="1612">
        <v>2080</v>
      </c>
      <c r="F61" s="1612">
        <v>2080</v>
      </c>
      <c r="G61" s="3293">
        <v>2080</v>
      </c>
      <c r="H61" s="3293">
        <v>2080</v>
      </c>
      <c r="J61" s="1612"/>
      <c r="K61" s="1612"/>
      <c r="L61" s="1612"/>
      <c r="M61" s="1612"/>
      <c r="N61" s="1612"/>
      <c r="O61" s="1612"/>
      <c r="P61" s="1612"/>
      <c r="Q61" s="1612"/>
      <c r="R61" s="1612"/>
      <c r="S61" s="1612"/>
      <c r="T61" s="1612"/>
      <c r="AA61" s="1559"/>
      <c r="AB61" s="1559"/>
      <c r="AC61" s="1559"/>
      <c r="AD61" s="1559"/>
      <c r="AE61" s="1613"/>
      <c r="AF61" s="1613"/>
      <c r="AG61" s="2957"/>
      <c r="AH61" s="2957"/>
      <c r="AI61" s="2920"/>
    </row>
    <row r="62" spans="1:35" s="1538" customFormat="1">
      <c r="A62" s="924" t="s">
        <v>815</v>
      </c>
      <c r="B62" s="925" t="s">
        <v>712</v>
      </c>
      <c r="C62" s="2260" t="s">
        <v>1543</v>
      </c>
      <c r="D62" s="1612">
        <v>2080</v>
      </c>
      <c r="E62" s="1612">
        <v>2080</v>
      </c>
      <c r="F62" s="1612">
        <v>2080</v>
      </c>
      <c r="G62" s="3293">
        <v>2080</v>
      </c>
      <c r="H62" s="3293">
        <v>2080</v>
      </c>
      <c r="J62" s="1612"/>
      <c r="K62" s="1612"/>
      <c r="L62" s="1612"/>
      <c r="M62" s="1612"/>
      <c r="N62" s="1612"/>
      <c r="O62" s="1612"/>
      <c r="P62" s="1612"/>
      <c r="Q62" s="1612"/>
      <c r="R62" s="1612"/>
      <c r="S62" s="1612"/>
      <c r="T62" s="1612"/>
      <c r="AA62" s="1559"/>
      <c r="AB62" s="1559"/>
      <c r="AC62" s="1559"/>
      <c r="AD62" s="1559"/>
      <c r="AE62" s="1613"/>
      <c r="AF62" s="1613"/>
      <c r="AG62" s="2957"/>
      <c r="AH62" s="2957"/>
      <c r="AI62" s="2920"/>
    </row>
    <row r="63" spans="1:35" s="1538" customFormat="1">
      <c r="A63" s="924" t="s">
        <v>1535</v>
      </c>
      <c r="B63" s="925"/>
      <c r="C63" s="2260" t="s">
        <v>1544</v>
      </c>
      <c r="D63" s="1612">
        <v>2080</v>
      </c>
      <c r="E63" s="1612">
        <v>2080</v>
      </c>
      <c r="F63" s="1612">
        <v>2080</v>
      </c>
      <c r="G63" s="3293">
        <v>2080</v>
      </c>
      <c r="H63" s="3293">
        <v>2080</v>
      </c>
      <c r="J63" s="1612"/>
      <c r="K63" s="1612"/>
      <c r="L63" s="1612"/>
      <c r="M63" s="1612"/>
      <c r="N63" s="1612"/>
      <c r="O63" s="1612"/>
      <c r="P63" s="1612"/>
      <c r="Q63" s="1612"/>
      <c r="R63" s="1612"/>
      <c r="S63" s="1612"/>
      <c r="T63" s="1612"/>
      <c r="AA63" s="1559"/>
      <c r="AB63" s="1559"/>
      <c r="AC63" s="1559"/>
      <c r="AD63" s="1559"/>
      <c r="AE63" s="1613"/>
      <c r="AF63" s="1613"/>
      <c r="AG63" s="2957"/>
      <c r="AH63" s="2957"/>
      <c r="AI63" s="2920"/>
    </row>
    <row r="64" spans="1:35" s="1538" customFormat="1">
      <c r="A64" s="1611"/>
      <c r="B64" s="1614"/>
      <c r="C64" s="1610" t="s">
        <v>424</v>
      </c>
      <c r="AA64" s="1559"/>
      <c r="AB64" s="1559"/>
      <c r="AC64" s="1559"/>
      <c r="AD64" s="1559"/>
      <c r="AE64" s="1559"/>
      <c r="AF64" s="1559"/>
      <c r="AG64" s="2920"/>
      <c r="AH64" s="2920"/>
      <c r="AI64" s="2920"/>
    </row>
    <row r="65" spans="1:35" s="1538" customFormat="1" ht="15">
      <c r="A65" s="1611" t="s">
        <v>816</v>
      </c>
      <c r="B65" s="1615" t="s">
        <v>713</v>
      </c>
      <c r="C65" s="2260" t="s">
        <v>1515</v>
      </c>
      <c r="D65" s="4208">
        <v>118920</v>
      </c>
      <c r="E65" s="4208">
        <v>118920</v>
      </c>
      <c r="F65" s="4208">
        <v>118920</v>
      </c>
      <c r="G65" s="4208">
        <v>118920</v>
      </c>
      <c r="H65" s="4141">
        <v>118920</v>
      </c>
      <c r="I65" s="1617"/>
      <c r="J65" s="1616"/>
      <c r="K65" s="1616"/>
      <c r="L65" s="1616"/>
      <c r="M65" s="1616"/>
      <c r="N65" s="1616"/>
      <c r="O65" s="1616"/>
      <c r="P65" s="1616"/>
      <c r="Q65" s="1616"/>
      <c r="R65" s="1616"/>
      <c r="S65" s="1616"/>
      <c r="T65" s="1616"/>
      <c r="U65" s="1618"/>
      <c r="V65" s="1618"/>
      <c r="W65" s="1618"/>
      <c r="AA65" s="1619"/>
      <c r="AB65" s="1619"/>
      <c r="AC65" s="1620"/>
      <c r="AD65" s="1620"/>
      <c r="AE65" s="1621"/>
      <c r="AF65" s="1621"/>
      <c r="AG65" s="2958"/>
      <c r="AH65" s="2958"/>
      <c r="AI65" s="2933"/>
    </row>
    <row r="66" spans="1:35" s="1538" customFormat="1" ht="15">
      <c r="A66" s="1611" t="s">
        <v>1530</v>
      </c>
      <c r="B66" s="1615" t="s">
        <v>714</v>
      </c>
      <c r="C66" s="2260" t="s">
        <v>1516</v>
      </c>
      <c r="D66" s="4209">
        <v>33.08</v>
      </c>
      <c r="E66" s="4209">
        <v>33.08</v>
      </c>
      <c r="F66" s="4209">
        <v>33.08</v>
      </c>
      <c r="G66" s="4209">
        <v>33.08</v>
      </c>
      <c r="H66" s="4142">
        <v>33.08</v>
      </c>
      <c r="I66" s="1617"/>
      <c r="J66" s="1622"/>
      <c r="K66" s="1622"/>
      <c r="L66" s="1622"/>
      <c r="M66" s="1622"/>
      <c r="N66" s="1622"/>
      <c r="O66" s="1622"/>
      <c r="P66" s="1622"/>
      <c r="Q66" s="1622"/>
      <c r="R66" s="1622"/>
      <c r="S66" s="1622"/>
      <c r="T66" s="1622"/>
      <c r="U66" s="1623"/>
      <c r="V66" s="1623"/>
      <c r="W66" s="1623"/>
      <c r="AA66" s="1619"/>
      <c r="AB66" s="1619"/>
      <c r="AC66" s="1624"/>
      <c r="AD66" s="1624"/>
      <c r="AE66" s="1625"/>
      <c r="AF66" s="1625"/>
      <c r="AG66" s="2959"/>
      <c r="AH66" s="2959"/>
      <c r="AI66" s="2934"/>
    </row>
    <row r="67" spans="1:35" s="1538" customFormat="1" ht="15">
      <c r="A67" s="1611" t="s">
        <v>1529</v>
      </c>
      <c r="B67" s="1615" t="s">
        <v>715</v>
      </c>
      <c r="C67" s="2260" t="s">
        <v>1517</v>
      </c>
      <c r="D67" s="4209">
        <v>30.35</v>
      </c>
      <c r="E67" s="4209">
        <v>30.35</v>
      </c>
      <c r="F67" s="4209">
        <v>30.35</v>
      </c>
      <c r="G67" s="4209">
        <v>30.35</v>
      </c>
      <c r="H67" s="4142">
        <v>30.35</v>
      </c>
      <c r="I67" s="1617"/>
      <c r="J67" s="1622"/>
      <c r="K67" s="1622"/>
      <c r="L67" s="1622"/>
      <c r="M67" s="1622"/>
      <c r="N67" s="1622"/>
      <c r="O67" s="1622"/>
      <c r="P67" s="1622"/>
      <c r="Q67" s="1622"/>
      <c r="R67" s="1622"/>
      <c r="S67" s="1622"/>
      <c r="T67" s="1622"/>
      <c r="U67" s="1623"/>
      <c r="V67" s="1623"/>
      <c r="W67" s="1623"/>
      <c r="AA67" s="1619"/>
      <c r="AB67" s="1619"/>
      <c r="AC67" s="1624"/>
      <c r="AD67" s="1624"/>
      <c r="AE67" s="1625"/>
      <c r="AF67" s="1625"/>
      <c r="AG67" s="2959"/>
      <c r="AH67" s="2959"/>
      <c r="AI67" s="2934"/>
    </row>
    <row r="68" spans="1:35" s="1538" customFormat="1" ht="15">
      <c r="A68" s="1611" t="s">
        <v>1531</v>
      </c>
      <c r="B68" s="1615" t="s">
        <v>716</v>
      </c>
      <c r="C68" s="2260" t="s">
        <v>1518</v>
      </c>
      <c r="D68" s="4209">
        <v>17.690000000000001</v>
      </c>
      <c r="E68" s="4209">
        <v>17.690000000000001</v>
      </c>
      <c r="F68" s="4209">
        <v>17.690000000000001</v>
      </c>
      <c r="G68" s="4209">
        <v>17.690000000000001</v>
      </c>
      <c r="H68" s="4142">
        <v>17.690000000000001</v>
      </c>
      <c r="I68" s="1617"/>
      <c r="J68" s="1622"/>
      <c r="K68" s="1622"/>
      <c r="L68" s="1622"/>
      <c r="M68" s="1622"/>
      <c r="N68" s="1622"/>
      <c r="O68" s="1622"/>
      <c r="P68" s="1622"/>
      <c r="Q68" s="1622"/>
      <c r="R68" s="1622"/>
      <c r="S68" s="1622"/>
      <c r="T68" s="1622"/>
      <c r="U68" s="1623"/>
      <c r="V68" s="1623"/>
      <c r="W68" s="1623"/>
      <c r="AA68" s="1619"/>
      <c r="AB68" s="1619"/>
      <c r="AC68" s="1624"/>
      <c r="AD68" s="1624"/>
      <c r="AE68" s="1625"/>
      <c r="AF68" s="1625"/>
      <c r="AG68" s="2959"/>
      <c r="AH68" s="2959"/>
      <c r="AI68" s="2934"/>
    </row>
    <row r="69" spans="1:35" s="1538" customFormat="1" ht="15">
      <c r="A69" s="1611" t="s">
        <v>817</v>
      </c>
      <c r="B69" s="1615" t="s">
        <v>717</v>
      </c>
      <c r="C69" s="2260" t="s">
        <v>1519</v>
      </c>
      <c r="D69" s="4209">
        <v>21.36</v>
      </c>
      <c r="E69" s="4209">
        <v>21.36</v>
      </c>
      <c r="F69" s="4209">
        <v>21.36</v>
      </c>
      <c r="G69" s="4209">
        <v>21.36</v>
      </c>
      <c r="H69" s="4142">
        <v>21.36</v>
      </c>
      <c r="I69" s="1617"/>
      <c r="J69" s="1622"/>
      <c r="K69" s="1622"/>
      <c r="L69" s="1622"/>
      <c r="M69" s="1622"/>
      <c r="N69" s="1622"/>
      <c r="O69" s="1622"/>
      <c r="P69" s="1622"/>
      <c r="Q69" s="1622"/>
      <c r="R69" s="1622"/>
      <c r="S69" s="1622"/>
      <c r="T69" s="1622"/>
      <c r="U69" s="1623"/>
      <c r="V69" s="1623"/>
      <c r="W69" s="1623"/>
      <c r="AA69" s="1619"/>
      <c r="AB69" s="1619"/>
      <c r="AC69" s="1624"/>
      <c r="AD69" s="1624"/>
      <c r="AE69" s="1625"/>
      <c r="AF69" s="1625"/>
      <c r="AG69" s="2959"/>
      <c r="AH69" s="2959"/>
      <c r="AI69" s="2934"/>
    </row>
    <row r="70" spans="1:35" s="1538" customFormat="1" ht="15">
      <c r="A70" s="1611" t="s">
        <v>1532</v>
      </c>
      <c r="B70" s="1615"/>
      <c r="C70" s="2260" t="s">
        <v>1520</v>
      </c>
      <c r="D70" s="4209">
        <v>23.19</v>
      </c>
      <c r="E70" s="4209">
        <v>23.19</v>
      </c>
      <c r="F70" s="4209">
        <v>23.19</v>
      </c>
      <c r="G70" s="4209">
        <v>23.19</v>
      </c>
      <c r="H70" s="4142">
        <v>23.19</v>
      </c>
      <c r="I70" s="1617"/>
      <c r="J70" s="1622"/>
      <c r="K70" s="1622"/>
      <c r="L70" s="1622"/>
      <c r="M70" s="1622"/>
      <c r="N70" s="1622"/>
      <c r="O70" s="1622"/>
      <c r="P70" s="1622"/>
      <c r="Q70" s="1622"/>
      <c r="R70" s="1622"/>
      <c r="S70" s="1622"/>
      <c r="T70" s="1622"/>
      <c r="U70" s="1623"/>
      <c r="V70" s="1623"/>
      <c r="W70" s="1623"/>
      <c r="AA70" s="1619"/>
      <c r="AB70" s="1619"/>
      <c r="AC70" s="1624"/>
      <c r="AD70" s="1624"/>
      <c r="AE70" s="1625"/>
      <c r="AF70" s="1625"/>
      <c r="AG70" s="2959"/>
      <c r="AH70" s="2959"/>
      <c r="AI70" s="2934"/>
    </row>
    <row r="71" spans="1:35" s="1538" customFormat="1">
      <c r="A71" s="1611"/>
      <c r="B71" s="1614"/>
      <c r="C71" s="1626" t="s">
        <v>301</v>
      </c>
      <c r="AA71" s="1559"/>
      <c r="AB71" s="1559"/>
      <c r="AC71" s="1559"/>
      <c r="AD71" s="1559"/>
      <c r="AE71" s="1559"/>
      <c r="AF71" s="1559"/>
      <c r="AG71" s="2920"/>
      <c r="AH71" s="2920"/>
      <c r="AI71" s="2920"/>
    </row>
    <row r="72" spans="1:35" s="1553" customFormat="1" ht="14.25">
      <c r="A72" s="1627" t="s">
        <v>819</v>
      </c>
      <c r="B72" s="1628" t="s">
        <v>718</v>
      </c>
      <c r="C72" s="1629" t="s">
        <v>1262</v>
      </c>
      <c r="D72" s="1549">
        <v>6.0000000000000001E-3</v>
      </c>
      <c r="E72" s="1549">
        <v>6.0000000000000001E-3</v>
      </c>
      <c r="F72" s="1549">
        <v>6.0000000000000001E-3</v>
      </c>
      <c r="G72" s="1549">
        <v>6.0000000000000001E-3</v>
      </c>
      <c r="H72" s="1549">
        <v>6.0000000000000001E-3</v>
      </c>
      <c r="I72" s="1549">
        <v>6.0000000000000001E-3</v>
      </c>
      <c r="J72" s="1549">
        <v>6.0000000000000001E-3</v>
      </c>
      <c r="K72" s="1549">
        <v>6.0000000000000001E-3</v>
      </c>
      <c r="L72" s="4129">
        <v>3.0000000000000001E-3</v>
      </c>
      <c r="M72" s="4129">
        <v>3.0000000000000001E-3</v>
      </c>
      <c r="N72" s="4129">
        <v>3.0000000000000001E-3</v>
      </c>
      <c r="O72" s="4129">
        <v>3.0000000000000001E-3</v>
      </c>
      <c r="P72" s="4129">
        <v>3.0000000000000001E-3</v>
      </c>
      <c r="Q72" s="4129">
        <v>3.0000000000000001E-3</v>
      </c>
      <c r="R72" s="4129">
        <v>3.0000000000000001E-3</v>
      </c>
      <c r="S72" s="4129">
        <v>3.0000000000000001E-3</v>
      </c>
      <c r="T72" s="4129">
        <v>3.0000000000000001E-3</v>
      </c>
      <c r="U72" s="1549">
        <v>6.0000000000000001E-3</v>
      </c>
      <c r="V72" s="1549">
        <v>6.0000000000000001E-3</v>
      </c>
      <c r="W72" s="1549"/>
      <c r="AA72" s="1555"/>
      <c r="AB72" s="1555"/>
      <c r="AC72" s="1555"/>
      <c r="AD72" s="1555"/>
      <c r="AE72" s="1555"/>
      <c r="AF72" s="1555"/>
      <c r="AG72" s="2922"/>
      <c r="AH72" s="2922"/>
      <c r="AI72" s="2922"/>
    </row>
    <row r="73" spans="1:35" s="1538" customFormat="1">
      <c r="A73" s="1611" t="s">
        <v>820</v>
      </c>
      <c r="B73" s="1614" t="s">
        <v>720</v>
      </c>
      <c r="C73" s="1609" t="s">
        <v>1308</v>
      </c>
      <c r="D73" s="1630">
        <f>'Labor Table'!$B$15*'Labor Table'!$K$19</f>
        <v>1.6341451795044541</v>
      </c>
      <c r="E73" s="1630">
        <f>'Labor Table'!$B$15*'Labor Table'!$K$19</f>
        <v>1.6341451795044541</v>
      </c>
      <c r="F73" s="1630">
        <f>'Labor Table'!$B$15*'Labor Table'!$K$19</f>
        <v>1.6341451795044541</v>
      </c>
      <c r="G73" s="1630">
        <f>'Labor Table'!$B$15*'Labor Table'!$K$19</f>
        <v>1.6341451795044541</v>
      </c>
      <c r="H73" s="1630">
        <f>'Labor Table'!$B$15*'Labor Table'!$K$19</f>
        <v>1.6341451795044541</v>
      </c>
      <c r="J73" s="1630"/>
      <c r="K73" s="1630"/>
      <c r="L73" s="1630"/>
      <c r="M73" s="1630"/>
      <c r="N73" s="1630"/>
      <c r="O73" s="1630"/>
      <c r="P73" s="1630"/>
      <c r="Q73" s="1630"/>
      <c r="R73" s="1630"/>
      <c r="S73" s="1630"/>
      <c r="T73" s="1630"/>
      <c r="AA73" s="1559"/>
      <c r="AB73" s="1559"/>
      <c r="AC73" s="1559"/>
      <c r="AD73" s="1559"/>
      <c r="AE73" s="1631"/>
      <c r="AF73" s="1631"/>
      <c r="AG73" s="2936"/>
      <c r="AH73" s="2936"/>
      <c r="AI73" s="2920"/>
    </row>
    <row r="74" spans="1:35" s="1635" customFormat="1">
      <c r="A74" s="1632" t="s">
        <v>261</v>
      </c>
      <c r="B74" s="1633"/>
      <c r="C74" s="1634" t="s">
        <v>260</v>
      </c>
      <c r="D74" s="4210">
        <v>18.551675177477041</v>
      </c>
      <c r="E74" s="4210">
        <v>18.551675177477041</v>
      </c>
      <c r="F74" s="4210">
        <v>18.551675177477041</v>
      </c>
      <c r="G74" s="4210">
        <v>28.167969864974324</v>
      </c>
      <c r="H74" s="1635">
        <v>28.167969864974324</v>
      </c>
      <c r="AA74" s="1636"/>
      <c r="AB74" s="1636"/>
      <c r="AC74" s="1636"/>
      <c r="AD74" s="1636"/>
      <c r="AE74" s="1636"/>
      <c r="AF74" s="1636"/>
      <c r="AG74" s="2935"/>
      <c r="AH74" s="2935"/>
      <c r="AI74" s="2935"/>
    </row>
    <row r="75" spans="1:35" s="1536" customFormat="1">
      <c r="A75" s="1535"/>
      <c r="C75" s="1608" t="s">
        <v>293</v>
      </c>
      <c r="D75" s="1538"/>
      <c r="E75" s="1538"/>
      <c r="F75" s="1538"/>
      <c r="G75" s="1538"/>
      <c r="H75" s="1538"/>
      <c r="I75" s="1538"/>
      <c r="J75" s="1538"/>
      <c r="K75" s="1538"/>
      <c r="L75" s="1538"/>
      <c r="M75" s="1538"/>
      <c r="N75" s="1538"/>
      <c r="O75" s="1538"/>
      <c r="P75" s="1538"/>
      <c r="Q75" s="1538"/>
      <c r="R75" s="1538"/>
      <c r="S75" s="1538"/>
      <c r="T75" s="1538"/>
      <c r="U75" s="1538"/>
      <c r="V75" s="1538"/>
      <c r="W75" s="1538"/>
      <c r="AA75" s="1559"/>
      <c r="AB75" s="1559"/>
      <c r="AC75" s="1559"/>
      <c r="AD75" s="1559"/>
      <c r="AE75" s="1559"/>
      <c r="AF75" s="1559"/>
      <c r="AG75" s="2920"/>
      <c r="AH75" s="2920"/>
      <c r="AI75" s="2920"/>
    </row>
    <row r="76" spans="1:35" s="1536" customFormat="1">
      <c r="A76" s="1594" t="s">
        <v>821</v>
      </c>
      <c r="B76" s="1637" t="s">
        <v>722</v>
      </c>
      <c r="C76" s="1605" t="s">
        <v>1040</v>
      </c>
      <c r="D76" s="1630">
        <v>3.9647832815187863E-4</v>
      </c>
      <c r="E76" s="1630">
        <v>3.9647832815187863E-4</v>
      </c>
      <c r="F76" s="1630">
        <v>3.9647832815187863E-4</v>
      </c>
      <c r="G76" s="1630">
        <v>6.7996576859049131E-4</v>
      </c>
      <c r="H76" s="1630">
        <v>6.7996576859049131E-4</v>
      </c>
      <c r="I76" s="1538"/>
      <c r="J76" s="1585"/>
      <c r="K76" s="1585"/>
      <c r="L76" s="1585"/>
      <c r="M76" s="1585"/>
      <c r="N76" s="1585"/>
      <c r="O76" s="1585"/>
      <c r="P76" s="1585"/>
      <c r="Q76" s="1585"/>
      <c r="R76" s="1585"/>
      <c r="S76" s="1585"/>
      <c r="T76" s="1585"/>
      <c r="U76" s="1630"/>
      <c r="V76" s="1630"/>
      <c r="W76" s="1630"/>
      <c r="AA76" s="1559"/>
      <c r="AB76" s="1559"/>
      <c r="AC76" s="1631"/>
      <c r="AD76" s="1631"/>
      <c r="AE76" s="1604"/>
      <c r="AF76" s="1604"/>
      <c r="AG76" s="2932"/>
      <c r="AH76" s="2932"/>
      <c r="AI76" s="2936"/>
    </row>
    <row r="77" spans="1:35" s="1565" customFormat="1">
      <c r="A77" s="1638" t="s">
        <v>1042</v>
      </c>
      <c r="B77" s="1637"/>
      <c r="C77" s="1605" t="s">
        <v>1043</v>
      </c>
      <c r="D77" s="1538"/>
      <c r="E77" s="1538"/>
      <c r="F77" s="1538"/>
      <c r="G77" s="1538"/>
      <c r="H77" s="1538"/>
      <c r="I77" s="1538"/>
      <c r="J77" s="1538"/>
      <c r="K77" s="1538"/>
      <c r="L77" s="1538"/>
      <c r="M77" s="1538"/>
      <c r="N77" s="1538"/>
      <c r="O77" s="1538"/>
      <c r="P77" s="1538"/>
      <c r="Q77" s="1538"/>
      <c r="R77" s="1538"/>
      <c r="S77" s="1538"/>
      <c r="T77" s="1538"/>
      <c r="U77" s="1630"/>
      <c r="V77" s="1630"/>
      <c r="W77" s="1630"/>
      <c r="AA77" s="1559"/>
      <c r="AB77" s="1559"/>
      <c r="AC77" s="1631"/>
      <c r="AD77" s="1559"/>
      <c r="AE77" s="1559"/>
      <c r="AF77" s="1559"/>
      <c r="AG77" s="2920"/>
      <c r="AH77" s="2920"/>
      <c r="AI77" s="2936"/>
    </row>
    <row r="78" spans="1:35" s="1565" customFormat="1">
      <c r="A78" s="2852"/>
      <c r="B78" s="2853"/>
      <c r="C78" s="2856" t="s">
        <v>1420</v>
      </c>
      <c r="D78" s="1538"/>
      <c r="E78" s="1538"/>
      <c r="F78" s="1538"/>
      <c r="G78" s="1538"/>
      <c r="H78" s="1538"/>
      <c r="I78" s="1538"/>
      <c r="J78" s="1538"/>
      <c r="K78" s="1538"/>
      <c r="L78" s="1538"/>
      <c r="M78" s="1538"/>
      <c r="N78" s="1538"/>
      <c r="O78" s="1538"/>
      <c r="P78" s="1538"/>
      <c r="Q78" s="1538"/>
      <c r="R78" s="1538"/>
      <c r="S78" s="1538"/>
      <c r="T78" s="1538"/>
      <c r="U78" s="1538"/>
      <c r="V78" s="1538"/>
      <c r="W78" s="1538"/>
      <c r="AA78" s="1559"/>
      <c r="AB78" s="1559"/>
      <c r="AC78" s="1559"/>
      <c r="AD78" s="1559"/>
      <c r="AE78" s="1559"/>
      <c r="AF78" s="1559"/>
      <c r="AG78" s="2920"/>
      <c r="AH78" s="2920"/>
      <c r="AI78" s="2920"/>
    </row>
    <row r="79" spans="1:35" s="1565" customFormat="1">
      <c r="A79" s="2852" t="s">
        <v>1744</v>
      </c>
      <c r="B79" s="2853"/>
      <c r="C79" s="2854" t="s">
        <v>1745</v>
      </c>
      <c r="D79" s="2969">
        <f>Transmission!M40</f>
        <v>6.528423328497528E-3</v>
      </c>
      <c r="E79" s="2969">
        <f>Transmission!N40</f>
        <v>9.6867686685003819E-3</v>
      </c>
      <c r="F79" s="2969">
        <f>Transmission!O40</f>
        <v>2.1744186812078727E-3</v>
      </c>
      <c r="G79" s="2969">
        <f>Transmission!P40</f>
        <v>9.2784271321233187E-4</v>
      </c>
      <c r="H79" s="2969">
        <f>Transmission!Q40</f>
        <v>9.2784271321233187E-4</v>
      </c>
      <c r="I79" s="2969">
        <f>Transmission!R40</f>
        <v>4.7104212722508705E-3</v>
      </c>
      <c r="J79" s="2969">
        <f>Transmission!S40</f>
        <v>9.420842544501741E-3</v>
      </c>
      <c r="K79" s="2969">
        <f>Transmission!T40</f>
        <v>9.420842544501741E-3</v>
      </c>
      <c r="L79" s="2969">
        <f>Transmission!U40</f>
        <v>2.1744186812078727E-3</v>
      </c>
      <c r="M79" s="2969">
        <f>Transmission!V40</f>
        <v>2.1744186812078727E-3</v>
      </c>
      <c r="N79" s="2969">
        <f>Transmission!W40</f>
        <v>9.6867686685003819E-3</v>
      </c>
      <c r="O79" s="2969">
        <f>Transmission!X40</f>
        <v>9.6867686685003819E-3</v>
      </c>
      <c r="P79" s="2969">
        <f>Transmission!Y40</f>
        <v>9.6867686685003819E-3</v>
      </c>
      <c r="Q79" s="2969">
        <f>Transmission!Z40</f>
        <v>9.6867686685003819E-3</v>
      </c>
      <c r="R79" s="2969">
        <f>Transmission!AA40</f>
        <v>9.6867686685003819E-3</v>
      </c>
      <c r="S79" s="2969">
        <f>Transmission!AB40</f>
        <v>1.3668098648176776E-2</v>
      </c>
      <c r="T79" s="2969">
        <f>Transmission!AC40</f>
        <v>1.3668098648176776E-2</v>
      </c>
      <c r="U79" s="2969">
        <f>Transmission!AD40</f>
        <v>9.6867686685003819E-3</v>
      </c>
      <c r="V79" s="2969">
        <f>Transmission!AE40</f>
        <v>9.6867686685003819E-3</v>
      </c>
      <c r="W79" s="1538"/>
      <c r="AA79" s="1559"/>
      <c r="AB79" s="1559"/>
      <c r="AC79" s="1559"/>
      <c r="AD79" s="1559"/>
      <c r="AE79" s="1559"/>
      <c r="AF79" s="1559"/>
      <c r="AG79" s="2937"/>
      <c r="AH79" s="2937"/>
      <c r="AI79" s="2937"/>
    </row>
    <row r="80" spans="1:35" s="1566" customFormat="1">
      <c r="A80" s="2852"/>
      <c r="B80" s="2855"/>
      <c r="C80" s="2854"/>
      <c r="D80" s="1538"/>
      <c r="E80" s="1538"/>
      <c r="F80" s="1538"/>
      <c r="G80" s="1538"/>
      <c r="H80" s="1538"/>
      <c r="I80" s="2141"/>
      <c r="J80" s="2141"/>
      <c r="K80" s="2141"/>
      <c r="L80" s="2141"/>
      <c r="M80" s="2141"/>
      <c r="N80" s="2141"/>
      <c r="O80" s="2141"/>
      <c r="P80" s="2141"/>
      <c r="Q80" s="1553"/>
      <c r="R80" s="1553"/>
      <c r="S80" s="1553"/>
      <c r="T80" s="1553"/>
      <c r="U80" s="1553"/>
      <c r="V80" s="1553"/>
      <c r="W80" s="1538"/>
      <c r="AA80" s="1559"/>
      <c r="AB80" s="1559"/>
      <c r="AC80" s="1559"/>
      <c r="AD80" s="1559"/>
      <c r="AE80" s="1559"/>
      <c r="AF80" s="1559"/>
      <c r="AG80" s="2938"/>
      <c r="AH80" s="2938"/>
      <c r="AI80" s="2938"/>
    </row>
    <row r="81" spans="1:35" s="1566" customFormat="1">
      <c r="A81" s="2852"/>
      <c r="B81" s="2855"/>
      <c r="C81" s="2854"/>
      <c r="D81" s="4211"/>
      <c r="E81" s="4211"/>
      <c r="F81" s="4211"/>
      <c r="G81" s="4211"/>
      <c r="H81" s="1635"/>
      <c r="I81" s="1635"/>
      <c r="J81" s="1635"/>
      <c r="K81" s="1635"/>
      <c r="L81" s="1635"/>
      <c r="M81" s="1635"/>
      <c r="N81" s="1635"/>
      <c r="O81" s="1635"/>
      <c r="P81" s="1635"/>
      <c r="Q81" s="2141"/>
      <c r="R81" s="2141"/>
      <c r="S81" s="2141"/>
      <c r="T81" s="2141"/>
      <c r="U81" s="2141"/>
      <c r="V81" s="2141"/>
      <c r="W81" s="1538"/>
      <c r="X81" s="1565"/>
      <c r="Y81" s="1565"/>
      <c r="AA81" s="1619"/>
      <c r="AB81" s="1619"/>
      <c r="AC81" s="1559"/>
      <c r="AD81" s="1559"/>
      <c r="AE81" s="1559"/>
      <c r="AF81" s="1559"/>
      <c r="AG81" s="2935"/>
      <c r="AH81" s="2935"/>
      <c r="AI81" s="2935"/>
    </row>
    <row r="82" spans="1:35" s="1566" customFormat="1">
      <c r="A82" s="2852"/>
      <c r="B82" s="2855"/>
      <c r="C82" s="2854"/>
      <c r="D82" s="4211"/>
      <c r="E82" s="4211"/>
      <c r="F82" s="4211"/>
      <c r="G82" s="4211"/>
      <c r="H82" s="1635"/>
      <c r="I82" s="1635"/>
      <c r="J82" s="1635"/>
      <c r="K82" s="1635"/>
      <c r="L82" s="1635"/>
      <c r="M82" s="1635"/>
      <c r="N82" s="1635"/>
      <c r="O82" s="1635"/>
      <c r="P82" s="1635"/>
      <c r="Q82" s="1635"/>
      <c r="R82" s="1635"/>
      <c r="S82" s="1635"/>
      <c r="T82" s="1635"/>
      <c r="U82" s="1635"/>
      <c r="V82" s="1635"/>
      <c r="W82" s="1538"/>
      <c r="X82" s="1565"/>
      <c r="Y82" s="1565"/>
      <c r="AA82" s="1619"/>
      <c r="AB82" s="1619"/>
      <c r="AC82" s="1559"/>
      <c r="AD82" s="1559"/>
      <c r="AE82" s="1559"/>
      <c r="AF82" s="1559"/>
      <c r="AG82" s="2935"/>
      <c r="AH82" s="2935"/>
      <c r="AI82" s="2935"/>
    </row>
    <row r="83" spans="1:35" s="1565" customFormat="1">
      <c r="A83" s="2852"/>
      <c r="B83" s="2855"/>
      <c r="C83" s="2854"/>
      <c r="D83" s="1538"/>
      <c r="E83" s="1538"/>
      <c r="F83" s="1538"/>
      <c r="G83" s="1538"/>
      <c r="H83" s="1538"/>
      <c r="I83" s="1538"/>
      <c r="J83" s="1585"/>
      <c r="K83" s="1585"/>
      <c r="L83" s="1585"/>
      <c r="M83" s="1585"/>
      <c r="N83" s="1585"/>
      <c r="O83" s="1585"/>
      <c r="P83" s="1585"/>
      <c r="Q83" s="1538"/>
      <c r="R83" s="1538"/>
      <c r="S83" s="1538"/>
      <c r="T83" s="1538"/>
      <c r="U83" s="1538"/>
      <c r="V83" s="1538"/>
      <c r="W83" s="1538"/>
      <c r="AA83" s="1559"/>
      <c r="AB83" s="1559"/>
      <c r="AC83" s="1559"/>
      <c r="AD83" s="1559"/>
      <c r="AE83" s="1559"/>
      <c r="AF83" s="1559"/>
      <c r="AG83" s="2920"/>
      <c r="AH83" s="2920"/>
      <c r="AI83" s="2920"/>
    </row>
    <row r="84" spans="1:35" s="1565" customFormat="1">
      <c r="A84" s="1535"/>
      <c r="B84" s="1536"/>
      <c r="C84" s="1560" t="s">
        <v>298</v>
      </c>
      <c r="D84" s="1618"/>
      <c r="E84" s="1618"/>
      <c r="F84" s="1618"/>
      <c r="G84" s="1618"/>
      <c r="H84" s="1618"/>
      <c r="I84" s="1618"/>
      <c r="J84" s="1618"/>
      <c r="K84" s="1618"/>
      <c r="L84" s="3830"/>
      <c r="M84" s="3830"/>
      <c r="N84" s="3830"/>
      <c r="O84" s="3830"/>
      <c r="P84" s="3830"/>
      <c r="Q84" s="3830"/>
      <c r="R84" s="3830"/>
      <c r="S84" s="3830"/>
      <c r="T84" s="3830"/>
      <c r="U84" s="3830"/>
      <c r="V84" s="4143">
        <v>1598.4034779602432</v>
      </c>
      <c r="W84" s="4118"/>
      <c r="AA84" s="1559"/>
      <c r="AB84" s="1559"/>
      <c r="AC84" s="1559"/>
      <c r="AD84" s="1559"/>
      <c r="AE84" s="1559"/>
      <c r="AF84" s="1559"/>
      <c r="AG84" s="2960"/>
      <c r="AH84" s="2960"/>
      <c r="AI84" s="2939"/>
    </row>
    <row r="85" spans="1:35" s="1565" customFormat="1" ht="15.75">
      <c r="A85" s="1569"/>
      <c r="B85" s="1570"/>
      <c r="C85" s="1547" t="s">
        <v>1662</v>
      </c>
      <c r="D85" s="4212">
        <f>1080.4870070686-Transmission!M45</f>
        <v>921.01806919284843</v>
      </c>
      <c r="E85" s="4212">
        <f>1080.4870070686-Transmission!N45</f>
        <v>993.36700706859995</v>
      </c>
      <c r="F85" s="4212">
        <f>890.540126944936-Transmission!O45</f>
        <v>738.31262694493603</v>
      </c>
      <c r="G85" s="4212">
        <f>1114.31056053842-0.4251741*G$7-Transmission!P45</f>
        <v>840.83251053842014</v>
      </c>
      <c r="H85" s="4144">
        <f>1114.31056053842-0.4251741*H$7-Transmission!Q45</f>
        <v>824.10026008387456</v>
      </c>
      <c r="I85" s="4144">
        <f>4191-Transmission!R45</f>
        <v>4031.85</v>
      </c>
      <c r="J85" s="4144">
        <f>4993-Transmission!S45</f>
        <v>4727.75</v>
      </c>
      <c r="K85" s="4144">
        <f>5622-Transmission!T45</f>
        <v>5356.75</v>
      </c>
      <c r="L85" s="4144">
        <f>IF(StartYr=2011,3730,0.0887029948*StartYr^3 - 537.2444211345*StartYr^2 + 1084545.9616357*StartYr- 729734014.848371)-Transmission!U45</f>
        <v>3460.7041340522765</v>
      </c>
      <c r="M85" s="4144">
        <f>IF(StartYr=2011,5366,0.1276328948*StartYr^3 - 773.0298262864*StartYr^2 + 1560530.63250508*StartYr - 1049999100.11589)-Transmission!V45</f>
        <v>5033.3352983646391</v>
      </c>
      <c r="N85" s="4144">
        <f>IF(StartYr=2011,4075, 0.0969204193*StartYr^3 - 587.0146175426*StartYr^2 + 1185018.04361698*StartYr - 797336401.799126)-Transmission!W45</f>
        <v>3827.1790061044694</v>
      </c>
      <c r="O85" s="4144">
        <f>IF(StartYr=2011,5733,0.136347408*StartYr^3-825.8107234307*StartYr^2+1667080.47573736*StartYr-1121690893.39506)-Transmission!X45</f>
        <v>5419.265756969452</v>
      </c>
      <c r="P85" s="4144">
        <f>(IF(StartYr=2011,7742, 0.0744202504*StartYr^4 - 601.195567596647*StartYr^3 + 1821245.6688854*StartYr^2 - 2452085795.7444*StartYr + 1238029466383.37)/1.1709)-Transmission!Y45</f>
        <v>6044.0419600841233</v>
      </c>
      <c r="Q85" s="4144">
        <f>1000+(2400*EXP(-0.13*(StartYr-2011)))</f>
        <v>2850.5238059285593</v>
      </c>
      <c r="R85" s="4144">
        <f>900+(2700*EXP(-0.05*(StartYr-2011)))</f>
        <v>3343.0610286970905</v>
      </c>
      <c r="S85" s="4144">
        <f>1000+(2400*EXP(-0.13*(StartYr-2011)))</f>
        <v>2850.5238059285593</v>
      </c>
      <c r="T85" s="4144">
        <f>900+(2700*EXP(-0.05*(StartYr-2011)))</f>
        <v>3343.0610286970905</v>
      </c>
      <c r="U85" s="4144">
        <f>600+(1100*EXP(-0.085*(StartYr-2011)))</f>
        <v>1528.0312982560222</v>
      </c>
      <c r="V85" s="4144">
        <f>600+(1000*EXP(-0.085*(StartYr-2011)))</f>
        <v>1443.6648165963838</v>
      </c>
      <c r="W85" s="4145"/>
      <c r="X85" s="2775"/>
      <c r="AA85" s="1559"/>
      <c r="AB85" s="1559"/>
      <c r="AC85" s="1559"/>
      <c r="AD85" s="1559"/>
      <c r="AE85" s="1559"/>
      <c r="AF85" s="1559"/>
      <c r="AG85" s="2933"/>
      <c r="AH85" s="2933"/>
      <c r="AI85" s="2933"/>
    </row>
    <row r="86" spans="1:35" s="1647" customFormat="1">
      <c r="A86" s="1643" t="s">
        <v>865</v>
      </c>
      <c r="B86" s="1644" t="s">
        <v>724</v>
      </c>
      <c r="C86" s="1645" t="s">
        <v>660</v>
      </c>
      <c r="D86" s="1646">
        <f t="shared" ref="D86:V86" si="11">D85*1000*D7</f>
        <v>45958801.652723134</v>
      </c>
      <c r="E86" s="1646">
        <f t="shared" si="11"/>
        <v>99336700.706859991</v>
      </c>
      <c r="F86" s="1646">
        <f t="shared" si="11"/>
        <v>147662525.38898721</v>
      </c>
      <c r="G86" s="1646">
        <f t="shared" si="11"/>
        <v>420416255.2692101</v>
      </c>
      <c r="H86" s="1646">
        <f t="shared" si="11"/>
        <v>453255143.04613101</v>
      </c>
      <c r="I86" s="1646">
        <f t="shared" si="11"/>
        <v>201592500</v>
      </c>
      <c r="J86" s="1646">
        <f t="shared" si="11"/>
        <v>141832500</v>
      </c>
      <c r="K86" s="1646">
        <f t="shared" si="11"/>
        <v>160702500</v>
      </c>
      <c r="L86" s="1646">
        <f t="shared" si="11"/>
        <v>865176033.51306915</v>
      </c>
      <c r="M86" s="1646">
        <f t="shared" si="11"/>
        <v>1258333824.5911598</v>
      </c>
      <c r="N86" s="1646">
        <f t="shared" si="11"/>
        <v>382717900.61044693</v>
      </c>
      <c r="O86" s="1646">
        <f t="shared" si="11"/>
        <v>541926575.69694519</v>
      </c>
      <c r="P86" s="1646">
        <f t="shared" si="11"/>
        <v>604404196.00841236</v>
      </c>
      <c r="Q86" s="1646">
        <f t="shared" si="11"/>
        <v>285052380.59285593</v>
      </c>
      <c r="R86" s="1646">
        <f t="shared" si="11"/>
        <v>334306102.86970907</v>
      </c>
      <c r="S86" s="1646">
        <f t="shared" si="11"/>
        <v>57010476.118571192</v>
      </c>
      <c r="T86" s="1646">
        <f t="shared" si="11"/>
        <v>66861220.573941812</v>
      </c>
      <c r="U86" s="1646">
        <f t="shared" si="11"/>
        <v>152803129.8256022</v>
      </c>
      <c r="V86" s="1646">
        <f t="shared" si="11"/>
        <v>144366481.6596384</v>
      </c>
      <c r="W86" s="1646"/>
      <c r="AA86" s="4239"/>
      <c r="AB86" s="4239"/>
      <c r="AC86" s="4239"/>
      <c r="AD86" s="4239"/>
      <c r="AE86" s="4239"/>
      <c r="AF86" s="4239"/>
      <c r="AG86" s="2940"/>
      <c r="AH86" s="2940"/>
      <c r="AI86" s="2940"/>
    </row>
    <row r="87" spans="1:35" s="1647" customFormat="1">
      <c r="A87" s="1643" t="s">
        <v>866</v>
      </c>
      <c r="B87" s="1644" t="s">
        <v>725</v>
      </c>
      <c r="C87" s="1648" t="s">
        <v>661</v>
      </c>
      <c r="D87" s="1646"/>
      <c r="E87" s="1646"/>
      <c r="F87" s="1646"/>
      <c r="G87" s="1646"/>
      <c r="H87" s="1646"/>
      <c r="I87" s="1646"/>
      <c r="J87" s="1646"/>
      <c r="K87" s="1646"/>
      <c r="L87" s="1646"/>
      <c r="M87" s="1646"/>
      <c r="N87" s="1646"/>
      <c r="O87" s="1646"/>
      <c r="P87" s="1646"/>
      <c r="Q87" s="1646"/>
      <c r="R87" s="1646"/>
      <c r="S87" s="1646"/>
      <c r="T87" s="1646"/>
      <c r="U87" s="1646"/>
      <c r="V87" s="1646"/>
      <c r="W87" s="1646"/>
      <c r="AA87" s="4239"/>
      <c r="AB87" s="4239"/>
      <c r="AC87" s="4239"/>
      <c r="AD87" s="4239"/>
      <c r="AE87" s="4239"/>
      <c r="AF87" s="4239"/>
      <c r="AG87" s="2940"/>
      <c r="AH87" s="2940"/>
      <c r="AI87" s="2940"/>
    </row>
    <row r="88" spans="1:35" s="1649" customFormat="1">
      <c r="A88" s="1643" t="s">
        <v>867</v>
      </c>
      <c r="B88" s="1644" t="s">
        <v>726</v>
      </c>
      <c r="C88" s="1648" t="s">
        <v>662</v>
      </c>
      <c r="D88" s="1646"/>
      <c r="E88" s="1646"/>
      <c r="F88" s="1646"/>
      <c r="G88" s="1646"/>
      <c r="H88" s="1646"/>
      <c r="I88" s="4119"/>
      <c r="J88" s="2057"/>
      <c r="K88" s="2057"/>
      <c r="L88" s="1646"/>
      <c r="M88" s="1646"/>
      <c r="N88" s="1646"/>
      <c r="O88" s="1646"/>
      <c r="P88" s="1646"/>
      <c r="Q88" s="2057"/>
      <c r="R88" s="2057"/>
      <c r="S88" s="2057"/>
      <c r="T88" s="2057"/>
      <c r="U88" s="1646"/>
      <c r="V88" s="1646"/>
      <c r="W88" s="1646"/>
      <c r="AA88" s="4239"/>
      <c r="AB88" s="4239"/>
      <c r="AC88" s="4239"/>
      <c r="AD88" s="4239"/>
      <c r="AE88" s="4239"/>
      <c r="AF88" s="4239"/>
      <c r="AG88" s="2940"/>
      <c r="AH88" s="2940"/>
      <c r="AI88" s="2940"/>
    </row>
    <row r="89" spans="1:35" s="1649" customFormat="1">
      <c r="A89" s="1643" t="s">
        <v>868</v>
      </c>
      <c r="B89" s="1644" t="s">
        <v>727</v>
      </c>
      <c r="C89" s="1648" t="s">
        <v>663</v>
      </c>
      <c r="D89" s="1646"/>
      <c r="E89" s="1646"/>
      <c r="F89" s="1646"/>
      <c r="G89" s="1646"/>
      <c r="H89" s="1646"/>
      <c r="I89" s="1646"/>
      <c r="J89" s="1646"/>
      <c r="K89" s="1646"/>
      <c r="L89" s="1646"/>
      <c r="M89" s="1646"/>
      <c r="N89" s="1646"/>
      <c r="O89" s="1646"/>
      <c r="P89" s="1646"/>
      <c r="Q89" s="1646"/>
      <c r="R89" s="1646"/>
      <c r="S89" s="1646"/>
      <c r="T89" s="1646"/>
      <c r="U89" s="1646"/>
      <c r="V89" s="1646"/>
      <c r="W89" s="1646"/>
      <c r="AA89" s="4239"/>
      <c r="AB89" s="4239"/>
      <c r="AC89" s="4239"/>
      <c r="AD89" s="4239"/>
      <c r="AE89" s="4239"/>
      <c r="AF89" s="4239"/>
      <c r="AG89" s="2940"/>
      <c r="AH89" s="2940"/>
      <c r="AI89" s="2940"/>
    </row>
    <row r="90" spans="1:35" s="1649" customFormat="1" ht="14.25">
      <c r="A90" s="1643" t="s">
        <v>869</v>
      </c>
      <c r="B90" s="1644" t="s">
        <v>728</v>
      </c>
      <c r="C90" s="1648" t="s">
        <v>664</v>
      </c>
      <c r="D90" s="1646"/>
      <c r="E90" s="1646"/>
      <c r="F90" s="1646"/>
      <c r="G90" s="1646"/>
      <c r="H90" s="1646"/>
      <c r="I90" s="4146"/>
      <c r="J90" s="1646"/>
      <c r="K90" s="4147"/>
      <c r="L90" s="2057"/>
      <c r="M90" s="1646"/>
      <c r="N90" s="2057"/>
      <c r="O90" s="1646"/>
      <c r="P90" s="1646"/>
      <c r="Q90" s="1646"/>
      <c r="R90" s="1646"/>
      <c r="S90" s="1646"/>
      <c r="T90" s="1646"/>
      <c r="U90" s="1646"/>
      <c r="V90" s="1646"/>
      <c r="W90" s="1646"/>
      <c r="AA90" s="4239"/>
      <c r="AB90" s="4239"/>
      <c r="AC90" s="4239"/>
      <c r="AD90" s="4239"/>
      <c r="AE90" s="4239"/>
      <c r="AF90" s="4239"/>
      <c r="AG90" s="4240"/>
      <c r="AH90" s="2940"/>
      <c r="AI90" s="2940"/>
    </row>
    <row r="91" spans="1:35" s="1649" customFormat="1" ht="14.25">
      <c r="A91" s="1643" t="s">
        <v>870</v>
      </c>
      <c r="B91" s="1644" t="s">
        <v>729</v>
      </c>
      <c r="C91" s="1648" t="s">
        <v>665</v>
      </c>
      <c r="D91" s="1646"/>
      <c r="E91" s="1646"/>
      <c r="F91" s="1646"/>
      <c r="G91" s="1646"/>
      <c r="H91" s="1646"/>
      <c r="I91" s="4146"/>
      <c r="J91" s="1646"/>
      <c r="K91" s="1646"/>
      <c r="L91" s="2057"/>
      <c r="M91" s="1711"/>
      <c r="N91" s="2057"/>
      <c r="O91" s="1711"/>
      <c r="P91" s="1711"/>
      <c r="Q91" s="1711"/>
      <c r="R91" s="1711"/>
      <c r="S91" s="1711"/>
      <c r="T91" s="1711"/>
      <c r="U91" s="4120"/>
      <c r="V91" s="4120"/>
      <c r="W91" s="1711"/>
      <c r="AA91" s="4239"/>
      <c r="AB91" s="4239"/>
      <c r="AC91" s="4239"/>
      <c r="AD91" s="4239"/>
      <c r="AE91" s="4239"/>
      <c r="AF91" s="4239"/>
      <c r="AG91" s="4240"/>
      <c r="AH91" s="4241"/>
      <c r="AI91" s="4242"/>
    </row>
    <row r="92" spans="1:35" s="1649" customFormat="1">
      <c r="A92" s="1643" t="s">
        <v>871</v>
      </c>
      <c r="B92" s="1644" t="s">
        <v>730</v>
      </c>
      <c r="C92" s="1648" t="s">
        <v>666</v>
      </c>
      <c r="D92" s="1646"/>
      <c r="E92" s="1646"/>
      <c r="F92" s="1646"/>
      <c r="G92" s="1646"/>
      <c r="H92" s="1646"/>
      <c r="I92" s="1646"/>
      <c r="J92" s="1646"/>
      <c r="K92" s="1646"/>
      <c r="L92" s="2057"/>
      <c r="M92" s="1646"/>
      <c r="N92" s="2057"/>
      <c r="O92" s="1646"/>
      <c r="P92" s="1646"/>
      <c r="Q92" s="1646"/>
      <c r="R92" s="1646"/>
      <c r="S92" s="1646"/>
      <c r="T92" s="1646"/>
      <c r="U92" s="1646"/>
      <c r="V92" s="1646"/>
      <c r="W92" s="1646"/>
      <c r="AA92" s="4239"/>
      <c r="AB92" s="4239"/>
      <c r="AC92" s="4239"/>
      <c r="AD92" s="4239"/>
      <c r="AE92" s="4239"/>
      <c r="AF92" s="4239"/>
      <c r="AG92" s="4240"/>
      <c r="AH92" s="2940"/>
      <c r="AI92" s="2940"/>
    </row>
    <row r="93" spans="1:35" s="1649" customFormat="1">
      <c r="A93" s="1651" t="s">
        <v>873</v>
      </c>
      <c r="B93" s="1644" t="s">
        <v>731</v>
      </c>
      <c r="C93" s="1648" t="s">
        <v>667</v>
      </c>
      <c r="D93" s="1646"/>
      <c r="E93" s="1646"/>
      <c r="F93" s="1646"/>
      <c r="G93" s="1646"/>
      <c r="H93" s="1646"/>
      <c r="I93" s="1646"/>
      <c r="J93" s="1646"/>
      <c r="K93" s="1646"/>
      <c r="L93" s="1646"/>
      <c r="M93" s="1646"/>
      <c r="N93" s="1646"/>
      <c r="O93" s="1646"/>
      <c r="P93" s="1646"/>
      <c r="Q93" s="1646"/>
      <c r="R93" s="1646"/>
      <c r="S93" s="1646"/>
      <c r="T93" s="1646"/>
      <c r="U93" s="1646"/>
      <c r="V93" s="1646"/>
      <c r="W93" s="1646"/>
      <c r="AA93" s="4239"/>
      <c r="AB93" s="4239"/>
      <c r="AC93" s="4239"/>
      <c r="AD93" s="4239"/>
      <c r="AE93" s="4239"/>
      <c r="AF93" s="4239"/>
      <c r="AG93" s="2940"/>
      <c r="AH93" s="2940"/>
      <c r="AI93" s="2940"/>
    </row>
    <row r="94" spans="1:35" s="1649" customFormat="1">
      <c r="A94" s="1643" t="s">
        <v>874</v>
      </c>
      <c r="B94" s="1644" t="s">
        <v>732</v>
      </c>
      <c r="C94" s="1648" t="s">
        <v>668</v>
      </c>
      <c r="D94" s="1646"/>
      <c r="E94" s="1646"/>
      <c r="F94" s="1646"/>
      <c r="G94" s="1646"/>
      <c r="H94" s="1646"/>
      <c r="I94" s="1646"/>
      <c r="J94" s="1646"/>
      <c r="K94" s="1646"/>
      <c r="L94" s="1646"/>
      <c r="M94" s="1646"/>
      <c r="N94" s="1646"/>
      <c r="O94" s="1646"/>
      <c r="P94" s="1646"/>
      <c r="Q94" s="1646"/>
      <c r="R94" s="1646"/>
      <c r="S94" s="1646"/>
      <c r="T94" s="1646"/>
      <c r="U94" s="1646"/>
      <c r="V94" s="1646"/>
      <c r="W94" s="1646"/>
      <c r="AA94" s="4239"/>
      <c r="AB94" s="4239"/>
      <c r="AC94" s="4239"/>
      <c r="AD94" s="4239"/>
      <c r="AE94" s="4239"/>
      <c r="AF94" s="4239"/>
      <c r="AG94" s="2940"/>
      <c r="AH94" s="2940"/>
      <c r="AI94" s="2940"/>
    </row>
    <row r="95" spans="1:35" s="1565" customFormat="1">
      <c r="A95" s="1569" t="s">
        <v>875</v>
      </c>
      <c r="B95" s="1570" t="s">
        <v>733</v>
      </c>
      <c r="C95" s="1652" t="s">
        <v>669</v>
      </c>
      <c r="D95" s="1566" t="s">
        <v>652</v>
      </c>
      <c r="E95" s="1566" t="s">
        <v>652</v>
      </c>
      <c r="F95" s="1566" t="s">
        <v>652</v>
      </c>
      <c r="G95" s="1566" t="s">
        <v>652</v>
      </c>
      <c r="H95" s="1538" t="s">
        <v>652</v>
      </c>
      <c r="I95" s="1538" t="s">
        <v>652</v>
      </c>
      <c r="J95" s="1538" t="s">
        <v>652</v>
      </c>
      <c r="K95" s="1538" t="s">
        <v>652</v>
      </c>
      <c r="L95" s="1538" t="s">
        <v>652</v>
      </c>
      <c r="M95" s="1538" t="s">
        <v>652</v>
      </c>
      <c r="N95" s="1538" t="s">
        <v>652</v>
      </c>
      <c r="O95" s="1538" t="s">
        <v>652</v>
      </c>
      <c r="P95" s="1538" t="s">
        <v>652</v>
      </c>
      <c r="Q95" s="1538" t="s">
        <v>652</v>
      </c>
      <c r="R95" s="1538" t="s">
        <v>652</v>
      </c>
      <c r="S95" s="1538" t="s">
        <v>652</v>
      </c>
      <c r="T95" s="1538" t="s">
        <v>652</v>
      </c>
      <c r="U95" s="1538" t="s">
        <v>652</v>
      </c>
      <c r="V95" s="1538" t="s">
        <v>652</v>
      </c>
      <c r="W95" s="1538"/>
      <c r="AA95" s="1559"/>
      <c r="AB95" s="1559"/>
      <c r="AC95" s="1559"/>
      <c r="AD95" s="1559"/>
      <c r="AE95" s="4243"/>
      <c r="AF95" s="4243"/>
      <c r="AG95" s="2920"/>
      <c r="AH95" s="2920"/>
      <c r="AI95" s="2920"/>
    </row>
    <row r="96" spans="1:35" s="1565" customFormat="1">
      <c r="A96" s="1569" t="s">
        <v>876</v>
      </c>
      <c r="B96" s="1570" t="s">
        <v>734</v>
      </c>
      <c r="C96" s="1652" t="s">
        <v>670</v>
      </c>
      <c r="D96" s="1538"/>
      <c r="E96" s="1538"/>
      <c r="F96" s="1538"/>
      <c r="G96" s="1538"/>
      <c r="H96" s="1538"/>
      <c r="I96" s="1538"/>
      <c r="J96" s="1653"/>
      <c r="K96" s="1653"/>
      <c r="L96" s="1654"/>
      <c r="M96" s="1654"/>
      <c r="N96" s="1654"/>
      <c r="O96" s="1654"/>
      <c r="P96" s="1654"/>
      <c r="Q96" s="1653"/>
      <c r="R96" s="1653"/>
      <c r="S96" s="1653"/>
      <c r="T96" s="1653"/>
      <c r="U96" s="1653"/>
      <c r="V96" s="1653"/>
      <c r="W96" s="1653"/>
      <c r="AA96" s="1559"/>
      <c r="AB96" s="1559"/>
      <c r="AC96" s="1559"/>
      <c r="AD96" s="1559"/>
      <c r="AE96" s="4243"/>
      <c r="AF96" s="4243"/>
      <c r="AG96" s="2961"/>
      <c r="AH96" s="2961"/>
      <c r="AI96" s="2941"/>
    </row>
    <row r="97" spans="1:35" s="1565" customFormat="1">
      <c r="A97" s="1569" t="s">
        <v>877</v>
      </c>
      <c r="B97" s="1570" t="s">
        <v>735</v>
      </c>
      <c r="C97" s="1652" t="s">
        <v>671</v>
      </c>
      <c r="D97" s="1538"/>
      <c r="E97" s="1538"/>
      <c r="F97" s="1538"/>
      <c r="G97" s="1538"/>
      <c r="H97" s="1538"/>
      <c r="I97" s="1538"/>
      <c r="J97" s="1538"/>
      <c r="K97" s="1538"/>
      <c r="L97" s="2057"/>
      <c r="M97" s="1654"/>
      <c r="N97" s="2057"/>
      <c r="O97" s="1654"/>
      <c r="P97" s="1654"/>
      <c r="Q97" s="1653"/>
      <c r="R97" s="1653"/>
      <c r="S97" s="1653"/>
      <c r="T97" s="1653"/>
      <c r="U97" s="1538"/>
      <c r="V97" s="1538"/>
      <c r="W97" s="1538"/>
      <c r="AA97" s="1559"/>
      <c r="AB97" s="1559"/>
      <c r="AC97" s="1559"/>
      <c r="AD97" s="1559"/>
      <c r="AE97" s="4243"/>
      <c r="AF97" s="4243"/>
      <c r="AG97" s="4244"/>
      <c r="AH97" s="2961"/>
      <c r="AI97" s="2920"/>
    </row>
    <row r="98" spans="1:35" s="1565" customFormat="1">
      <c r="A98" s="1569" t="s">
        <v>878</v>
      </c>
      <c r="B98" s="1570" t="s">
        <v>736</v>
      </c>
      <c r="C98" s="1652" t="s">
        <v>672</v>
      </c>
      <c r="D98" s="1538"/>
      <c r="E98" s="1538"/>
      <c r="F98" s="1561"/>
      <c r="G98" s="1538"/>
      <c r="H98" s="1538"/>
      <c r="I98" s="1538"/>
      <c r="J98" s="1538"/>
      <c r="K98" s="1538"/>
      <c r="L98" s="2057"/>
      <c r="M98" s="1654"/>
      <c r="N98" s="2057"/>
      <c r="O98" s="1654"/>
      <c r="P98" s="1654"/>
      <c r="Q98" s="1653"/>
      <c r="R98" s="1653"/>
      <c r="S98" s="1653"/>
      <c r="T98" s="1653"/>
      <c r="U98" s="1538"/>
      <c r="V98" s="1538"/>
      <c r="W98" s="1538"/>
      <c r="AA98" s="1559"/>
      <c r="AB98" s="1559"/>
      <c r="AC98" s="1559"/>
      <c r="AD98" s="1559"/>
      <c r="AE98" s="4243"/>
      <c r="AF98" s="4243"/>
      <c r="AG98" s="4244"/>
      <c r="AH98" s="2961"/>
      <c r="AI98" s="2920"/>
    </row>
    <row r="99" spans="1:35" s="1565" customFormat="1">
      <c r="A99" s="1569" t="s">
        <v>879</v>
      </c>
      <c r="B99" s="1570" t="s">
        <v>737</v>
      </c>
      <c r="C99" s="1652" t="s">
        <v>673</v>
      </c>
      <c r="D99" s="1538"/>
      <c r="E99" s="1538"/>
      <c r="F99" s="1538"/>
      <c r="G99" s="1538"/>
      <c r="H99" s="1538"/>
      <c r="I99" s="1538"/>
      <c r="J99" s="1538"/>
      <c r="K99" s="1538"/>
      <c r="L99" s="2057"/>
      <c r="M99" s="1654"/>
      <c r="N99" s="2057"/>
      <c r="O99" s="1654"/>
      <c r="P99" s="1654"/>
      <c r="Q99" s="1653"/>
      <c r="R99" s="1653"/>
      <c r="S99" s="1653"/>
      <c r="T99" s="1653"/>
      <c r="U99" s="1538"/>
      <c r="V99" s="1538"/>
      <c r="W99" s="1538"/>
      <c r="AA99" s="1559"/>
      <c r="AB99" s="1559"/>
      <c r="AC99" s="1559"/>
      <c r="AD99" s="1559"/>
      <c r="AE99" s="4243"/>
      <c r="AF99" s="4243"/>
      <c r="AG99" s="4244"/>
      <c r="AH99" s="2961"/>
      <c r="AI99" s="2920"/>
    </row>
    <row r="100" spans="1:35" s="1565" customFormat="1">
      <c r="A100" s="1569" t="s">
        <v>880</v>
      </c>
      <c r="B100" s="1570" t="s">
        <v>738</v>
      </c>
      <c r="C100" s="1652" t="s">
        <v>674</v>
      </c>
      <c r="D100" s="1538"/>
      <c r="E100" s="1538"/>
      <c r="F100" s="1538"/>
      <c r="G100" s="1538"/>
      <c r="H100" s="1538"/>
      <c r="I100" s="1538"/>
      <c r="J100" s="1538"/>
      <c r="K100" s="1538"/>
      <c r="L100" s="1799"/>
      <c r="M100" s="1654"/>
      <c r="N100" s="1799"/>
      <c r="O100" s="1654"/>
      <c r="P100" s="1654"/>
      <c r="Q100" s="1653"/>
      <c r="R100" s="1653"/>
      <c r="S100" s="1653"/>
      <c r="T100" s="1653"/>
      <c r="U100" s="1538"/>
      <c r="V100" s="1538"/>
      <c r="W100" s="1538"/>
      <c r="AA100" s="1559"/>
      <c r="AB100" s="1559"/>
      <c r="AC100" s="1559"/>
      <c r="AD100" s="1559"/>
      <c r="AE100" s="4243"/>
      <c r="AF100" s="4243"/>
      <c r="AG100" s="2962"/>
      <c r="AH100" s="2961"/>
      <c r="AI100" s="2920"/>
    </row>
    <row r="101" spans="1:35" s="1565" customFormat="1">
      <c r="A101" s="1569" t="s">
        <v>881</v>
      </c>
      <c r="B101" s="1570" t="s">
        <v>739</v>
      </c>
      <c r="C101" s="1652" t="s">
        <v>675</v>
      </c>
      <c r="D101" s="1538"/>
      <c r="E101" s="1538"/>
      <c r="F101" s="1538"/>
      <c r="G101" s="1538"/>
      <c r="H101" s="1538"/>
      <c r="I101" s="1538"/>
      <c r="J101" s="1538"/>
      <c r="K101" s="1538"/>
      <c r="L101" s="1538"/>
      <c r="M101" s="1538"/>
      <c r="N101" s="1538"/>
      <c r="O101" s="1538"/>
      <c r="P101" s="1538"/>
      <c r="Q101" s="1538"/>
      <c r="R101" s="1538"/>
      <c r="S101" s="1538"/>
      <c r="T101" s="1538"/>
      <c r="U101" s="1538"/>
      <c r="V101" s="1538"/>
      <c r="W101" s="1538"/>
      <c r="AA101" s="1559"/>
      <c r="AB101" s="1559"/>
      <c r="AC101" s="1559"/>
      <c r="AD101" s="1559"/>
      <c r="AE101" s="1559"/>
      <c r="AF101" s="1559"/>
      <c r="AG101" s="2920"/>
      <c r="AH101" s="2920"/>
      <c r="AI101" s="2920"/>
    </row>
    <row r="102" spans="1:35" s="1565" customFormat="1">
      <c r="A102" s="1569" t="s">
        <v>882</v>
      </c>
      <c r="B102" s="1570" t="s">
        <v>740</v>
      </c>
      <c r="C102" s="1652" t="s">
        <v>676</v>
      </c>
      <c r="D102" s="1538" t="str">
        <f t="shared" ref="D102:H102" si="12">IF(Region="Bay Area","Bay Area location","")</f>
        <v/>
      </c>
      <c r="E102" s="1538" t="str">
        <f t="shared" si="12"/>
        <v/>
      </c>
      <c r="F102" s="1538" t="str">
        <f t="shared" si="12"/>
        <v/>
      </c>
      <c r="G102" s="1538" t="str">
        <f t="shared" si="12"/>
        <v/>
      </c>
      <c r="H102" s="1538" t="str">
        <f t="shared" si="12"/>
        <v/>
      </c>
      <c r="I102" s="1538"/>
      <c r="J102" s="1538"/>
      <c r="K102" s="1538"/>
      <c r="L102" s="1538"/>
      <c r="M102" s="1538"/>
      <c r="N102" s="1538"/>
      <c r="O102" s="1538"/>
      <c r="P102" s="1538"/>
      <c r="Q102" s="1538"/>
      <c r="R102" s="1538"/>
      <c r="S102" s="1538"/>
      <c r="T102" s="1538"/>
      <c r="U102" s="1538"/>
      <c r="V102" s="1538"/>
      <c r="W102" s="1538"/>
      <c r="AA102" s="1559"/>
      <c r="AB102" s="1559"/>
      <c r="AC102" s="1559"/>
      <c r="AD102" s="1559"/>
      <c r="AE102" s="1559"/>
      <c r="AF102" s="1559"/>
      <c r="AG102" s="2920"/>
      <c r="AH102" s="2920"/>
      <c r="AI102" s="2920"/>
    </row>
    <row r="103" spans="1:35" s="1565" customFormat="1">
      <c r="A103" s="1569" t="s">
        <v>883</v>
      </c>
      <c r="B103" s="1570" t="s">
        <v>741</v>
      </c>
      <c r="C103" s="1652" t="s">
        <v>677</v>
      </c>
      <c r="D103" s="1538"/>
      <c r="E103" s="1538"/>
      <c r="F103" s="1538"/>
      <c r="G103" s="1538"/>
      <c r="H103" s="1538"/>
      <c r="I103" s="1538"/>
      <c r="J103" s="1538"/>
      <c r="K103" s="1538"/>
      <c r="L103" s="1538"/>
      <c r="M103" s="1538"/>
      <c r="N103" s="1538"/>
      <c r="O103" s="1538"/>
      <c r="P103" s="1538"/>
      <c r="Q103" s="1538"/>
      <c r="R103" s="1538"/>
      <c r="S103" s="1538"/>
      <c r="T103" s="1538"/>
      <c r="U103" s="1538"/>
      <c r="V103" s="1538"/>
      <c r="W103" s="1538"/>
      <c r="AA103" s="1559"/>
      <c r="AB103" s="1559"/>
      <c r="AC103" s="1559"/>
      <c r="AD103" s="1559"/>
      <c r="AE103" s="1559"/>
      <c r="AF103" s="1559"/>
      <c r="AG103" s="2920"/>
      <c r="AH103" s="2920"/>
      <c r="AI103" s="2920"/>
    </row>
    <row r="104" spans="1:35" s="1659" customFormat="1">
      <c r="A104" s="1655"/>
      <c r="B104" s="1656"/>
      <c r="C104" s="1657" t="s">
        <v>1394</v>
      </c>
      <c r="D104" s="2969"/>
      <c r="E104" s="2969"/>
      <c r="F104" s="2969"/>
      <c r="G104" s="2969"/>
      <c r="H104" s="2969"/>
      <c r="I104" s="2969"/>
      <c r="J104" s="2969"/>
      <c r="K104" s="2969"/>
      <c r="L104" s="2969"/>
      <c r="M104" s="2969"/>
      <c r="N104" s="2969"/>
      <c r="O104" s="2969"/>
      <c r="P104" s="2969"/>
      <c r="Q104" s="2969"/>
      <c r="R104" s="2969"/>
      <c r="S104" s="2969"/>
      <c r="T104" s="2969"/>
      <c r="U104" s="2969"/>
      <c r="V104" s="2969"/>
      <c r="W104" s="2969"/>
      <c r="AA104" s="1559"/>
      <c r="AB104" s="1559"/>
      <c r="AC104" s="1559"/>
      <c r="AD104" s="1559"/>
      <c r="AE104" s="4245"/>
      <c r="AF104" s="4245"/>
      <c r="AG104" s="4246"/>
      <c r="AH104" s="4246"/>
      <c r="AI104" s="4246"/>
    </row>
    <row r="105" spans="1:35" s="1659" customFormat="1">
      <c r="A105" s="1661" t="s">
        <v>1402</v>
      </c>
      <c r="B105" s="1655"/>
      <c r="C105" s="1662" t="s">
        <v>1401</v>
      </c>
      <c r="D105" s="2969"/>
      <c r="E105" s="2969"/>
      <c r="F105" s="2969"/>
      <c r="G105" s="2969"/>
      <c r="H105" s="2969"/>
      <c r="I105" s="2969"/>
      <c r="J105" s="2969"/>
      <c r="K105" s="2969"/>
      <c r="L105" s="2969"/>
      <c r="M105" s="2969"/>
      <c r="N105" s="2969"/>
      <c r="O105" s="2969"/>
      <c r="P105" s="2969"/>
      <c r="Q105" s="2969"/>
      <c r="R105" s="2969"/>
      <c r="S105" s="2969"/>
      <c r="T105" s="2969"/>
      <c r="U105" s="2969"/>
      <c r="V105" s="2969"/>
      <c r="W105" s="2969"/>
      <c r="AA105" s="1559"/>
      <c r="AB105" s="1559"/>
      <c r="AC105" s="1559"/>
      <c r="AD105" s="1559"/>
      <c r="AE105" s="4245"/>
      <c r="AF105" s="4245"/>
      <c r="AG105" s="4246"/>
      <c r="AH105" s="4246"/>
      <c r="AI105" s="4246"/>
    </row>
    <row r="106" spans="1:35" s="1565" customFormat="1">
      <c r="A106" s="1569"/>
      <c r="B106" s="1570"/>
      <c r="C106" s="1547" t="s">
        <v>402</v>
      </c>
      <c r="D106" s="1538"/>
      <c r="E106" s="1538"/>
      <c r="F106" s="1538"/>
      <c r="G106" s="1538"/>
      <c r="H106" s="2969"/>
      <c r="I106" s="1538"/>
      <c r="J106" s="1538"/>
      <c r="K106" s="1538"/>
      <c r="L106" s="1538"/>
      <c r="M106" s="1538"/>
      <c r="N106" s="1538"/>
      <c r="O106" s="1538"/>
      <c r="P106" s="1538"/>
      <c r="Q106" s="1538"/>
      <c r="R106" s="1538"/>
      <c r="S106" s="1538"/>
      <c r="T106" s="1538"/>
      <c r="U106" s="1538"/>
      <c r="V106" s="1538"/>
      <c r="W106" s="1538"/>
      <c r="AA106" s="1559"/>
      <c r="AB106" s="1559"/>
      <c r="AC106" s="1559"/>
      <c r="AD106" s="1559"/>
      <c r="AE106" s="1559"/>
      <c r="AF106" s="1559"/>
      <c r="AG106" s="2920"/>
      <c r="AH106" s="2920"/>
      <c r="AI106" s="2920"/>
    </row>
    <row r="107" spans="1:35" s="1565" customFormat="1">
      <c r="A107" s="1569"/>
      <c r="B107" s="1570"/>
      <c r="C107" s="1547" t="s">
        <v>437</v>
      </c>
      <c r="D107" s="1538"/>
      <c r="E107" s="1538"/>
      <c r="F107" s="1538"/>
      <c r="G107" s="1538"/>
      <c r="H107" s="1538"/>
      <c r="I107" s="1538"/>
      <c r="J107" s="1538"/>
      <c r="K107" s="1538"/>
      <c r="L107" s="1538"/>
      <c r="M107" s="1538"/>
      <c r="N107" s="1538"/>
      <c r="O107" s="1538"/>
      <c r="P107" s="1538"/>
      <c r="Q107" s="1538"/>
      <c r="R107" s="1538"/>
      <c r="S107" s="1538"/>
      <c r="T107" s="1538"/>
      <c r="U107" s="1538"/>
      <c r="V107" s="1538"/>
      <c r="W107" s="1538"/>
      <c r="AA107" s="1559"/>
      <c r="AB107" s="1559"/>
      <c r="AC107" s="4247"/>
      <c r="AD107" s="1619"/>
      <c r="AE107" s="1559"/>
      <c r="AF107" s="1559"/>
      <c r="AG107" s="2920"/>
      <c r="AH107" s="2920"/>
      <c r="AI107" s="2920"/>
    </row>
    <row r="108" spans="1:35" s="1565" customFormat="1" ht="14.25">
      <c r="A108" s="1569" t="s">
        <v>823</v>
      </c>
      <c r="B108" s="1570" t="s">
        <v>742</v>
      </c>
      <c r="C108" s="1548" t="s">
        <v>438</v>
      </c>
      <c r="D108" s="1538"/>
      <c r="E108" s="1538"/>
      <c r="F108" s="1538"/>
      <c r="G108" s="1538"/>
      <c r="H108" s="1538"/>
      <c r="I108" s="1538"/>
      <c r="J108" s="1737"/>
      <c r="K108" s="1646"/>
      <c r="L108" s="1538"/>
      <c r="M108" s="1538"/>
      <c r="N108" s="1538"/>
      <c r="O108" s="1538"/>
      <c r="P108" s="1538"/>
      <c r="Q108" s="1538"/>
      <c r="R108" s="1538"/>
      <c r="S108" s="1538"/>
      <c r="T108" s="1538"/>
      <c r="U108" s="4121"/>
      <c r="V108" s="4121"/>
      <c r="W108" s="4121"/>
      <c r="AA108" s="1559"/>
      <c r="AB108" s="1559"/>
      <c r="AC108" s="1619"/>
      <c r="AD108" s="1619"/>
      <c r="AE108" s="1559"/>
      <c r="AF108" s="1559"/>
      <c r="AG108" s="2920"/>
      <c r="AH108" s="2920"/>
      <c r="AI108" s="2942"/>
    </row>
    <row r="109" spans="1:35" s="1565" customFormat="1">
      <c r="A109" s="1569" t="s">
        <v>824</v>
      </c>
      <c r="B109" s="1570" t="s">
        <v>743</v>
      </c>
      <c r="C109" s="1548" t="s">
        <v>441</v>
      </c>
      <c r="D109" s="2969">
        <v>2.1999999999999999E-2</v>
      </c>
      <c r="E109" s="2969">
        <v>2.1999999999999999E-2</v>
      </c>
      <c r="F109" s="2969">
        <v>2.1999999999999999E-2</v>
      </c>
      <c r="G109" s="2969">
        <v>2.1999999999999999E-2</v>
      </c>
      <c r="H109" s="2969">
        <v>2.1999999999999999E-2</v>
      </c>
      <c r="I109" s="2969">
        <v>2.1999999999999999E-2</v>
      </c>
      <c r="J109" s="2969">
        <v>2.1999999999999999E-2</v>
      </c>
      <c r="K109" s="2969">
        <v>2.1999999999999999E-2</v>
      </c>
      <c r="L109" s="2969">
        <v>2.1999999999999999E-2</v>
      </c>
      <c r="M109" s="2969">
        <v>2.1999999999999999E-2</v>
      </c>
      <c r="N109" s="2969">
        <v>2.1999999999999999E-2</v>
      </c>
      <c r="O109" s="2969">
        <v>2.1999999999999999E-2</v>
      </c>
      <c r="P109" s="2969">
        <v>2.1999999999999999E-2</v>
      </c>
      <c r="Q109" s="2969">
        <v>2.1999999999999999E-2</v>
      </c>
      <c r="R109" s="2969">
        <v>2.1999999999999999E-2</v>
      </c>
      <c r="S109" s="2969">
        <v>2.1999999999999999E-2</v>
      </c>
      <c r="T109" s="2969">
        <v>2.1999999999999999E-2</v>
      </c>
      <c r="U109" s="2969">
        <v>2.1999999999999999E-2</v>
      </c>
      <c r="V109" s="2969">
        <v>2.1999999999999999E-2</v>
      </c>
      <c r="W109" s="1617"/>
      <c r="AA109" s="1559"/>
      <c r="AB109" s="1559"/>
      <c r="AC109" s="1559"/>
      <c r="AD109" s="1559"/>
      <c r="AE109" s="1559"/>
      <c r="AF109" s="1559"/>
      <c r="AG109" s="2937"/>
      <c r="AH109" s="2937"/>
      <c r="AI109" s="2937"/>
    </row>
    <row r="110" spans="1:35" s="1565" customFormat="1">
      <c r="A110" s="1569" t="s">
        <v>825</v>
      </c>
      <c r="B110" s="1570" t="s">
        <v>744</v>
      </c>
      <c r="C110" s="1548" t="s">
        <v>439</v>
      </c>
      <c r="D110" s="1538"/>
      <c r="E110" s="1538"/>
      <c r="F110" s="1538"/>
      <c r="G110" s="1538"/>
      <c r="H110" s="1538"/>
      <c r="I110" s="1538"/>
      <c r="J110" s="1538"/>
      <c r="K110" s="1538"/>
      <c r="L110" s="1538"/>
      <c r="M110" s="1538"/>
      <c r="N110" s="1538"/>
      <c r="O110" s="1538"/>
      <c r="P110" s="1538"/>
      <c r="Q110" s="1538"/>
      <c r="R110" s="1538"/>
      <c r="S110" s="1538"/>
      <c r="T110" s="1538"/>
      <c r="U110" s="1538"/>
      <c r="V110" s="1538"/>
      <c r="W110" s="1538"/>
      <c r="AA110" s="1559"/>
      <c r="AB110" s="1559"/>
      <c r="AC110" s="1559"/>
      <c r="AD110" s="1559"/>
      <c r="AE110" s="1559"/>
      <c r="AF110" s="1559"/>
      <c r="AG110" s="2920"/>
      <c r="AH110" s="2920"/>
      <c r="AI110" s="2920"/>
    </row>
    <row r="111" spans="1:35" s="2331" customFormat="1">
      <c r="A111" s="907" t="s">
        <v>1673</v>
      </c>
      <c r="B111" s="908"/>
      <c r="C111" s="905" t="s">
        <v>1669</v>
      </c>
      <c r="D111" s="2969">
        <v>0.03</v>
      </c>
      <c r="E111" s="2969">
        <v>0.03</v>
      </c>
      <c r="F111" s="2969">
        <v>0.03</v>
      </c>
      <c r="G111" s="2969">
        <v>0.03</v>
      </c>
      <c r="H111" s="2969">
        <v>0.03</v>
      </c>
      <c r="I111" s="2969">
        <v>0.03</v>
      </c>
      <c r="J111" s="2969">
        <v>0.03</v>
      </c>
      <c r="K111" s="2969">
        <v>0.03</v>
      </c>
      <c r="L111" s="2969">
        <v>0.03</v>
      </c>
      <c r="M111" s="2969">
        <v>0.03</v>
      </c>
      <c r="N111" s="2969">
        <v>0.03</v>
      </c>
      <c r="O111" s="2969">
        <v>0.03</v>
      </c>
      <c r="P111" s="2969">
        <v>0.03</v>
      </c>
      <c r="Q111" s="2969">
        <v>1.7999999999999999E-2</v>
      </c>
      <c r="R111" s="2969">
        <v>1.7999999999999999E-2</v>
      </c>
      <c r="S111" s="2969">
        <v>1.7999999999999999E-2</v>
      </c>
      <c r="T111" s="2969">
        <v>1.7999999999999999E-2</v>
      </c>
      <c r="U111" s="2969">
        <v>0.03</v>
      </c>
      <c r="V111" s="2969">
        <v>0.03</v>
      </c>
      <c r="W111" s="2335"/>
      <c r="AA111" s="2335"/>
      <c r="AB111" s="2335"/>
      <c r="AC111" s="2335"/>
      <c r="AD111" s="2332"/>
      <c r="AE111" s="2332"/>
      <c r="AF111" s="2332"/>
      <c r="AG111" s="2937"/>
      <c r="AH111" s="2937"/>
      <c r="AI111" s="2937"/>
    </row>
    <row r="112" spans="1:35" s="1565" customFormat="1">
      <c r="A112" s="1569"/>
      <c r="B112" s="1570"/>
      <c r="C112" s="1547" t="s">
        <v>1324</v>
      </c>
      <c r="D112" s="4213">
        <f>(D114*D116)/D7/1000</f>
        <v>8.0160320641282574</v>
      </c>
      <c r="E112" s="4213">
        <f t="shared" ref="E112:V112" si="13">(E114*E116)/E7/1000</f>
        <v>4</v>
      </c>
      <c r="F112" s="4213">
        <f t="shared" si="13"/>
        <v>2</v>
      </c>
      <c r="G112" s="4213">
        <f t="shared" si="13"/>
        <v>3.5</v>
      </c>
      <c r="H112" s="1924">
        <f t="shared" si="13"/>
        <v>3.1818181818181821</v>
      </c>
      <c r="I112" s="1924">
        <f t="shared" si="13"/>
        <v>37.5</v>
      </c>
      <c r="J112" s="1924">
        <f t="shared" si="13"/>
        <v>90</v>
      </c>
      <c r="K112" s="1924">
        <f t="shared" si="13"/>
        <v>90</v>
      </c>
      <c r="L112" s="1924">
        <f t="shared" si="13"/>
        <v>35</v>
      </c>
      <c r="M112" s="1924">
        <f t="shared" si="13"/>
        <v>35</v>
      </c>
      <c r="N112" s="1924">
        <f t="shared" si="13"/>
        <v>35</v>
      </c>
      <c r="O112" s="1924">
        <f t="shared" si="13"/>
        <v>35</v>
      </c>
      <c r="P112" s="1924">
        <f t="shared" si="13"/>
        <v>35</v>
      </c>
      <c r="Q112" s="1924">
        <f t="shared" si="13"/>
        <v>35</v>
      </c>
      <c r="R112" s="1924">
        <f t="shared" si="13"/>
        <v>35</v>
      </c>
      <c r="S112" s="1924">
        <f t="shared" si="13"/>
        <v>35</v>
      </c>
      <c r="T112" s="1924">
        <f t="shared" si="13"/>
        <v>35</v>
      </c>
      <c r="U112" s="1924">
        <f t="shared" si="13"/>
        <v>200</v>
      </c>
      <c r="V112" s="1924">
        <f t="shared" si="13"/>
        <v>200</v>
      </c>
      <c r="W112" s="1538"/>
      <c r="AA112" s="1559"/>
      <c r="AB112" s="1559"/>
      <c r="AC112" s="1559"/>
      <c r="AD112" s="1559"/>
      <c r="AE112" s="1559"/>
      <c r="AF112" s="1559"/>
      <c r="AG112" s="2920"/>
      <c r="AH112" s="2920"/>
      <c r="AI112" s="2920"/>
    </row>
    <row r="113" spans="1:35" s="1565" customFormat="1">
      <c r="A113" s="1569" t="s">
        <v>826</v>
      </c>
      <c r="B113" s="1570" t="s">
        <v>745</v>
      </c>
      <c r="C113" s="1652" t="s">
        <v>442</v>
      </c>
      <c r="D113" s="1538"/>
      <c r="E113" s="1538"/>
      <c r="F113" s="1538"/>
      <c r="G113" s="1538"/>
      <c r="H113" s="1538"/>
      <c r="I113" s="1538">
        <v>2.5</v>
      </c>
      <c r="J113" s="1665">
        <v>6</v>
      </c>
      <c r="K113" s="1665">
        <v>6</v>
      </c>
      <c r="L113" s="1665">
        <v>7</v>
      </c>
      <c r="M113" s="1665">
        <v>7</v>
      </c>
      <c r="N113" s="1665">
        <v>7</v>
      </c>
      <c r="O113" s="1665">
        <v>7</v>
      </c>
      <c r="P113" s="1665">
        <v>7</v>
      </c>
      <c r="Q113" s="1665">
        <v>7</v>
      </c>
      <c r="R113" s="1665">
        <v>7</v>
      </c>
      <c r="S113" s="1665">
        <v>7</v>
      </c>
      <c r="T113" s="1665">
        <v>7</v>
      </c>
      <c r="U113" s="1538">
        <v>40</v>
      </c>
      <c r="V113" s="1538">
        <v>40</v>
      </c>
      <c r="W113" s="1538"/>
      <c r="AA113" s="1559"/>
      <c r="AB113" s="1559"/>
      <c r="AC113" s="4248"/>
      <c r="AD113" s="4248"/>
      <c r="AE113" s="1559"/>
      <c r="AF113" s="1559"/>
      <c r="AG113" s="2920"/>
      <c r="AH113" s="2920"/>
      <c r="AI113" s="2920"/>
    </row>
    <row r="114" spans="1:35" s="1565" customFormat="1">
      <c r="A114" s="1569" t="s">
        <v>827</v>
      </c>
      <c r="B114" s="1664" t="s">
        <v>746</v>
      </c>
      <c r="C114" s="1652" t="s">
        <v>329</v>
      </c>
      <c r="D114" s="1665">
        <v>8</v>
      </c>
      <c r="E114" s="1665">
        <v>8</v>
      </c>
      <c r="F114" s="1665">
        <v>8</v>
      </c>
      <c r="G114" s="1665">
        <v>25</v>
      </c>
      <c r="H114" s="1665">
        <v>25</v>
      </c>
      <c r="I114" s="1538">
        <f t="shared" ref="I114:V114" si="14">I113*I7</f>
        <v>125</v>
      </c>
      <c r="J114" s="1665">
        <f t="shared" si="14"/>
        <v>180</v>
      </c>
      <c r="K114" s="1665">
        <f t="shared" si="14"/>
        <v>180</v>
      </c>
      <c r="L114" s="1665">
        <f t="shared" si="14"/>
        <v>1750</v>
      </c>
      <c r="M114" s="1665">
        <f t="shared" si="14"/>
        <v>1750</v>
      </c>
      <c r="N114" s="1665">
        <f t="shared" si="14"/>
        <v>700</v>
      </c>
      <c r="O114" s="1665">
        <f t="shared" si="14"/>
        <v>700</v>
      </c>
      <c r="P114" s="1665">
        <f t="shared" si="14"/>
        <v>700</v>
      </c>
      <c r="Q114" s="1665">
        <f t="shared" si="14"/>
        <v>700</v>
      </c>
      <c r="R114" s="1665">
        <f t="shared" si="14"/>
        <v>700</v>
      </c>
      <c r="S114" s="1665">
        <f>S113*S7</f>
        <v>140</v>
      </c>
      <c r="T114" s="1665">
        <f>T113*T7</f>
        <v>140</v>
      </c>
      <c r="U114" s="1665">
        <f t="shared" si="14"/>
        <v>4000</v>
      </c>
      <c r="V114" s="1665">
        <f t="shared" si="14"/>
        <v>4000</v>
      </c>
      <c r="W114" s="1665"/>
      <c r="AA114" s="1559"/>
      <c r="AB114" s="1559"/>
      <c r="AC114" s="1559"/>
      <c r="AD114" s="1559"/>
      <c r="AE114" s="4248"/>
      <c r="AF114" s="4248"/>
      <c r="AG114" s="2943"/>
      <c r="AH114" s="2943"/>
      <c r="AI114" s="2943"/>
    </row>
    <row r="115" spans="1:35" s="1565" customFormat="1">
      <c r="A115" s="1569" t="s">
        <v>831</v>
      </c>
      <c r="B115" s="1570" t="s">
        <v>747</v>
      </c>
      <c r="C115" s="1652" t="s">
        <v>460</v>
      </c>
      <c r="D115" s="1538"/>
      <c r="E115" s="1538"/>
      <c r="F115" s="1538"/>
      <c r="G115" s="1538"/>
      <c r="H115" s="1538"/>
      <c r="I115" s="1538"/>
      <c r="J115" s="1538"/>
      <c r="K115" s="1538"/>
      <c r="L115" s="1538"/>
      <c r="M115" s="1538"/>
      <c r="N115" s="1538"/>
      <c r="O115" s="1538"/>
      <c r="P115" s="1538"/>
      <c r="Q115" s="1538"/>
      <c r="R115" s="1538"/>
      <c r="S115" s="1538"/>
      <c r="T115" s="1538"/>
      <c r="U115" s="1538"/>
      <c r="V115" s="1538"/>
      <c r="W115" s="1538"/>
      <c r="AA115" s="1619"/>
      <c r="AB115" s="1619"/>
      <c r="AC115" s="1620"/>
      <c r="AD115" s="1620"/>
      <c r="AE115" s="1559"/>
      <c r="AF115" s="1559"/>
      <c r="AG115" s="2920"/>
      <c r="AH115" s="2920"/>
      <c r="AI115" s="2920"/>
    </row>
    <row r="116" spans="1:35" s="1565" customFormat="1" ht="15.75">
      <c r="A116" s="1569" t="s">
        <v>832</v>
      </c>
      <c r="B116" s="1570" t="s">
        <v>748</v>
      </c>
      <c r="C116" s="1666" t="s">
        <v>330</v>
      </c>
      <c r="D116" s="2775">
        <v>50000</v>
      </c>
      <c r="E116" s="2775">
        <v>50000</v>
      </c>
      <c r="F116" s="2775">
        <v>50000</v>
      </c>
      <c r="G116" s="2775">
        <v>70000</v>
      </c>
      <c r="H116" s="4145">
        <v>70000</v>
      </c>
      <c r="I116" s="4122">
        <f t="shared" ref="I116:K116" si="15">ROUND((StartYr-2010)*0.01*15000+14850,-3)</f>
        <v>15000</v>
      </c>
      <c r="J116" s="4122">
        <f t="shared" si="15"/>
        <v>15000</v>
      </c>
      <c r="K116" s="4122">
        <f t="shared" si="15"/>
        <v>15000</v>
      </c>
      <c r="L116" s="4144">
        <v>5000</v>
      </c>
      <c r="M116" s="4144">
        <v>5000</v>
      </c>
      <c r="N116" s="4144">
        <v>5000</v>
      </c>
      <c r="O116" s="4144">
        <v>5000</v>
      </c>
      <c r="P116" s="4144">
        <v>5000</v>
      </c>
      <c r="Q116" s="4144">
        <v>5000</v>
      </c>
      <c r="R116" s="4144">
        <v>5000</v>
      </c>
      <c r="S116" s="4144">
        <v>5000</v>
      </c>
      <c r="T116" s="4144">
        <v>5000</v>
      </c>
      <c r="U116" s="4144">
        <v>5000</v>
      </c>
      <c r="V116" s="4144">
        <v>5000</v>
      </c>
      <c r="W116" s="1618"/>
      <c r="AA116" s="1619"/>
      <c r="AB116" s="1619"/>
      <c r="AC116" s="1620"/>
      <c r="AD116" s="1620"/>
      <c r="AE116" s="1620"/>
      <c r="AF116" s="1620"/>
      <c r="AG116" s="2933"/>
      <c r="AH116" s="2933"/>
      <c r="AI116" s="2933"/>
    </row>
    <row r="117" spans="1:35" s="1565" customFormat="1" ht="14.25">
      <c r="A117" s="1569" t="s">
        <v>833</v>
      </c>
      <c r="B117" s="1669" t="s">
        <v>749</v>
      </c>
      <c r="C117" s="1666" t="s">
        <v>1325</v>
      </c>
      <c r="D117" s="4145"/>
      <c r="E117" s="4145"/>
      <c r="F117" s="4145"/>
      <c r="G117" s="1618"/>
      <c r="H117" s="1618"/>
      <c r="I117" s="4122"/>
      <c r="J117" s="4122"/>
      <c r="K117" s="4122"/>
      <c r="L117" s="4122"/>
      <c r="M117" s="4122"/>
      <c r="N117" s="4122"/>
      <c r="O117" s="4122"/>
      <c r="P117" s="4122"/>
      <c r="Q117" s="4122"/>
      <c r="R117" s="4122"/>
      <c r="S117" s="4122"/>
      <c r="T117" s="4122"/>
      <c r="U117" s="4122"/>
      <c r="V117" s="4122"/>
      <c r="W117" s="1618"/>
      <c r="AA117" s="1559"/>
      <c r="AB117" s="1559"/>
      <c r="AC117" s="1559"/>
      <c r="AD117" s="1559"/>
      <c r="AE117" s="1620"/>
      <c r="AF117" s="1620"/>
      <c r="AG117" s="2933"/>
      <c r="AH117" s="2933"/>
      <c r="AI117" s="2933"/>
    </row>
    <row r="118" spans="1:35" s="1565" customFormat="1" ht="14.25">
      <c r="A118" s="1569"/>
      <c r="B118" s="1570"/>
      <c r="C118" s="1547" t="s">
        <v>1327</v>
      </c>
      <c r="D118" s="3004"/>
      <c r="E118" s="3004"/>
      <c r="F118" s="3004"/>
      <c r="G118" s="1538"/>
      <c r="H118" s="1538"/>
      <c r="I118" s="1538"/>
      <c r="J118" s="1538"/>
      <c r="K118" s="1538"/>
      <c r="L118" s="1538"/>
      <c r="M118" s="1538"/>
      <c r="N118" s="1538"/>
      <c r="O118" s="1538"/>
      <c r="P118" s="1538"/>
      <c r="Q118" s="1538"/>
      <c r="R118" s="1538"/>
      <c r="S118" s="1538"/>
      <c r="T118" s="1538"/>
      <c r="U118" s="1538"/>
      <c r="V118" s="1538"/>
      <c r="W118" s="1538"/>
      <c r="AA118" s="1559"/>
      <c r="AB118" s="1559"/>
      <c r="AC118" s="1559"/>
      <c r="AD118" s="1559"/>
      <c r="AE118" s="1559"/>
      <c r="AF118" s="1559"/>
      <c r="AG118" s="2920"/>
      <c r="AH118" s="2920"/>
      <c r="AI118" s="2920"/>
    </row>
    <row r="119" spans="1:35" s="1565" customFormat="1" ht="14.25">
      <c r="A119" s="1569" t="s">
        <v>834</v>
      </c>
      <c r="B119" s="1570" t="s">
        <v>750</v>
      </c>
      <c r="C119" s="1548" t="s">
        <v>332</v>
      </c>
      <c r="D119" s="4214"/>
      <c r="E119" s="4214"/>
      <c r="F119" s="4214"/>
      <c r="G119" s="3476"/>
      <c r="H119" s="3476"/>
      <c r="I119" s="3476">
        <v>500000</v>
      </c>
      <c r="J119" s="3476">
        <v>600000</v>
      </c>
      <c r="K119" s="3476">
        <v>600000</v>
      </c>
      <c r="L119" s="3476"/>
      <c r="M119" s="3476"/>
      <c r="N119" s="3476"/>
      <c r="O119" s="3476"/>
      <c r="P119" s="3476"/>
      <c r="Q119" s="3833"/>
      <c r="R119" s="3833"/>
      <c r="S119" s="3833"/>
      <c r="T119" s="3833"/>
      <c r="U119" s="3833">
        <v>1000000</v>
      </c>
      <c r="V119" s="3833">
        <v>1000000</v>
      </c>
      <c r="W119" s="1538"/>
      <c r="AA119" s="1559"/>
      <c r="AB119" s="1559"/>
      <c r="AC119" s="1559"/>
      <c r="AD119" s="1559"/>
      <c r="AE119" s="1559"/>
      <c r="AF119" s="1559"/>
      <c r="AG119" s="2920"/>
      <c r="AH119" s="2920"/>
      <c r="AI119" s="2920"/>
    </row>
    <row r="120" spans="1:35" s="1565" customFormat="1" ht="15">
      <c r="A120" s="1569" t="s">
        <v>835</v>
      </c>
      <c r="B120" s="1570" t="s">
        <v>751</v>
      </c>
      <c r="C120" s="1548" t="s">
        <v>1328</v>
      </c>
      <c r="D120" s="2775">
        <f>29.09*D7*1000</f>
        <v>1451591</v>
      </c>
      <c r="E120" s="2775">
        <f>29.09*E7*1000</f>
        <v>2909000</v>
      </c>
      <c r="F120" s="2775">
        <f>29.09*F7*1000</f>
        <v>5818000</v>
      </c>
      <c r="G120" s="2775">
        <f>13.8*G7*1000</f>
        <v>6900000</v>
      </c>
      <c r="H120" s="4145">
        <f>13.8*H7*1000</f>
        <v>7590000</v>
      </c>
      <c r="I120" s="1538"/>
      <c r="J120" s="1538"/>
      <c r="K120" s="1538"/>
      <c r="L120" s="1618">
        <f>4400*L114</f>
        <v>7700000</v>
      </c>
      <c r="M120" s="1618">
        <f t="shared" ref="M120:O120" si="16">4400*M114</f>
        <v>7700000</v>
      </c>
      <c r="N120" s="1618">
        <f t="shared" si="16"/>
        <v>3080000</v>
      </c>
      <c r="O120" s="1618">
        <f t="shared" si="16"/>
        <v>3080000</v>
      </c>
      <c r="P120" s="1618">
        <f>4400*P114</f>
        <v>3080000</v>
      </c>
      <c r="Q120" s="1618">
        <f t="shared" ref="Q120:R120" si="17">4400*Q114</f>
        <v>3080000</v>
      </c>
      <c r="R120" s="1618">
        <f t="shared" si="17"/>
        <v>3080000</v>
      </c>
      <c r="S120" s="1618">
        <f>4400*S114</f>
        <v>616000</v>
      </c>
      <c r="T120" s="1618">
        <f>4400*T114</f>
        <v>616000</v>
      </c>
      <c r="U120" s="1618"/>
      <c r="V120" s="1618"/>
      <c r="W120" s="1538"/>
      <c r="AA120" s="1787"/>
      <c r="AB120" s="1787"/>
      <c r="AC120" s="1559"/>
      <c r="AD120" s="1559"/>
      <c r="AE120" s="1559"/>
      <c r="AF120" s="1559"/>
      <c r="AG120" s="2920"/>
      <c r="AH120" s="2920"/>
      <c r="AI120" s="2920"/>
    </row>
    <row r="121" spans="1:35" s="1565" customFormat="1">
      <c r="A121" s="1569"/>
      <c r="B121" s="1570"/>
      <c r="C121" s="1547" t="s">
        <v>1329</v>
      </c>
      <c r="D121" s="1538"/>
      <c r="E121" s="1538"/>
      <c r="F121" s="1538"/>
      <c r="G121" s="1538"/>
      <c r="H121" s="1538"/>
      <c r="I121" s="1538"/>
      <c r="J121" s="1538"/>
      <c r="K121" s="1538"/>
      <c r="L121" s="1538"/>
      <c r="M121" s="1538"/>
      <c r="N121" s="1538"/>
      <c r="O121" s="1538"/>
      <c r="P121" s="1538"/>
      <c r="Q121" s="1538"/>
      <c r="R121" s="1538"/>
      <c r="S121" s="1538"/>
      <c r="T121" s="1538"/>
      <c r="U121" s="1538"/>
      <c r="V121" s="1538"/>
      <c r="W121" s="1538"/>
      <c r="AA121" s="1788"/>
      <c r="AB121" s="1788"/>
      <c r="AC121" s="1619"/>
      <c r="AD121" s="1619"/>
      <c r="AE121" s="1559"/>
      <c r="AF121" s="1559"/>
      <c r="AG121" s="2920"/>
      <c r="AH121" s="2920"/>
      <c r="AI121" s="2920"/>
    </row>
    <row r="122" spans="1:35" s="1565" customFormat="1" ht="14.25">
      <c r="A122" s="1545" t="s">
        <v>914</v>
      </c>
      <c r="B122" s="1669" t="s">
        <v>752</v>
      </c>
      <c r="C122" s="1548" t="s">
        <v>912</v>
      </c>
      <c r="D122" s="1640">
        <f>Transmission!M37*1000</f>
        <v>7957500</v>
      </c>
      <c r="E122" s="1640">
        <f>Transmission!N37*1000</f>
        <v>8712000</v>
      </c>
      <c r="F122" s="1640">
        <f>Transmission!O37*1000</f>
        <v>30445500</v>
      </c>
      <c r="G122" s="1640">
        <f>Transmission!P37*1000</f>
        <v>30445500</v>
      </c>
      <c r="H122" s="1640">
        <f>Transmission!Q37*1000</f>
        <v>31000500</v>
      </c>
      <c r="I122" s="1640">
        <f>Transmission!R37*1000</f>
        <v>7957500</v>
      </c>
      <c r="J122" s="1640">
        <f>Transmission!S37*1000</f>
        <v>7957500</v>
      </c>
      <c r="K122" s="1640">
        <f>Transmission!T37*1000</f>
        <v>7957500</v>
      </c>
      <c r="L122" s="1640">
        <f>Transmission!U37*1000</f>
        <v>30445500</v>
      </c>
      <c r="M122" s="1640">
        <f>Transmission!V37*1000</f>
        <v>30445500</v>
      </c>
      <c r="N122" s="1640">
        <f>Transmission!W37*1000</f>
        <v>8712000</v>
      </c>
      <c r="O122" s="1640">
        <f>Transmission!X37*1000</f>
        <v>8712000</v>
      </c>
      <c r="P122" s="1640">
        <f>Transmission!Y37*1000</f>
        <v>8712000</v>
      </c>
      <c r="Q122" s="1640">
        <f>Transmission!Z37*1000</f>
        <v>8712000</v>
      </c>
      <c r="R122" s="1640">
        <f>Transmission!AA37*1000</f>
        <v>8712000</v>
      </c>
      <c r="S122" s="1640">
        <f>Transmission!AB37*1000</f>
        <v>7957500</v>
      </c>
      <c r="T122" s="1640">
        <f>Transmission!AC37*1000</f>
        <v>7957500</v>
      </c>
      <c r="U122" s="1640">
        <f>Transmission!AD37*1000</f>
        <v>8712000</v>
      </c>
      <c r="V122" s="1640">
        <f>Transmission!AE37*1000</f>
        <v>8712000</v>
      </c>
      <c r="W122" s="1670"/>
      <c r="AA122" s="1787"/>
      <c r="AB122" s="1787"/>
      <c r="AC122" s="1559"/>
      <c r="AD122" s="1559"/>
      <c r="AE122" s="1559"/>
      <c r="AF122" s="1559"/>
      <c r="AG122" s="2920"/>
      <c r="AH122" s="2920"/>
      <c r="AI122" s="2944"/>
    </row>
    <row r="123" spans="1:35" s="1565" customFormat="1">
      <c r="A123" s="1569" t="s">
        <v>917</v>
      </c>
      <c r="B123" s="1669" t="s">
        <v>753</v>
      </c>
      <c r="C123" s="1548" t="s">
        <v>915</v>
      </c>
      <c r="D123" s="1538"/>
      <c r="E123" s="1538"/>
      <c r="F123" s="1538"/>
      <c r="G123" s="1538"/>
      <c r="H123" s="1538"/>
      <c r="I123" s="1538"/>
      <c r="J123" s="1538"/>
      <c r="K123" s="1538"/>
      <c r="L123" s="1538"/>
      <c r="M123" s="1538"/>
      <c r="N123" s="1538"/>
      <c r="O123" s="1538"/>
      <c r="P123" s="1538"/>
      <c r="Q123" s="1538"/>
      <c r="R123" s="1538"/>
      <c r="S123" s="1538"/>
      <c r="T123" s="1538"/>
      <c r="U123" s="1538"/>
      <c r="V123" s="1538"/>
      <c r="W123" s="1538"/>
      <c r="AA123" s="1559"/>
      <c r="AB123" s="1559"/>
      <c r="AC123" s="1559"/>
      <c r="AD123" s="1559"/>
      <c r="AE123" s="1559"/>
      <c r="AF123" s="1559"/>
      <c r="AG123" s="2920"/>
      <c r="AH123" s="2920"/>
      <c r="AI123" s="2920"/>
    </row>
    <row r="124" spans="1:35" s="1565" customFormat="1">
      <c r="A124" s="1569" t="s">
        <v>918</v>
      </c>
      <c r="B124" s="1570" t="s">
        <v>754</v>
      </c>
      <c r="C124" s="1548" t="s">
        <v>913</v>
      </c>
      <c r="D124" s="1538"/>
      <c r="E124" s="1538"/>
      <c r="F124" s="1538"/>
      <c r="G124" s="1538"/>
      <c r="H124" s="1538"/>
      <c r="I124" s="1538"/>
      <c r="J124" s="1538"/>
      <c r="K124" s="1538"/>
      <c r="L124" s="1538"/>
      <c r="M124" s="1538"/>
      <c r="N124" s="1538"/>
      <c r="O124" s="1538"/>
      <c r="P124" s="1538"/>
      <c r="Q124" s="1538"/>
      <c r="R124" s="1538"/>
      <c r="S124" s="1538"/>
      <c r="T124" s="1538"/>
      <c r="U124" s="1538"/>
      <c r="V124" s="1538"/>
      <c r="W124" s="1538"/>
      <c r="AA124" s="1559"/>
      <c r="AB124" s="1559"/>
      <c r="AC124" s="1559"/>
      <c r="AD124" s="1559"/>
      <c r="AE124" s="1559"/>
      <c r="AF124" s="1559"/>
      <c r="AG124" s="2920"/>
      <c r="AH124" s="2920"/>
      <c r="AI124" s="2920"/>
    </row>
    <row r="125" spans="1:35" s="1565" customFormat="1">
      <c r="A125" s="1671"/>
      <c r="B125" s="1672" t="s">
        <v>756</v>
      </c>
      <c r="C125" s="1673"/>
      <c r="D125" s="1538"/>
      <c r="E125" s="1538"/>
      <c r="F125" s="1538"/>
      <c r="G125" s="1538"/>
      <c r="H125" s="1538"/>
      <c r="I125" s="1538"/>
      <c r="J125" s="1538"/>
      <c r="K125" s="1538"/>
      <c r="L125" s="1538"/>
      <c r="M125" s="1538"/>
      <c r="N125" s="1538"/>
      <c r="O125" s="1538"/>
      <c r="P125" s="1538"/>
      <c r="Q125" s="1538"/>
      <c r="R125" s="1538"/>
      <c r="S125" s="1538"/>
      <c r="T125" s="1538"/>
      <c r="U125" s="1538"/>
      <c r="V125" s="1538"/>
      <c r="W125" s="1538"/>
      <c r="AA125" s="1559"/>
      <c r="AB125" s="1559"/>
      <c r="AC125" s="1559"/>
      <c r="AD125" s="1559"/>
      <c r="AE125" s="1559"/>
      <c r="AF125" s="1559"/>
      <c r="AG125" s="2920"/>
      <c r="AH125" s="2920"/>
      <c r="AI125" s="2920"/>
    </row>
    <row r="126" spans="1:35" s="1565" customFormat="1">
      <c r="A126" s="1535"/>
      <c r="B126" s="1536"/>
      <c r="C126" s="1560" t="s">
        <v>990</v>
      </c>
      <c r="D126" s="1538"/>
      <c r="E126" s="1538"/>
      <c r="F126" s="1538"/>
      <c r="G126" s="1538"/>
      <c r="H126" s="1538"/>
      <c r="I126" s="1538"/>
      <c r="J126" s="1538"/>
      <c r="K126" s="1538"/>
      <c r="L126" s="1538"/>
      <c r="M126" s="1538"/>
      <c r="N126" s="1538"/>
      <c r="O126" s="1538"/>
      <c r="P126" s="1538"/>
      <c r="Q126" s="1538"/>
      <c r="R126" s="1538"/>
      <c r="S126" s="1538"/>
      <c r="T126" s="1538"/>
      <c r="U126" s="1538"/>
      <c r="V126" s="1538"/>
      <c r="W126" s="1538"/>
      <c r="AA126" s="1559"/>
      <c r="AB126" s="1559"/>
      <c r="AC126" s="1559"/>
      <c r="AD126" s="1559"/>
      <c r="AE126" s="1559"/>
      <c r="AF126" s="1559"/>
      <c r="AG126" s="2920"/>
      <c r="AH126" s="2920"/>
      <c r="AI126" s="2920"/>
    </row>
    <row r="127" spans="1:35" s="1565" customFormat="1">
      <c r="A127" s="1594"/>
      <c r="B127" s="1595"/>
      <c r="C127" s="1674" t="s">
        <v>461</v>
      </c>
      <c r="D127" s="1538"/>
      <c r="E127" s="1538"/>
      <c r="F127" s="1538"/>
      <c r="G127" s="1538"/>
      <c r="H127" s="1538"/>
      <c r="I127" s="1538"/>
      <c r="J127" s="1538"/>
      <c r="K127" s="1538"/>
      <c r="L127" s="1538"/>
      <c r="M127" s="1538"/>
      <c r="N127" s="1538"/>
      <c r="O127" s="1538"/>
      <c r="P127" s="1538"/>
      <c r="Q127" s="1538"/>
      <c r="R127" s="1538"/>
      <c r="S127" s="1538"/>
      <c r="T127" s="1538"/>
      <c r="U127" s="1538"/>
      <c r="V127" s="1538"/>
      <c r="W127" s="1538"/>
      <c r="AA127" s="1559"/>
      <c r="AB127" s="1559"/>
      <c r="AC127" s="1559"/>
      <c r="AD127" s="1559"/>
      <c r="AE127" s="1559"/>
      <c r="AF127" s="1559"/>
      <c r="AG127" s="2920"/>
      <c r="AH127" s="2920"/>
      <c r="AI127" s="2920"/>
    </row>
    <row r="128" spans="1:35" s="1565" customFormat="1">
      <c r="A128" s="1594" t="s">
        <v>1219</v>
      </c>
      <c r="B128" s="1595"/>
      <c r="C128" s="1605" t="s">
        <v>1017</v>
      </c>
      <c r="D128" s="1538" t="s">
        <v>521</v>
      </c>
      <c r="E128" s="1538" t="s">
        <v>521</v>
      </c>
      <c r="F128" s="1538" t="s">
        <v>521</v>
      </c>
      <c r="G128" s="1538" t="s">
        <v>521</v>
      </c>
      <c r="H128" s="1538" t="s">
        <v>521</v>
      </c>
      <c r="I128" s="1538" t="s">
        <v>521</v>
      </c>
      <c r="J128" s="1538" t="s">
        <v>521</v>
      </c>
      <c r="K128" s="1538" t="s">
        <v>521</v>
      </c>
      <c r="L128" s="1538" t="s">
        <v>521</v>
      </c>
      <c r="M128" s="1538" t="s">
        <v>521</v>
      </c>
      <c r="N128" s="1538" t="s">
        <v>521</v>
      </c>
      <c r="O128" s="1538" t="s">
        <v>521</v>
      </c>
      <c r="P128" s="1538" t="s">
        <v>521</v>
      </c>
      <c r="Q128" s="1538" t="s">
        <v>521</v>
      </c>
      <c r="R128" s="1538" t="s">
        <v>521</v>
      </c>
      <c r="S128" s="1538" t="s">
        <v>521</v>
      </c>
      <c r="T128" s="1538" t="s">
        <v>521</v>
      </c>
      <c r="U128" s="1538" t="s">
        <v>521</v>
      </c>
      <c r="V128" s="1538" t="s">
        <v>521</v>
      </c>
      <c r="W128" s="1538"/>
      <c r="AA128" s="1559"/>
      <c r="AB128" s="1559"/>
      <c r="AC128" s="1559"/>
      <c r="AD128" s="1559"/>
      <c r="AE128" s="1559"/>
      <c r="AF128" s="1559"/>
      <c r="AG128" s="2920"/>
      <c r="AH128" s="2920"/>
      <c r="AI128" s="2920"/>
    </row>
    <row r="129" spans="1:35" s="1565" customFormat="1">
      <c r="A129" s="1594" t="s">
        <v>1220</v>
      </c>
      <c r="B129" s="1595"/>
      <c r="C129" s="1605" t="s">
        <v>1031</v>
      </c>
      <c r="D129" s="1538"/>
      <c r="E129" s="1538"/>
      <c r="F129" s="1538"/>
      <c r="G129" s="1538"/>
      <c r="H129" s="1538"/>
      <c r="I129" s="1538"/>
      <c r="J129" s="1538"/>
      <c r="K129" s="1538"/>
      <c r="L129" s="1538"/>
      <c r="M129" s="1538"/>
      <c r="N129" s="1538"/>
      <c r="O129" s="1538"/>
      <c r="P129" s="1538"/>
      <c r="Q129" s="1538"/>
      <c r="R129" s="1538"/>
      <c r="S129" s="1538"/>
      <c r="T129" s="1538"/>
      <c r="U129" s="1538"/>
      <c r="V129" s="1538"/>
      <c r="W129" s="1538"/>
      <c r="AA129" s="1559"/>
      <c r="AB129" s="1559"/>
      <c r="AC129" s="1559"/>
      <c r="AD129" s="1559"/>
      <c r="AE129" s="1559"/>
      <c r="AF129" s="1559"/>
      <c r="AG129" s="2920"/>
      <c r="AH129" s="2920"/>
      <c r="AI129" s="2920"/>
    </row>
    <row r="130" spans="1:35" s="1565" customFormat="1">
      <c r="A130" s="1594" t="s">
        <v>1221</v>
      </c>
      <c r="B130" s="1675" t="s">
        <v>763</v>
      </c>
      <c r="C130" s="1605" t="s">
        <v>471</v>
      </c>
      <c r="D130" s="1538"/>
      <c r="E130" s="1538"/>
      <c r="F130" s="1538"/>
      <c r="G130" s="1538"/>
      <c r="H130" s="1538"/>
      <c r="I130" s="1538"/>
      <c r="J130" s="1538"/>
      <c r="K130" s="1538"/>
      <c r="L130" s="1538"/>
      <c r="M130" s="1538"/>
      <c r="N130" s="1538"/>
      <c r="O130" s="1538"/>
      <c r="P130" s="1538"/>
      <c r="Q130" s="1538"/>
      <c r="R130" s="1538"/>
      <c r="S130" s="1538"/>
      <c r="T130" s="1538"/>
      <c r="U130" s="1538"/>
      <c r="V130" s="1538"/>
      <c r="W130" s="1538"/>
      <c r="AA130" s="1619"/>
      <c r="AB130" s="1619"/>
      <c r="AC130" s="1619"/>
      <c r="AD130" s="1619"/>
      <c r="AE130" s="1559"/>
      <c r="AF130" s="1559"/>
      <c r="AG130" s="2920"/>
      <c r="AH130" s="2920"/>
      <c r="AI130" s="2920"/>
    </row>
    <row r="131" spans="1:35" s="1565" customFormat="1">
      <c r="A131" s="1594" t="s">
        <v>1222</v>
      </c>
      <c r="B131" s="1595"/>
      <c r="C131" s="1605" t="s">
        <v>1032</v>
      </c>
      <c r="D131" s="1538"/>
      <c r="E131" s="1538"/>
      <c r="F131" s="1538"/>
      <c r="G131" s="1538"/>
      <c r="H131" s="1538"/>
      <c r="I131" s="1617"/>
      <c r="J131" s="1617"/>
      <c r="K131" s="1617"/>
      <c r="L131" s="1538"/>
      <c r="M131" s="1538"/>
      <c r="N131" s="1538"/>
      <c r="O131" s="1538"/>
      <c r="P131" s="1538"/>
      <c r="Q131" s="1538"/>
      <c r="R131" s="1538"/>
      <c r="S131" s="1538"/>
      <c r="T131" s="1538"/>
      <c r="U131" s="1617"/>
      <c r="V131" s="1617"/>
      <c r="W131" s="1617"/>
      <c r="AA131" s="1559"/>
      <c r="AB131" s="1559"/>
      <c r="AC131" s="1559"/>
      <c r="AD131" s="1559"/>
      <c r="AE131" s="1559"/>
      <c r="AF131" s="1559"/>
      <c r="AG131" s="2920"/>
      <c r="AH131" s="2920"/>
      <c r="AI131" s="4249"/>
    </row>
    <row r="132" spans="1:35" s="1565" customFormat="1">
      <c r="A132" s="1594" t="s">
        <v>1223</v>
      </c>
      <c r="B132" s="1595"/>
      <c r="C132" s="1605" t="s">
        <v>1033</v>
      </c>
      <c r="D132" s="1538"/>
      <c r="E132" s="1538"/>
      <c r="F132" s="1538"/>
      <c r="G132" s="1538"/>
      <c r="H132" s="1538"/>
      <c r="I132" s="1538"/>
      <c r="J132" s="1538"/>
      <c r="K132" s="1538"/>
      <c r="L132" s="1538"/>
      <c r="M132" s="1538"/>
      <c r="N132" s="1538"/>
      <c r="O132" s="1538"/>
      <c r="P132" s="1538"/>
      <c r="Q132" s="1538"/>
      <c r="R132" s="1538"/>
      <c r="S132" s="1538"/>
      <c r="T132" s="1538"/>
      <c r="U132" s="1538"/>
      <c r="V132" s="1538"/>
      <c r="W132" s="1538"/>
      <c r="AA132" s="1559"/>
      <c r="AB132" s="1559"/>
      <c r="AC132" s="1559"/>
      <c r="AD132" s="1559"/>
      <c r="AE132" s="1559"/>
      <c r="AF132" s="1559"/>
      <c r="AG132" s="2920"/>
      <c r="AH132" s="2920"/>
      <c r="AI132" s="2920"/>
    </row>
    <row r="133" spans="1:35" s="1565" customFormat="1" ht="14.25">
      <c r="A133" s="1594" t="s">
        <v>1224</v>
      </c>
      <c r="B133" s="1595"/>
      <c r="C133" s="1605" t="s">
        <v>1034</v>
      </c>
      <c r="D133" s="1646">
        <v>0</v>
      </c>
      <c r="E133" s="1646">
        <v>0</v>
      </c>
      <c r="F133" s="1646">
        <v>0</v>
      </c>
      <c r="G133" s="1646">
        <f>0.35*G7*8760*(1-G8)*G40</f>
        <v>848469.50999999989</v>
      </c>
      <c r="H133" s="1646">
        <f>0.35*H7*8760*(1-H8)*H40</f>
        <v>933316.46099999989</v>
      </c>
      <c r="I133" s="2141">
        <v>0</v>
      </c>
      <c r="J133" s="4134">
        <v>0</v>
      </c>
      <c r="K133" s="3004">
        <v>0</v>
      </c>
      <c r="L133" s="2141">
        <v>0</v>
      </c>
      <c r="M133" s="2141">
        <v>0</v>
      </c>
      <c r="N133" s="2141">
        <v>0</v>
      </c>
      <c r="O133" s="2141">
        <v>0</v>
      </c>
      <c r="P133" s="2141">
        <v>0</v>
      </c>
      <c r="Q133" s="2141">
        <v>0</v>
      </c>
      <c r="R133" s="2141">
        <v>0</v>
      </c>
      <c r="S133" s="2141">
        <v>0</v>
      </c>
      <c r="T133" s="2141">
        <v>0</v>
      </c>
      <c r="U133" s="2141">
        <v>0</v>
      </c>
      <c r="V133" s="2141">
        <v>0</v>
      </c>
      <c r="W133" s="1538"/>
      <c r="AA133" s="1559"/>
      <c r="AB133" s="1559"/>
      <c r="AC133" s="1559"/>
      <c r="AD133" s="1559"/>
      <c r="AE133" s="1559"/>
      <c r="AF133" s="1559"/>
      <c r="AG133" s="2920"/>
      <c r="AH133" s="2920"/>
      <c r="AI133" s="2920"/>
    </row>
    <row r="134" spans="1:35" s="1565" customFormat="1">
      <c r="A134" s="1594"/>
      <c r="B134" s="1595"/>
      <c r="C134" s="1674" t="s">
        <v>462</v>
      </c>
      <c r="D134" s="2335"/>
      <c r="E134" s="2335"/>
      <c r="F134" s="2335"/>
      <c r="G134" s="339"/>
      <c r="H134" s="2335"/>
      <c r="I134" s="1538"/>
      <c r="J134" s="1538"/>
      <c r="K134" s="1538"/>
      <c r="L134" s="1538"/>
      <c r="M134" s="1538"/>
      <c r="N134" s="1538"/>
      <c r="O134" s="1538"/>
      <c r="P134" s="1538"/>
      <c r="Q134" s="1538"/>
      <c r="R134" s="1538"/>
      <c r="S134" s="1538"/>
      <c r="T134" s="1538"/>
      <c r="U134" s="1538"/>
      <c r="V134" s="1538"/>
      <c r="W134" s="1538"/>
      <c r="AA134" s="1559"/>
      <c r="AB134" s="1559"/>
      <c r="AC134" s="1559"/>
      <c r="AD134" s="1559"/>
      <c r="AE134" s="1559"/>
      <c r="AF134" s="1559"/>
      <c r="AG134" s="2920"/>
      <c r="AH134" s="2920"/>
      <c r="AI134" s="2920"/>
    </row>
    <row r="135" spans="1:35" s="1565" customFormat="1" ht="15">
      <c r="A135" s="1638" t="s">
        <v>906</v>
      </c>
      <c r="B135" s="1676"/>
      <c r="C135" s="1605" t="s">
        <v>884</v>
      </c>
      <c r="D135" s="4215">
        <f t="shared" ref="D135:H135" si="18">D$74*D7*1000</f>
        <v>925728.59135610424</v>
      </c>
      <c r="E135" s="4215">
        <f t="shared" si="18"/>
        <v>1855167.5177477042</v>
      </c>
      <c r="F135" s="4215">
        <f t="shared" si="18"/>
        <v>3710335.0354954083</v>
      </c>
      <c r="G135" s="4215">
        <f t="shared" si="18"/>
        <v>14083984.932487164</v>
      </c>
      <c r="H135" s="4148">
        <f t="shared" si="18"/>
        <v>15492383.425735878</v>
      </c>
      <c r="I135" s="1538"/>
      <c r="J135" s="1677"/>
      <c r="K135" s="1677"/>
      <c r="L135" s="1538"/>
      <c r="M135" s="1538"/>
      <c r="N135" s="1538"/>
      <c r="O135" s="1538"/>
      <c r="P135" s="1538"/>
      <c r="Q135" s="1538"/>
      <c r="R135" s="1538"/>
      <c r="S135" s="1538"/>
      <c r="T135" s="1538"/>
      <c r="U135" s="1538"/>
      <c r="V135" s="1538"/>
      <c r="W135" s="1538"/>
      <c r="AA135" s="1559"/>
      <c r="AB135" s="1559"/>
      <c r="AC135" s="1559"/>
      <c r="AD135" s="1559"/>
      <c r="AE135" s="1559"/>
      <c r="AF135" s="1559"/>
      <c r="AG135" s="2920"/>
      <c r="AH135" s="2920"/>
      <c r="AI135" s="2920"/>
    </row>
    <row r="136" spans="1:35" s="1565" customFormat="1">
      <c r="A136" s="1638" t="s">
        <v>920</v>
      </c>
      <c r="B136" s="1676"/>
      <c r="C136" s="1605" t="s">
        <v>885</v>
      </c>
      <c r="D136" s="1538"/>
      <c r="E136" s="1538"/>
      <c r="F136" s="1538"/>
      <c r="G136" s="2335"/>
      <c r="H136" s="2335"/>
      <c r="I136" s="1538"/>
      <c r="J136" s="1677"/>
      <c r="K136" s="1677"/>
      <c r="L136" s="1538"/>
      <c r="M136" s="1538"/>
      <c r="N136" s="1538"/>
      <c r="O136" s="1538"/>
      <c r="P136" s="1538"/>
      <c r="Q136" s="1538"/>
      <c r="R136" s="1538"/>
      <c r="S136" s="1538"/>
      <c r="T136" s="1538"/>
      <c r="U136" s="1538"/>
      <c r="V136" s="1538"/>
      <c r="W136" s="1538"/>
      <c r="AA136" s="1559"/>
      <c r="AB136" s="1559"/>
      <c r="AC136" s="1559"/>
      <c r="AD136" s="1559"/>
      <c r="AE136" s="1559"/>
      <c r="AF136" s="1559"/>
      <c r="AG136" s="2920"/>
      <c r="AH136" s="2920"/>
      <c r="AI136" s="2920"/>
    </row>
    <row r="137" spans="1:35" s="1565" customFormat="1">
      <c r="A137" s="1638" t="s">
        <v>921</v>
      </c>
      <c r="B137" s="1676"/>
      <c r="C137" s="1605" t="s">
        <v>886</v>
      </c>
      <c r="D137" s="1538"/>
      <c r="E137" s="1538"/>
      <c r="F137" s="1538"/>
      <c r="G137" s="2335"/>
      <c r="H137" s="2335"/>
      <c r="I137" s="1538"/>
      <c r="J137" s="1677"/>
      <c r="K137" s="1677"/>
      <c r="L137" s="1538"/>
      <c r="M137" s="1538"/>
      <c r="N137" s="1538"/>
      <c r="O137" s="1538"/>
      <c r="P137" s="1538"/>
      <c r="Q137" s="1538"/>
      <c r="R137" s="1538"/>
      <c r="S137" s="1538"/>
      <c r="T137" s="1538"/>
      <c r="U137" s="1538"/>
      <c r="V137" s="1538"/>
      <c r="W137" s="1538"/>
      <c r="AA137" s="1559"/>
      <c r="AB137" s="1559"/>
      <c r="AC137" s="1559"/>
      <c r="AD137" s="1559"/>
      <c r="AE137" s="1559"/>
      <c r="AF137" s="1559"/>
      <c r="AG137" s="2920"/>
      <c r="AH137" s="2920"/>
      <c r="AI137" s="2920"/>
    </row>
    <row r="138" spans="1:35" s="1565" customFormat="1">
      <c r="A138" s="1638" t="s">
        <v>922</v>
      </c>
      <c r="B138" s="1676"/>
      <c r="C138" s="1605" t="s">
        <v>887</v>
      </c>
      <c r="D138" s="1538"/>
      <c r="E138" s="1538"/>
      <c r="F138" s="1538"/>
      <c r="G138" s="2335"/>
      <c r="H138" s="2335"/>
      <c r="I138" s="1538"/>
      <c r="J138" s="1677"/>
      <c r="K138" s="1677"/>
      <c r="L138" s="1538"/>
      <c r="M138" s="1538"/>
      <c r="N138" s="1538"/>
      <c r="O138" s="1538"/>
      <c r="P138" s="1538"/>
      <c r="Q138" s="1538"/>
      <c r="R138" s="1538"/>
      <c r="S138" s="1538"/>
      <c r="T138" s="1538"/>
      <c r="U138" s="1538"/>
      <c r="V138" s="1538"/>
      <c r="W138" s="1538"/>
      <c r="AA138" s="1559"/>
      <c r="AB138" s="1559"/>
      <c r="AC138" s="1559"/>
      <c r="AD138" s="1559"/>
      <c r="AE138" s="1559"/>
      <c r="AF138" s="1559"/>
      <c r="AG138" s="2920"/>
      <c r="AH138" s="2920"/>
      <c r="AI138" s="2920"/>
    </row>
    <row r="139" spans="1:35" s="1565" customFormat="1">
      <c r="A139" s="1638" t="s">
        <v>923</v>
      </c>
      <c r="B139" s="1676"/>
      <c r="C139" s="1605" t="s">
        <v>888</v>
      </c>
      <c r="D139" s="1538"/>
      <c r="E139" s="1538"/>
      <c r="F139" s="1538"/>
      <c r="G139" s="2335"/>
      <c r="H139" s="2335"/>
      <c r="I139" s="1538"/>
      <c r="J139" s="1677"/>
      <c r="K139" s="1677"/>
      <c r="L139" s="1538"/>
      <c r="M139" s="1538"/>
      <c r="N139" s="1538"/>
      <c r="O139" s="1538"/>
      <c r="P139" s="1538"/>
      <c r="Q139" s="1538"/>
      <c r="R139" s="1538"/>
      <c r="S139" s="1538"/>
      <c r="T139" s="1538"/>
      <c r="U139" s="1538"/>
      <c r="V139" s="1538"/>
      <c r="W139" s="1538"/>
      <c r="AA139" s="1559"/>
      <c r="AB139" s="1559"/>
      <c r="AC139" s="1559"/>
      <c r="AD139" s="1559"/>
      <c r="AE139" s="1559"/>
      <c r="AF139" s="1559"/>
      <c r="AG139" s="2920"/>
      <c r="AH139" s="2920"/>
      <c r="AI139" s="2920"/>
    </row>
    <row r="140" spans="1:35" s="1565" customFormat="1">
      <c r="A140" s="1638" t="s">
        <v>924</v>
      </c>
      <c r="B140" s="1676"/>
      <c r="C140" s="1605" t="s">
        <v>891</v>
      </c>
      <c r="D140" s="1538"/>
      <c r="E140" s="1538"/>
      <c r="F140" s="1538"/>
      <c r="G140" s="2335"/>
      <c r="H140" s="2335"/>
      <c r="I140" s="1538"/>
      <c r="J140" s="1677"/>
      <c r="K140" s="1677"/>
      <c r="L140" s="1538"/>
      <c r="M140" s="1538"/>
      <c r="N140" s="1538"/>
      <c r="O140" s="1538"/>
      <c r="P140" s="1538"/>
      <c r="Q140" s="1538"/>
      <c r="R140" s="1538"/>
      <c r="S140" s="1538"/>
      <c r="T140" s="1538"/>
      <c r="U140" s="1538"/>
      <c r="V140" s="1538"/>
      <c r="W140" s="1538"/>
      <c r="AA140" s="1559"/>
      <c r="AB140" s="1559"/>
      <c r="AC140" s="1559"/>
      <c r="AD140" s="1559"/>
      <c r="AE140" s="1559"/>
      <c r="AF140" s="1559"/>
      <c r="AG140" s="2920"/>
      <c r="AH140" s="2920"/>
      <c r="AI140" s="2920"/>
    </row>
    <row r="141" spans="1:35" s="1565" customFormat="1">
      <c r="A141" s="1638" t="s">
        <v>925</v>
      </c>
      <c r="B141" s="1676"/>
      <c r="C141" s="1605" t="s">
        <v>892</v>
      </c>
      <c r="D141" s="1538"/>
      <c r="E141" s="1538"/>
      <c r="F141" s="1538"/>
      <c r="G141" s="2335"/>
      <c r="H141" s="2335"/>
      <c r="I141" s="1538"/>
      <c r="J141" s="1677"/>
      <c r="K141" s="1538"/>
      <c r="L141" s="1538"/>
      <c r="M141" s="1538"/>
      <c r="N141" s="1538"/>
      <c r="O141" s="1538"/>
      <c r="P141" s="1538"/>
      <c r="Q141" s="1538"/>
      <c r="R141" s="1538"/>
      <c r="S141" s="1538"/>
      <c r="T141" s="1538"/>
      <c r="U141" s="1538"/>
      <c r="V141" s="1538"/>
      <c r="W141" s="1538"/>
      <c r="AA141" s="1559"/>
      <c r="AB141" s="1559"/>
      <c r="AC141" s="1559"/>
      <c r="AD141" s="1559"/>
      <c r="AE141" s="1559"/>
      <c r="AF141" s="1559"/>
      <c r="AG141" s="2920"/>
      <c r="AH141" s="2920"/>
      <c r="AI141" s="2920"/>
    </row>
    <row r="142" spans="1:35" s="1565" customFormat="1">
      <c r="A142" s="1638" t="s">
        <v>926</v>
      </c>
      <c r="B142" s="1676"/>
      <c r="C142" s="1605" t="s">
        <v>893</v>
      </c>
      <c r="D142" s="1538"/>
      <c r="E142" s="1538"/>
      <c r="F142" s="1538"/>
      <c r="G142" s="2335"/>
      <c r="H142" s="2335"/>
      <c r="I142" s="1538"/>
      <c r="J142" s="1538"/>
      <c r="K142" s="1538"/>
      <c r="L142" s="1538"/>
      <c r="M142" s="1538"/>
      <c r="N142" s="1538"/>
      <c r="O142" s="1538"/>
      <c r="P142" s="1538"/>
      <c r="Q142" s="1538"/>
      <c r="R142" s="1538"/>
      <c r="S142" s="1538"/>
      <c r="T142" s="1538"/>
      <c r="U142" s="1538"/>
      <c r="V142" s="1538"/>
      <c r="W142" s="1538"/>
      <c r="AA142" s="1559"/>
      <c r="AB142" s="1559"/>
      <c r="AC142" s="1559"/>
      <c r="AD142" s="1559"/>
      <c r="AE142" s="1559"/>
      <c r="AF142" s="1559"/>
      <c r="AG142" s="2920"/>
      <c r="AH142" s="2920"/>
      <c r="AI142" s="2920"/>
    </row>
    <row r="143" spans="1:35" s="1565" customFormat="1" ht="15">
      <c r="A143" s="1638" t="s">
        <v>927</v>
      </c>
      <c r="B143" s="1676"/>
      <c r="C143" s="1605" t="s">
        <v>894</v>
      </c>
      <c r="D143" s="4216" t="s">
        <v>1908</v>
      </c>
      <c r="E143" s="4216" t="s">
        <v>1908</v>
      </c>
      <c r="F143" s="4216" t="s">
        <v>1908</v>
      </c>
      <c r="G143" s="4217" t="s">
        <v>1908</v>
      </c>
      <c r="H143" s="1537" t="s">
        <v>1908</v>
      </c>
      <c r="I143" s="1538"/>
      <c r="J143" s="1537"/>
      <c r="K143" s="1537"/>
      <c r="L143" s="1538"/>
      <c r="M143" s="1538"/>
      <c r="N143" s="1538"/>
      <c r="O143" s="1538"/>
      <c r="P143" s="1538"/>
      <c r="Q143" s="1538"/>
      <c r="R143" s="1538"/>
      <c r="S143" s="1538"/>
      <c r="T143" s="1538"/>
      <c r="U143" s="1538"/>
      <c r="V143" s="1538"/>
      <c r="W143" s="1538"/>
      <c r="AA143" s="1559"/>
      <c r="AB143" s="1559"/>
      <c r="AC143" s="1559"/>
      <c r="AD143" s="1559"/>
      <c r="AE143" s="1559"/>
      <c r="AF143" s="1559"/>
      <c r="AG143" s="2920"/>
      <c r="AH143" s="2920"/>
      <c r="AI143" s="2920"/>
    </row>
    <row r="144" spans="1:35" s="1565" customFormat="1">
      <c r="A144" s="1638" t="s">
        <v>928</v>
      </c>
      <c r="B144" s="1676"/>
      <c r="C144" s="1605" t="s">
        <v>896</v>
      </c>
      <c r="D144" s="1538"/>
      <c r="E144" s="1538"/>
      <c r="F144" s="1538"/>
      <c r="G144" s="1538"/>
      <c r="H144" s="1538"/>
      <c r="I144" s="1538"/>
      <c r="J144" s="1537"/>
      <c r="K144" s="1537"/>
      <c r="L144" s="1538"/>
      <c r="M144" s="1538"/>
      <c r="N144" s="1538"/>
      <c r="O144" s="1538"/>
      <c r="P144" s="1538"/>
      <c r="Q144" s="1538"/>
      <c r="R144" s="1538"/>
      <c r="S144" s="1538"/>
      <c r="T144" s="1538"/>
      <c r="U144" s="1538"/>
      <c r="V144" s="1538"/>
      <c r="W144" s="1538"/>
      <c r="AA144" s="1559"/>
      <c r="AB144" s="1559"/>
      <c r="AC144" s="1559"/>
      <c r="AD144" s="1559"/>
      <c r="AE144" s="1559"/>
      <c r="AF144" s="1559"/>
      <c r="AG144" s="2920"/>
      <c r="AH144" s="2920"/>
      <c r="AI144" s="2920"/>
    </row>
    <row r="145" spans="1:35" s="1565" customFormat="1">
      <c r="A145" s="1638" t="s">
        <v>929</v>
      </c>
      <c r="B145" s="1676"/>
      <c r="C145" s="1605" t="s">
        <v>897</v>
      </c>
      <c r="D145" s="1538"/>
      <c r="E145" s="1538"/>
      <c r="F145" s="1538"/>
      <c r="G145" s="1538"/>
      <c r="H145" s="1538"/>
      <c r="I145" s="1538"/>
      <c r="J145" s="1537"/>
      <c r="K145" s="1537"/>
      <c r="L145" s="1538"/>
      <c r="M145" s="1538"/>
      <c r="N145" s="1538"/>
      <c r="O145" s="1538"/>
      <c r="P145" s="1538"/>
      <c r="Q145" s="1538"/>
      <c r="R145" s="1538"/>
      <c r="S145" s="1538"/>
      <c r="T145" s="1538"/>
      <c r="U145" s="1538"/>
      <c r="V145" s="1538"/>
      <c r="W145" s="1538"/>
      <c r="AA145" s="1559"/>
      <c r="AB145" s="1559"/>
      <c r="AC145" s="1559"/>
      <c r="AD145" s="1559"/>
      <c r="AE145" s="1559"/>
      <c r="AF145" s="1559"/>
      <c r="AG145" s="2920"/>
      <c r="AH145" s="2920"/>
      <c r="AI145" s="2920"/>
    </row>
    <row r="146" spans="1:35" s="1565" customFormat="1">
      <c r="A146" s="1638" t="s">
        <v>930</v>
      </c>
      <c r="B146" s="1676"/>
      <c r="C146" s="1605" t="s">
        <v>898</v>
      </c>
      <c r="D146" s="1538"/>
      <c r="E146" s="1538"/>
      <c r="F146" s="1538"/>
      <c r="G146" s="1538"/>
      <c r="H146" s="1538"/>
      <c r="I146" s="1538"/>
      <c r="J146" s="1537"/>
      <c r="K146" s="1537"/>
      <c r="L146" s="1538"/>
      <c r="M146" s="1538"/>
      <c r="N146" s="1538"/>
      <c r="O146" s="1538"/>
      <c r="P146" s="1538"/>
      <c r="Q146" s="1538"/>
      <c r="R146" s="1538"/>
      <c r="S146" s="1538"/>
      <c r="T146" s="1538"/>
      <c r="U146" s="1538"/>
      <c r="V146" s="1538"/>
      <c r="W146" s="1538"/>
      <c r="AA146" s="1559"/>
      <c r="AB146" s="1559"/>
      <c r="AC146" s="1559"/>
      <c r="AD146" s="1559"/>
      <c r="AE146" s="1559"/>
      <c r="AF146" s="1559"/>
      <c r="AG146" s="2920"/>
      <c r="AH146" s="2920"/>
      <c r="AI146" s="2920"/>
    </row>
    <row r="147" spans="1:35" s="1565" customFormat="1">
      <c r="A147" s="1638" t="s">
        <v>931</v>
      </c>
      <c r="B147" s="1676"/>
      <c r="C147" s="1605" t="s">
        <v>899</v>
      </c>
      <c r="D147" s="1538"/>
      <c r="E147" s="1538"/>
      <c r="F147" s="1538"/>
      <c r="G147" s="1538"/>
      <c r="H147" s="1538"/>
      <c r="I147" s="1538"/>
      <c r="J147" s="1537"/>
      <c r="K147" s="1537"/>
      <c r="L147" s="1538"/>
      <c r="M147" s="1538"/>
      <c r="N147" s="1538"/>
      <c r="O147" s="1538"/>
      <c r="P147" s="1538"/>
      <c r="Q147" s="1538"/>
      <c r="R147" s="1538"/>
      <c r="S147" s="1538"/>
      <c r="T147" s="1538"/>
      <c r="U147" s="1538"/>
      <c r="V147" s="1538"/>
      <c r="W147" s="1538"/>
      <c r="AA147" s="1559"/>
      <c r="AB147" s="1559"/>
      <c r="AC147" s="1559"/>
      <c r="AD147" s="1559"/>
      <c r="AE147" s="1559"/>
      <c r="AF147" s="1559"/>
      <c r="AG147" s="2920"/>
      <c r="AH147" s="2920"/>
      <c r="AI147" s="2920"/>
    </row>
    <row r="148" spans="1:35" s="1565" customFormat="1">
      <c r="A148" s="1638" t="s">
        <v>932</v>
      </c>
      <c r="B148" s="1676"/>
      <c r="C148" s="1605" t="s">
        <v>902</v>
      </c>
      <c r="D148" s="1538"/>
      <c r="E148" s="1538"/>
      <c r="F148" s="1538"/>
      <c r="G148" s="1538"/>
      <c r="H148" s="1538"/>
      <c r="I148" s="1538"/>
      <c r="J148" s="1537"/>
      <c r="K148" s="1537"/>
      <c r="L148" s="1538"/>
      <c r="M148" s="1538"/>
      <c r="N148" s="1538"/>
      <c r="O148" s="1538"/>
      <c r="P148" s="1538"/>
      <c r="Q148" s="1538"/>
      <c r="R148" s="1538"/>
      <c r="S148" s="1538"/>
      <c r="T148" s="1538"/>
      <c r="U148" s="1538"/>
      <c r="V148" s="1538"/>
      <c r="W148" s="1538"/>
      <c r="AA148" s="1559"/>
      <c r="AB148" s="1559"/>
      <c r="AC148" s="1559"/>
      <c r="AD148" s="1559"/>
      <c r="AE148" s="1559"/>
      <c r="AF148" s="1559"/>
      <c r="AG148" s="2920"/>
      <c r="AH148" s="2920"/>
      <c r="AI148" s="2920"/>
    </row>
    <row r="149" spans="1:35" s="1565" customFormat="1">
      <c r="A149" s="1638" t="s">
        <v>933</v>
      </c>
      <c r="B149" s="1676"/>
      <c r="C149" s="1605" t="s">
        <v>903</v>
      </c>
      <c r="D149" s="1538"/>
      <c r="E149" s="1538"/>
      <c r="F149" s="1538"/>
      <c r="G149" s="1538"/>
      <c r="H149" s="1538"/>
      <c r="I149" s="1538"/>
      <c r="J149" s="1537"/>
      <c r="K149" s="1538"/>
      <c r="L149" s="1538"/>
      <c r="M149" s="1538"/>
      <c r="N149" s="1538"/>
      <c r="O149" s="1538"/>
      <c r="P149" s="1538"/>
      <c r="Q149" s="1538"/>
      <c r="R149" s="1538"/>
      <c r="S149" s="1538"/>
      <c r="T149" s="1538"/>
      <c r="U149" s="1538"/>
      <c r="V149" s="1538"/>
      <c r="W149" s="1538"/>
      <c r="AA149" s="1559"/>
      <c r="AB149" s="1559"/>
      <c r="AC149" s="1559"/>
      <c r="AD149" s="1559"/>
      <c r="AE149" s="1559"/>
      <c r="AF149" s="1559"/>
      <c r="AG149" s="2920"/>
      <c r="AH149" s="2920"/>
      <c r="AI149" s="2920"/>
    </row>
    <row r="150" spans="1:35" s="1565" customFormat="1">
      <c r="A150" s="1678"/>
      <c r="B150" s="1679"/>
      <c r="C150" s="1680"/>
      <c r="D150" s="1538"/>
      <c r="E150" s="1538"/>
      <c r="F150" s="1538"/>
      <c r="G150" s="1538"/>
      <c r="H150" s="1538"/>
      <c r="I150" s="1538"/>
      <c r="J150" s="1538"/>
      <c r="K150" s="1538"/>
      <c r="L150" s="1538"/>
      <c r="M150" s="1538"/>
      <c r="N150" s="1538"/>
      <c r="O150" s="1538"/>
      <c r="P150" s="1538"/>
      <c r="Q150" s="1538"/>
      <c r="R150" s="1538"/>
      <c r="S150" s="1538"/>
      <c r="T150" s="1538"/>
      <c r="U150" s="1538"/>
      <c r="V150" s="1538"/>
      <c r="W150" s="1538"/>
      <c r="AA150" s="1559"/>
      <c r="AB150" s="1559"/>
      <c r="AC150" s="1559"/>
      <c r="AD150" s="1559"/>
      <c r="AE150" s="1559"/>
      <c r="AF150" s="1559"/>
      <c r="AG150" s="2920"/>
      <c r="AH150" s="2920"/>
      <c r="AI150" s="2920"/>
    </row>
    <row r="151" spans="1:35" s="1565" customFormat="1">
      <c r="A151" s="1594"/>
      <c r="B151" s="1595"/>
      <c r="C151" s="1674" t="s">
        <v>445</v>
      </c>
      <c r="D151" s="1538"/>
      <c r="E151" s="1538"/>
      <c r="F151" s="1538"/>
      <c r="G151" s="1538"/>
      <c r="H151" s="1538"/>
      <c r="I151" s="1538"/>
      <c r="J151" s="1538"/>
      <c r="K151" s="1538"/>
      <c r="L151" s="1538"/>
      <c r="M151" s="1538"/>
      <c r="N151" s="1538"/>
      <c r="O151" s="1538"/>
      <c r="P151" s="1538"/>
      <c r="Q151" s="1538"/>
      <c r="R151" s="1538"/>
      <c r="S151" s="1538"/>
      <c r="T151" s="1538"/>
      <c r="U151" s="1538"/>
      <c r="V151" s="1538"/>
      <c r="W151" s="1538"/>
      <c r="AA151" s="1559"/>
      <c r="AB151" s="1559"/>
      <c r="AC151" s="1559"/>
      <c r="AD151" s="1559"/>
      <c r="AE151" s="1559"/>
      <c r="AF151" s="1559"/>
      <c r="AG151" s="2920"/>
      <c r="AH151" s="2920"/>
      <c r="AI151" s="2920"/>
    </row>
    <row r="152" spans="1:35" s="1565" customFormat="1">
      <c r="A152" s="1594" t="s">
        <v>934</v>
      </c>
      <c r="B152" s="1595"/>
      <c r="C152" s="1605" t="s">
        <v>445</v>
      </c>
      <c r="D152" s="1538"/>
      <c r="E152" s="1538"/>
      <c r="F152" s="1538"/>
      <c r="G152" s="1538"/>
      <c r="H152" s="1538"/>
      <c r="I152" s="1538"/>
      <c r="J152" s="1677"/>
      <c r="K152" s="1538"/>
      <c r="L152" s="1538"/>
      <c r="M152" s="1538"/>
      <c r="N152" s="1538"/>
      <c r="O152" s="1538"/>
      <c r="P152" s="1538"/>
      <c r="Q152" s="1538"/>
      <c r="R152" s="1538"/>
      <c r="S152" s="1538"/>
      <c r="T152" s="1538"/>
      <c r="U152" s="1538"/>
      <c r="V152" s="1538"/>
      <c r="W152" s="1538"/>
      <c r="AA152" s="1559"/>
      <c r="AB152" s="1559"/>
      <c r="AC152" s="1559"/>
      <c r="AD152" s="1559"/>
      <c r="AE152" s="1559"/>
      <c r="AF152" s="1559"/>
      <c r="AG152" s="2920"/>
      <c r="AH152" s="2920"/>
      <c r="AI152" s="2920"/>
    </row>
    <row r="153" spans="1:35" s="1565" customFormat="1">
      <c r="A153" s="1594" t="s">
        <v>935</v>
      </c>
      <c r="B153" s="1595"/>
      <c r="C153" s="1605" t="s">
        <v>446</v>
      </c>
      <c r="D153" s="1538"/>
      <c r="E153" s="1538"/>
      <c r="F153" s="1538"/>
      <c r="G153" s="1538"/>
      <c r="H153" s="1538"/>
      <c r="I153" s="1538"/>
      <c r="J153" s="1677"/>
      <c r="K153" s="1677"/>
      <c r="L153" s="1538"/>
      <c r="M153" s="1538"/>
      <c r="N153" s="1538"/>
      <c r="O153" s="1538"/>
      <c r="P153" s="1538"/>
      <c r="Q153" s="1538"/>
      <c r="R153" s="1538"/>
      <c r="S153" s="1538"/>
      <c r="T153" s="1538"/>
      <c r="U153" s="1538"/>
      <c r="V153" s="1538"/>
      <c r="W153" s="1538"/>
      <c r="AA153" s="1559"/>
      <c r="AB153" s="1559"/>
      <c r="AC153" s="1559"/>
      <c r="AD153" s="1559"/>
      <c r="AE153" s="1559"/>
      <c r="AF153" s="1559"/>
      <c r="AG153" s="2920"/>
      <c r="AH153" s="2920"/>
      <c r="AI153" s="2920"/>
    </row>
    <row r="154" spans="1:35" s="1565" customFormat="1">
      <c r="A154" s="1594" t="s">
        <v>936</v>
      </c>
      <c r="B154" s="1595"/>
      <c r="C154" s="1605" t="s">
        <v>447</v>
      </c>
      <c r="D154" s="1538"/>
      <c r="E154" s="1538"/>
      <c r="F154" s="1538"/>
      <c r="G154" s="1538"/>
      <c r="H154" s="1538"/>
      <c r="I154" s="1538"/>
      <c r="J154" s="1677"/>
      <c r="K154" s="1538"/>
      <c r="L154" s="1538"/>
      <c r="M154" s="1538"/>
      <c r="N154" s="1538"/>
      <c r="O154" s="1538"/>
      <c r="P154" s="1538"/>
      <c r="Q154" s="1538"/>
      <c r="R154" s="1538"/>
      <c r="S154" s="1538"/>
      <c r="T154" s="1538"/>
      <c r="U154" s="1538"/>
      <c r="V154" s="1538"/>
      <c r="W154" s="1538"/>
      <c r="AA154" s="1559"/>
      <c r="AB154" s="1559"/>
      <c r="AC154" s="1559"/>
      <c r="AD154" s="1559"/>
      <c r="AE154" s="1559"/>
      <c r="AF154" s="1559"/>
      <c r="AG154" s="2920"/>
      <c r="AH154" s="2920"/>
      <c r="AI154" s="2920"/>
    </row>
    <row r="155" spans="1:35" s="1565" customFormat="1">
      <c r="A155" s="1594" t="s">
        <v>937</v>
      </c>
      <c r="B155" s="1595"/>
      <c r="C155" s="1605" t="s">
        <v>448</v>
      </c>
      <c r="D155" s="1538"/>
      <c r="E155" s="1538"/>
      <c r="F155" s="1538"/>
      <c r="G155" s="1538"/>
      <c r="H155" s="1538"/>
      <c r="I155" s="1538"/>
      <c r="J155" s="1677"/>
      <c r="K155" s="1677"/>
      <c r="L155" s="1538"/>
      <c r="M155" s="1538"/>
      <c r="N155" s="1538"/>
      <c r="O155" s="1538"/>
      <c r="P155" s="1538"/>
      <c r="Q155" s="1538"/>
      <c r="R155" s="1538"/>
      <c r="S155" s="1538"/>
      <c r="T155" s="1538"/>
      <c r="U155" s="1538"/>
      <c r="V155" s="1538"/>
      <c r="W155" s="1538"/>
      <c r="AA155" s="1559"/>
      <c r="AB155" s="1559"/>
      <c r="AC155" s="1559"/>
      <c r="AD155" s="1559"/>
      <c r="AE155" s="1559"/>
      <c r="AF155" s="1559"/>
      <c r="AG155" s="2920"/>
      <c r="AH155" s="2920"/>
      <c r="AI155" s="2920"/>
    </row>
    <row r="156" spans="1:35" s="1565" customFormat="1">
      <c r="A156" s="1594" t="s">
        <v>938</v>
      </c>
      <c r="B156" s="1595"/>
      <c r="C156" s="1605" t="s">
        <v>449</v>
      </c>
      <c r="D156" s="1538"/>
      <c r="E156" s="1538"/>
      <c r="F156" s="1538"/>
      <c r="G156" s="1538"/>
      <c r="H156" s="1538"/>
      <c r="I156" s="1538"/>
      <c r="J156" s="1618"/>
      <c r="K156" s="1677"/>
      <c r="L156" s="1538"/>
      <c r="M156" s="1538"/>
      <c r="N156" s="1538"/>
      <c r="O156" s="1538"/>
      <c r="P156" s="1538"/>
      <c r="Q156" s="1538"/>
      <c r="R156" s="1538"/>
      <c r="S156" s="1538"/>
      <c r="T156" s="1538"/>
      <c r="U156" s="1538"/>
      <c r="V156" s="1538"/>
      <c r="W156" s="1538"/>
      <c r="AA156" s="1559"/>
      <c r="AB156" s="1559"/>
      <c r="AC156" s="1559"/>
      <c r="AD156" s="1559"/>
      <c r="AE156" s="1559"/>
      <c r="AF156" s="1559"/>
      <c r="AG156" s="2920"/>
      <c r="AH156" s="2920"/>
      <c r="AI156" s="2920"/>
    </row>
    <row r="157" spans="1:35" s="1565" customFormat="1">
      <c r="A157" s="1681"/>
      <c r="B157" s="1682"/>
      <c r="C157" s="1683" t="s">
        <v>1302</v>
      </c>
      <c r="D157" s="1538"/>
      <c r="E157" s="1538"/>
      <c r="F157" s="1538"/>
      <c r="G157" s="1538"/>
      <c r="H157" s="1538"/>
      <c r="I157" s="1538"/>
      <c r="J157" s="1538"/>
      <c r="K157" s="1538"/>
      <c r="L157" s="1538"/>
      <c r="M157" s="1538"/>
      <c r="N157" s="1538"/>
      <c r="O157" s="1538"/>
      <c r="P157" s="1538"/>
      <c r="Q157" s="1538"/>
      <c r="R157" s="1538"/>
      <c r="S157" s="1538"/>
      <c r="T157" s="1538"/>
      <c r="U157" s="1538"/>
      <c r="V157" s="1538"/>
      <c r="W157" s="1538"/>
      <c r="AA157" s="1559"/>
      <c r="AB157" s="1559"/>
      <c r="AC157" s="1559"/>
      <c r="AD157" s="1559"/>
      <c r="AE157" s="1559"/>
      <c r="AF157" s="1559"/>
      <c r="AG157" s="2920"/>
      <c r="AH157" s="2920"/>
      <c r="AI157" s="2920"/>
    </row>
    <row r="158" spans="1:35" s="1565" customFormat="1">
      <c r="A158" s="1681"/>
      <c r="B158" s="1682"/>
      <c r="C158" s="1683" t="s">
        <v>1301</v>
      </c>
      <c r="D158" s="1538"/>
      <c r="E158" s="1538"/>
      <c r="F158" s="1538"/>
      <c r="G158" s="1538"/>
      <c r="H158" s="1538"/>
      <c r="I158" s="1538"/>
      <c r="J158" s="1538"/>
      <c r="K158" s="1538"/>
      <c r="L158" s="1538"/>
      <c r="M158" s="1538"/>
      <c r="N158" s="1538"/>
      <c r="O158" s="1538"/>
      <c r="P158" s="1538"/>
      <c r="Q158" s="1538"/>
      <c r="R158" s="1538"/>
      <c r="S158" s="1538"/>
      <c r="T158" s="1538"/>
      <c r="U158" s="1538"/>
      <c r="V158" s="1538"/>
      <c r="W158" s="1538"/>
      <c r="AA158" s="1559"/>
      <c r="AB158" s="1559"/>
      <c r="AC158" s="1559"/>
      <c r="AD158" s="1559"/>
      <c r="AE158" s="1559"/>
      <c r="AF158" s="1559"/>
      <c r="AG158" s="2920"/>
      <c r="AH158" s="2920"/>
      <c r="AI158" s="2920"/>
    </row>
    <row r="159" spans="1:35" s="1565" customFormat="1">
      <c r="A159" s="1681" t="s">
        <v>836</v>
      </c>
      <c r="B159" s="1684" t="s">
        <v>770</v>
      </c>
      <c r="C159" s="1685" t="s">
        <v>1318</v>
      </c>
      <c r="D159" s="1538"/>
      <c r="E159" s="1538"/>
      <c r="F159" s="1538"/>
      <c r="G159" s="1538"/>
      <c r="H159" s="1538"/>
      <c r="I159" s="1538"/>
      <c r="J159" s="1538"/>
      <c r="K159" s="1538"/>
      <c r="L159" s="1538"/>
      <c r="M159" s="1538"/>
      <c r="N159" s="1538"/>
      <c r="O159" s="1538"/>
      <c r="P159" s="1538"/>
      <c r="Q159" s="1538"/>
      <c r="R159" s="1538"/>
      <c r="S159" s="1538"/>
      <c r="T159" s="1538"/>
      <c r="U159" s="1538">
        <v>0</v>
      </c>
      <c r="V159" s="1538">
        <v>0</v>
      </c>
      <c r="W159" s="1538"/>
      <c r="AA159" s="1619"/>
      <c r="AB159" s="1619"/>
      <c r="AC159" s="1619"/>
      <c r="AD159" s="1619"/>
      <c r="AE159" s="1559"/>
      <c r="AF159" s="1559"/>
      <c r="AG159" s="2920"/>
      <c r="AH159" s="2920"/>
      <c r="AI159" s="2920"/>
    </row>
    <row r="160" spans="1:35" s="1565" customFormat="1">
      <c r="A160" s="1681" t="s">
        <v>837</v>
      </c>
      <c r="B160" s="1686" t="s">
        <v>771</v>
      </c>
      <c r="C160" s="1685" t="s">
        <v>1316</v>
      </c>
      <c r="D160" s="1538"/>
      <c r="E160" s="1538"/>
      <c r="F160" s="1538"/>
      <c r="G160" s="1538"/>
      <c r="H160" s="1538"/>
      <c r="I160" s="1617"/>
      <c r="J160" s="1617"/>
      <c r="K160" s="1617"/>
      <c r="L160" s="1538"/>
      <c r="M160" s="1538"/>
      <c r="N160" s="1538"/>
      <c r="O160" s="1538"/>
      <c r="P160" s="1538"/>
      <c r="Q160" s="1538"/>
      <c r="R160" s="1538"/>
      <c r="S160" s="1538"/>
      <c r="T160" s="1538"/>
      <c r="U160" s="1617">
        <v>0</v>
      </c>
      <c r="V160" s="1617">
        <v>0</v>
      </c>
      <c r="W160" s="1617"/>
      <c r="AA160" s="1559"/>
      <c r="AB160" s="1559"/>
      <c r="AC160" s="1559"/>
      <c r="AD160" s="1559"/>
      <c r="AE160" s="1559"/>
      <c r="AF160" s="1559"/>
      <c r="AG160" s="2920"/>
      <c r="AH160" s="2920"/>
      <c r="AI160" s="4249"/>
    </row>
    <row r="161" spans="1:35" s="1565" customFormat="1">
      <c r="A161" s="1681"/>
      <c r="B161" s="1682"/>
      <c r="C161" s="1683" t="s">
        <v>1323</v>
      </c>
      <c r="D161" s="1538"/>
      <c r="E161" s="1538"/>
      <c r="F161" s="1538"/>
      <c r="G161" s="1538"/>
      <c r="H161" s="1538"/>
      <c r="I161" s="1538"/>
      <c r="J161" s="1538"/>
      <c r="K161" s="1538"/>
      <c r="L161" s="1538"/>
      <c r="M161" s="1538"/>
      <c r="N161" s="1538"/>
      <c r="O161" s="1538"/>
      <c r="P161" s="1538"/>
      <c r="Q161" s="1538"/>
      <c r="R161" s="1538"/>
      <c r="S161" s="1538"/>
      <c r="T161" s="1538"/>
      <c r="U161" s="1538"/>
      <c r="V161" s="1538"/>
      <c r="W161" s="1538"/>
      <c r="AA161" s="1619"/>
      <c r="AB161" s="1619"/>
      <c r="AC161" s="1604"/>
      <c r="AD161" s="1604"/>
      <c r="AE161" s="1559"/>
      <c r="AF161" s="1559"/>
      <c r="AG161" s="2920"/>
      <c r="AH161" s="2920"/>
      <c r="AI161" s="2920"/>
    </row>
    <row r="162" spans="1:35" s="1565" customFormat="1">
      <c r="A162" s="1681" t="s">
        <v>838</v>
      </c>
      <c r="B162" s="1686" t="s">
        <v>772</v>
      </c>
      <c r="C162" s="1685" t="s">
        <v>371</v>
      </c>
      <c r="D162" s="1585"/>
      <c r="E162" s="1585"/>
      <c r="F162" s="1585"/>
      <c r="G162" s="1585"/>
      <c r="H162" s="1585"/>
      <c r="I162" s="1617"/>
      <c r="J162" s="1585"/>
      <c r="K162" s="1585"/>
      <c r="L162" s="1585"/>
      <c r="M162" s="1585"/>
      <c r="N162" s="1585"/>
      <c r="O162" s="1585"/>
      <c r="P162" s="1585"/>
      <c r="Q162" s="1585"/>
      <c r="R162" s="1585"/>
      <c r="S162" s="1585"/>
      <c r="T162" s="1585"/>
      <c r="U162" s="1585">
        <v>0</v>
      </c>
      <c r="V162" s="1585">
        <v>0</v>
      </c>
      <c r="W162" s="1585"/>
      <c r="AA162" s="1559"/>
      <c r="AB162" s="1559"/>
      <c r="AC162" s="1604"/>
      <c r="AD162" s="1604"/>
      <c r="AE162" s="1604"/>
      <c r="AF162" s="1604"/>
      <c r="AG162" s="2932"/>
      <c r="AH162" s="2932"/>
      <c r="AI162" s="2932"/>
    </row>
    <row r="163" spans="1:35" s="1565" customFormat="1">
      <c r="A163" s="1681" t="s">
        <v>839</v>
      </c>
      <c r="B163" s="1687" t="s">
        <v>773</v>
      </c>
      <c r="C163" s="1685" t="s">
        <v>1314</v>
      </c>
      <c r="D163" s="1585"/>
      <c r="E163" s="1585"/>
      <c r="F163" s="1585"/>
      <c r="G163" s="1585"/>
      <c r="H163" s="1585"/>
      <c r="I163" s="1538"/>
      <c r="J163" s="1585"/>
      <c r="K163" s="1585"/>
      <c r="L163" s="1585"/>
      <c r="M163" s="1585"/>
      <c r="N163" s="1585"/>
      <c r="O163" s="1585"/>
      <c r="P163" s="1585"/>
      <c r="Q163" s="1585"/>
      <c r="R163" s="1585"/>
      <c r="S163" s="1585"/>
      <c r="T163" s="1585"/>
      <c r="U163" s="1585">
        <v>0</v>
      </c>
      <c r="V163" s="1585">
        <v>0</v>
      </c>
      <c r="W163" s="1585"/>
      <c r="AA163" s="1619"/>
      <c r="AB163" s="1619"/>
      <c r="AC163" s="1604"/>
      <c r="AD163" s="1604"/>
      <c r="AE163" s="1604"/>
      <c r="AF163" s="1604"/>
      <c r="AG163" s="2932"/>
      <c r="AH163" s="2932"/>
      <c r="AI163" s="2932"/>
    </row>
    <row r="164" spans="1:35" s="1565" customFormat="1">
      <c r="A164" s="1681" t="s">
        <v>840</v>
      </c>
      <c r="B164" s="1686" t="s">
        <v>774</v>
      </c>
      <c r="C164" s="1685" t="s">
        <v>372</v>
      </c>
      <c r="D164" s="1585"/>
      <c r="E164" s="1585"/>
      <c r="F164" s="1585"/>
      <c r="G164" s="1585"/>
      <c r="H164" s="1585"/>
      <c r="I164" s="1617"/>
      <c r="J164" s="1585"/>
      <c r="K164" s="1585"/>
      <c r="L164" s="1585"/>
      <c r="M164" s="1585"/>
      <c r="N164" s="1585"/>
      <c r="O164" s="1585"/>
      <c r="P164" s="1585"/>
      <c r="Q164" s="1585"/>
      <c r="R164" s="1585"/>
      <c r="S164" s="1585"/>
      <c r="T164" s="1585"/>
      <c r="U164" s="1585">
        <v>0</v>
      </c>
      <c r="V164" s="1585">
        <v>0</v>
      </c>
      <c r="W164" s="1585"/>
      <c r="AA164" s="1559"/>
      <c r="AB164" s="1559"/>
      <c r="AC164" s="1604"/>
      <c r="AD164" s="1604"/>
      <c r="AE164" s="1604"/>
      <c r="AF164" s="1604"/>
      <c r="AG164" s="2932"/>
      <c r="AH164" s="2932"/>
      <c r="AI164" s="2932"/>
    </row>
    <row r="165" spans="1:35" s="1565" customFormat="1">
      <c r="A165" s="1681" t="s">
        <v>841</v>
      </c>
      <c r="B165" s="1687" t="s">
        <v>775</v>
      </c>
      <c r="C165" s="1685" t="s">
        <v>1315</v>
      </c>
      <c r="D165" s="1585"/>
      <c r="E165" s="1585"/>
      <c r="F165" s="1585"/>
      <c r="G165" s="1585"/>
      <c r="H165" s="1585"/>
      <c r="I165" s="1538"/>
      <c r="J165" s="1585"/>
      <c r="K165" s="1585"/>
      <c r="L165" s="1585"/>
      <c r="M165" s="1585"/>
      <c r="N165" s="1585"/>
      <c r="O165" s="1585"/>
      <c r="P165" s="1585"/>
      <c r="Q165" s="1585"/>
      <c r="R165" s="1585"/>
      <c r="S165" s="1585"/>
      <c r="T165" s="1585"/>
      <c r="U165" s="1585">
        <v>0</v>
      </c>
      <c r="V165" s="1585">
        <v>0</v>
      </c>
      <c r="W165" s="1585"/>
      <c r="AA165" s="1559"/>
      <c r="AB165" s="1559"/>
      <c r="AC165" s="1559"/>
      <c r="AD165" s="1559"/>
      <c r="AE165" s="1604"/>
      <c r="AF165" s="1604"/>
      <c r="AG165" s="2932"/>
      <c r="AH165" s="2932"/>
      <c r="AI165" s="2932"/>
    </row>
    <row r="166" spans="1:35" s="1565" customFormat="1">
      <c r="A166" s="1681" t="s">
        <v>842</v>
      </c>
      <c r="B166" s="1687"/>
      <c r="C166" s="1685" t="s">
        <v>511</v>
      </c>
      <c r="D166" s="1538"/>
      <c r="E166" s="1538"/>
      <c r="F166" s="1538"/>
      <c r="G166" s="1538"/>
      <c r="H166" s="1538"/>
      <c r="I166" s="1538"/>
      <c r="J166" s="1538"/>
      <c r="K166" s="1538"/>
      <c r="L166" s="1538"/>
      <c r="M166" s="1538"/>
      <c r="N166" s="1538"/>
      <c r="O166" s="1538"/>
      <c r="P166" s="1538"/>
      <c r="Q166" s="1538"/>
      <c r="R166" s="1538"/>
      <c r="S166" s="1538"/>
      <c r="T166" s="1538"/>
      <c r="U166" s="1538"/>
      <c r="V166" s="1538"/>
      <c r="W166" s="1538"/>
      <c r="AA166" s="1559"/>
      <c r="AB166" s="1559"/>
      <c r="AC166" s="1559"/>
      <c r="AD166" s="1559"/>
      <c r="AE166" s="1559"/>
      <c r="AF166" s="1559"/>
      <c r="AG166" s="2920"/>
      <c r="AH166" s="2920"/>
      <c r="AI166" s="2920"/>
    </row>
    <row r="167" spans="1:35" s="1565" customFormat="1">
      <c r="A167" s="1681" t="s">
        <v>843</v>
      </c>
      <c r="B167" s="1687"/>
      <c r="C167" s="1685" t="s">
        <v>512</v>
      </c>
      <c r="D167" s="1538"/>
      <c r="E167" s="1538"/>
      <c r="F167" s="1538"/>
      <c r="G167" s="1538"/>
      <c r="H167" s="1538"/>
      <c r="I167" s="1538"/>
      <c r="J167" s="1538"/>
      <c r="K167" s="1538"/>
      <c r="L167" s="1538"/>
      <c r="M167" s="1538"/>
      <c r="N167" s="1538"/>
      <c r="O167" s="1538"/>
      <c r="P167" s="1538"/>
      <c r="Q167" s="1538"/>
      <c r="R167" s="1538"/>
      <c r="S167" s="1538"/>
      <c r="T167" s="1538"/>
      <c r="U167" s="1538"/>
      <c r="V167" s="1538"/>
      <c r="W167" s="1538"/>
      <c r="AA167" s="1559"/>
      <c r="AB167" s="1559"/>
      <c r="AC167" s="1559"/>
      <c r="AD167" s="1559"/>
      <c r="AE167" s="1559"/>
      <c r="AF167" s="1559"/>
      <c r="AG167" s="2920"/>
      <c r="AH167" s="2920"/>
      <c r="AI167" s="2920"/>
    </row>
    <row r="168" spans="1:35" s="1565" customFormat="1">
      <c r="A168" s="1681"/>
      <c r="B168" s="1682"/>
      <c r="C168" s="1683" t="s">
        <v>1275</v>
      </c>
      <c r="D168" s="1538"/>
      <c r="E168" s="1538"/>
      <c r="F168" s="1538"/>
      <c r="G168" s="1538"/>
      <c r="H168" s="1538"/>
      <c r="I168" s="1538"/>
      <c r="J168" s="1538"/>
      <c r="K168" s="1538"/>
      <c r="L168" s="1538"/>
      <c r="M168" s="1538"/>
      <c r="N168" s="1538"/>
      <c r="O168" s="1538"/>
      <c r="P168" s="1538"/>
      <c r="Q168" s="1538"/>
      <c r="R168" s="1538"/>
      <c r="S168" s="1538"/>
      <c r="T168" s="1538"/>
      <c r="U168" s="1538"/>
      <c r="V168" s="1538"/>
      <c r="W168" s="1538"/>
      <c r="AA168" s="1619"/>
      <c r="AB168" s="1619"/>
      <c r="AC168" s="1619"/>
      <c r="AD168" s="1619"/>
      <c r="AE168" s="1559"/>
      <c r="AF168" s="1559"/>
      <c r="AG168" s="2920"/>
      <c r="AH168" s="2920"/>
      <c r="AI168" s="2920"/>
    </row>
    <row r="169" spans="1:35" s="1565" customFormat="1">
      <c r="A169" s="1681" t="s">
        <v>844</v>
      </c>
      <c r="B169" s="1688" t="s">
        <v>776</v>
      </c>
      <c r="C169" s="1685" t="s">
        <v>1321</v>
      </c>
      <c r="D169" s="1538"/>
      <c r="E169" s="1538"/>
      <c r="F169" s="1538"/>
      <c r="G169" s="1538"/>
      <c r="H169" s="1538"/>
      <c r="I169" s="1617"/>
      <c r="J169" s="1617"/>
      <c r="K169" s="1617"/>
      <c r="L169" s="1538"/>
      <c r="M169" s="1538"/>
      <c r="N169" s="1538"/>
      <c r="O169" s="1538"/>
      <c r="P169" s="1538"/>
      <c r="Q169" s="1538"/>
      <c r="R169" s="1538"/>
      <c r="S169" s="1538"/>
      <c r="T169" s="1538"/>
      <c r="U169" s="1617">
        <v>0</v>
      </c>
      <c r="V169" s="1617">
        <v>0</v>
      </c>
      <c r="W169" s="1617"/>
      <c r="AA169" s="1559"/>
      <c r="AB169" s="1559"/>
      <c r="AC169" s="1559"/>
      <c r="AD169" s="1559"/>
      <c r="AE169" s="1559"/>
      <c r="AF169" s="1559"/>
      <c r="AG169" s="2920"/>
      <c r="AH169" s="2920"/>
      <c r="AI169" s="4249"/>
    </row>
    <row r="170" spans="1:35" s="1565" customFormat="1">
      <c r="A170" s="1535"/>
      <c r="B170" s="1536"/>
      <c r="C170" s="1560" t="s">
        <v>1350</v>
      </c>
      <c r="D170" s="1538"/>
      <c r="E170" s="1538"/>
      <c r="F170" s="1538"/>
      <c r="G170" s="1538"/>
      <c r="H170" s="1538"/>
      <c r="I170" s="1538"/>
      <c r="J170" s="1538"/>
      <c r="K170" s="1538"/>
      <c r="L170" s="1538"/>
      <c r="M170" s="1538"/>
      <c r="N170" s="1538"/>
      <c r="O170" s="1538"/>
      <c r="P170" s="1538"/>
      <c r="Q170" s="1538"/>
      <c r="R170" s="1538"/>
      <c r="S170" s="1538"/>
      <c r="T170" s="1538"/>
      <c r="U170" s="1538"/>
      <c r="V170" s="1538"/>
      <c r="W170" s="1538"/>
      <c r="AA170" s="1559"/>
      <c r="AB170" s="1559"/>
      <c r="AC170" s="1559"/>
      <c r="AD170" s="1559"/>
      <c r="AE170" s="1559"/>
      <c r="AF170" s="1559"/>
      <c r="AG170" s="2920"/>
      <c r="AH170" s="2920"/>
      <c r="AI170" s="2920"/>
    </row>
    <row r="171" spans="1:35" s="1565" customFormat="1">
      <c r="A171" s="1689"/>
      <c r="B171" s="1690"/>
      <c r="C171" s="1691" t="s">
        <v>1361</v>
      </c>
      <c r="D171" s="1538"/>
      <c r="E171" s="1538"/>
      <c r="F171" s="1538"/>
      <c r="G171" s="1538"/>
      <c r="H171" s="1538"/>
      <c r="I171" s="1538"/>
      <c r="J171" s="1538"/>
      <c r="K171" s="1538"/>
      <c r="L171" s="1538"/>
      <c r="M171" s="1538"/>
      <c r="N171" s="1538"/>
      <c r="O171" s="1538"/>
      <c r="P171" s="1538"/>
      <c r="Q171" s="1538"/>
      <c r="R171" s="1538"/>
      <c r="S171" s="1538"/>
      <c r="T171" s="1538"/>
      <c r="U171" s="1538"/>
      <c r="V171" s="1538"/>
      <c r="W171" s="1538"/>
      <c r="AA171" s="1559"/>
      <c r="AB171" s="1559"/>
      <c r="AC171" s="1559"/>
      <c r="AD171" s="1559"/>
      <c r="AE171" s="1559"/>
      <c r="AF171" s="1559"/>
      <c r="AG171" s="2920"/>
      <c r="AH171" s="2920"/>
      <c r="AI171" s="2920"/>
    </row>
    <row r="172" spans="1:35" s="1565" customFormat="1">
      <c r="A172" s="1689"/>
      <c r="B172" s="1690"/>
      <c r="C172" s="1691" t="s">
        <v>1340</v>
      </c>
      <c r="D172" s="1538"/>
      <c r="E172" s="1538"/>
      <c r="F172" s="1538"/>
      <c r="G172" s="1538"/>
      <c r="H172" s="1538"/>
      <c r="I172" s="1538"/>
      <c r="J172" s="1538"/>
      <c r="K172" s="1538"/>
      <c r="L172" s="1538"/>
      <c r="M172" s="1538"/>
      <c r="N172" s="1538"/>
      <c r="O172" s="1538"/>
      <c r="P172" s="1538"/>
      <c r="Q172" s="1538"/>
      <c r="R172" s="1538"/>
      <c r="S172" s="1538"/>
      <c r="T172" s="1538"/>
      <c r="U172" s="1538"/>
      <c r="V172" s="1538"/>
      <c r="W172" s="1538"/>
      <c r="AA172" s="1559"/>
      <c r="AB172" s="1559"/>
      <c r="AC172" s="1559"/>
      <c r="AD172" s="1559"/>
      <c r="AE172" s="1559"/>
      <c r="AF172" s="1559"/>
      <c r="AG172" s="2920"/>
      <c r="AH172" s="2920"/>
      <c r="AI172" s="2920"/>
    </row>
    <row r="173" spans="1:35" s="1565" customFormat="1">
      <c r="A173" s="1689"/>
      <c r="B173" s="1690"/>
      <c r="C173" s="1692" t="s">
        <v>1359</v>
      </c>
      <c r="D173" s="1538"/>
      <c r="E173" s="1538"/>
      <c r="F173" s="1538"/>
      <c r="G173" s="1538"/>
      <c r="H173" s="1538"/>
      <c r="I173" s="1538"/>
      <c r="J173" s="1538"/>
      <c r="K173" s="1538"/>
      <c r="L173" s="1538"/>
      <c r="M173" s="1538"/>
      <c r="N173" s="1538"/>
      <c r="O173" s="1538"/>
      <c r="P173" s="1538"/>
      <c r="Q173" s="1538"/>
      <c r="R173" s="1538"/>
      <c r="S173" s="1538"/>
      <c r="T173" s="1538"/>
      <c r="U173" s="1538"/>
      <c r="V173" s="1538"/>
      <c r="W173" s="1538"/>
      <c r="AA173" s="1559"/>
      <c r="AB173" s="1559"/>
      <c r="AC173" s="1559"/>
      <c r="AD173" s="1559"/>
      <c r="AE173" s="1559"/>
      <c r="AF173" s="1559"/>
      <c r="AG173" s="2920"/>
      <c r="AH173" s="2920"/>
      <c r="AI173" s="2920"/>
    </row>
    <row r="174" spans="1:35" s="1565" customFormat="1">
      <c r="A174" s="1689" t="s">
        <v>845</v>
      </c>
      <c r="B174" s="1693" t="s">
        <v>777</v>
      </c>
      <c r="C174" s="1694" t="s">
        <v>1351</v>
      </c>
      <c r="D174" s="1538"/>
      <c r="E174" s="1538"/>
      <c r="F174" s="1538"/>
      <c r="G174" s="1538"/>
      <c r="H174" s="1538"/>
      <c r="I174" s="1538"/>
      <c r="J174" s="1538"/>
      <c r="K174" s="1538"/>
      <c r="L174" s="1538"/>
      <c r="M174" s="1538"/>
      <c r="N174" s="1538"/>
      <c r="O174" s="1538"/>
      <c r="P174" s="1538"/>
      <c r="Q174" s="1538"/>
      <c r="R174" s="1538"/>
      <c r="S174" s="1538"/>
      <c r="T174" s="1538"/>
      <c r="U174" s="1538"/>
      <c r="V174" s="1538"/>
      <c r="W174" s="1538"/>
      <c r="AA174" s="1559"/>
      <c r="AB174" s="1559"/>
      <c r="AC174" s="1559"/>
      <c r="AD174" s="1559"/>
      <c r="AE174" s="1559"/>
      <c r="AF174" s="1559"/>
      <c r="AG174" s="2920"/>
      <c r="AH174" s="2920"/>
      <c r="AI174" s="2920"/>
    </row>
    <row r="175" spans="1:35" s="1565" customFormat="1">
      <c r="A175" s="1689" t="s">
        <v>846</v>
      </c>
      <c r="B175" s="1693" t="s">
        <v>778</v>
      </c>
      <c r="C175" s="1694" t="s">
        <v>1353</v>
      </c>
      <c r="D175" s="1538"/>
      <c r="E175" s="1538"/>
      <c r="F175" s="1538"/>
      <c r="G175" s="1538"/>
      <c r="H175" s="1538"/>
      <c r="I175" s="1538"/>
      <c r="J175" s="1538"/>
      <c r="K175" s="1538"/>
      <c r="L175" s="1538"/>
      <c r="M175" s="1538"/>
      <c r="N175" s="1538"/>
      <c r="O175" s="1538"/>
      <c r="P175" s="1538"/>
      <c r="Q175" s="1538"/>
      <c r="R175" s="1538"/>
      <c r="S175" s="1538"/>
      <c r="T175" s="1538"/>
      <c r="U175" s="1538">
        <v>0</v>
      </c>
      <c r="V175" s="1538">
        <v>0</v>
      </c>
      <c r="W175" s="1538"/>
      <c r="AA175" s="1619"/>
      <c r="AB175" s="1619"/>
      <c r="AC175" s="1631"/>
      <c r="AD175" s="1631"/>
      <c r="AE175" s="1559"/>
      <c r="AF175" s="1559"/>
      <c r="AG175" s="2920"/>
      <c r="AH175" s="2920"/>
      <c r="AI175" s="2920"/>
    </row>
    <row r="176" spans="1:35" s="1566" customFormat="1">
      <c r="A176" s="1695" t="s">
        <v>847</v>
      </c>
      <c r="B176" s="1696" t="s">
        <v>779</v>
      </c>
      <c r="C176" s="1692" t="s">
        <v>1356</v>
      </c>
      <c r="D176" s="1630"/>
      <c r="E176" s="1630"/>
      <c r="F176" s="1630"/>
      <c r="G176" s="1630"/>
      <c r="H176" s="1630"/>
      <c r="I176" s="1617"/>
      <c r="J176" s="1630"/>
      <c r="K176" s="1630"/>
      <c r="L176" s="1630"/>
      <c r="M176" s="1630"/>
      <c r="N176" s="1630"/>
      <c r="O176" s="1630"/>
      <c r="P176" s="1630"/>
      <c r="Q176" s="1630"/>
      <c r="R176" s="1630"/>
      <c r="S176" s="1630"/>
      <c r="T176" s="1630"/>
      <c r="U176" s="1630">
        <v>0</v>
      </c>
      <c r="V176" s="1630">
        <v>0</v>
      </c>
      <c r="W176" s="1630"/>
      <c r="AA176" s="1559"/>
      <c r="AB176" s="1559"/>
      <c r="AC176" s="1559"/>
      <c r="AD176" s="1559"/>
      <c r="AE176" s="1631"/>
      <c r="AF176" s="1631"/>
      <c r="AG176" s="2936"/>
      <c r="AH176" s="2936"/>
      <c r="AI176" s="2936"/>
    </row>
    <row r="177" spans="1:35" s="1566" customFormat="1">
      <c r="A177" s="1695" t="s">
        <v>848</v>
      </c>
      <c r="B177" s="1697" t="s">
        <v>780</v>
      </c>
      <c r="C177" s="1692" t="s">
        <v>1352</v>
      </c>
      <c r="D177" s="1538"/>
      <c r="E177" s="1538"/>
      <c r="F177" s="1538"/>
      <c r="G177" s="1538"/>
      <c r="H177" s="1538"/>
      <c r="I177" s="1538"/>
      <c r="J177" s="1538"/>
      <c r="K177" s="1538"/>
      <c r="L177" s="1538"/>
      <c r="M177" s="1538"/>
      <c r="N177" s="1538"/>
      <c r="O177" s="1538"/>
      <c r="P177" s="1538"/>
      <c r="Q177" s="1538"/>
      <c r="R177" s="1538"/>
      <c r="S177" s="1538"/>
      <c r="T177" s="1538"/>
      <c r="U177" s="1538"/>
      <c r="V177" s="1538"/>
      <c r="W177" s="1538"/>
      <c r="AA177" s="1559"/>
      <c r="AB177" s="1559"/>
      <c r="AC177" s="1559"/>
      <c r="AD177" s="1559"/>
      <c r="AE177" s="1559"/>
      <c r="AF177" s="1559"/>
      <c r="AG177" s="2920"/>
      <c r="AH177" s="2920"/>
      <c r="AI177" s="2920"/>
    </row>
    <row r="178" spans="1:35" s="1566" customFormat="1">
      <c r="A178" s="1695" t="s">
        <v>849</v>
      </c>
      <c r="B178" s="1696" t="s">
        <v>781</v>
      </c>
      <c r="C178" s="1692" t="s">
        <v>1357</v>
      </c>
      <c r="D178" s="1585"/>
      <c r="E178" s="1585"/>
      <c r="F178" s="1585"/>
      <c r="G178" s="1585"/>
      <c r="H178" s="1585"/>
      <c r="I178" s="1538"/>
      <c r="J178" s="1538"/>
      <c r="K178" s="1538"/>
      <c r="L178" s="1538"/>
      <c r="M178" s="1538"/>
      <c r="N178" s="1538"/>
      <c r="O178" s="1538"/>
      <c r="P178" s="1538"/>
      <c r="Q178" s="1538"/>
      <c r="R178" s="1538"/>
      <c r="S178" s="1538"/>
      <c r="T178" s="1538"/>
      <c r="U178" s="1538">
        <v>0</v>
      </c>
      <c r="V178" s="1538">
        <v>0</v>
      </c>
      <c r="W178" s="1538"/>
      <c r="AA178" s="1559"/>
      <c r="AB178" s="1559"/>
      <c r="AC178" s="1559"/>
      <c r="AD178" s="1559"/>
      <c r="AE178" s="1559"/>
      <c r="AF178" s="1559"/>
      <c r="AG178" s="2920"/>
      <c r="AH178" s="2920"/>
      <c r="AI178" s="2920"/>
    </row>
    <row r="179" spans="1:35" s="1566" customFormat="1">
      <c r="A179" s="1695"/>
      <c r="B179" s="1698"/>
      <c r="C179" s="1699" t="s">
        <v>418</v>
      </c>
      <c r="D179" s="1538"/>
      <c r="E179" s="1538"/>
      <c r="F179" s="1538"/>
      <c r="G179" s="1538"/>
      <c r="H179" s="1538"/>
      <c r="I179" s="1538"/>
      <c r="J179" s="1538"/>
      <c r="K179" s="1538"/>
      <c r="L179" s="1538"/>
      <c r="M179" s="1538"/>
      <c r="N179" s="1538"/>
      <c r="O179" s="1538"/>
      <c r="P179" s="1538"/>
      <c r="Q179" s="1538"/>
      <c r="R179" s="1538"/>
      <c r="S179" s="1538"/>
      <c r="T179" s="1538"/>
      <c r="U179" s="1538"/>
      <c r="V179" s="1538"/>
      <c r="W179" s="1538"/>
      <c r="AA179" s="1559"/>
      <c r="AB179" s="1559"/>
      <c r="AC179" s="1559"/>
      <c r="AD179" s="1559"/>
      <c r="AE179" s="1559"/>
      <c r="AF179" s="1559"/>
      <c r="AG179" s="2920"/>
      <c r="AH179" s="2920"/>
      <c r="AI179" s="2920"/>
    </row>
    <row r="180" spans="1:35" s="1566" customFormat="1">
      <c r="A180" s="1695"/>
      <c r="B180" s="1698"/>
      <c r="C180" s="1692" t="s">
        <v>1363</v>
      </c>
      <c r="D180" s="1538"/>
      <c r="E180" s="1538"/>
      <c r="F180" s="1538"/>
      <c r="G180" s="1538"/>
      <c r="H180" s="1538"/>
      <c r="I180" s="1538"/>
      <c r="J180" s="1538"/>
      <c r="K180" s="1538"/>
      <c r="L180" s="1538"/>
      <c r="M180" s="1538"/>
      <c r="N180" s="1538"/>
      <c r="O180" s="1538"/>
      <c r="P180" s="1538"/>
      <c r="Q180" s="1538"/>
      <c r="R180" s="1538"/>
      <c r="S180" s="1538"/>
      <c r="T180" s="1538"/>
      <c r="U180" s="1538"/>
      <c r="V180" s="1538"/>
      <c r="W180" s="1538"/>
      <c r="AA180" s="1559"/>
      <c r="AB180" s="1559"/>
      <c r="AC180" s="1559"/>
      <c r="AD180" s="1559"/>
      <c r="AE180" s="1559"/>
      <c r="AF180" s="1559"/>
      <c r="AG180" s="2920"/>
      <c r="AH180" s="2920"/>
      <c r="AI180" s="2920"/>
    </row>
    <row r="181" spans="1:35" s="1566" customFormat="1">
      <c r="A181" s="1695" t="s">
        <v>850</v>
      </c>
      <c r="B181" s="1697" t="s">
        <v>782</v>
      </c>
      <c r="C181" s="1692" t="s">
        <v>1351</v>
      </c>
      <c r="D181" s="1538"/>
      <c r="E181" s="1538"/>
      <c r="F181" s="1538"/>
      <c r="G181" s="1538"/>
      <c r="H181" s="1538"/>
      <c r="I181" s="1538"/>
      <c r="J181" s="1538"/>
      <c r="K181" s="1538"/>
      <c r="L181" s="1538"/>
      <c r="M181" s="1538"/>
      <c r="N181" s="1538"/>
      <c r="O181" s="1538"/>
      <c r="P181" s="1538"/>
      <c r="Q181" s="1538"/>
      <c r="R181" s="1538"/>
      <c r="S181" s="1538"/>
      <c r="T181" s="1538"/>
      <c r="U181" s="1538"/>
      <c r="V181" s="1538"/>
      <c r="W181" s="1538"/>
      <c r="AA181" s="1559"/>
      <c r="AB181" s="1559"/>
      <c r="AC181" s="1559"/>
      <c r="AD181" s="1559"/>
      <c r="AE181" s="1559"/>
      <c r="AF181" s="1559"/>
      <c r="AG181" s="2920"/>
      <c r="AH181" s="2920"/>
      <c r="AI181" s="2920"/>
    </row>
    <row r="182" spans="1:35" s="1566" customFormat="1">
      <c r="A182" s="1695" t="s">
        <v>851</v>
      </c>
      <c r="B182" s="1698" t="s">
        <v>783</v>
      </c>
      <c r="C182" s="1692" t="s">
        <v>1353</v>
      </c>
      <c r="D182" s="1538"/>
      <c r="E182" s="1538"/>
      <c r="F182" s="1538"/>
      <c r="G182" s="1538"/>
      <c r="H182" s="1538"/>
      <c r="I182" s="1538"/>
      <c r="J182" s="1538"/>
      <c r="K182" s="1538"/>
      <c r="L182" s="1538"/>
      <c r="M182" s="1538"/>
      <c r="N182" s="1538"/>
      <c r="O182" s="1538"/>
      <c r="P182" s="1538"/>
      <c r="Q182" s="1538"/>
      <c r="R182" s="1538"/>
      <c r="S182" s="1538"/>
      <c r="T182" s="1538"/>
      <c r="U182" s="1538">
        <v>0</v>
      </c>
      <c r="V182" s="1538">
        <v>0</v>
      </c>
      <c r="W182" s="1538"/>
      <c r="AA182" s="1619"/>
      <c r="AB182" s="1619"/>
      <c r="AC182" s="1631"/>
      <c r="AD182" s="1631"/>
      <c r="AE182" s="1559"/>
      <c r="AF182" s="1559"/>
      <c r="AG182" s="2920"/>
      <c r="AH182" s="2920"/>
      <c r="AI182" s="2920"/>
    </row>
    <row r="183" spans="1:35" s="1566" customFormat="1">
      <c r="A183" s="1695" t="s">
        <v>852</v>
      </c>
      <c r="B183" s="1697" t="s">
        <v>784</v>
      </c>
      <c r="C183" s="1692" t="s">
        <v>1356</v>
      </c>
      <c r="D183" s="1630"/>
      <c r="E183" s="1630"/>
      <c r="F183" s="1630"/>
      <c r="G183" s="1630"/>
      <c r="H183" s="1630"/>
      <c r="I183" s="1617"/>
      <c r="J183" s="1630"/>
      <c r="K183" s="1630"/>
      <c r="L183" s="1630"/>
      <c r="M183" s="1630"/>
      <c r="N183" s="1630"/>
      <c r="O183" s="1630"/>
      <c r="P183" s="1630"/>
      <c r="Q183" s="1630"/>
      <c r="R183" s="1630"/>
      <c r="S183" s="1630"/>
      <c r="T183" s="1630"/>
      <c r="U183" s="1630">
        <v>0</v>
      </c>
      <c r="V183" s="1630">
        <v>0</v>
      </c>
      <c r="W183" s="1630"/>
      <c r="AA183" s="1559"/>
      <c r="AB183" s="1559"/>
      <c r="AC183" s="1559"/>
      <c r="AD183" s="1559"/>
      <c r="AE183" s="1631"/>
      <c r="AF183" s="1631"/>
      <c r="AG183" s="2936"/>
      <c r="AH183" s="2936"/>
      <c r="AI183" s="2936"/>
    </row>
    <row r="184" spans="1:35" s="1566" customFormat="1">
      <c r="A184" s="1695" t="s">
        <v>853</v>
      </c>
      <c r="B184" s="1697" t="s">
        <v>785</v>
      </c>
      <c r="C184" s="1692" t="s">
        <v>1352</v>
      </c>
      <c r="D184" s="1538"/>
      <c r="E184" s="1538"/>
      <c r="F184" s="1538"/>
      <c r="G184" s="1538"/>
      <c r="H184" s="1538"/>
      <c r="I184" s="1538"/>
      <c r="J184" s="1538"/>
      <c r="K184" s="1538"/>
      <c r="L184" s="1538"/>
      <c r="M184" s="1538"/>
      <c r="N184" s="1538"/>
      <c r="O184" s="1538"/>
      <c r="P184" s="1538"/>
      <c r="Q184" s="1538"/>
      <c r="R184" s="1538"/>
      <c r="S184" s="1538"/>
      <c r="T184" s="1538"/>
      <c r="U184" s="1538"/>
      <c r="V184" s="1538"/>
      <c r="W184" s="1538"/>
      <c r="AA184" s="1559"/>
      <c r="AB184" s="1559"/>
      <c r="AC184" s="1559"/>
      <c r="AD184" s="1559"/>
      <c r="AE184" s="1559"/>
      <c r="AF184" s="1559"/>
      <c r="AG184" s="2920"/>
      <c r="AH184" s="2920"/>
      <c r="AI184" s="2920"/>
    </row>
    <row r="185" spans="1:35" s="1566" customFormat="1">
      <c r="A185" s="1695" t="s">
        <v>854</v>
      </c>
      <c r="B185" s="1696" t="s">
        <v>786</v>
      </c>
      <c r="C185" s="1692" t="s">
        <v>1357</v>
      </c>
      <c r="D185" s="1585"/>
      <c r="E185" s="1585"/>
      <c r="F185" s="1585"/>
      <c r="G185" s="1585"/>
      <c r="H185" s="1585"/>
      <c r="I185" s="1538"/>
      <c r="J185" s="1538"/>
      <c r="K185" s="1538"/>
      <c r="L185" s="1538"/>
      <c r="M185" s="1538"/>
      <c r="N185" s="1538"/>
      <c r="O185" s="1538"/>
      <c r="P185" s="1538"/>
      <c r="Q185" s="1538"/>
      <c r="R185" s="1538"/>
      <c r="S185" s="1538"/>
      <c r="T185" s="1538"/>
      <c r="U185" s="1538">
        <v>0</v>
      </c>
      <c r="V185" s="1538">
        <v>0</v>
      </c>
      <c r="W185" s="1538"/>
      <c r="AA185" s="1559"/>
      <c r="AB185" s="1559"/>
      <c r="AC185" s="1559"/>
      <c r="AD185" s="1559"/>
      <c r="AE185" s="1559"/>
      <c r="AF185" s="1559"/>
      <c r="AG185" s="2920"/>
      <c r="AH185" s="2920"/>
      <c r="AI185" s="2920"/>
    </row>
    <row r="186" spans="1:35" s="1565" customFormat="1">
      <c r="A186" s="1689"/>
      <c r="B186" s="1690"/>
      <c r="C186" s="1691" t="s">
        <v>1364</v>
      </c>
      <c r="D186" s="1538"/>
      <c r="E186" s="1538"/>
      <c r="F186" s="1538"/>
      <c r="G186" s="1538"/>
      <c r="H186" s="1538"/>
      <c r="I186" s="1538"/>
      <c r="J186" s="1538"/>
      <c r="K186" s="1538"/>
      <c r="L186" s="1538"/>
      <c r="M186" s="1538"/>
      <c r="N186" s="1538"/>
      <c r="O186" s="1538"/>
      <c r="P186" s="1538"/>
      <c r="Q186" s="1538"/>
      <c r="R186" s="1538"/>
      <c r="S186" s="1538"/>
      <c r="T186" s="1538"/>
      <c r="U186" s="1538"/>
      <c r="V186" s="1538"/>
      <c r="W186" s="1538"/>
      <c r="AA186" s="1559"/>
      <c r="AB186" s="1559"/>
      <c r="AC186" s="1559"/>
      <c r="AD186" s="1559"/>
      <c r="AE186" s="1559"/>
      <c r="AF186" s="1559"/>
      <c r="AG186" s="2920"/>
      <c r="AH186" s="2920"/>
      <c r="AI186" s="2920"/>
    </row>
    <row r="187" spans="1:35" s="1565" customFormat="1">
      <c r="A187" s="1689"/>
      <c r="B187" s="1690"/>
      <c r="C187" s="1694" t="s">
        <v>1365</v>
      </c>
      <c r="D187" s="1538"/>
      <c r="E187" s="1538"/>
      <c r="F187" s="1538"/>
      <c r="G187" s="1538"/>
      <c r="H187" s="1538"/>
      <c r="I187" s="1538"/>
      <c r="J187" s="1538"/>
      <c r="K187" s="1538"/>
      <c r="L187" s="1538"/>
      <c r="M187" s="1538"/>
      <c r="N187" s="1538"/>
      <c r="O187" s="1538"/>
      <c r="P187" s="1538"/>
      <c r="Q187" s="1538"/>
      <c r="R187" s="1538"/>
      <c r="S187" s="1538"/>
      <c r="T187" s="1538"/>
      <c r="U187" s="1538"/>
      <c r="V187" s="1538"/>
      <c r="W187" s="1538"/>
      <c r="AA187" s="1559"/>
      <c r="AB187" s="1559"/>
      <c r="AC187" s="1559"/>
      <c r="AD187" s="1559"/>
      <c r="AE187" s="1559"/>
      <c r="AF187" s="1559"/>
      <c r="AG187" s="2920"/>
      <c r="AH187" s="2920"/>
      <c r="AI187" s="2920"/>
    </row>
    <row r="188" spans="1:35" s="1565" customFormat="1">
      <c r="A188" s="1689" t="s">
        <v>855</v>
      </c>
      <c r="B188" s="1690" t="s">
        <v>787</v>
      </c>
      <c r="C188" s="1694" t="s">
        <v>119</v>
      </c>
      <c r="D188" s="1538"/>
      <c r="E188" s="1538"/>
      <c r="F188" s="1538"/>
      <c r="G188" s="1538"/>
      <c r="H188" s="1538"/>
      <c r="I188" s="1538"/>
      <c r="J188" s="1538"/>
      <c r="K188" s="1538"/>
      <c r="L188" s="1538"/>
      <c r="M188" s="1538"/>
      <c r="N188" s="1538"/>
      <c r="O188" s="1538"/>
      <c r="P188" s="1538"/>
      <c r="Q188" s="1538"/>
      <c r="R188" s="1538"/>
      <c r="S188" s="1538"/>
      <c r="T188" s="1538"/>
      <c r="U188" s="1538">
        <v>0</v>
      </c>
      <c r="V188" s="1538">
        <v>0</v>
      </c>
      <c r="W188" s="1538"/>
      <c r="AA188" s="1619"/>
      <c r="AB188" s="1619"/>
      <c r="AC188" s="1619"/>
      <c r="AD188" s="1619"/>
      <c r="AE188" s="1559"/>
      <c r="AF188" s="1559"/>
      <c r="AG188" s="2920"/>
      <c r="AH188" s="2920"/>
      <c r="AI188" s="2920"/>
    </row>
    <row r="189" spans="1:35" s="1565" customFormat="1">
      <c r="A189" s="1689" t="s">
        <v>856</v>
      </c>
      <c r="B189" s="1693" t="s">
        <v>788</v>
      </c>
      <c r="C189" s="1694" t="s">
        <v>435</v>
      </c>
      <c r="D189" s="1538"/>
      <c r="E189" s="1538"/>
      <c r="F189" s="1538"/>
      <c r="G189" s="1538"/>
      <c r="H189" s="1538"/>
      <c r="I189" s="1538"/>
      <c r="J189" s="1538"/>
      <c r="K189" s="1538"/>
      <c r="L189" s="1538"/>
      <c r="M189" s="1538"/>
      <c r="N189" s="1538"/>
      <c r="O189" s="1538"/>
      <c r="P189" s="1538"/>
      <c r="Q189" s="1538"/>
      <c r="R189" s="1538"/>
      <c r="S189" s="1538"/>
      <c r="T189" s="1538"/>
      <c r="U189" s="1617">
        <v>0</v>
      </c>
      <c r="V189" s="1617">
        <v>0</v>
      </c>
      <c r="W189" s="1617"/>
      <c r="AA189" s="1619"/>
      <c r="AB189" s="1619"/>
      <c r="AC189" s="1619"/>
      <c r="AD189" s="1619"/>
      <c r="AE189" s="1559"/>
      <c r="AF189" s="1559"/>
      <c r="AG189" s="2920"/>
      <c r="AH189" s="2920"/>
      <c r="AI189" s="4249"/>
    </row>
    <row r="190" spans="1:35" s="1565" customFormat="1">
      <c r="A190" s="1689" t="s">
        <v>857</v>
      </c>
      <c r="B190" s="1693" t="s">
        <v>789</v>
      </c>
      <c r="C190" s="1694" t="s">
        <v>436</v>
      </c>
      <c r="D190" s="1538"/>
      <c r="E190" s="1538"/>
      <c r="F190" s="1538"/>
      <c r="G190" s="1538"/>
      <c r="H190" s="1538"/>
      <c r="I190" s="1538"/>
      <c r="J190" s="1538"/>
      <c r="K190" s="1538"/>
      <c r="L190" s="1538"/>
      <c r="M190" s="1538"/>
      <c r="N190" s="1538"/>
      <c r="O190" s="1538"/>
      <c r="P190" s="1538"/>
      <c r="Q190" s="1538"/>
      <c r="R190" s="1538"/>
      <c r="S190" s="1538"/>
      <c r="T190" s="1538"/>
      <c r="U190" s="1617">
        <v>0</v>
      </c>
      <c r="V190" s="1617">
        <v>0</v>
      </c>
      <c r="W190" s="1617"/>
      <c r="AA190" s="1559"/>
      <c r="AB190" s="1559"/>
      <c r="AC190" s="1559"/>
      <c r="AD190" s="1559"/>
      <c r="AE190" s="1559"/>
      <c r="AF190" s="1559"/>
      <c r="AG190" s="2920"/>
      <c r="AH190" s="2920"/>
      <c r="AI190" s="4249"/>
    </row>
    <row r="191" spans="1:35" s="1565" customFormat="1">
      <c r="A191" s="1689"/>
      <c r="B191" s="1690"/>
      <c r="C191" s="1694" t="s">
        <v>1368</v>
      </c>
      <c r="D191" s="1538"/>
      <c r="E191" s="1538"/>
      <c r="F191" s="1538"/>
      <c r="G191" s="1538"/>
      <c r="H191" s="1538"/>
      <c r="I191" s="1538"/>
      <c r="J191" s="1538"/>
      <c r="K191" s="1538"/>
      <c r="L191" s="1538"/>
      <c r="M191" s="1538"/>
      <c r="N191" s="1538"/>
      <c r="O191" s="1538"/>
      <c r="P191" s="1538"/>
      <c r="Q191" s="1538"/>
      <c r="R191" s="1538"/>
      <c r="S191" s="1538"/>
      <c r="T191" s="1538"/>
      <c r="U191" s="1538"/>
      <c r="V191" s="1538"/>
      <c r="W191" s="1538"/>
      <c r="AA191" s="1559"/>
      <c r="AB191" s="1559"/>
      <c r="AC191" s="1559"/>
      <c r="AD191" s="1559"/>
      <c r="AE191" s="1559"/>
      <c r="AF191" s="1559"/>
      <c r="AG191" s="2920"/>
      <c r="AH191" s="2920"/>
      <c r="AI191" s="2920"/>
    </row>
    <row r="192" spans="1:35" s="1565" customFormat="1">
      <c r="A192" s="1689" t="s">
        <v>858</v>
      </c>
      <c r="B192" s="1690" t="s">
        <v>790</v>
      </c>
      <c r="C192" s="1694" t="s">
        <v>119</v>
      </c>
      <c r="D192" s="1538"/>
      <c r="E192" s="1538"/>
      <c r="F192" s="1538"/>
      <c r="G192" s="1538"/>
      <c r="H192" s="1538"/>
      <c r="I192" s="1538"/>
      <c r="J192" s="1538"/>
      <c r="K192" s="1538"/>
      <c r="L192" s="1538"/>
      <c r="M192" s="1538"/>
      <c r="N192" s="1538"/>
      <c r="O192" s="1538"/>
      <c r="P192" s="1538"/>
      <c r="Q192" s="1538"/>
      <c r="R192" s="1538"/>
      <c r="S192" s="1538"/>
      <c r="T192" s="1538"/>
      <c r="U192" s="1538">
        <v>0</v>
      </c>
      <c r="V192" s="1538">
        <v>0</v>
      </c>
      <c r="W192" s="1538"/>
      <c r="AA192" s="1619"/>
      <c r="AB192" s="1619"/>
      <c r="AC192" s="1619"/>
      <c r="AD192" s="1619"/>
      <c r="AE192" s="1559"/>
      <c r="AF192" s="1559"/>
      <c r="AG192" s="2920"/>
      <c r="AH192" s="2920"/>
      <c r="AI192" s="2920"/>
    </row>
    <row r="193" spans="1:35" s="1565" customFormat="1">
      <c r="A193" s="1689" t="s">
        <v>859</v>
      </c>
      <c r="B193" s="1693" t="s">
        <v>791</v>
      </c>
      <c r="C193" s="1694" t="s">
        <v>435</v>
      </c>
      <c r="D193" s="1538"/>
      <c r="E193" s="1538"/>
      <c r="F193" s="1538"/>
      <c r="G193" s="1538"/>
      <c r="H193" s="1538"/>
      <c r="I193" s="1538"/>
      <c r="J193" s="1538"/>
      <c r="K193" s="1538"/>
      <c r="L193" s="1538"/>
      <c r="M193" s="1538"/>
      <c r="N193" s="1538"/>
      <c r="O193" s="1538"/>
      <c r="P193" s="1538"/>
      <c r="Q193" s="1538"/>
      <c r="R193" s="1538"/>
      <c r="S193" s="1538"/>
      <c r="T193" s="1538"/>
      <c r="U193" s="1617">
        <v>0</v>
      </c>
      <c r="V193" s="1617">
        <v>0</v>
      </c>
      <c r="W193" s="1617"/>
      <c r="AA193" s="1619"/>
      <c r="AB193" s="1619"/>
      <c r="AC193" s="1619"/>
      <c r="AD193" s="1619"/>
      <c r="AE193" s="1559"/>
      <c r="AF193" s="1559"/>
      <c r="AG193" s="2920"/>
      <c r="AH193" s="2920"/>
      <c r="AI193" s="4249"/>
    </row>
    <row r="194" spans="1:35" s="1565" customFormat="1">
      <c r="A194" s="1689" t="s">
        <v>860</v>
      </c>
      <c r="B194" s="1693" t="s">
        <v>792</v>
      </c>
      <c r="C194" s="1694" t="s">
        <v>436</v>
      </c>
      <c r="D194" s="1538"/>
      <c r="E194" s="1538"/>
      <c r="F194" s="1538"/>
      <c r="G194" s="1538"/>
      <c r="H194" s="1538"/>
      <c r="I194" s="1538"/>
      <c r="J194" s="1538"/>
      <c r="K194" s="1538"/>
      <c r="L194" s="1538"/>
      <c r="M194" s="1538"/>
      <c r="N194" s="1538"/>
      <c r="O194" s="1538"/>
      <c r="P194" s="1538"/>
      <c r="Q194" s="1538"/>
      <c r="R194" s="1538"/>
      <c r="S194" s="1538"/>
      <c r="T194" s="1538"/>
      <c r="U194" s="1617">
        <v>0</v>
      </c>
      <c r="V194" s="1617">
        <v>0</v>
      </c>
      <c r="W194" s="1617"/>
      <c r="AA194" s="1559"/>
      <c r="AB194" s="1559"/>
      <c r="AC194" s="1559"/>
      <c r="AD194" s="1559"/>
      <c r="AE194" s="1559"/>
      <c r="AF194" s="1559"/>
      <c r="AG194" s="2920"/>
      <c r="AH194" s="2920"/>
      <c r="AI194" s="4249"/>
    </row>
    <row r="195" spans="1:35" s="1565" customFormat="1">
      <c r="A195" s="1689"/>
      <c r="B195" s="1690"/>
      <c r="C195" s="1691" t="s">
        <v>111</v>
      </c>
      <c r="D195" s="1538"/>
      <c r="E195" s="1538"/>
      <c r="F195" s="1538"/>
      <c r="G195" s="1538"/>
      <c r="H195" s="1538"/>
      <c r="I195" s="1538"/>
      <c r="J195" s="1538"/>
      <c r="K195" s="1538"/>
      <c r="L195" s="1538"/>
      <c r="M195" s="1538"/>
      <c r="N195" s="1538"/>
      <c r="O195" s="1538"/>
      <c r="P195" s="1538"/>
      <c r="Q195" s="1538"/>
      <c r="R195" s="1538"/>
      <c r="S195" s="1538"/>
      <c r="T195" s="1538"/>
      <c r="U195" s="1538"/>
      <c r="V195" s="1538"/>
      <c r="W195" s="1538"/>
      <c r="AA195" s="1559"/>
      <c r="AB195" s="1559"/>
      <c r="AC195" s="1559"/>
      <c r="AD195" s="1559"/>
      <c r="AE195" s="1559"/>
      <c r="AF195" s="1559"/>
      <c r="AG195" s="2920"/>
      <c r="AH195" s="2920"/>
      <c r="AI195" s="2920"/>
    </row>
    <row r="196" spans="1:35" s="1565" customFormat="1">
      <c r="A196" s="1689"/>
      <c r="B196" s="1690"/>
      <c r="C196" s="1691" t="s">
        <v>112</v>
      </c>
      <c r="D196" s="1538"/>
      <c r="E196" s="1538"/>
      <c r="F196" s="1538"/>
      <c r="G196" s="1538"/>
      <c r="H196" s="1538"/>
      <c r="I196" s="1538"/>
      <c r="J196" s="1538"/>
      <c r="K196" s="1538"/>
      <c r="L196" s="1538"/>
      <c r="M196" s="1538"/>
      <c r="N196" s="1538"/>
      <c r="O196" s="1538"/>
      <c r="P196" s="1538"/>
      <c r="Q196" s="1538"/>
      <c r="R196" s="1538"/>
      <c r="S196" s="1538"/>
      <c r="T196" s="1538"/>
      <c r="U196" s="1538"/>
      <c r="V196" s="1538"/>
      <c r="W196" s="1538"/>
      <c r="AA196" s="1559"/>
      <c r="AB196" s="1559"/>
      <c r="AC196" s="1559"/>
      <c r="AD196" s="1559"/>
      <c r="AE196" s="1559"/>
      <c r="AF196" s="1559"/>
      <c r="AG196" s="2920"/>
      <c r="AH196" s="2920"/>
      <c r="AI196" s="2920"/>
    </row>
    <row r="197" spans="1:35" s="1565" customFormat="1">
      <c r="A197" s="1689" t="s">
        <v>861</v>
      </c>
      <c r="B197" s="1690" t="s">
        <v>793</v>
      </c>
      <c r="C197" s="1694" t="s">
        <v>425</v>
      </c>
      <c r="D197" s="1538"/>
      <c r="E197" s="1538"/>
      <c r="F197" s="1538"/>
      <c r="G197" s="1538"/>
      <c r="H197" s="1538"/>
      <c r="I197" s="1538"/>
      <c r="J197" s="1538"/>
      <c r="K197" s="1538"/>
      <c r="L197" s="1538"/>
      <c r="M197" s="1538"/>
      <c r="N197" s="1538"/>
      <c r="O197" s="1538"/>
      <c r="P197" s="1538"/>
      <c r="Q197" s="1538"/>
      <c r="R197" s="1538"/>
      <c r="S197" s="1538"/>
      <c r="T197" s="1538"/>
      <c r="U197" s="1538"/>
      <c r="V197" s="1538"/>
      <c r="W197" s="1538"/>
      <c r="AA197" s="1559"/>
      <c r="AB197" s="1559"/>
      <c r="AC197" s="1559"/>
      <c r="AD197" s="1559"/>
      <c r="AE197" s="1559"/>
      <c r="AF197" s="1559"/>
      <c r="AG197" s="2920"/>
      <c r="AH197" s="2920"/>
      <c r="AI197" s="2920"/>
    </row>
    <row r="198" spans="1:35" s="1565" customFormat="1">
      <c r="A198" s="1689" t="s">
        <v>862</v>
      </c>
      <c r="B198" s="1690" t="s">
        <v>794</v>
      </c>
      <c r="C198" s="1694" t="s">
        <v>426</v>
      </c>
      <c r="D198" s="1538"/>
      <c r="E198" s="1538"/>
      <c r="F198" s="1538"/>
      <c r="G198" s="1538"/>
      <c r="H198" s="1538"/>
      <c r="I198" s="1538"/>
      <c r="J198" s="1538"/>
      <c r="K198" s="1538"/>
      <c r="L198" s="1538"/>
      <c r="M198" s="1538"/>
      <c r="N198" s="1538"/>
      <c r="O198" s="1538"/>
      <c r="P198" s="1538"/>
      <c r="Q198" s="1538"/>
      <c r="R198" s="1538"/>
      <c r="S198" s="1538"/>
      <c r="T198" s="1538"/>
      <c r="U198" s="1538"/>
      <c r="V198" s="1538"/>
      <c r="W198" s="1538"/>
      <c r="AA198" s="1559"/>
      <c r="AB198" s="1559"/>
      <c r="AC198" s="1559"/>
      <c r="AD198" s="1559"/>
      <c r="AE198" s="1559"/>
      <c r="AF198" s="1559"/>
      <c r="AG198" s="2920"/>
      <c r="AH198" s="2920"/>
      <c r="AI198" s="2920"/>
    </row>
    <row r="199" spans="1:35" s="1565" customFormat="1">
      <c r="A199" s="1689" t="s">
        <v>863</v>
      </c>
      <c r="B199" s="1690" t="s">
        <v>795</v>
      </c>
      <c r="C199" s="1694" t="s">
        <v>427</v>
      </c>
      <c r="D199" s="1538"/>
      <c r="E199" s="1538"/>
      <c r="F199" s="1538"/>
      <c r="G199" s="1538"/>
      <c r="H199" s="1538"/>
      <c r="I199" s="1538"/>
      <c r="J199" s="1538"/>
      <c r="K199" s="1538"/>
      <c r="L199" s="1538"/>
      <c r="M199" s="1538"/>
      <c r="N199" s="1538"/>
      <c r="O199" s="1538"/>
      <c r="P199" s="1538"/>
      <c r="Q199" s="1538"/>
      <c r="R199" s="1538"/>
      <c r="S199" s="1538"/>
      <c r="T199" s="1538"/>
      <c r="U199" s="1538"/>
      <c r="V199" s="1538"/>
      <c r="W199" s="1538"/>
      <c r="AA199" s="1559"/>
      <c r="AB199" s="1559"/>
      <c r="AC199" s="1559"/>
      <c r="AD199" s="1559"/>
      <c r="AE199" s="1559"/>
      <c r="AF199" s="1559"/>
      <c r="AG199" s="2920"/>
      <c r="AH199" s="2920"/>
      <c r="AI199" s="2920"/>
    </row>
    <row r="200" spans="1:35" s="1565" customFormat="1">
      <c r="A200" s="1689" t="s">
        <v>864</v>
      </c>
      <c r="B200" s="1690" t="s">
        <v>796</v>
      </c>
      <c r="C200" s="1694" t="s">
        <v>432</v>
      </c>
      <c r="D200" s="1538"/>
      <c r="E200" s="1538"/>
      <c r="F200" s="1538"/>
      <c r="G200" s="1538"/>
      <c r="H200" s="1538"/>
      <c r="I200" s="1538"/>
      <c r="J200" s="1538"/>
      <c r="K200" s="1538"/>
      <c r="L200" s="1538"/>
      <c r="M200" s="1538"/>
      <c r="N200" s="1538"/>
      <c r="O200" s="1538"/>
      <c r="P200" s="1538"/>
      <c r="Q200" s="1538"/>
      <c r="R200" s="1538"/>
      <c r="S200" s="1538"/>
      <c r="T200" s="1538"/>
      <c r="U200" s="1538"/>
      <c r="V200" s="1538"/>
      <c r="W200" s="1538"/>
      <c r="AA200" s="1559"/>
      <c r="AB200" s="1559"/>
      <c r="AC200" s="1559"/>
      <c r="AD200" s="1559"/>
      <c r="AE200" s="1559"/>
      <c r="AF200" s="1559"/>
      <c r="AG200" s="2920"/>
      <c r="AH200" s="2920"/>
      <c r="AI200" s="2920"/>
    </row>
    <row r="201" spans="1:35" s="1565" customFormat="1">
      <c r="A201" s="1700"/>
      <c r="B201" s="1701"/>
      <c r="C201" s="1702" t="s">
        <v>1339</v>
      </c>
      <c r="D201" s="1538"/>
      <c r="E201" s="1538"/>
      <c r="F201" s="1538"/>
      <c r="G201" s="1538"/>
      <c r="H201" s="1538"/>
      <c r="I201" s="1538"/>
      <c r="J201" s="1538"/>
      <c r="K201" s="1538"/>
      <c r="L201" s="1538"/>
      <c r="M201" s="1538"/>
      <c r="N201" s="1538"/>
      <c r="O201" s="1538"/>
      <c r="P201" s="1538"/>
      <c r="Q201" s="1538"/>
      <c r="R201" s="1538"/>
      <c r="S201" s="1538"/>
      <c r="T201" s="1538"/>
      <c r="U201" s="1538"/>
      <c r="V201" s="1538"/>
      <c r="W201" s="1538"/>
      <c r="AA201" s="1559"/>
      <c r="AB201" s="1559"/>
      <c r="AC201" s="1559"/>
      <c r="AD201" s="4250"/>
      <c r="AE201" s="1559"/>
      <c r="AF201" s="1559"/>
      <c r="AG201" s="2920"/>
      <c r="AH201" s="2920"/>
      <c r="AI201" s="2920"/>
    </row>
    <row r="202" spans="1:35" s="1565" customFormat="1">
      <c r="A202" s="1700"/>
      <c r="B202" s="1701"/>
      <c r="C202" s="1703" t="s">
        <v>1398</v>
      </c>
      <c r="D202" s="4109"/>
      <c r="E202" s="4109"/>
      <c r="F202" s="4109"/>
      <c r="G202" s="4109"/>
      <c r="H202" s="4109"/>
      <c r="I202" s="1538"/>
      <c r="J202" s="1538"/>
      <c r="K202" s="1538"/>
      <c r="L202" s="1538"/>
      <c r="M202" s="1538"/>
      <c r="N202" s="1538"/>
      <c r="O202" s="1538"/>
      <c r="P202" s="1538"/>
      <c r="Q202" s="1538"/>
      <c r="R202" s="1538"/>
      <c r="S202" s="1538"/>
      <c r="T202" s="1538"/>
      <c r="U202" s="1538"/>
      <c r="V202" s="1538"/>
      <c r="W202" s="1538"/>
      <c r="AA202" s="1559"/>
      <c r="AB202" s="1559"/>
      <c r="AC202" s="4251"/>
      <c r="AD202" s="4251"/>
      <c r="AE202" s="1559"/>
      <c r="AF202" s="1559"/>
      <c r="AG202" s="2920"/>
      <c r="AH202" s="2920"/>
      <c r="AI202" s="2920"/>
    </row>
    <row r="203" spans="1:35" s="1706" customFormat="1">
      <c r="A203" s="1749" t="s">
        <v>939</v>
      </c>
      <c r="B203" s="1750"/>
      <c r="C203" s="1751" t="s">
        <v>1341</v>
      </c>
      <c r="D203" s="4218">
        <f>0.279*(3000/8760)/D$40</f>
        <v>1.9109589041095891</v>
      </c>
      <c r="E203" s="4218">
        <f>0.279*(3000/8760)/E$40</f>
        <v>1.9109589041095891</v>
      </c>
      <c r="F203" s="4218">
        <f>0.099*(3000/8760)/F$40</f>
        <v>0.45205479452054786</v>
      </c>
      <c r="G203" s="4218">
        <f>0.07*(7884/8760)/G$40</f>
        <v>0.11052631578947372</v>
      </c>
      <c r="H203" s="4124">
        <f>0.076*(7884/8760)/H$40</f>
        <v>0.12000000000000001</v>
      </c>
      <c r="I203" s="1752">
        <v>7.4999999999999997E-2</v>
      </c>
      <c r="J203" s="1752">
        <v>0</v>
      </c>
      <c r="K203" s="1752">
        <v>0.191</v>
      </c>
      <c r="L203" s="1752">
        <v>0</v>
      </c>
      <c r="M203" s="1752">
        <v>0</v>
      </c>
      <c r="N203" s="1752">
        <v>0</v>
      </c>
      <c r="O203" s="1752">
        <v>0</v>
      </c>
      <c r="P203" s="1752">
        <v>0</v>
      </c>
      <c r="Q203" s="1752">
        <v>0</v>
      </c>
      <c r="R203" s="1752">
        <v>0</v>
      </c>
      <c r="S203" s="1752">
        <v>0</v>
      </c>
      <c r="T203" s="1752">
        <v>0</v>
      </c>
      <c r="U203" s="1752">
        <v>0</v>
      </c>
      <c r="V203" s="1752">
        <v>0</v>
      </c>
      <c r="W203" s="1752"/>
      <c r="AA203" s="4251"/>
      <c r="AB203" s="4251"/>
      <c r="AC203" s="4251"/>
      <c r="AD203" s="4251"/>
      <c r="AE203" s="4251"/>
      <c r="AF203" s="4251"/>
      <c r="AG203" s="2945"/>
      <c r="AH203" s="2945"/>
      <c r="AI203" s="2945"/>
    </row>
    <row r="204" spans="1:35" s="1706" customFormat="1" ht="15">
      <c r="A204" s="1749" t="s">
        <v>940</v>
      </c>
      <c r="B204" s="1750"/>
      <c r="C204" s="1751" t="s">
        <v>1342</v>
      </c>
      <c r="D204" s="4218">
        <f>0.054*(3000/8760)/D$40</f>
        <v>0.36986301369863012</v>
      </c>
      <c r="E204" s="4218">
        <f>0.054*(3000/8760)/E$40</f>
        <v>0.36986301369863012</v>
      </c>
      <c r="F204" s="4218">
        <f>0.031*(3000/8760)/F$40</f>
        <v>0.14155251141552508</v>
      </c>
      <c r="G204" s="4219">
        <f>0.024*(7884/8760)/G$40</f>
        <v>3.7894736842105266E-2</v>
      </c>
      <c r="H204" s="4149">
        <f>0.018*(7884/8760)/H$40</f>
        <v>2.8421052631578948E-2</v>
      </c>
      <c r="I204" s="1752">
        <v>1.2E-2</v>
      </c>
      <c r="J204" s="1705">
        <v>0</v>
      </c>
      <c r="K204" s="1705">
        <v>1.0999999999999999E-2</v>
      </c>
      <c r="L204" s="1705">
        <v>0</v>
      </c>
      <c r="M204" s="1705">
        <v>0</v>
      </c>
      <c r="N204" s="1705">
        <v>0</v>
      </c>
      <c r="O204" s="1705">
        <v>0</v>
      </c>
      <c r="P204" s="1705">
        <v>0</v>
      </c>
      <c r="Q204" s="1705">
        <v>0</v>
      </c>
      <c r="R204" s="1705">
        <v>0</v>
      </c>
      <c r="S204" s="1705">
        <v>0</v>
      </c>
      <c r="T204" s="1705">
        <v>0</v>
      </c>
      <c r="U204" s="1705">
        <v>0</v>
      </c>
      <c r="V204" s="1705">
        <v>0</v>
      </c>
      <c r="W204" s="1705"/>
      <c r="AA204" s="4251"/>
      <c r="AB204" s="4251"/>
      <c r="AC204" s="4251"/>
      <c r="AD204" s="4251"/>
      <c r="AE204" s="4251"/>
      <c r="AF204" s="4251"/>
      <c r="AG204" s="2946"/>
      <c r="AH204" s="2946"/>
      <c r="AI204" s="2946"/>
    </row>
    <row r="205" spans="1:35" s="1706" customFormat="1" ht="15">
      <c r="A205" s="1749" t="s">
        <v>941</v>
      </c>
      <c r="B205" s="1750"/>
      <c r="C205" s="1751" t="s">
        <v>1343</v>
      </c>
      <c r="D205" s="4218">
        <f>0.368*(3000/8760)/D$40</f>
        <v>2.5205479452054789</v>
      </c>
      <c r="E205" s="4218">
        <f>0.368*(3000/8760)/E$40</f>
        <v>2.5205479452054789</v>
      </c>
      <c r="F205" s="4218">
        <f>0.19*(3000/8760)/F$40</f>
        <v>0.86757990867579893</v>
      </c>
      <c r="G205" s="4219">
        <f>0.208*(7884/8760)/G$40</f>
        <v>0.328421052631579</v>
      </c>
      <c r="H205" s="4149">
        <f>0.315*(7884/8760)/H$40</f>
        <v>0.49736842105263168</v>
      </c>
      <c r="I205" s="1752">
        <v>0.105</v>
      </c>
      <c r="J205" s="1705">
        <v>0</v>
      </c>
      <c r="K205" s="1705">
        <v>5.8000000000000003E-2</v>
      </c>
      <c r="L205" s="1705">
        <v>0</v>
      </c>
      <c r="M205" s="1705">
        <v>0</v>
      </c>
      <c r="N205" s="1705">
        <v>0</v>
      </c>
      <c r="O205" s="1705">
        <v>0</v>
      </c>
      <c r="P205" s="1705">
        <v>0</v>
      </c>
      <c r="Q205" s="1705">
        <v>0</v>
      </c>
      <c r="R205" s="1705">
        <v>0</v>
      </c>
      <c r="S205" s="1705">
        <v>0</v>
      </c>
      <c r="T205" s="1705">
        <v>0</v>
      </c>
      <c r="U205" s="1705">
        <v>0</v>
      </c>
      <c r="V205" s="1705">
        <v>0</v>
      </c>
      <c r="W205" s="1705"/>
      <c r="AA205" s="4251"/>
      <c r="AB205" s="4251"/>
      <c r="AC205" s="4251"/>
      <c r="AD205" s="4251"/>
      <c r="AE205" s="4251"/>
      <c r="AF205" s="4251"/>
      <c r="AG205" s="2946"/>
      <c r="AH205" s="2946"/>
      <c r="AI205" s="2946"/>
    </row>
    <row r="206" spans="1:35" s="1756" customFormat="1" ht="14.25">
      <c r="A206" s="1753" t="s">
        <v>942</v>
      </c>
      <c r="B206" s="1754"/>
      <c r="C206" s="2768" t="s">
        <v>1711</v>
      </c>
      <c r="D206" s="4220">
        <f t="shared" ref="D206:H206" si="19">117.08*D19/1000</f>
        <v>1239.2918</v>
      </c>
      <c r="E206" s="4220">
        <f t="shared" si="19"/>
        <v>1239.2918</v>
      </c>
      <c r="F206" s="4220">
        <f t="shared" si="19"/>
        <v>1156.7503999999999</v>
      </c>
      <c r="G206" s="4220">
        <f t="shared" si="19"/>
        <v>848.83</v>
      </c>
      <c r="H206" s="4123">
        <f t="shared" si="19"/>
        <v>848.83</v>
      </c>
      <c r="I206" s="4150">
        <v>195</v>
      </c>
      <c r="J206" s="4123">
        <v>0</v>
      </c>
      <c r="K206" s="4123">
        <f>0.12*2204.3</f>
        <v>264.51600000000002</v>
      </c>
      <c r="L206" s="1912">
        <v>0</v>
      </c>
      <c r="M206" s="1912">
        <v>0</v>
      </c>
      <c r="N206" s="1912">
        <v>0</v>
      </c>
      <c r="O206" s="1912">
        <v>0</v>
      </c>
      <c r="P206" s="1912">
        <v>0</v>
      </c>
      <c r="Q206" s="1755">
        <v>0</v>
      </c>
      <c r="R206" s="1755">
        <v>0</v>
      </c>
      <c r="S206" s="1755">
        <v>0</v>
      </c>
      <c r="T206" s="1755">
        <v>0</v>
      </c>
      <c r="U206" s="1755">
        <v>0</v>
      </c>
      <c r="V206" s="1755">
        <v>0</v>
      </c>
      <c r="W206" s="1755"/>
      <c r="AA206" s="4252"/>
      <c r="AB206" s="4252"/>
      <c r="AC206" s="4252"/>
      <c r="AD206" s="4252"/>
      <c r="AE206" s="4252"/>
      <c r="AF206" s="4252"/>
      <c r="AG206" s="2963"/>
      <c r="AH206" s="2963"/>
      <c r="AI206" s="2947"/>
    </row>
    <row r="207" spans="1:35" s="1706" customFormat="1">
      <c r="A207" s="1749" t="s">
        <v>943</v>
      </c>
      <c r="B207" s="1750"/>
      <c r="C207" s="1751" t="s">
        <v>294</v>
      </c>
      <c r="D207" s="1911"/>
      <c r="E207" s="1911"/>
      <c r="F207" s="1911"/>
      <c r="G207" s="1911"/>
      <c r="H207" s="4124"/>
      <c r="I207" s="1752"/>
      <c r="J207" s="4151"/>
      <c r="K207" s="4151"/>
      <c r="L207" s="1752"/>
      <c r="M207" s="1752"/>
      <c r="N207" s="1752"/>
      <c r="O207" s="1752"/>
      <c r="P207" s="1752"/>
      <c r="Q207" s="1752"/>
      <c r="R207" s="1752"/>
      <c r="S207" s="1752"/>
      <c r="T207" s="1752"/>
      <c r="U207" s="1752"/>
      <c r="V207" s="1752"/>
      <c r="W207" s="1752"/>
      <c r="AA207" s="4251"/>
      <c r="AB207" s="4251"/>
      <c r="AC207" s="4251"/>
      <c r="AD207" s="4251"/>
      <c r="AE207" s="4251"/>
      <c r="AF207" s="4251"/>
      <c r="AG207" s="2945"/>
      <c r="AH207" s="2945"/>
      <c r="AI207" s="2945"/>
    </row>
    <row r="208" spans="1:35" s="1706" customFormat="1">
      <c r="A208" s="1749" t="s">
        <v>944</v>
      </c>
      <c r="B208" s="1750"/>
      <c r="C208" s="1751" t="s">
        <v>295</v>
      </c>
      <c r="D208" s="1911"/>
      <c r="E208" s="1911"/>
      <c r="F208" s="1911"/>
      <c r="G208" s="1911"/>
      <c r="H208" s="4124"/>
      <c r="I208" s="1752"/>
      <c r="J208" s="1752"/>
      <c r="K208" s="1752"/>
      <c r="L208" s="1752"/>
      <c r="M208" s="1752"/>
      <c r="N208" s="1752"/>
      <c r="O208" s="1752"/>
      <c r="P208" s="1752"/>
      <c r="Q208" s="1752"/>
      <c r="R208" s="1752"/>
      <c r="S208" s="1752"/>
      <c r="T208" s="1752"/>
      <c r="U208" s="1752"/>
      <c r="V208" s="1752"/>
      <c r="W208" s="1752"/>
      <c r="AA208" s="4251"/>
      <c r="AB208" s="4251"/>
      <c r="AC208" s="4251"/>
      <c r="AD208" s="4251"/>
      <c r="AE208" s="4251"/>
      <c r="AF208" s="4251"/>
      <c r="AG208" s="2945"/>
      <c r="AH208" s="2945"/>
      <c r="AI208" s="2945"/>
    </row>
    <row r="209" spans="1:35" s="1706" customFormat="1">
      <c r="A209" s="1749" t="s">
        <v>945</v>
      </c>
      <c r="B209" s="1750"/>
      <c r="C209" s="1751" t="s">
        <v>296</v>
      </c>
      <c r="D209" s="1911"/>
      <c r="E209" s="1911"/>
      <c r="F209" s="1911"/>
      <c r="G209" s="1911"/>
      <c r="H209" s="4124"/>
      <c r="I209" s="1752"/>
      <c r="J209" s="1752"/>
      <c r="K209" s="1752"/>
      <c r="L209" s="1752"/>
      <c r="M209" s="1752"/>
      <c r="N209" s="1752"/>
      <c r="O209" s="1752"/>
      <c r="P209" s="1752"/>
      <c r="Q209" s="1752"/>
      <c r="R209" s="1752"/>
      <c r="S209" s="1752"/>
      <c r="T209" s="1752"/>
      <c r="U209" s="1752"/>
      <c r="V209" s="1752"/>
      <c r="W209" s="1752"/>
      <c r="AA209" s="4251"/>
      <c r="AB209" s="4251"/>
      <c r="AC209" s="4251"/>
      <c r="AD209" s="4251"/>
      <c r="AE209" s="4251"/>
      <c r="AF209" s="4251"/>
      <c r="AG209" s="2945"/>
      <c r="AH209" s="2945"/>
      <c r="AI209" s="2945"/>
    </row>
    <row r="210" spans="1:35" s="1706" customFormat="1">
      <c r="A210" s="1749" t="s">
        <v>946</v>
      </c>
      <c r="B210" s="1750"/>
      <c r="C210" s="1751" t="s">
        <v>387</v>
      </c>
      <c r="D210" s="4218">
        <f>0.013*(3000/8760)/D$40</f>
        <v>8.9041095890410954E-2</v>
      </c>
      <c r="E210" s="4218">
        <f>0.013*(3000/8760)/E$40</f>
        <v>8.9041095890410954E-2</v>
      </c>
      <c r="F210" s="4218">
        <f>0.008*(3000/8760)/F$40</f>
        <v>3.6529680365296802E-2</v>
      </c>
      <c r="G210" s="4218">
        <f>0.005*(7884/8760)/G$40</f>
        <v>7.8947368421052651E-3</v>
      </c>
      <c r="H210" s="4124">
        <f>0.00525*(7884/8760)/H$40</f>
        <v>8.2894736842105271E-3</v>
      </c>
      <c r="I210" s="1752">
        <v>3.4000000000000002E-2</v>
      </c>
      <c r="J210" s="1752">
        <v>0</v>
      </c>
      <c r="K210" s="1752">
        <v>2.5999999999999999E-2</v>
      </c>
      <c r="L210" s="1752">
        <v>0</v>
      </c>
      <c r="M210" s="1752">
        <v>0</v>
      </c>
      <c r="N210" s="1752">
        <v>0</v>
      </c>
      <c r="O210" s="1752">
        <v>0</v>
      </c>
      <c r="P210" s="1752">
        <v>0</v>
      </c>
      <c r="Q210" s="1752">
        <v>0</v>
      </c>
      <c r="R210" s="1752">
        <v>0</v>
      </c>
      <c r="S210" s="1752">
        <v>0</v>
      </c>
      <c r="T210" s="1752">
        <v>0</v>
      </c>
      <c r="U210" s="1752">
        <v>0</v>
      </c>
      <c r="V210" s="1752">
        <v>0</v>
      </c>
      <c r="W210" s="1752"/>
      <c r="AA210" s="4251"/>
      <c r="AB210" s="4251"/>
      <c r="AC210" s="4251"/>
      <c r="AD210" s="4251"/>
      <c r="AE210" s="4251"/>
      <c r="AF210" s="4251"/>
      <c r="AG210" s="2945"/>
      <c r="AH210" s="2945"/>
      <c r="AI210" s="2945"/>
    </row>
    <row r="211" spans="1:35" s="1706" customFormat="1">
      <c r="A211" s="1749" t="s">
        <v>947</v>
      </c>
      <c r="B211" s="1750"/>
      <c r="C211" s="1751" t="s">
        <v>375</v>
      </c>
      <c r="D211" s="4218">
        <f>0.134*(3000/8760)/D$40</f>
        <v>0.91780821917808209</v>
      </c>
      <c r="E211" s="4218">
        <f>0.134*(3000/8760)/E$40</f>
        <v>0.91780821917808209</v>
      </c>
      <c r="F211" s="4218">
        <f>0.062*(3000/8760)/F$40</f>
        <v>0.28310502283105016</v>
      </c>
      <c r="G211" s="4218">
        <f>0.037*(7884/8760)/G$40</f>
        <v>5.8421052631578943E-2</v>
      </c>
      <c r="H211" s="4124">
        <f>0.042*(7884/8760)/H$40</f>
        <v>6.6315789473684217E-2</v>
      </c>
      <c r="I211" s="1752">
        <v>0.1</v>
      </c>
      <c r="J211" s="1752">
        <v>0</v>
      </c>
      <c r="K211" s="1752">
        <v>0</v>
      </c>
      <c r="L211" s="1752">
        <v>0</v>
      </c>
      <c r="M211" s="1752">
        <v>0</v>
      </c>
      <c r="N211" s="1752">
        <v>0</v>
      </c>
      <c r="O211" s="1752">
        <v>0</v>
      </c>
      <c r="P211" s="1752">
        <v>0</v>
      </c>
      <c r="Q211" s="1752">
        <v>0</v>
      </c>
      <c r="R211" s="1752">
        <v>0</v>
      </c>
      <c r="S211" s="1752">
        <v>0</v>
      </c>
      <c r="T211" s="1752">
        <v>0</v>
      </c>
      <c r="U211" s="1752">
        <v>0</v>
      </c>
      <c r="V211" s="1752">
        <v>0</v>
      </c>
      <c r="W211" s="1752"/>
      <c r="AA211" s="4251"/>
      <c r="AB211" s="4251"/>
      <c r="AC211" s="4251"/>
      <c r="AD211" s="4251"/>
      <c r="AE211" s="4251"/>
      <c r="AF211" s="4251"/>
      <c r="AG211" s="2945"/>
      <c r="AH211" s="2945"/>
      <c r="AI211" s="2945"/>
    </row>
    <row r="212" spans="1:35" s="1565" customFormat="1">
      <c r="A212" s="1700"/>
      <c r="B212" s="1701"/>
      <c r="C212" s="1703" t="s">
        <v>1345</v>
      </c>
      <c r="D212" s="1538"/>
      <c r="E212" s="1538"/>
      <c r="F212" s="1538"/>
      <c r="G212" s="1538"/>
      <c r="H212" s="1538"/>
      <c r="I212" s="1538"/>
      <c r="J212" s="1538"/>
      <c r="K212" s="1538"/>
      <c r="L212" s="1538"/>
      <c r="M212" s="1538"/>
      <c r="N212" s="1538"/>
      <c r="O212" s="1538"/>
      <c r="P212" s="1538"/>
      <c r="Q212" s="1538"/>
      <c r="R212" s="1538"/>
      <c r="S212" s="1538"/>
      <c r="T212" s="1538"/>
      <c r="U212" s="1538"/>
      <c r="V212" s="1538"/>
      <c r="W212" s="1538"/>
      <c r="AA212" s="1559"/>
      <c r="AB212" s="1559"/>
      <c r="AC212" s="1559"/>
      <c r="AD212" s="1559"/>
      <c r="AE212" s="1559"/>
      <c r="AF212" s="1559"/>
      <c r="AG212" s="2920"/>
      <c r="AH212" s="2920"/>
      <c r="AI212" s="2920"/>
    </row>
    <row r="213" spans="1:35" s="1565" customFormat="1">
      <c r="A213" s="1700" t="s">
        <v>948</v>
      </c>
      <c r="B213" s="1701"/>
      <c r="C213" s="1704" t="s">
        <v>1346</v>
      </c>
      <c r="D213" s="1538"/>
      <c r="E213" s="1538"/>
      <c r="F213" s="1538"/>
      <c r="G213" s="1538"/>
      <c r="H213" s="1538"/>
      <c r="I213" s="1538"/>
      <c r="J213" s="1538"/>
      <c r="K213" s="1538"/>
      <c r="L213" s="1538"/>
      <c r="M213" s="1538"/>
      <c r="N213" s="1538"/>
      <c r="O213" s="1538"/>
      <c r="P213" s="1538"/>
      <c r="Q213" s="1538"/>
      <c r="R213" s="1538"/>
      <c r="S213" s="1538"/>
      <c r="T213" s="1538"/>
      <c r="U213" s="1538"/>
      <c r="V213" s="1538"/>
      <c r="W213" s="1538"/>
      <c r="AA213" s="1559"/>
      <c r="AB213" s="1559"/>
      <c r="AC213" s="1559"/>
      <c r="AD213" s="1559"/>
      <c r="AE213" s="1559"/>
      <c r="AF213" s="1559"/>
      <c r="AG213" s="2920"/>
      <c r="AH213" s="2920"/>
      <c r="AI213" s="2920"/>
    </row>
    <row r="214" spans="1:35" s="1565" customFormat="1">
      <c r="A214" s="1700" t="s">
        <v>949</v>
      </c>
      <c r="B214" s="1701"/>
      <c r="C214" s="1704" t="s">
        <v>1347</v>
      </c>
      <c r="D214" s="1538"/>
      <c r="E214" s="1538"/>
      <c r="F214" s="1538"/>
      <c r="G214" s="1538"/>
      <c r="H214" s="1538"/>
      <c r="I214" s="1538"/>
      <c r="J214" s="1538"/>
      <c r="K214" s="1538"/>
      <c r="L214" s="1538"/>
      <c r="M214" s="1538"/>
      <c r="N214" s="1538"/>
      <c r="O214" s="1538"/>
      <c r="P214" s="1538"/>
      <c r="Q214" s="1538"/>
      <c r="R214" s="1538"/>
      <c r="S214" s="1538"/>
      <c r="T214" s="1538"/>
      <c r="U214" s="1538"/>
      <c r="V214" s="1538"/>
      <c r="W214" s="1538"/>
      <c r="AA214" s="1559"/>
      <c r="AB214" s="1559"/>
      <c r="AC214" s="1559"/>
      <c r="AD214" s="1559"/>
      <c r="AE214" s="1559"/>
      <c r="AF214" s="1559"/>
      <c r="AG214" s="2920"/>
      <c r="AH214" s="2920"/>
      <c r="AI214" s="2920"/>
    </row>
    <row r="215" spans="1:35" s="1565" customFormat="1">
      <c r="A215" s="1700" t="s">
        <v>950</v>
      </c>
      <c r="B215" s="1701"/>
      <c r="C215" s="1704" t="s">
        <v>1349</v>
      </c>
      <c r="D215" s="1538"/>
      <c r="E215" s="1538"/>
      <c r="F215" s="1538"/>
      <c r="G215" s="1538"/>
      <c r="H215" s="1538"/>
      <c r="I215" s="1538"/>
      <c r="J215" s="1538"/>
      <c r="K215" s="1538"/>
      <c r="L215" s="1538"/>
      <c r="M215" s="1538"/>
      <c r="N215" s="1538"/>
      <c r="O215" s="1538"/>
      <c r="P215" s="1538"/>
      <c r="Q215" s="1538"/>
      <c r="R215" s="1538"/>
      <c r="S215" s="1538"/>
      <c r="T215" s="1538"/>
      <c r="U215" s="1538"/>
      <c r="V215" s="1538"/>
      <c r="W215" s="1538"/>
      <c r="AA215" s="1559"/>
      <c r="AB215" s="1559"/>
      <c r="AC215" s="1559"/>
      <c r="AD215" s="1559"/>
      <c r="AE215" s="1559"/>
      <c r="AF215" s="1559"/>
      <c r="AG215" s="2920"/>
      <c r="AH215" s="2920"/>
      <c r="AI215" s="2920"/>
    </row>
    <row r="216" spans="1:35" s="1565" customFormat="1">
      <c r="A216" s="1535"/>
      <c r="C216" s="1608" t="s">
        <v>106</v>
      </c>
      <c r="D216" s="1538"/>
      <c r="E216" s="1538"/>
      <c r="F216" s="1538"/>
      <c r="G216" s="1538"/>
      <c r="H216" s="1538"/>
      <c r="I216" s="1538"/>
      <c r="J216" s="1538"/>
      <c r="K216" s="1538"/>
      <c r="L216" s="1538"/>
      <c r="M216" s="1538"/>
      <c r="N216" s="1538"/>
      <c r="O216" s="1538"/>
      <c r="P216" s="1538"/>
      <c r="Q216" s="1538"/>
      <c r="R216" s="1538"/>
      <c r="S216" s="1538"/>
      <c r="T216" s="1538"/>
      <c r="U216" s="1538"/>
      <c r="V216" s="1538"/>
      <c r="W216" s="1538"/>
      <c r="AA216" s="1708"/>
      <c r="AB216" s="1708"/>
      <c r="AC216" s="1708"/>
      <c r="AD216" s="1708"/>
      <c r="AE216" s="1559"/>
      <c r="AF216" s="1559"/>
      <c r="AG216" s="2920"/>
      <c r="AH216" s="2920"/>
      <c r="AI216" s="2920"/>
    </row>
    <row r="217" spans="1:35" s="1711" customFormat="1">
      <c r="A217" s="1709" t="s">
        <v>995</v>
      </c>
      <c r="B217" s="1710"/>
      <c r="C217" s="1558" t="s">
        <v>1418</v>
      </c>
      <c r="D217" s="1711" t="s">
        <v>1177</v>
      </c>
      <c r="E217" s="1711" t="s">
        <v>1177</v>
      </c>
      <c r="F217" s="1711" t="s">
        <v>1177</v>
      </c>
      <c r="G217" s="1711" t="s">
        <v>1177</v>
      </c>
      <c r="H217" s="1711" t="s">
        <v>1177</v>
      </c>
      <c r="I217" s="1712" t="str">
        <f t="shared" ref="I217:O217" si="20">IF(StartYr&lt;I220,"Y","N")</f>
        <v>Y</v>
      </c>
      <c r="J217" s="1712" t="str">
        <f t="shared" si="20"/>
        <v>Y</v>
      </c>
      <c r="K217" s="1712" t="str">
        <f t="shared" si="20"/>
        <v>Y</v>
      </c>
      <c r="L217" s="1712" t="str">
        <f t="shared" si="20"/>
        <v>Y</v>
      </c>
      <c r="M217" s="1712" t="str">
        <f t="shared" si="20"/>
        <v>Y</v>
      </c>
      <c r="N217" s="1712" t="str">
        <f t="shared" si="20"/>
        <v>Y</v>
      </c>
      <c r="O217" s="1712" t="str">
        <f t="shared" si="20"/>
        <v>Y</v>
      </c>
      <c r="P217" s="1712" t="str">
        <f>IF(StartYr&lt;P220,"Y","N")</f>
        <v>Y</v>
      </c>
      <c r="Q217" s="1712" t="str">
        <f t="shared" ref="Q217:V217" si="21">IF(StartYr&lt;Q220,"Y","N")</f>
        <v>Y</v>
      </c>
      <c r="R217" s="1712" t="str">
        <f t="shared" si="21"/>
        <v>Y</v>
      </c>
      <c r="S217" s="1712" t="str">
        <f>IF(StartYr&lt;S220,"Y","N")</f>
        <v>Y</v>
      </c>
      <c r="T217" s="1712" t="str">
        <f>IF(StartYr&lt;T220,"Y","N")</f>
        <v>Y</v>
      </c>
      <c r="U217" s="1712" t="str">
        <f t="shared" si="21"/>
        <v>Y</v>
      </c>
      <c r="V217" s="1712" t="str">
        <f t="shared" si="21"/>
        <v>Y</v>
      </c>
      <c r="W217" s="1712"/>
      <c r="AA217" s="1713"/>
      <c r="AB217" s="1713"/>
      <c r="AC217" s="1713"/>
      <c r="AD217" s="1713"/>
      <c r="AE217" s="1708"/>
      <c r="AF217" s="1708"/>
      <c r="AG217" s="2948"/>
      <c r="AH217" s="2948"/>
      <c r="AI217" s="2948"/>
    </row>
    <row r="218" spans="1:35" s="1711" customFormat="1">
      <c r="A218" s="1714" t="s">
        <v>996</v>
      </c>
      <c r="B218" s="1710"/>
      <c r="C218" s="1558" t="s">
        <v>1417</v>
      </c>
      <c r="I218" s="1715">
        <f>IF(StartYr&lt;I220,'Tax Incentives'!$D$17,0)</f>
        <v>0.3</v>
      </c>
      <c r="J218" s="1715">
        <f>IF(StartYr&lt;J220,'Tax Incentives'!$G$17,'Tax Incentives'!$G$11)</f>
        <v>0.3</v>
      </c>
      <c r="K218" s="1715">
        <f>IF(StartYr&lt;K220,'Tax Incentives'!$G$17,'Tax Incentives'!$G$11)</f>
        <v>0.3</v>
      </c>
      <c r="L218" s="1715">
        <f>IF(StartYr&lt;L220,'Tax Incentives'!$J$17,10%)</f>
        <v>0.3</v>
      </c>
      <c r="M218" s="1715">
        <f>IF(StartYr&lt;M220,'Tax Incentives'!$J$17,10%)</f>
        <v>0.3</v>
      </c>
      <c r="N218" s="1715">
        <f>IF(StartYr&lt;N220,'Tax Incentives'!$J$17,10%)</f>
        <v>0.3</v>
      </c>
      <c r="O218" s="1715">
        <f>IF(StartYr&lt;O220,'Tax Incentives'!$J$17,10%)</f>
        <v>0.3</v>
      </c>
      <c r="P218" s="1715">
        <f>IF(StartYr&lt;P220,'Tax Incentives'!$J$17,10%)</f>
        <v>0.3</v>
      </c>
      <c r="Q218" s="1715">
        <v>0.3</v>
      </c>
      <c r="R218" s="1715">
        <v>0.3</v>
      </c>
      <c r="S218" s="1715">
        <v>0.3</v>
      </c>
      <c r="T218" s="1715">
        <v>0.3</v>
      </c>
      <c r="U218" s="1715">
        <v>0.3</v>
      </c>
      <c r="V218" s="1715">
        <v>0.3</v>
      </c>
      <c r="W218" s="1715"/>
      <c r="AA218" s="1716"/>
      <c r="AB218" s="1716"/>
      <c r="AC218" s="1716"/>
      <c r="AD218" s="1716"/>
      <c r="AE218" s="1713"/>
      <c r="AF218" s="1713"/>
      <c r="AG218" s="2949"/>
      <c r="AH218" s="2949"/>
      <c r="AI218" s="2949"/>
    </row>
    <row r="219" spans="1:35" s="1711" customFormat="1">
      <c r="A219" s="1714" t="s">
        <v>49</v>
      </c>
      <c r="B219" s="1710"/>
      <c r="C219" s="1558" t="s">
        <v>48</v>
      </c>
      <c r="I219" s="1715">
        <f t="shared" ref="I219:V219" si="22">0.5*I218</f>
        <v>0.15</v>
      </c>
      <c r="J219" s="1715">
        <f t="shared" si="22"/>
        <v>0.15</v>
      </c>
      <c r="K219" s="1715">
        <f t="shared" si="22"/>
        <v>0.15</v>
      </c>
      <c r="L219" s="1715">
        <f t="shared" si="22"/>
        <v>0.15</v>
      </c>
      <c r="M219" s="1715">
        <f t="shared" si="22"/>
        <v>0.15</v>
      </c>
      <c r="N219" s="1715">
        <f t="shared" si="22"/>
        <v>0.15</v>
      </c>
      <c r="O219" s="1715">
        <f t="shared" si="22"/>
        <v>0.15</v>
      </c>
      <c r="P219" s="1715">
        <f t="shared" si="22"/>
        <v>0.15</v>
      </c>
      <c r="Q219" s="1715">
        <f t="shared" si="22"/>
        <v>0.15</v>
      </c>
      <c r="R219" s="1715">
        <f t="shared" si="22"/>
        <v>0.15</v>
      </c>
      <c r="S219" s="1715">
        <f t="shared" si="22"/>
        <v>0.15</v>
      </c>
      <c r="T219" s="1715">
        <f t="shared" si="22"/>
        <v>0.15</v>
      </c>
      <c r="U219" s="1715">
        <f t="shared" si="22"/>
        <v>0.15</v>
      </c>
      <c r="V219" s="1715">
        <f t="shared" si="22"/>
        <v>0.15</v>
      </c>
      <c r="W219" s="1715"/>
      <c r="AA219" s="1716"/>
      <c r="AB219" s="1716"/>
      <c r="AC219" s="1716"/>
      <c r="AD219" s="1716"/>
      <c r="AE219" s="1713"/>
      <c r="AF219" s="1713"/>
      <c r="AG219" s="2949"/>
      <c r="AH219" s="2949"/>
      <c r="AI219" s="2949"/>
    </row>
    <row r="220" spans="1:35" s="1995" customFormat="1">
      <c r="A220" s="1992" t="s">
        <v>45</v>
      </c>
      <c r="B220" s="1993"/>
      <c r="C220" s="1994" t="s">
        <v>44</v>
      </c>
      <c r="I220" s="4159">
        <v>2030</v>
      </c>
      <c r="J220" s="4159">
        <v>2030</v>
      </c>
      <c r="K220" s="4159">
        <v>2030</v>
      </c>
      <c r="L220" s="4159">
        <v>2030</v>
      </c>
      <c r="M220" s="4159">
        <v>2030</v>
      </c>
      <c r="N220" s="4159">
        <v>2030</v>
      </c>
      <c r="O220" s="4159">
        <v>2030</v>
      </c>
      <c r="P220" s="4159">
        <v>2030</v>
      </c>
      <c r="Q220" s="4159">
        <v>2030</v>
      </c>
      <c r="R220" s="4159">
        <v>2030</v>
      </c>
      <c r="S220" s="4159">
        <v>2030</v>
      </c>
      <c r="T220" s="4159">
        <v>2030</v>
      </c>
      <c r="U220" s="4159">
        <v>2030</v>
      </c>
      <c r="V220" s="4159">
        <v>2030</v>
      </c>
      <c r="W220" s="4158"/>
      <c r="AA220" s="1997"/>
      <c r="AB220" s="1997"/>
      <c r="AC220" s="1997"/>
      <c r="AD220" s="1997"/>
      <c r="AE220" s="1998"/>
      <c r="AF220" s="1998"/>
      <c r="AG220" s="2950"/>
      <c r="AH220" s="2950"/>
      <c r="AI220" s="2950"/>
    </row>
    <row r="221" spans="1:35" s="2336" customFormat="1">
      <c r="A221" s="1992" t="s">
        <v>1643</v>
      </c>
      <c r="B221" s="1993"/>
      <c r="C221" s="1994" t="s">
        <v>1644</v>
      </c>
      <c r="D221" s="4054"/>
      <c r="E221" s="4054"/>
      <c r="F221" s="4054"/>
      <c r="G221" s="4054"/>
      <c r="H221" s="4052"/>
      <c r="I221" s="3834">
        <v>0.9</v>
      </c>
      <c r="J221" s="3834">
        <v>0.9</v>
      </c>
      <c r="K221" s="3834">
        <v>0.9</v>
      </c>
      <c r="L221" s="3834">
        <v>0.9</v>
      </c>
      <c r="M221" s="3834">
        <v>0.9</v>
      </c>
      <c r="N221" s="3834">
        <v>0.9</v>
      </c>
      <c r="O221" s="3834">
        <v>0.9</v>
      </c>
      <c r="P221" s="3834">
        <v>0.9</v>
      </c>
      <c r="Q221" s="3834">
        <v>0.9</v>
      </c>
      <c r="R221" s="3834">
        <v>0.9</v>
      </c>
      <c r="S221" s="3834">
        <v>0.9</v>
      </c>
      <c r="T221" s="3834">
        <v>0.9</v>
      </c>
      <c r="U221" s="3834">
        <v>0.75</v>
      </c>
      <c r="V221" s="3834">
        <v>0.75</v>
      </c>
      <c r="W221" s="896"/>
      <c r="AG221" s="4253"/>
      <c r="AH221" s="4253"/>
      <c r="AI221" s="4253"/>
    </row>
    <row r="222" spans="1:35" s="1538" customFormat="1">
      <c r="A222" s="1709" t="s">
        <v>1204</v>
      </c>
      <c r="B222" s="1710"/>
      <c r="C222" s="2493" t="s">
        <v>1132</v>
      </c>
      <c r="D222" s="1538" t="s">
        <v>1177</v>
      </c>
      <c r="E222" s="1538" t="s">
        <v>1177</v>
      </c>
      <c r="F222" s="1538" t="s">
        <v>1177</v>
      </c>
      <c r="G222" s="1538" t="s">
        <v>1177</v>
      </c>
      <c r="H222" s="1538" t="s">
        <v>1177</v>
      </c>
      <c r="I222" s="1717" t="str">
        <f>IF(StartYr&lt;I226,"Y","N")</f>
        <v>Y</v>
      </c>
      <c r="J222" s="1717" t="str">
        <f>IF(StartYr&lt;J226,"Y","N")</f>
        <v>Y</v>
      </c>
      <c r="K222" s="1717" t="str">
        <f>IF(StartYr&lt;K226,"Y","N")</f>
        <v>Y</v>
      </c>
      <c r="L222" s="1717" t="s">
        <v>1177</v>
      </c>
      <c r="M222" s="1717" t="s">
        <v>1177</v>
      </c>
      <c r="N222" s="1717" t="s">
        <v>1177</v>
      </c>
      <c r="O222" s="1717" t="s">
        <v>1177</v>
      </c>
      <c r="P222" s="1717" t="s">
        <v>1177</v>
      </c>
      <c r="Q222" s="1717" t="s">
        <v>1177</v>
      </c>
      <c r="R222" s="1717" t="s">
        <v>1177</v>
      </c>
      <c r="S222" s="1717" t="s">
        <v>1177</v>
      </c>
      <c r="T222" s="1717" t="s">
        <v>1177</v>
      </c>
      <c r="U222" s="1717" t="str">
        <f>IF(StartYr&lt;U226,"Y","N")</f>
        <v>Y</v>
      </c>
      <c r="V222" s="1717" t="str">
        <f>IF(StartYr&lt;V226,"Y","N")</f>
        <v>Y</v>
      </c>
      <c r="W222" s="1717"/>
      <c r="AA222" s="1716"/>
      <c r="AB222" s="1716"/>
      <c r="AC222" s="1716"/>
      <c r="AD222" s="1716"/>
      <c r="AE222" s="1716"/>
      <c r="AF222" s="1716"/>
      <c r="AG222" s="2951"/>
      <c r="AH222" s="2951"/>
      <c r="AI222" s="2951"/>
    </row>
    <row r="223" spans="1:35" s="1538" customFormat="1">
      <c r="A223" s="1709" t="s">
        <v>1205</v>
      </c>
      <c r="B223" s="1710"/>
      <c r="C223" s="1558" t="s">
        <v>34</v>
      </c>
      <c r="I223" s="1930">
        <f>ROUND('Tax Incentives'!$D$5/1000,3)</f>
        <v>0.01</v>
      </c>
      <c r="J223" s="1952">
        <f>ROUND('Tax Incentives'!$G$5/1000,3)</f>
        <v>2.1000000000000001E-2</v>
      </c>
      <c r="K223" s="1952">
        <f>ROUND('Tax Incentives'!$G$5/1000,3)</f>
        <v>2.1000000000000001E-2</v>
      </c>
      <c r="L223" s="1717"/>
      <c r="M223" s="1717"/>
      <c r="N223" s="1717"/>
      <c r="O223" s="1717"/>
      <c r="P223" s="1717"/>
      <c r="Q223" s="1717"/>
      <c r="R223" s="1717"/>
      <c r="S223" s="1717"/>
      <c r="T223" s="1717"/>
      <c r="U223" s="1717">
        <v>2.1000000000000001E-2</v>
      </c>
      <c r="V223" s="1717">
        <v>2.1000000000000001E-2</v>
      </c>
      <c r="W223" s="1717"/>
      <c r="AA223" s="1716"/>
      <c r="AB223" s="1716"/>
      <c r="AC223" s="1716"/>
      <c r="AD223" s="1716"/>
      <c r="AE223" s="1716"/>
      <c r="AF223" s="1716"/>
      <c r="AG223" s="2951"/>
      <c r="AH223" s="2951"/>
      <c r="AI223" s="2951"/>
    </row>
    <row r="224" spans="1:35" s="1538" customFormat="1">
      <c r="A224" s="1709" t="s">
        <v>1209</v>
      </c>
      <c r="B224" s="1710"/>
      <c r="C224" s="1558" t="s">
        <v>1210</v>
      </c>
      <c r="I224" s="1717">
        <v>2008</v>
      </c>
      <c r="J224" s="1717">
        <v>2008</v>
      </c>
      <c r="K224" s="1717">
        <v>2008</v>
      </c>
      <c r="L224" s="1717"/>
      <c r="M224" s="1717"/>
      <c r="N224" s="1717"/>
      <c r="O224" s="1717"/>
      <c r="P224" s="1717"/>
      <c r="Q224" s="1717"/>
      <c r="R224" s="1717"/>
      <c r="S224" s="1717"/>
      <c r="T224" s="1717"/>
      <c r="U224" s="1717">
        <v>2008</v>
      </c>
      <c r="V224" s="1717">
        <v>2008</v>
      </c>
      <c r="W224" s="1717"/>
      <c r="AA224" s="1716"/>
      <c r="AB224" s="1716"/>
      <c r="AC224" s="1716"/>
      <c r="AD224" s="1716"/>
      <c r="AE224" s="1716"/>
      <c r="AF224" s="1716"/>
      <c r="AG224" s="2951"/>
      <c r="AH224" s="2951"/>
      <c r="AI224" s="2951"/>
    </row>
    <row r="225" spans="1:35" s="1538" customFormat="1">
      <c r="A225" s="1709" t="s">
        <v>1206</v>
      </c>
      <c r="B225" s="1710"/>
      <c r="C225" s="1558" t="s">
        <v>1134</v>
      </c>
      <c r="I225" s="1717">
        <v>10</v>
      </c>
      <c r="J225" s="1717">
        <v>10</v>
      </c>
      <c r="K225" s="1717">
        <v>10</v>
      </c>
      <c r="L225" s="1717"/>
      <c r="M225" s="1717"/>
      <c r="N225" s="1717"/>
      <c r="O225" s="1717"/>
      <c r="P225" s="1717"/>
      <c r="Q225" s="1717"/>
      <c r="R225" s="1717"/>
      <c r="S225" s="1717"/>
      <c r="T225" s="1717"/>
      <c r="U225" s="1717">
        <v>10</v>
      </c>
      <c r="V225" s="1717">
        <v>10</v>
      </c>
      <c r="W225" s="1717"/>
      <c r="AA225" s="1716"/>
      <c r="AB225" s="1716"/>
      <c r="AC225" s="1716"/>
      <c r="AD225" s="1716"/>
      <c r="AE225" s="1716"/>
      <c r="AF225" s="1716"/>
      <c r="AG225" s="2951"/>
      <c r="AH225" s="2951"/>
      <c r="AI225" s="2951"/>
    </row>
    <row r="226" spans="1:35" s="1585" customFormat="1">
      <c r="A226" s="1999" t="s">
        <v>43</v>
      </c>
      <c r="B226" s="1993"/>
      <c r="C226" s="1994" t="s">
        <v>42</v>
      </c>
      <c r="I226" s="2000">
        <f>'Tax Incentives'!$D$8+COUNTIF(I25:I30,"&gt;0")</f>
        <v>2017</v>
      </c>
      <c r="J226" s="2000">
        <f>'Tax Incentives'!$G$8</f>
        <v>2014</v>
      </c>
      <c r="K226" s="2000">
        <f>'Tax Incentives'!$G$8</f>
        <v>2014</v>
      </c>
      <c r="L226" s="2000"/>
      <c r="M226" s="2000"/>
      <c r="N226" s="2000"/>
      <c r="O226" s="2000"/>
      <c r="P226" s="2000"/>
      <c r="Q226" s="2000"/>
      <c r="R226" s="2000"/>
      <c r="S226" s="2000"/>
      <c r="T226" s="2000"/>
      <c r="U226" s="2000">
        <v>2016</v>
      </c>
      <c r="V226" s="2000">
        <v>2016</v>
      </c>
      <c r="W226" s="2000"/>
      <c r="AA226" s="1997"/>
      <c r="AB226" s="1997"/>
      <c r="AC226" s="1997"/>
      <c r="AD226" s="1997"/>
      <c r="AE226" s="1997"/>
      <c r="AF226" s="1997"/>
      <c r="AG226" s="2952"/>
      <c r="AH226" s="2952"/>
      <c r="AI226" s="2952"/>
    </row>
    <row r="227" spans="1:35" s="1538" customFormat="1">
      <c r="A227" s="1709" t="s">
        <v>475</v>
      </c>
      <c r="B227" s="1710" t="s">
        <v>919</v>
      </c>
      <c r="C227" s="1558" t="s">
        <v>919</v>
      </c>
      <c r="D227" s="1538" t="s">
        <v>1177</v>
      </c>
      <c r="E227" s="1538" t="s">
        <v>1177</v>
      </c>
      <c r="F227" s="1538" t="s">
        <v>1177</v>
      </c>
      <c r="G227" s="1538" t="s">
        <v>1177</v>
      </c>
      <c r="H227" s="1538" t="s">
        <v>1177</v>
      </c>
      <c r="I227" s="1717" t="s">
        <v>1177</v>
      </c>
      <c r="J227" s="1712" t="s">
        <v>1177</v>
      </c>
      <c r="K227" s="1712" t="s">
        <v>1177</v>
      </c>
      <c r="L227" s="1717" t="s">
        <v>1177</v>
      </c>
      <c r="M227" s="1717" t="s">
        <v>1177</v>
      </c>
      <c r="N227" s="1717" t="s">
        <v>1177</v>
      </c>
      <c r="O227" s="1717" t="s">
        <v>1177</v>
      </c>
      <c r="P227" s="1717" t="s">
        <v>1177</v>
      </c>
      <c r="Q227" s="1717" t="s">
        <v>1177</v>
      </c>
      <c r="R227" s="1717" t="s">
        <v>1177</v>
      </c>
      <c r="S227" s="1717" t="s">
        <v>1177</v>
      </c>
      <c r="T227" s="1717" t="s">
        <v>1177</v>
      </c>
      <c r="U227" s="1717" t="s">
        <v>1177</v>
      </c>
      <c r="V227" s="1717" t="s">
        <v>1177</v>
      </c>
      <c r="W227" s="1717"/>
      <c r="AA227" s="1716"/>
      <c r="AB227" s="1716"/>
      <c r="AC227" s="1716"/>
      <c r="AD227" s="1716"/>
      <c r="AE227" s="1716"/>
      <c r="AF227" s="1716"/>
      <c r="AG227" s="2951"/>
      <c r="AH227" s="2951"/>
      <c r="AI227" s="2951"/>
    </row>
    <row r="228" spans="1:35" s="1538" customFormat="1">
      <c r="A228" s="1709" t="s">
        <v>1136</v>
      </c>
      <c r="B228" s="1710"/>
      <c r="C228" s="1558" t="s">
        <v>476</v>
      </c>
      <c r="D228" s="1538" t="s">
        <v>1177</v>
      </c>
      <c r="E228" s="1538" t="s">
        <v>1177</v>
      </c>
      <c r="F228" s="1538" t="s">
        <v>1177</v>
      </c>
      <c r="G228" s="1538" t="s">
        <v>1177</v>
      </c>
      <c r="H228" s="1538" t="s">
        <v>1177</v>
      </c>
      <c r="I228" s="1717" t="s">
        <v>1177</v>
      </c>
      <c r="J228" s="1717" t="s">
        <v>1177</v>
      </c>
      <c r="K228" s="1717" t="s">
        <v>1177</v>
      </c>
      <c r="L228" s="1717" t="s">
        <v>1177</v>
      </c>
      <c r="M228" s="1717" t="s">
        <v>1177</v>
      </c>
      <c r="N228" s="1717" t="s">
        <v>1177</v>
      </c>
      <c r="O228" s="1717" t="s">
        <v>1177</v>
      </c>
      <c r="P228" s="1717" t="s">
        <v>1177</v>
      </c>
      <c r="Q228" s="1717" t="s">
        <v>1177</v>
      </c>
      <c r="R228" s="1717" t="s">
        <v>1177</v>
      </c>
      <c r="S228" s="1717" t="s">
        <v>1177</v>
      </c>
      <c r="T228" s="1717" t="s">
        <v>1177</v>
      </c>
      <c r="U228" s="1717" t="s">
        <v>1177</v>
      </c>
      <c r="V228" s="1717" t="s">
        <v>1177</v>
      </c>
      <c r="W228" s="1717"/>
      <c r="AA228" s="1716"/>
      <c r="AB228" s="1716"/>
      <c r="AC228" s="1716"/>
      <c r="AD228" s="1716"/>
      <c r="AE228" s="1716"/>
      <c r="AF228" s="1716"/>
      <c r="AG228" s="2951"/>
      <c r="AH228" s="2951"/>
      <c r="AI228" s="2951"/>
    </row>
    <row r="229" spans="1:35" s="1538" customFormat="1">
      <c r="A229" s="1709" t="s">
        <v>1007</v>
      </c>
      <c r="B229" s="1710"/>
      <c r="C229" s="1558" t="s">
        <v>101</v>
      </c>
      <c r="I229" s="1717"/>
      <c r="J229" s="1789">
        <v>0.15</v>
      </c>
      <c r="K229" s="1789">
        <v>0.15</v>
      </c>
      <c r="L229" s="1717"/>
      <c r="M229" s="1717"/>
      <c r="N229" s="1717"/>
      <c r="O229" s="1717"/>
      <c r="P229" s="1717"/>
      <c r="Q229" s="1717"/>
      <c r="R229" s="1717"/>
      <c r="S229" s="1717"/>
      <c r="T229" s="1717"/>
      <c r="U229" s="1717"/>
      <c r="V229" s="1717"/>
      <c r="W229" s="1717"/>
      <c r="AA229" s="1716"/>
      <c r="AB229" s="1716"/>
      <c r="AC229" s="1716"/>
      <c r="AD229" s="1716"/>
      <c r="AE229" s="1716"/>
      <c r="AF229" s="1716"/>
      <c r="AG229" s="2951"/>
      <c r="AH229" s="2951"/>
      <c r="AI229" s="2951"/>
    </row>
    <row r="230" spans="1:35" s="1538" customFormat="1">
      <c r="A230" s="1709" t="s">
        <v>1006</v>
      </c>
      <c r="B230" s="1710"/>
      <c r="C230" s="1558" t="s">
        <v>102</v>
      </c>
      <c r="I230" s="1717"/>
      <c r="J230" s="1789">
        <v>0.5</v>
      </c>
      <c r="K230" s="1789">
        <v>0.5</v>
      </c>
      <c r="L230" s="1717"/>
      <c r="M230" s="1717"/>
      <c r="N230" s="1717"/>
      <c r="O230" s="1717"/>
      <c r="P230" s="1717"/>
      <c r="Q230" s="1717"/>
      <c r="R230" s="1717"/>
      <c r="S230" s="1717"/>
      <c r="T230" s="1717"/>
      <c r="U230" s="1717"/>
      <c r="V230" s="1717"/>
      <c r="W230" s="1717"/>
      <c r="AA230" s="1716"/>
      <c r="AB230" s="1716"/>
      <c r="AC230" s="1716"/>
      <c r="AD230" s="1716"/>
      <c r="AE230" s="1716"/>
      <c r="AF230" s="1716"/>
      <c r="AG230" s="2951"/>
      <c r="AH230" s="2951"/>
      <c r="AI230" s="2951"/>
    </row>
    <row r="231" spans="1:35" s="1538" customFormat="1">
      <c r="A231" s="1709" t="s">
        <v>1214</v>
      </c>
      <c r="B231" s="1710"/>
      <c r="C231" s="1558" t="s">
        <v>1213</v>
      </c>
      <c r="I231" s="1717">
        <v>2</v>
      </c>
      <c r="J231" s="1717">
        <v>1</v>
      </c>
      <c r="K231" s="1717">
        <v>1</v>
      </c>
      <c r="L231" s="1717">
        <v>1</v>
      </c>
      <c r="M231" s="1717">
        <v>1</v>
      </c>
      <c r="N231" s="1717">
        <v>1</v>
      </c>
      <c r="O231" s="1717">
        <v>1</v>
      </c>
      <c r="P231" s="1717">
        <v>1</v>
      </c>
      <c r="Q231" s="1717">
        <v>1</v>
      </c>
      <c r="R231" s="1717">
        <v>1</v>
      </c>
      <c r="S231" s="1717">
        <v>1</v>
      </c>
      <c r="T231" s="1717">
        <v>1</v>
      </c>
      <c r="U231" s="1717">
        <v>1</v>
      </c>
      <c r="V231" s="1717">
        <v>1</v>
      </c>
      <c r="W231" s="1717"/>
      <c r="AA231" s="1716"/>
      <c r="AB231" s="1716"/>
      <c r="AC231" s="1716"/>
      <c r="AD231" s="1716"/>
      <c r="AE231" s="1716"/>
      <c r="AF231" s="1716"/>
      <c r="AG231" s="2951"/>
      <c r="AH231" s="2951"/>
      <c r="AI231" s="2951"/>
    </row>
    <row r="232" spans="1:35" s="1565" customFormat="1">
      <c r="A232" s="1709" t="s">
        <v>130</v>
      </c>
      <c r="B232" s="1718"/>
      <c r="C232" s="1558" t="s">
        <v>130</v>
      </c>
      <c r="D232" s="1538"/>
      <c r="E232" s="1538"/>
      <c r="F232" s="1538"/>
      <c r="G232" s="1538"/>
      <c r="H232" s="1538"/>
      <c r="I232" s="2971">
        <f>IF(StartYr&lt;I235,ROUND('Tax Incentives'!$C$5/1000,3),0)</f>
        <v>2.1000000000000001E-2</v>
      </c>
      <c r="J232" s="2971">
        <f>IF(StartYr&lt;J235,ROUND('Tax Incentives'!$C$5/1000,3),0)</f>
        <v>2.1000000000000001E-2</v>
      </c>
      <c r="K232" s="2971">
        <f>IF(StartYr&lt;K235,ROUND('Tax Incentives'!$C$5/1000,3),0)</f>
        <v>2.1000000000000001E-2</v>
      </c>
      <c r="L232" s="2971">
        <f>IF(StartYr&lt;L235,ROUND('Tax Incentives'!$C$5/1000,3),0)</f>
        <v>2.1000000000000001E-2</v>
      </c>
      <c r="M232" s="2971">
        <f>IF(StartYr&lt;M235,ROUND('Tax Incentives'!$C$5/1000,3),0)</f>
        <v>2.1000000000000001E-2</v>
      </c>
      <c r="N232" s="2971">
        <f>IF(StartYr&lt;N235,ROUND('Tax Incentives'!$C$5/1000,3),0)</f>
        <v>2.1000000000000001E-2</v>
      </c>
      <c r="O232" s="2971">
        <f>IF(StartYr&lt;O235,ROUND('Tax Incentives'!$C$5/1000,3),0)</f>
        <v>2.1000000000000001E-2</v>
      </c>
      <c r="P232" s="2971">
        <f>IF(StartYr&lt;P235,ROUND('Tax Incentives'!$C$5/1000,3),0)</f>
        <v>2.1000000000000001E-2</v>
      </c>
      <c r="Q232" s="2971">
        <v>2.1000000000000001E-2</v>
      </c>
      <c r="R232" s="2971">
        <v>2.1000000000000001E-2</v>
      </c>
      <c r="S232" s="2971">
        <v>2.1000000000000001E-2</v>
      </c>
      <c r="T232" s="2971">
        <v>2.1000000000000001E-2</v>
      </c>
      <c r="U232" s="2971">
        <v>2.1000000000000001E-2</v>
      </c>
      <c r="V232" s="2971">
        <v>2.1000000000000001E-2</v>
      </c>
      <c r="W232" s="1717"/>
      <c r="AA232" s="1716"/>
      <c r="AB232" s="1716"/>
      <c r="AC232" s="1716"/>
      <c r="AD232" s="1716"/>
      <c r="AE232" s="1716"/>
      <c r="AF232" s="1716"/>
      <c r="AG232" s="2953"/>
      <c r="AH232" s="2953"/>
      <c r="AI232" s="2953"/>
    </row>
    <row r="233" spans="1:35" s="1565" customFormat="1">
      <c r="A233" s="1557" t="s">
        <v>1211</v>
      </c>
      <c r="B233" s="1718"/>
      <c r="C233" s="1558" t="s">
        <v>1212</v>
      </c>
      <c r="D233" s="1538"/>
      <c r="E233" s="1538"/>
      <c r="F233" s="1538"/>
      <c r="G233" s="1538"/>
      <c r="H233" s="1538"/>
      <c r="I233" s="1717">
        <v>2008</v>
      </c>
      <c r="J233" s="1717">
        <v>2008</v>
      </c>
      <c r="K233" s="1717">
        <v>2008</v>
      </c>
      <c r="L233" s="1717">
        <v>2008</v>
      </c>
      <c r="M233" s="1717">
        <v>2008</v>
      </c>
      <c r="N233" s="1717">
        <v>2008</v>
      </c>
      <c r="O233" s="1717">
        <v>2008</v>
      </c>
      <c r="P233" s="1717">
        <v>2008</v>
      </c>
      <c r="Q233" s="1717">
        <v>2008</v>
      </c>
      <c r="R233" s="1717">
        <v>2008</v>
      </c>
      <c r="S233" s="1717">
        <v>2008</v>
      </c>
      <c r="T233" s="1717">
        <v>2008</v>
      </c>
      <c r="U233" s="1717">
        <v>2008</v>
      </c>
      <c r="V233" s="1717">
        <v>2008</v>
      </c>
      <c r="W233" s="1717"/>
      <c r="AA233" s="1716"/>
      <c r="AB233" s="1716"/>
      <c r="AC233" s="1716"/>
      <c r="AD233" s="1716"/>
      <c r="AE233" s="1716"/>
      <c r="AF233" s="1716"/>
      <c r="AG233" s="2951"/>
      <c r="AH233" s="2951"/>
      <c r="AI233" s="2951"/>
    </row>
    <row r="234" spans="1:35" s="1565" customFormat="1">
      <c r="A234" s="1709" t="s">
        <v>1001</v>
      </c>
      <c r="B234" s="1718"/>
      <c r="C234" s="1558" t="s">
        <v>1002</v>
      </c>
      <c r="D234" s="1538"/>
      <c r="E234" s="1538"/>
      <c r="F234" s="1538"/>
      <c r="G234" s="1538"/>
      <c r="H234" s="1538"/>
      <c r="I234" s="1717">
        <v>10</v>
      </c>
      <c r="J234" s="1717">
        <v>10</v>
      </c>
      <c r="K234" s="1717">
        <v>10</v>
      </c>
      <c r="L234" s="1717">
        <v>10</v>
      </c>
      <c r="M234" s="1717">
        <v>10</v>
      </c>
      <c r="N234" s="1717">
        <v>10</v>
      </c>
      <c r="O234" s="1717">
        <v>10</v>
      </c>
      <c r="P234" s="1717">
        <v>10</v>
      </c>
      <c r="Q234" s="1717">
        <v>10</v>
      </c>
      <c r="R234" s="1717">
        <v>10</v>
      </c>
      <c r="S234" s="1717">
        <v>10</v>
      </c>
      <c r="T234" s="1717">
        <v>10</v>
      </c>
      <c r="U234" s="1717">
        <v>10</v>
      </c>
      <c r="V234" s="1717">
        <v>10</v>
      </c>
      <c r="W234" s="1717"/>
      <c r="AA234" s="1559"/>
      <c r="AB234" s="1559"/>
      <c r="AC234" s="1559"/>
      <c r="AD234" s="1559"/>
      <c r="AE234" s="1716"/>
      <c r="AF234" s="1716"/>
      <c r="AG234" s="2951"/>
      <c r="AH234" s="2951"/>
      <c r="AI234" s="2951"/>
    </row>
    <row r="235" spans="1:35" s="1603" customFormat="1">
      <c r="A235" s="1999" t="s">
        <v>47</v>
      </c>
      <c r="B235" s="2001"/>
      <c r="C235" s="1994" t="s">
        <v>46</v>
      </c>
      <c r="D235" s="1585"/>
      <c r="E235" s="1585"/>
      <c r="F235" s="1585"/>
      <c r="G235" s="1585"/>
      <c r="H235" s="1585"/>
      <c r="I235" s="2000">
        <f>'Tax Incentives'!$D$24</f>
        <v>2027</v>
      </c>
      <c r="J235" s="2000">
        <f>'Tax Incentives'!$G$24</f>
        <v>2027</v>
      </c>
      <c r="K235" s="2000">
        <f>'Tax Incentives'!$G$24</f>
        <v>2027</v>
      </c>
      <c r="L235" s="2000">
        <f>'Tax Incentives'!$J$24</f>
        <v>2027</v>
      </c>
      <c r="M235" s="2000">
        <f>'Tax Incentives'!$J$24</f>
        <v>2027</v>
      </c>
      <c r="N235" s="2000">
        <f>'Tax Incentives'!$J$24</f>
        <v>2027</v>
      </c>
      <c r="O235" s="2000">
        <f>'Tax Incentives'!$J$24</f>
        <v>2027</v>
      </c>
      <c r="P235" s="2000">
        <f>'Tax Incentives'!$J$24</f>
        <v>2027</v>
      </c>
      <c r="Q235" s="2000">
        <v>2027</v>
      </c>
      <c r="R235" s="2000">
        <v>2027</v>
      </c>
      <c r="S235" s="2000">
        <v>2027</v>
      </c>
      <c r="T235" s="2000">
        <v>2027</v>
      </c>
      <c r="U235" s="2000">
        <v>2027</v>
      </c>
      <c r="V235" s="2000">
        <v>2027</v>
      </c>
      <c r="W235" s="2000"/>
      <c r="AA235" s="1604"/>
      <c r="AB235" s="1604"/>
      <c r="AC235" s="1604"/>
      <c r="AD235" s="1604"/>
      <c r="AE235" s="1997"/>
      <c r="AF235" s="1997"/>
      <c r="AG235" s="2952"/>
      <c r="AH235" s="2952"/>
      <c r="AI235" s="2952"/>
    </row>
    <row r="236" spans="1:35" s="1565" customFormat="1">
      <c r="A236" s="1719" t="s">
        <v>536</v>
      </c>
      <c r="B236" s="1720"/>
      <c r="C236" s="2497" t="s">
        <v>1656</v>
      </c>
      <c r="D236" s="1538"/>
      <c r="E236" s="1538"/>
      <c r="F236" s="1538"/>
      <c r="G236" s="1538"/>
      <c r="H236" s="1538"/>
      <c r="I236" s="1538"/>
      <c r="J236" s="1538"/>
      <c r="K236" s="1538"/>
      <c r="L236" s="1789">
        <f>IF(StartYr&lt;L238,0.55,0)</f>
        <v>0.55000000000000004</v>
      </c>
      <c r="M236" s="1789">
        <f>IF(StartYr&lt;M238,0.9,0)</f>
        <v>0.9</v>
      </c>
      <c r="N236" s="1789">
        <f>IF(StartYr&lt;N238,0.55,0)</f>
        <v>0.55000000000000004</v>
      </c>
      <c r="O236" s="1789">
        <f t="shared" ref="O236:P236" si="23">IF(StartYr&lt;O238,0.9,0)</f>
        <v>0.9</v>
      </c>
      <c r="P236" s="1789">
        <f t="shared" si="23"/>
        <v>0.9</v>
      </c>
      <c r="Q236" s="1789">
        <f t="shared" ref="Q236:T236" si="24">IF(StartYr&lt;Q238,0.9,0)</f>
        <v>0.9</v>
      </c>
      <c r="R236" s="1789">
        <f t="shared" si="24"/>
        <v>0.9</v>
      </c>
      <c r="S236" s="1789">
        <f t="shared" si="24"/>
        <v>0.9</v>
      </c>
      <c r="T236" s="1789">
        <f t="shared" si="24"/>
        <v>0.9</v>
      </c>
      <c r="U236" s="1538"/>
      <c r="V236" s="1538"/>
      <c r="W236" s="1538"/>
      <c r="AA236" s="1716"/>
      <c r="AB236" s="1716"/>
      <c r="AC236" s="1716"/>
      <c r="AD236" s="1716"/>
      <c r="AE236" s="1722"/>
      <c r="AF236" s="1722"/>
      <c r="AG236" s="2967"/>
      <c r="AH236" s="2967"/>
      <c r="AI236" s="2920"/>
    </row>
    <row r="237" spans="1:35" s="2332" customFormat="1">
      <c r="A237" s="2511" t="s">
        <v>1639</v>
      </c>
      <c r="B237" s="2512"/>
      <c r="C237" s="2513" t="s">
        <v>1637</v>
      </c>
      <c r="D237" s="4054"/>
      <c r="E237" s="4054"/>
      <c r="F237" s="4054"/>
      <c r="G237" s="4054"/>
      <c r="H237" s="4052"/>
      <c r="I237" s="4052"/>
      <c r="J237" s="4052"/>
      <c r="K237" s="4052"/>
      <c r="L237" s="1789">
        <f>IF(StartYr&lt;L238,0.4,0)</f>
        <v>0.4</v>
      </c>
      <c r="M237" s="1800">
        <v>0</v>
      </c>
      <c r="N237" s="1789">
        <f>IF(StartYr&lt;N238,0.4,0)</f>
        <v>0.4</v>
      </c>
      <c r="O237" s="1800">
        <v>0</v>
      </c>
      <c r="P237" s="1800">
        <v>0</v>
      </c>
      <c r="Q237" s="1800">
        <v>0</v>
      </c>
      <c r="R237" s="1800">
        <v>0</v>
      </c>
      <c r="S237" s="1800">
        <v>0</v>
      </c>
      <c r="T237" s="1800">
        <v>0</v>
      </c>
      <c r="U237" s="4052"/>
      <c r="V237" s="4052"/>
      <c r="W237" s="2335"/>
      <c r="AG237" s="4254"/>
      <c r="AH237" s="4254"/>
      <c r="AI237" s="2954"/>
    </row>
    <row r="238" spans="1:35" s="2332" customFormat="1" ht="15">
      <c r="A238" s="1719" t="s">
        <v>1640</v>
      </c>
      <c r="B238" s="1720"/>
      <c r="C238" s="1721" t="s">
        <v>1638</v>
      </c>
      <c r="D238" s="4054"/>
      <c r="E238" s="4054"/>
      <c r="F238" s="4054"/>
      <c r="G238" s="4054"/>
      <c r="H238" s="4052"/>
      <c r="I238" s="4052"/>
      <c r="J238" s="4159"/>
      <c r="K238" s="4159"/>
      <c r="L238" s="4159">
        <v>2030</v>
      </c>
      <c r="M238" s="4159">
        <v>2030</v>
      </c>
      <c r="N238" s="4159">
        <v>2030</v>
      </c>
      <c r="O238" s="4159">
        <v>2030</v>
      </c>
      <c r="P238" s="4159">
        <v>2030</v>
      </c>
      <c r="Q238" s="4159">
        <v>2030</v>
      </c>
      <c r="R238" s="4159">
        <v>2030</v>
      </c>
      <c r="S238" s="4159">
        <v>2030</v>
      </c>
      <c r="T238" s="4159">
        <v>2030</v>
      </c>
      <c r="U238" s="4144"/>
      <c r="V238" s="4144"/>
      <c r="W238" s="2335"/>
      <c r="AG238" s="2964"/>
      <c r="AH238" s="2964"/>
      <c r="AI238" s="2954"/>
    </row>
    <row r="239" spans="1:35" s="2332" customFormat="1" ht="15">
      <c r="A239" s="1719" t="s">
        <v>1664</v>
      </c>
      <c r="B239" s="1720"/>
      <c r="C239" s="1721" t="s">
        <v>1663</v>
      </c>
      <c r="D239" s="4221">
        <v>0.6</v>
      </c>
      <c r="E239" s="4221">
        <v>0.6</v>
      </c>
      <c r="F239" s="4221">
        <v>0.6</v>
      </c>
      <c r="G239" s="4221">
        <v>0.6</v>
      </c>
      <c r="H239" s="4152">
        <v>0.6</v>
      </c>
      <c r="I239" s="4152">
        <v>0.55000000000000004</v>
      </c>
      <c r="J239" s="4152">
        <v>0.7</v>
      </c>
      <c r="K239" s="4152">
        <v>0.65</v>
      </c>
      <c r="L239" s="4152">
        <v>0.6</v>
      </c>
      <c r="M239" s="4152">
        <v>0.6</v>
      </c>
      <c r="N239" s="4152">
        <v>0.6</v>
      </c>
      <c r="O239" s="4152">
        <v>0.6</v>
      </c>
      <c r="P239" s="4152">
        <v>0.6</v>
      </c>
      <c r="Q239" s="4152">
        <v>0.75</v>
      </c>
      <c r="R239" s="4152">
        <v>0.75</v>
      </c>
      <c r="S239" s="4152">
        <v>0.75</v>
      </c>
      <c r="T239" s="4152">
        <v>0.75</v>
      </c>
      <c r="U239" s="4152">
        <v>0.9</v>
      </c>
      <c r="V239" s="4152">
        <v>0.9</v>
      </c>
      <c r="W239" s="2335"/>
      <c r="AG239" s="4254"/>
      <c r="AH239" s="4254"/>
      <c r="AI239" s="4254"/>
    </row>
    <row r="240" spans="1:35" s="2332" customFormat="1">
      <c r="A240" s="180"/>
      <c r="C240" s="70"/>
      <c r="D240" s="4054"/>
      <c r="E240" s="4054"/>
      <c r="F240" s="4054"/>
      <c r="G240" s="4054"/>
      <c r="H240" s="4052"/>
      <c r="I240" s="4052"/>
      <c r="J240" s="4052"/>
      <c r="K240" s="4052"/>
      <c r="L240" s="4125"/>
      <c r="M240" s="4125"/>
      <c r="N240" s="4125"/>
      <c r="O240" s="4125"/>
      <c r="P240" s="4125"/>
      <c r="Q240" s="4125"/>
      <c r="R240" s="4125"/>
      <c r="S240" s="4125"/>
      <c r="T240" s="4125"/>
      <c r="U240" s="4052"/>
      <c r="V240" s="4052"/>
      <c r="W240" s="2335"/>
      <c r="AG240" s="2964"/>
      <c r="AH240" s="2964"/>
      <c r="AI240" s="2954"/>
    </row>
    <row r="241" spans="1:60" s="1729" customFormat="1">
      <c r="A241" s="1723" t="s">
        <v>532</v>
      </c>
      <c r="B241" s="1724"/>
      <c r="C241" s="1725" t="s">
        <v>533</v>
      </c>
      <c r="D241" s="1727"/>
      <c r="E241" s="1727"/>
      <c r="F241" s="1727"/>
      <c r="G241" s="1727"/>
      <c r="H241" s="1717"/>
      <c r="I241" s="1717"/>
      <c r="J241" s="1717"/>
      <c r="K241" s="1717"/>
      <c r="L241" s="4153"/>
      <c r="M241" s="4153"/>
      <c r="N241" s="4153"/>
      <c r="O241" s="4153"/>
      <c r="P241" s="4153"/>
      <c r="Q241" s="4153"/>
      <c r="R241" s="4153"/>
      <c r="S241" s="4153"/>
      <c r="T241" s="4153"/>
      <c r="U241" s="1717"/>
      <c r="V241" s="1717"/>
      <c r="W241" s="1717"/>
      <c r="AA241" s="1716"/>
      <c r="AB241" s="1716"/>
      <c r="AC241" s="1716"/>
      <c r="AD241" s="1716"/>
      <c r="AE241" s="1728"/>
      <c r="AF241" s="1728"/>
      <c r="AG241" s="2965"/>
      <c r="AH241" s="2965"/>
      <c r="AI241" s="2951"/>
    </row>
    <row r="242" spans="1:60" s="1729" customFormat="1">
      <c r="A242" s="1723" t="s">
        <v>534</v>
      </c>
      <c r="B242" s="1724"/>
      <c r="C242" s="1725" t="s">
        <v>535</v>
      </c>
      <c r="D242" s="1726"/>
      <c r="E242" s="1726"/>
      <c r="F242" s="1726"/>
      <c r="G242" s="1726"/>
      <c r="H242" s="1717"/>
      <c r="I242" s="1717"/>
      <c r="J242" s="1717"/>
      <c r="K242" s="1717"/>
      <c r="L242" s="1717"/>
      <c r="M242" s="1717"/>
      <c r="N242" s="1717"/>
      <c r="O242" s="1717"/>
      <c r="P242" s="1717"/>
      <c r="Q242" s="1717"/>
      <c r="R242" s="1717"/>
      <c r="S242" s="1717"/>
      <c r="T242" s="1717"/>
      <c r="U242" s="1717"/>
      <c r="V242" s="1717"/>
      <c r="W242" s="1717"/>
      <c r="AA242" s="4255"/>
      <c r="AB242" s="4255"/>
      <c r="AC242" s="4255"/>
      <c r="AD242" s="4255"/>
      <c r="AE242" s="1716"/>
      <c r="AF242" s="1716"/>
      <c r="AG242" s="2951"/>
      <c r="AH242" s="2951"/>
      <c r="AI242" s="2951"/>
    </row>
    <row r="243" spans="1:60" s="1729" customFormat="1">
      <c r="A243" s="1723" t="s">
        <v>109</v>
      </c>
      <c r="B243" s="1724"/>
      <c r="C243" s="1725" t="s">
        <v>543</v>
      </c>
      <c r="D243" s="1726"/>
      <c r="E243" s="1726"/>
      <c r="F243" s="1726"/>
      <c r="G243" s="1726"/>
      <c r="H243" s="1717"/>
      <c r="I243" s="4154"/>
      <c r="J243" s="1717"/>
      <c r="K243" s="1717"/>
      <c r="L243" s="1717"/>
      <c r="M243" s="1717"/>
      <c r="N243" s="1717"/>
      <c r="O243" s="1717"/>
      <c r="P243" s="1717"/>
      <c r="Q243" s="1717"/>
      <c r="R243" s="1717"/>
      <c r="S243" s="1717"/>
      <c r="T243" s="1717"/>
      <c r="U243" s="4155"/>
      <c r="V243" s="4155"/>
      <c r="W243" s="4155"/>
      <c r="AA243" s="1559"/>
      <c r="AB243" s="1559"/>
      <c r="AC243" s="1559"/>
      <c r="AD243" s="1559"/>
      <c r="AE243" s="1716"/>
      <c r="AF243" s="1716"/>
      <c r="AG243" s="2951"/>
      <c r="AH243" s="2951"/>
      <c r="AI243" s="4256"/>
    </row>
    <row r="244" spans="1:60" s="1565" customFormat="1">
      <c r="A244" s="1536"/>
      <c r="C244" s="1537"/>
      <c r="D244" s="1536"/>
      <c r="E244" s="1536"/>
      <c r="F244" s="1536"/>
      <c r="G244" s="1536"/>
      <c r="H244" s="1538"/>
      <c r="I244" s="1538"/>
      <c r="J244" s="1538"/>
      <c r="K244" s="1538"/>
      <c r="L244" s="1538"/>
      <c r="M244" s="1538"/>
      <c r="N244" s="1538"/>
      <c r="O244" s="1538"/>
      <c r="P244" s="1538"/>
      <c r="Q244" s="1538"/>
      <c r="R244" s="1538"/>
      <c r="S244" s="1538"/>
      <c r="T244" s="1538"/>
      <c r="U244" s="1538"/>
      <c r="V244" s="1538"/>
      <c r="W244" s="1538"/>
      <c r="AA244" s="1559"/>
      <c r="AB244" s="1559"/>
      <c r="AC244" s="1559"/>
      <c r="AD244" s="1559"/>
      <c r="AE244" s="1559"/>
      <c r="AF244" s="1559"/>
      <c r="AG244" s="2920"/>
      <c r="AH244" s="2920"/>
      <c r="AI244" s="2920"/>
    </row>
    <row r="245" spans="1:60" s="1565" customFormat="1" ht="14.25">
      <c r="A245" s="2972" t="s">
        <v>905</v>
      </c>
      <c r="B245" s="2973"/>
      <c r="C245" s="2974" t="s">
        <v>444</v>
      </c>
      <c r="D245" s="1658">
        <f>IF('Physical Data'!$C$15="At Busbar - Plant Side",0%,0.5%)</f>
        <v>5.0000000000000001E-3</v>
      </c>
      <c r="E245" s="1658">
        <f>IF('Physical Data'!$C$15="At Busbar - Plant Side",0%,0.5%)</f>
        <v>5.0000000000000001E-3</v>
      </c>
      <c r="F245" s="1658">
        <f>IF('Physical Data'!$C$15="At Busbar - Plant Side",0%,0.5%)</f>
        <v>5.0000000000000001E-3</v>
      </c>
      <c r="G245" s="1658">
        <f>IF('Physical Data'!$C$15="At Busbar - Plant Side",0%,0.5%)</f>
        <v>5.0000000000000001E-3</v>
      </c>
      <c r="H245" s="2969">
        <f>IF('Physical Data'!$C$15="At Busbar - Plant Side",0%,0.5%)</f>
        <v>5.0000000000000001E-3</v>
      </c>
      <c r="I245" s="2969">
        <f>IF('Physical Data'!$C$15="At Busbar - Plant Side",0%,0.5%)</f>
        <v>5.0000000000000001E-3</v>
      </c>
      <c r="J245" s="2969">
        <f>IF('Physical Data'!$C$15="At Busbar - Plant Side",0%,0.5%)</f>
        <v>5.0000000000000001E-3</v>
      </c>
      <c r="K245" s="2969">
        <f>IF('Physical Data'!$C$15="At Busbar - Plant Side",0%,0.5%)</f>
        <v>5.0000000000000001E-3</v>
      </c>
      <c r="L245" s="2969">
        <f>IF('Physical Data'!$C$15="At Busbar - Plant Side",0%,0.5%)</f>
        <v>5.0000000000000001E-3</v>
      </c>
      <c r="M245" s="2969">
        <f>IF('Physical Data'!$C$15="At Busbar - Plant Side",0%,0.5%)</f>
        <v>5.0000000000000001E-3</v>
      </c>
      <c r="N245" s="2969">
        <f>IF('Physical Data'!$C$15="At Busbar - Plant Side",0%,0.5%)</f>
        <v>5.0000000000000001E-3</v>
      </c>
      <c r="O245" s="2969">
        <f>IF('Physical Data'!$C$15="At Busbar - Plant Side",0%,0.5%)</f>
        <v>5.0000000000000001E-3</v>
      </c>
      <c r="P245" s="2969">
        <f>IF('Physical Data'!$C$15="At Busbar - Plant Side",0%,0.5%)</f>
        <v>5.0000000000000001E-3</v>
      </c>
      <c r="Q245" s="4156">
        <v>0.01</v>
      </c>
      <c r="R245" s="4156">
        <v>0.01</v>
      </c>
      <c r="S245" s="4156">
        <v>0.01</v>
      </c>
      <c r="T245" s="4156">
        <v>0.01</v>
      </c>
      <c r="U245" s="2969">
        <v>5.0000000000000001E-3</v>
      </c>
      <c r="V245" s="2969">
        <v>5.0000000000000001E-3</v>
      </c>
      <c r="W245" s="1538"/>
      <c r="AA245" s="1559"/>
      <c r="AB245" s="1559"/>
      <c r="AC245" s="1559"/>
      <c r="AD245" s="1559"/>
      <c r="AE245" s="1559"/>
      <c r="AF245" s="1559"/>
      <c r="AG245" s="2937"/>
      <c r="AH245" s="2937"/>
      <c r="AI245" s="2937"/>
    </row>
    <row r="246" spans="1:60" s="1565" customFormat="1">
      <c r="A246" s="1536"/>
      <c r="C246" s="1537"/>
      <c r="D246" s="1536"/>
      <c r="E246" s="1536"/>
      <c r="F246" s="1536"/>
      <c r="G246" s="1536"/>
      <c r="H246" s="1538"/>
      <c r="I246" s="1538"/>
      <c r="J246" s="1538"/>
      <c r="K246" s="1538"/>
      <c r="L246" s="1538"/>
      <c r="M246" s="1538"/>
      <c r="N246" s="1538"/>
      <c r="O246" s="1538"/>
      <c r="P246" s="1538"/>
      <c r="Q246" s="1538"/>
      <c r="R246" s="1538"/>
      <c r="S246" s="1538"/>
      <c r="T246" s="1538"/>
      <c r="U246" s="1538"/>
      <c r="V246" s="1538"/>
      <c r="W246" s="1538"/>
      <c r="AA246" s="1559"/>
      <c r="AB246" s="1559"/>
      <c r="AC246" s="1559"/>
      <c r="AD246" s="1559"/>
      <c r="AE246" s="1559"/>
      <c r="AF246" s="1559"/>
      <c r="AG246" s="2920"/>
      <c r="AH246" s="2920"/>
      <c r="AI246" s="2920"/>
    </row>
    <row r="247" spans="1:60" s="1565" customFormat="1">
      <c r="A247" s="1536"/>
      <c r="C247" s="1537"/>
      <c r="D247" s="1536"/>
      <c r="E247" s="1536"/>
      <c r="F247" s="1536"/>
      <c r="G247" s="1536"/>
      <c r="H247" s="1538"/>
      <c r="I247" s="1538"/>
      <c r="J247" s="1538"/>
      <c r="K247" s="1538"/>
      <c r="L247" s="1538"/>
      <c r="M247" s="1538"/>
      <c r="N247" s="1538"/>
      <c r="O247" s="1538"/>
      <c r="P247" s="1538"/>
      <c r="Q247" s="1538"/>
      <c r="R247" s="1538"/>
      <c r="S247" s="1538"/>
      <c r="T247" s="1538"/>
      <c r="U247" s="1538"/>
      <c r="V247" s="1538"/>
      <c r="W247" s="1538"/>
      <c r="AA247" s="1559"/>
      <c r="AB247" s="1559"/>
      <c r="AC247" s="1559"/>
      <c r="AD247" s="1559"/>
      <c r="AE247" s="1559"/>
      <c r="AF247" s="1559"/>
      <c r="AG247" s="2920"/>
      <c r="AH247" s="2920"/>
      <c r="AI247" s="2920"/>
    </row>
    <row r="248" spans="1:60" s="1565" customFormat="1">
      <c r="A248" s="1536"/>
      <c r="C248" s="1537"/>
      <c r="D248" s="1536"/>
      <c r="E248" s="1536"/>
      <c r="F248" s="1536"/>
      <c r="G248" s="1536"/>
      <c r="H248" s="1538"/>
      <c r="I248" s="1538"/>
      <c r="J248" s="1538"/>
      <c r="K248" s="1538"/>
      <c r="L248" s="1538"/>
      <c r="M248" s="1538"/>
      <c r="N248" s="1538"/>
      <c r="O248" s="1538"/>
      <c r="P248" s="1538"/>
      <c r="Q248" s="1538"/>
      <c r="R248" s="1538"/>
      <c r="S248" s="1538"/>
      <c r="T248" s="1538"/>
      <c r="U248" s="1538"/>
      <c r="V248" s="1538"/>
      <c r="W248" s="1538"/>
      <c r="AA248" s="1559"/>
      <c r="AB248" s="1559"/>
      <c r="AC248" s="1559"/>
      <c r="AD248" s="1559"/>
      <c r="AE248" s="1559"/>
      <c r="AF248" s="1559"/>
      <c r="AG248" s="2920"/>
      <c r="AH248" s="2920"/>
      <c r="AI248" s="2920"/>
    </row>
    <row r="249" spans="1:60" s="1565" customFormat="1">
      <c r="A249" s="1536"/>
      <c r="C249" s="1537"/>
      <c r="D249" s="1536"/>
      <c r="E249" s="1536"/>
      <c r="F249" s="1536"/>
      <c r="G249" s="1536"/>
      <c r="H249" s="1538"/>
      <c r="I249" s="1538"/>
      <c r="J249" s="1538"/>
      <c r="K249" s="1538"/>
      <c r="L249" s="1538"/>
      <c r="M249" s="1538"/>
      <c r="N249" s="1538"/>
      <c r="O249" s="1538"/>
      <c r="P249" s="1538"/>
      <c r="Q249" s="1538"/>
      <c r="R249" s="1538"/>
      <c r="S249" s="1538"/>
      <c r="T249" s="1538"/>
      <c r="U249" s="1538"/>
      <c r="V249" s="1538"/>
      <c r="W249" s="1538"/>
      <c r="AA249" s="1559"/>
      <c r="AB249" s="1559"/>
      <c r="AC249" s="1559"/>
      <c r="AD249" s="1559"/>
      <c r="AE249" s="1559"/>
      <c r="AF249" s="1559"/>
      <c r="AG249" s="2920"/>
      <c r="AH249" s="2920"/>
      <c r="AI249" s="2920"/>
    </row>
    <row r="250" spans="1:60" s="2002" customFormat="1">
      <c r="B250" s="2002" t="s">
        <v>1051</v>
      </c>
      <c r="C250" s="2003" t="s">
        <v>482</v>
      </c>
      <c r="H250" s="1538"/>
      <c r="I250" s="1538"/>
      <c r="J250" s="1538"/>
      <c r="K250" s="1538"/>
      <c r="L250" s="1538"/>
      <c r="M250" s="1538"/>
      <c r="N250" s="1538"/>
      <c r="O250" s="1538"/>
      <c r="P250" s="1538"/>
      <c r="Q250" s="1538"/>
      <c r="R250" s="1538"/>
      <c r="S250" s="1538"/>
      <c r="T250" s="1538"/>
      <c r="U250" s="1538"/>
      <c r="V250" s="1538"/>
      <c r="W250" s="1538"/>
      <c r="AG250" s="2920"/>
      <c r="AH250" s="2920"/>
      <c r="AI250" s="2920"/>
    </row>
    <row r="251" spans="1:60" s="2006" customFormat="1">
      <c r="A251" s="2004"/>
      <c r="B251" s="2004" t="s">
        <v>755</v>
      </c>
      <c r="C251" s="2005" t="s">
        <v>334</v>
      </c>
      <c r="H251" s="1538"/>
      <c r="I251" s="1538"/>
      <c r="J251" s="1538">
        <v>0</v>
      </c>
      <c r="K251" s="1538">
        <v>0</v>
      </c>
      <c r="L251" s="1538"/>
      <c r="M251" s="1538"/>
      <c r="N251" s="1538"/>
      <c r="O251" s="1538"/>
      <c r="P251" s="1538"/>
      <c r="Q251" s="1538"/>
      <c r="R251" s="1538"/>
      <c r="S251" s="1538"/>
      <c r="T251" s="1538"/>
      <c r="U251" s="1538"/>
      <c r="V251" s="1538"/>
      <c r="W251" s="1538"/>
      <c r="AA251" s="2002"/>
      <c r="AB251" s="2002"/>
      <c r="AC251" s="2007"/>
      <c r="AD251" s="2002"/>
      <c r="AE251" s="2002"/>
      <c r="AF251" s="2002"/>
      <c r="AG251" s="2920"/>
      <c r="AH251" s="2920"/>
      <c r="AI251" s="2920"/>
    </row>
    <row r="252" spans="1:60" s="2009" customFormat="1">
      <c r="A252" s="2007"/>
      <c r="B252" s="2007" t="s">
        <v>683</v>
      </c>
      <c r="C252" s="2008" t="s">
        <v>1270</v>
      </c>
      <c r="D252" s="2006"/>
      <c r="E252" s="2006"/>
      <c r="F252" s="2006"/>
      <c r="G252" s="2006"/>
      <c r="H252" s="2006">
        <v>1</v>
      </c>
      <c r="I252" s="2006"/>
      <c r="J252" s="2006">
        <v>1</v>
      </c>
      <c r="K252" s="2006">
        <v>1</v>
      </c>
      <c r="L252" s="2006"/>
      <c r="M252" s="2006"/>
      <c r="N252" s="2006"/>
      <c r="O252" s="2006"/>
      <c r="P252" s="2006"/>
      <c r="Q252" s="2006"/>
      <c r="R252" s="2006"/>
      <c r="S252" s="2006"/>
      <c r="T252" s="2006"/>
      <c r="W252" s="2007"/>
      <c r="AA252" s="2002"/>
      <c r="AB252" s="2002"/>
      <c r="AC252" s="2002"/>
      <c r="AD252" s="2002"/>
      <c r="AE252" s="2002"/>
      <c r="AF252" s="2002"/>
      <c r="AG252" s="2920"/>
      <c r="AH252" s="2920"/>
      <c r="AI252" s="2929"/>
      <c r="AK252" s="2006"/>
      <c r="AL252" s="2006"/>
      <c r="AM252" s="2006"/>
      <c r="AN252" s="2006"/>
      <c r="AO252" s="2006"/>
      <c r="AP252" s="2006"/>
      <c r="AQ252" s="2006"/>
      <c r="AR252" s="2006"/>
      <c r="AS252" s="2006"/>
      <c r="AT252" s="2006"/>
      <c r="AU252" s="2006"/>
      <c r="AV252" s="2006"/>
      <c r="AW252" s="2006"/>
      <c r="AX252" s="2006"/>
      <c r="AY252" s="2006"/>
      <c r="AZ252" s="2006"/>
      <c r="BA252" s="2006"/>
      <c r="BB252" s="2006"/>
      <c r="BC252" s="2006"/>
      <c r="BD252" s="2006"/>
      <c r="BE252" s="2006"/>
      <c r="BF252" s="2006"/>
      <c r="BG252" s="2006"/>
      <c r="BH252" s="2006"/>
    </row>
    <row r="253" spans="1:60" s="2006" customFormat="1">
      <c r="B253" s="2006" t="s">
        <v>699</v>
      </c>
      <c r="C253" s="2010" t="s">
        <v>1277</v>
      </c>
      <c r="H253" s="2006">
        <v>222591.6</v>
      </c>
      <c r="J253" s="2006">
        <v>260000</v>
      </c>
      <c r="K253" s="2006">
        <v>260000</v>
      </c>
      <c r="W253" s="2002"/>
      <c r="AA253" s="2002"/>
      <c r="AB253" s="2002"/>
      <c r="AC253" s="2002"/>
      <c r="AD253" s="2002"/>
      <c r="AE253" s="2002"/>
      <c r="AF253" s="2002"/>
      <c r="AG253" s="2920"/>
      <c r="AH253" s="2920"/>
      <c r="AI253" s="2920"/>
    </row>
    <row r="254" spans="1:60" s="2006" customFormat="1">
      <c r="B254" s="2006" t="s">
        <v>719</v>
      </c>
      <c r="C254" s="2005" t="s">
        <v>121</v>
      </c>
      <c r="H254" s="2006">
        <v>5.0000000000000001E-3</v>
      </c>
      <c r="J254" s="2006">
        <v>5.0000000000000001E-3</v>
      </c>
      <c r="K254" s="2006">
        <v>5.0000000000000001E-3</v>
      </c>
      <c r="W254" s="2002"/>
      <c r="AA254" s="2002"/>
      <c r="AB254" s="2002"/>
      <c r="AC254" s="2002"/>
      <c r="AD254" s="2002"/>
      <c r="AE254" s="2002"/>
      <c r="AF254" s="2002"/>
      <c r="AG254" s="2920"/>
      <c r="AH254" s="2920"/>
      <c r="AI254" s="2920"/>
    </row>
    <row r="255" spans="1:60" s="2006" customFormat="1">
      <c r="B255" s="2011" t="s">
        <v>757</v>
      </c>
      <c r="C255" s="2005" t="s">
        <v>1256</v>
      </c>
      <c r="W255" s="2002"/>
      <c r="AA255" s="2002"/>
      <c r="AB255" s="2002"/>
      <c r="AC255" s="2002"/>
      <c r="AD255" s="2002"/>
      <c r="AE255" s="2002"/>
      <c r="AF255" s="2002"/>
      <c r="AG255" s="2920"/>
      <c r="AH255" s="2920"/>
      <c r="AI255" s="2920"/>
    </row>
    <row r="256" spans="1:60" s="2006" customFormat="1">
      <c r="B256" s="2012" t="s">
        <v>758</v>
      </c>
      <c r="C256" s="2005" t="s">
        <v>1257</v>
      </c>
      <c r="W256" s="2002"/>
      <c r="AA256" s="2002"/>
      <c r="AB256" s="2002"/>
      <c r="AC256" s="2002"/>
      <c r="AD256" s="2002"/>
      <c r="AE256" s="2002"/>
      <c r="AF256" s="2002"/>
      <c r="AG256" s="2920"/>
      <c r="AH256" s="2920"/>
      <c r="AI256" s="2920"/>
    </row>
    <row r="257" spans="2:35" s="2006" customFormat="1">
      <c r="B257" s="2012"/>
      <c r="C257" s="2005" t="s">
        <v>463</v>
      </c>
      <c r="W257" s="2002"/>
      <c r="AA257" s="2002"/>
      <c r="AB257" s="2002"/>
      <c r="AC257" s="2002"/>
      <c r="AD257" s="2002"/>
      <c r="AE257" s="2002"/>
      <c r="AF257" s="2002"/>
      <c r="AG257" s="2920"/>
      <c r="AH257" s="2920"/>
      <c r="AI257" s="2920"/>
    </row>
    <row r="258" spans="2:35" s="2006" customFormat="1">
      <c r="B258" s="2011" t="s">
        <v>759</v>
      </c>
      <c r="C258" s="2005" t="s">
        <v>678</v>
      </c>
      <c r="W258" s="2002"/>
      <c r="AA258" s="2002"/>
      <c r="AB258" s="2002"/>
      <c r="AC258" s="2002"/>
      <c r="AD258" s="2002"/>
      <c r="AE258" s="2002"/>
      <c r="AF258" s="2002"/>
      <c r="AG258" s="2920"/>
      <c r="AH258" s="2920"/>
      <c r="AI258" s="2920"/>
    </row>
    <row r="259" spans="2:35" s="2006" customFormat="1">
      <c r="B259" s="2012" t="s">
        <v>760</v>
      </c>
      <c r="C259" s="2005" t="s">
        <v>679</v>
      </c>
      <c r="W259" s="2002"/>
      <c r="AA259" s="2002"/>
      <c r="AB259" s="2002"/>
      <c r="AC259" s="2002"/>
      <c r="AD259" s="2002"/>
      <c r="AE259" s="2002"/>
      <c r="AF259" s="2002"/>
      <c r="AG259" s="2920"/>
      <c r="AH259" s="2920"/>
      <c r="AI259" s="2920"/>
    </row>
    <row r="260" spans="2:35" s="2006" customFormat="1">
      <c r="B260" s="2012"/>
      <c r="C260" s="2005" t="s">
        <v>463</v>
      </c>
      <c r="W260" s="2002"/>
      <c r="AA260" s="2002"/>
      <c r="AB260" s="2002"/>
      <c r="AC260" s="2002"/>
      <c r="AD260" s="2002"/>
      <c r="AE260" s="2002"/>
      <c r="AF260" s="2002"/>
      <c r="AG260" s="2920"/>
      <c r="AH260" s="2920"/>
      <c r="AI260" s="2920"/>
    </row>
    <row r="261" spans="2:35" s="2006" customFormat="1">
      <c r="B261" s="2006" t="s">
        <v>761</v>
      </c>
      <c r="C261" s="2005" t="s">
        <v>469</v>
      </c>
      <c r="W261" s="2002"/>
      <c r="AA261" s="2002"/>
      <c r="AB261" s="2002"/>
      <c r="AC261" s="2002"/>
      <c r="AD261" s="2002"/>
      <c r="AE261" s="2002"/>
      <c r="AF261" s="2002"/>
      <c r="AG261" s="2920"/>
      <c r="AH261" s="2920"/>
      <c r="AI261" s="2920"/>
    </row>
    <row r="262" spans="2:35" s="2006" customFormat="1">
      <c r="B262" s="2006" t="s">
        <v>762</v>
      </c>
      <c r="C262" s="2005" t="s">
        <v>470</v>
      </c>
      <c r="W262" s="2002"/>
      <c r="AA262" s="2002"/>
      <c r="AB262" s="2002"/>
      <c r="AC262" s="2002"/>
      <c r="AD262" s="2002"/>
      <c r="AE262" s="2002"/>
      <c r="AF262" s="2002"/>
      <c r="AG262" s="2920"/>
      <c r="AH262" s="2920"/>
      <c r="AI262" s="2920"/>
    </row>
    <row r="263" spans="2:35" s="2006" customFormat="1">
      <c r="B263" s="2013" t="s">
        <v>764</v>
      </c>
      <c r="C263" s="2005" t="s">
        <v>472</v>
      </c>
      <c r="W263" s="2002"/>
      <c r="AA263" s="2002"/>
      <c r="AB263" s="2002"/>
      <c r="AC263" s="2002"/>
      <c r="AD263" s="2002"/>
      <c r="AE263" s="2002"/>
      <c r="AF263" s="2002"/>
      <c r="AG263" s="2920"/>
      <c r="AH263" s="2920"/>
      <c r="AI263" s="2920"/>
    </row>
    <row r="264" spans="2:35" s="2006" customFormat="1">
      <c r="B264" s="2013" t="s">
        <v>765</v>
      </c>
      <c r="C264" s="2005" t="s">
        <v>473</v>
      </c>
      <c r="W264" s="2002"/>
      <c r="AA264" s="2002"/>
      <c r="AB264" s="2002"/>
      <c r="AC264" s="2002"/>
      <c r="AD264" s="2002"/>
      <c r="AE264" s="2002"/>
      <c r="AF264" s="2002"/>
      <c r="AG264" s="2920"/>
      <c r="AH264" s="2920"/>
      <c r="AI264" s="2920"/>
    </row>
    <row r="265" spans="2:35" s="2006" customFormat="1">
      <c r="B265" s="2011" t="s">
        <v>766</v>
      </c>
      <c r="C265" s="2005" t="s">
        <v>467</v>
      </c>
      <c r="W265" s="2002"/>
      <c r="AA265" s="2002"/>
      <c r="AB265" s="2002"/>
      <c r="AC265" s="2002"/>
      <c r="AD265" s="2002"/>
      <c r="AE265" s="2002"/>
      <c r="AF265" s="2002"/>
      <c r="AG265" s="2920"/>
      <c r="AH265" s="2920"/>
      <c r="AI265" s="2920"/>
    </row>
    <row r="266" spans="2:35" s="2006" customFormat="1">
      <c r="B266" s="2014" t="s">
        <v>767</v>
      </c>
      <c r="C266" s="2005" t="s">
        <v>466</v>
      </c>
      <c r="W266" s="2002"/>
      <c r="AA266" s="2002"/>
      <c r="AB266" s="2002"/>
      <c r="AC266" s="2002"/>
      <c r="AD266" s="2002"/>
      <c r="AE266" s="2002"/>
      <c r="AF266" s="2002"/>
      <c r="AG266" s="2920"/>
      <c r="AH266" s="2920"/>
      <c r="AI266" s="2920"/>
    </row>
    <row r="267" spans="2:35" s="2006" customFormat="1">
      <c r="B267" s="2015" t="s">
        <v>768</v>
      </c>
      <c r="C267" s="2005" t="s">
        <v>463</v>
      </c>
      <c r="W267" s="2002"/>
      <c r="AA267" s="2002"/>
      <c r="AB267" s="2002"/>
      <c r="AC267" s="2002"/>
      <c r="AD267" s="2002"/>
      <c r="AE267" s="2002"/>
      <c r="AF267" s="2002"/>
      <c r="AG267" s="2920"/>
      <c r="AH267" s="2920"/>
      <c r="AI267" s="2920"/>
    </row>
    <row r="268" spans="2:35" s="2006" customFormat="1">
      <c r="B268" s="2014" t="s">
        <v>769</v>
      </c>
      <c r="C268" s="2005" t="s">
        <v>464</v>
      </c>
      <c r="H268" s="2006">
        <v>48</v>
      </c>
      <c r="W268" s="2002"/>
      <c r="AA268" s="2002"/>
      <c r="AB268" s="2002"/>
      <c r="AC268" s="2002"/>
      <c r="AD268" s="2002"/>
      <c r="AE268" s="2002"/>
      <c r="AF268" s="2002"/>
      <c r="AG268" s="2920"/>
      <c r="AH268" s="2920"/>
      <c r="AI268" s="2920"/>
    </row>
    <row r="269" spans="2:35" s="2006" customFormat="1">
      <c r="B269" s="2012" t="s">
        <v>722</v>
      </c>
      <c r="C269" s="2005" t="s">
        <v>1041</v>
      </c>
      <c r="J269" s="2006">
        <v>25000</v>
      </c>
      <c r="K269" s="2006">
        <v>25000</v>
      </c>
      <c r="W269" s="2002"/>
      <c r="AA269" s="2002"/>
      <c r="AB269" s="2002"/>
      <c r="AC269" s="2002"/>
      <c r="AD269" s="2002"/>
      <c r="AE269" s="2002"/>
      <c r="AF269" s="2002"/>
      <c r="AG269" s="2920"/>
      <c r="AH269" s="2920"/>
      <c r="AI269" s="2920"/>
    </row>
    <row r="270" spans="2:35" s="2006" customFormat="1">
      <c r="B270" s="2016" t="s">
        <v>779</v>
      </c>
      <c r="C270" s="2010" t="s">
        <v>1044</v>
      </c>
      <c r="H270" s="2006">
        <v>0</v>
      </c>
      <c r="J270" s="2006">
        <v>0</v>
      </c>
      <c r="K270" s="2006">
        <v>0</v>
      </c>
      <c r="W270" s="2002"/>
      <c r="AA270" s="2002"/>
      <c r="AB270" s="2002"/>
      <c r="AC270" s="2002"/>
      <c r="AD270" s="2002"/>
      <c r="AE270" s="2002"/>
      <c r="AF270" s="2002"/>
      <c r="AG270" s="2920"/>
      <c r="AH270" s="2920"/>
      <c r="AI270" s="2920"/>
    </row>
    <row r="271" spans="2:35" s="2006" customFormat="1">
      <c r="B271" s="2004" t="s">
        <v>784</v>
      </c>
      <c r="C271" s="2010" t="s">
        <v>1045</v>
      </c>
      <c r="H271" s="2006">
        <v>0</v>
      </c>
      <c r="J271" s="2006">
        <v>0</v>
      </c>
      <c r="K271" s="2006">
        <v>0</v>
      </c>
      <c r="W271" s="2002"/>
      <c r="AA271" s="2002"/>
      <c r="AB271" s="2002"/>
      <c r="AC271" s="2002"/>
      <c r="AD271" s="2002"/>
      <c r="AE271" s="2002"/>
      <c r="AF271" s="2002"/>
      <c r="AG271" s="2920"/>
      <c r="AH271" s="2920"/>
      <c r="AI271" s="2920"/>
    </row>
    <row r="272" spans="2:35" s="2006" customFormat="1">
      <c r="C272" s="2010"/>
      <c r="W272" s="2002"/>
      <c r="AA272" s="2002"/>
      <c r="AB272" s="2002"/>
      <c r="AC272" s="2002"/>
      <c r="AD272" s="2002"/>
      <c r="AE272" s="2002"/>
      <c r="AF272" s="2002"/>
      <c r="AG272" s="2920"/>
      <c r="AH272" s="2920"/>
      <c r="AI272" s="2920"/>
    </row>
    <row r="273" spans="2:35" s="2006" customFormat="1">
      <c r="C273" s="2017" t="s">
        <v>1225</v>
      </c>
      <c r="W273" s="2002"/>
      <c r="AA273" s="2002"/>
      <c r="AB273" s="2002"/>
      <c r="AC273" s="2002"/>
      <c r="AD273" s="2002"/>
      <c r="AE273" s="2002"/>
      <c r="AF273" s="2002"/>
      <c r="AG273" s="2920"/>
      <c r="AH273" s="2920"/>
      <c r="AI273" s="2920"/>
    </row>
    <row r="274" spans="2:35" s="2006" customFormat="1">
      <c r="C274" s="2010" t="s">
        <v>1250</v>
      </c>
      <c r="W274" s="2002"/>
      <c r="AA274" s="2002"/>
      <c r="AB274" s="2002"/>
      <c r="AC274" s="2002"/>
      <c r="AD274" s="2002"/>
      <c r="AE274" s="2002"/>
      <c r="AF274" s="2002"/>
      <c r="AG274" s="2920"/>
      <c r="AH274" s="2920"/>
      <c r="AI274" s="2920"/>
    </row>
    <row r="275" spans="2:35" s="2006" customFormat="1">
      <c r="C275" s="2010" t="s">
        <v>1251</v>
      </c>
      <c r="W275" s="2002"/>
      <c r="AA275" s="2002"/>
      <c r="AB275" s="2002"/>
      <c r="AC275" s="2002"/>
      <c r="AD275" s="2002"/>
      <c r="AE275" s="2002"/>
      <c r="AF275" s="2002"/>
      <c r="AG275" s="2920"/>
      <c r="AH275" s="2920"/>
      <c r="AI275" s="2920"/>
    </row>
    <row r="276" spans="2:35" s="2006" customFormat="1">
      <c r="C276" s="2010" t="s">
        <v>1252</v>
      </c>
      <c r="W276" s="2002"/>
      <c r="AA276" s="2002"/>
      <c r="AB276" s="2002"/>
      <c r="AC276" s="2002"/>
      <c r="AD276" s="2002"/>
      <c r="AE276" s="2002"/>
      <c r="AF276" s="2002"/>
      <c r="AG276" s="2920"/>
      <c r="AH276" s="2920"/>
      <c r="AI276" s="2920"/>
    </row>
    <row r="277" spans="2:35" s="2006" customFormat="1">
      <c r="C277" s="2010" t="s">
        <v>1253</v>
      </c>
      <c r="W277" s="2002"/>
      <c r="AA277" s="2002"/>
      <c r="AB277" s="2002"/>
      <c r="AC277" s="2002"/>
      <c r="AD277" s="2002"/>
      <c r="AE277" s="2002"/>
      <c r="AF277" s="2002"/>
      <c r="AG277" s="2920"/>
      <c r="AH277" s="2920"/>
      <c r="AI277" s="2920"/>
    </row>
    <row r="278" spans="2:35" s="2006" customFormat="1">
      <c r="C278" s="2010" t="s">
        <v>1254</v>
      </c>
      <c r="W278" s="2002"/>
      <c r="AA278" s="2002"/>
      <c r="AB278" s="2002"/>
      <c r="AC278" s="2002"/>
      <c r="AD278" s="2002"/>
      <c r="AE278" s="2002"/>
      <c r="AF278" s="2002"/>
      <c r="AG278" s="2920"/>
      <c r="AH278" s="2920"/>
      <c r="AI278" s="2920"/>
    </row>
    <row r="279" spans="2:35" s="2006" customFormat="1">
      <c r="C279" s="2010" t="s">
        <v>1255</v>
      </c>
      <c r="W279" s="2002"/>
      <c r="AA279" s="2002"/>
      <c r="AB279" s="2002"/>
      <c r="AC279" s="2002"/>
      <c r="AD279" s="2002"/>
      <c r="AE279" s="2002"/>
      <c r="AF279" s="2002"/>
      <c r="AG279" s="2920"/>
      <c r="AH279" s="2920"/>
      <c r="AI279" s="2920"/>
    </row>
    <row r="280" spans="2:35" s="2006" customFormat="1">
      <c r="C280" s="2010" t="s">
        <v>458</v>
      </c>
      <c r="W280" s="2002"/>
      <c r="AA280" s="2002"/>
      <c r="AB280" s="2002"/>
      <c r="AC280" s="2002"/>
      <c r="AD280" s="2002"/>
      <c r="AE280" s="2002"/>
      <c r="AF280" s="2002"/>
      <c r="AG280" s="2920"/>
      <c r="AH280" s="2920"/>
      <c r="AI280" s="2920"/>
    </row>
    <row r="281" spans="2:35" s="2006" customFormat="1">
      <c r="C281" s="2010" t="s">
        <v>1258</v>
      </c>
      <c r="W281" s="2002"/>
      <c r="AA281" s="2002"/>
      <c r="AB281" s="2002"/>
      <c r="AC281" s="2002"/>
      <c r="AD281" s="2002"/>
      <c r="AE281" s="2002"/>
      <c r="AF281" s="2002"/>
      <c r="AG281" s="2920"/>
      <c r="AH281" s="2920"/>
      <c r="AI281" s="2920"/>
    </row>
    <row r="282" spans="2:35" s="2006" customFormat="1">
      <c r="C282" s="2010" t="s">
        <v>951</v>
      </c>
      <c r="W282" s="2002"/>
      <c r="AA282" s="2002"/>
      <c r="AB282" s="2002"/>
      <c r="AC282" s="2002"/>
      <c r="AD282" s="2002"/>
      <c r="AE282" s="2002"/>
      <c r="AF282" s="2002"/>
      <c r="AG282" s="2920"/>
      <c r="AH282" s="2920"/>
      <c r="AI282" s="2920"/>
    </row>
    <row r="283" spans="2:35" s="2006" customFormat="1">
      <c r="C283" s="2010" t="s">
        <v>1259</v>
      </c>
      <c r="W283" s="2002"/>
      <c r="AA283" s="2019"/>
      <c r="AB283" s="2019"/>
      <c r="AC283" s="2002"/>
      <c r="AD283" s="2019"/>
      <c r="AE283" s="2002"/>
      <c r="AF283" s="2002"/>
      <c r="AG283" s="2920"/>
      <c r="AH283" s="2920"/>
      <c r="AI283" s="2920"/>
    </row>
    <row r="284" spans="2:35" s="2018" customFormat="1">
      <c r="C284" s="2010"/>
      <c r="U284" s="2006"/>
      <c r="V284" s="2006"/>
      <c r="W284" s="2002"/>
      <c r="AA284" s="2002"/>
      <c r="AB284" s="2002"/>
      <c r="AC284" s="2002"/>
      <c r="AD284" s="2002"/>
      <c r="AE284" s="2019"/>
      <c r="AF284" s="2019"/>
      <c r="AG284" s="2919"/>
      <c r="AH284" s="2919"/>
      <c r="AI284" s="2920"/>
    </row>
    <row r="285" spans="2:35" s="2006" customFormat="1">
      <c r="C285" s="2020" t="s">
        <v>1158</v>
      </c>
      <c r="W285" s="2002"/>
      <c r="AA285" s="2002"/>
      <c r="AB285" s="2002"/>
      <c r="AC285" s="2019"/>
      <c r="AD285" s="2002"/>
      <c r="AE285" s="2002"/>
      <c r="AF285" s="2002"/>
      <c r="AG285" s="2920"/>
      <c r="AH285" s="2920"/>
      <c r="AI285" s="2920"/>
    </row>
    <row r="286" spans="2:35" s="2006" customFormat="1">
      <c r="B286" s="2006" t="s">
        <v>1159</v>
      </c>
      <c r="C286" s="2005" t="s">
        <v>1341</v>
      </c>
      <c r="U286" s="2018"/>
      <c r="V286" s="2018"/>
      <c r="W286" s="2019"/>
      <c r="AA286" s="2002"/>
      <c r="AB286" s="2002"/>
      <c r="AC286" s="2019"/>
      <c r="AD286" s="2002"/>
      <c r="AE286" s="2002"/>
      <c r="AF286" s="2002"/>
      <c r="AG286" s="2920"/>
      <c r="AH286" s="2920"/>
      <c r="AI286" s="2919"/>
    </row>
    <row r="287" spans="2:35" s="2006" customFormat="1">
      <c r="B287" s="2006" t="s">
        <v>1160</v>
      </c>
      <c r="C287" s="2005" t="s">
        <v>1342</v>
      </c>
      <c r="U287" s="2018"/>
      <c r="V287" s="2018"/>
      <c r="W287" s="2019"/>
      <c r="AA287" s="2002"/>
      <c r="AB287" s="2002"/>
      <c r="AC287" s="2019"/>
      <c r="AD287" s="2002"/>
      <c r="AE287" s="2002"/>
      <c r="AF287" s="2002"/>
      <c r="AG287" s="2920"/>
      <c r="AH287" s="2920"/>
      <c r="AI287" s="2919"/>
    </row>
    <row r="288" spans="2:35" s="2006" customFormat="1">
      <c r="B288" s="2006" t="s">
        <v>1161</v>
      </c>
      <c r="C288" s="2005" t="s">
        <v>1343</v>
      </c>
      <c r="U288" s="2018"/>
      <c r="V288" s="2018"/>
      <c r="W288" s="2019"/>
      <c r="AA288" s="2002"/>
      <c r="AB288" s="2002"/>
      <c r="AC288" s="2019"/>
      <c r="AD288" s="2002"/>
      <c r="AE288" s="2002"/>
      <c r="AF288" s="2002"/>
      <c r="AG288" s="2920"/>
      <c r="AH288" s="2920"/>
      <c r="AI288" s="2919"/>
    </row>
    <row r="289" spans="2:35" s="2006" customFormat="1">
      <c r="B289" s="2006" t="s">
        <v>1162</v>
      </c>
      <c r="C289" s="2005" t="s">
        <v>1344</v>
      </c>
      <c r="U289" s="2018"/>
      <c r="V289" s="2018"/>
      <c r="W289" s="2019"/>
      <c r="AA289" s="2002"/>
      <c r="AB289" s="2002"/>
      <c r="AC289" s="2019"/>
      <c r="AD289" s="2002"/>
      <c r="AE289" s="2002"/>
      <c r="AF289" s="2002"/>
      <c r="AG289" s="2920"/>
      <c r="AH289" s="2920"/>
      <c r="AI289" s="2919"/>
    </row>
    <row r="290" spans="2:35" s="2006" customFormat="1">
      <c r="B290" s="2006" t="s">
        <v>1163</v>
      </c>
      <c r="C290" s="2005" t="s">
        <v>294</v>
      </c>
      <c r="U290" s="2018"/>
      <c r="V290" s="2018"/>
      <c r="W290" s="2019"/>
      <c r="AA290" s="2002"/>
      <c r="AB290" s="2002"/>
      <c r="AC290" s="2019"/>
      <c r="AD290" s="2002"/>
      <c r="AE290" s="2002"/>
      <c r="AF290" s="2002"/>
      <c r="AG290" s="2920"/>
      <c r="AH290" s="2920"/>
      <c r="AI290" s="2919"/>
    </row>
    <row r="291" spans="2:35" s="2006" customFormat="1">
      <c r="B291" s="2006" t="s">
        <v>1164</v>
      </c>
      <c r="C291" s="2005" t="s">
        <v>295</v>
      </c>
      <c r="U291" s="2018"/>
      <c r="V291" s="2018"/>
      <c r="W291" s="2019"/>
      <c r="AA291" s="2002"/>
      <c r="AB291" s="2002"/>
      <c r="AC291" s="2019"/>
      <c r="AD291" s="2002"/>
      <c r="AE291" s="2002"/>
      <c r="AF291" s="2002"/>
      <c r="AG291" s="2920"/>
      <c r="AH291" s="2920"/>
      <c r="AI291" s="2919"/>
    </row>
    <row r="292" spans="2:35" s="2006" customFormat="1">
      <c r="B292" s="2006" t="s">
        <v>1165</v>
      </c>
      <c r="C292" s="2005" t="s">
        <v>296</v>
      </c>
      <c r="U292" s="2018"/>
      <c r="V292" s="2018"/>
      <c r="W292" s="2019"/>
      <c r="AA292" s="2002"/>
      <c r="AB292" s="2002"/>
      <c r="AC292" s="2019"/>
      <c r="AD292" s="2002"/>
      <c r="AE292" s="2002"/>
      <c r="AF292" s="2002"/>
      <c r="AG292" s="2920"/>
      <c r="AH292" s="2920"/>
      <c r="AI292" s="2919"/>
    </row>
    <row r="293" spans="2:35" s="2006" customFormat="1">
      <c r="B293" s="2006" t="s">
        <v>1166</v>
      </c>
      <c r="C293" s="2005" t="s">
        <v>387</v>
      </c>
      <c r="U293" s="2018"/>
      <c r="V293" s="2018"/>
      <c r="W293" s="2019"/>
      <c r="AA293" s="2002"/>
      <c r="AB293" s="2002"/>
      <c r="AC293" s="2019"/>
      <c r="AD293" s="2002"/>
      <c r="AE293" s="2002"/>
      <c r="AF293" s="2002"/>
      <c r="AG293" s="2920"/>
      <c r="AH293" s="2920"/>
      <c r="AI293" s="2919"/>
    </row>
    <row r="294" spans="2:35" s="2006" customFormat="1">
      <c r="B294" s="2006" t="s">
        <v>1167</v>
      </c>
      <c r="C294" s="2005" t="s">
        <v>375</v>
      </c>
      <c r="U294" s="2018"/>
      <c r="V294" s="2018"/>
      <c r="W294" s="2019"/>
      <c r="AA294" s="2002"/>
      <c r="AB294" s="2002"/>
      <c r="AC294" s="2019"/>
      <c r="AD294" s="2002"/>
      <c r="AE294" s="2002"/>
      <c r="AF294" s="2002"/>
      <c r="AG294" s="2920"/>
      <c r="AH294" s="2920"/>
      <c r="AI294" s="2919"/>
    </row>
    <row r="295" spans="2:35" s="2006" customFormat="1">
      <c r="C295" s="2020" t="s">
        <v>1158</v>
      </c>
      <c r="U295" s="2018"/>
      <c r="V295" s="2018"/>
      <c r="W295" s="2019"/>
      <c r="AA295" s="2002"/>
      <c r="AB295" s="2002"/>
      <c r="AC295" s="2019"/>
      <c r="AD295" s="2002"/>
      <c r="AE295" s="2002"/>
      <c r="AF295" s="2002"/>
      <c r="AG295" s="2920"/>
      <c r="AH295" s="2920"/>
      <c r="AI295" s="2919"/>
    </row>
    <row r="296" spans="2:35" s="2006" customFormat="1">
      <c r="B296" s="2006" t="s">
        <v>1168</v>
      </c>
      <c r="C296" s="2005" t="s">
        <v>1341</v>
      </c>
      <c r="U296" s="2018"/>
      <c r="V296" s="2018"/>
      <c r="W296" s="2019"/>
      <c r="AA296" s="2002"/>
      <c r="AB296" s="2002"/>
      <c r="AC296" s="2019"/>
      <c r="AD296" s="2002"/>
      <c r="AE296" s="2002"/>
      <c r="AF296" s="2002"/>
      <c r="AG296" s="2920"/>
      <c r="AH296" s="2920"/>
      <c r="AI296" s="2919"/>
    </row>
    <row r="297" spans="2:35" s="2006" customFormat="1">
      <c r="B297" s="2006" t="s">
        <v>1169</v>
      </c>
      <c r="C297" s="2005" t="s">
        <v>1342</v>
      </c>
      <c r="U297" s="2018"/>
      <c r="V297" s="2018"/>
      <c r="W297" s="2019"/>
      <c r="AA297" s="2002"/>
      <c r="AB297" s="2002"/>
      <c r="AC297" s="2019"/>
      <c r="AD297" s="2002"/>
      <c r="AE297" s="2002"/>
      <c r="AF297" s="2002"/>
      <c r="AG297" s="2920"/>
      <c r="AH297" s="2920"/>
      <c r="AI297" s="2919"/>
    </row>
    <row r="298" spans="2:35" s="2006" customFormat="1">
      <c r="B298" s="2006" t="s">
        <v>1170</v>
      </c>
      <c r="C298" s="2005" t="s">
        <v>1343</v>
      </c>
      <c r="U298" s="2018"/>
      <c r="V298" s="2018"/>
      <c r="W298" s="2019"/>
      <c r="AA298" s="2002"/>
      <c r="AB298" s="2002"/>
      <c r="AC298" s="2019"/>
      <c r="AD298" s="2002"/>
      <c r="AE298" s="2002"/>
      <c r="AF298" s="2002"/>
      <c r="AG298" s="2920"/>
      <c r="AH298" s="2920"/>
      <c r="AI298" s="2919"/>
    </row>
    <row r="299" spans="2:35" s="2006" customFormat="1">
      <c r="B299" s="2006" t="s">
        <v>1171</v>
      </c>
      <c r="C299" s="2005" t="s">
        <v>1344</v>
      </c>
      <c r="U299" s="2018"/>
      <c r="V299" s="2018"/>
      <c r="W299" s="2019"/>
      <c r="AA299" s="2002"/>
      <c r="AB299" s="2002"/>
      <c r="AC299" s="2019"/>
      <c r="AD299" s="2002"/>
      <c r="AE299" s="2002"/>
      <c r="AF299" s="2002"/>
      <c r="AG299" s="2920"/>
      <c r="AH299" s="2920"/>
      <c r="AI299" s="2919"/>
    </row>
    <row r="300" spans="2:35" s="2006" customFormat="1">
      <c r="B300" s="2006" t="s">
        <v>1172</v>
      </c>
      <c r="C300" s="2005" t="s">
        <v>294</v>
      </c>
      <c r="U300" s="2018"/>
      <c r="V300" s="2018"/>
      <c r="W300" s="2019"/>
      <c r="AA300" s="2002"/>
      <c r="AB300" s="2002"/>
      <c r="AC300" s="2019"/>
      <c r="AD300" s="2002"/>
      <c r="AE300" s="2002"/>
      <c r="AF300" s="2002"/>
      <c r="AG300" s="2920"/>
      <c r="AH300" s="2920"/>
      <c r="AI300" s="2919"/>
    </row>
    <row r="301" spans="2:35" s="2006" customFormat="1">
      <c r="B301" s="2006" t="s">
        <v>1173</v>
      </c>
      <c r="C301" s="2005" t="s">
        <v>295</v>
      </c>
      <c r="U301" s="2018"/>
      <c r="V301" s="2018"/>
      <c r="W301" s="2019"/>
      <c r="AA301" s="2002"/>
      <c r="AB301" s="2002"/>
      <c r="AC301" s="2019"/>
      <c r="AD301" s="2002"/>
      <c r="AE301" s="2002"/>
      <c r="AF301" s="2002"/>
      <c r="AG301" s="2920"/>
      <c r="AH301" s="2920"/>
      <c r="AI301" s="2919"/>
    </row>
    <row r="302" spans="2:35" s="2006" customFormat="1">
      <c r="B302" s="2006" t="s">
        <v>1174</v>
      </c>
      <c r="C302" s="2005" t="s">
        <v>296</v>
      </c>
      <c r="U302" s="2018"/>
      <c r="V302" s="2018"/>
      <c r="W302" s="2019"/>
      <c r="AA302" s="2002"/>
      <c r="AB302" s="2002"/>
      <c r="AC302" s="2019"/>
      <c r="AD302" s="2002"/>
      <c r="AE302" s="2002"/>
      <c r="AF302" s="2002"/>
      <c r="AG302" s="2920"/>
      <c r="AH302" s="2920"/>
      <c r="AI302" s="2919"/>
    </row>
    <row r="303" spans="2:35" s="2006" customFormat="1">
      <c r="B303" s="2006" t="s">
        <v>1175</v>
      </c>
      <c r="C303" s="2005" t="s">
        <v>387</v>
      </c>
      <c r="U303" s="2018"/>
      <c r="V303" s="2018"/>
      <c r="W303" s="2019"/>
      <c r="AA303" s="2002"/>
      <c r="AB303" s="2002"/>
      <c r="AC303" s="2019"/>
      <c r="AD303" s="2002"/>
      <c r="AE303" s="2002"/>
      <c r="AF303" s="2002"/>
      <c r="AG303" s="2920"/>
      <c r="AH303" s="2920"/>
      <c r="AI303" s="2919"/>
    </row>
    <row r="304" spans="2:35" s="2006" customFormat="1">
      <c r="B304" s="2006" t="s">
        <v>1176</v>
      </c>
      <c r="C304" s="2005" t="s">
        <v>375</v>
      </c>
      <c r="U304" s="2018"/>
      <c r="V304" s="2018"/>
      <c r="W304" s="2019"/>
      <c r="AA304" s="2002"/>
      <c r="AB304" s="2002"/>
      <c r="AC304" s="2019"/>
      <c r="AD304" s="4257"/>
      <c r="AE304" s="2002"/>
      <c r="AF304" s="2002"/>
      <c r="AG304" s="2920"/>
      <c r="AH304" s="2920"/>
      <c r="AI304" s="2919"/>
    </row>
    <row r="305" spans="2:35" s="2006" customFormat="1">
      <c r="B305" s="2012" t="s">
        <v>721</v>
      </c>
      <c r="C305" s="2005" t="s">
        <v>417</v>
      </c>
      <c r="D305" s="2021">
        <v>197</v>
      </c>
      <c r="E305" s="2021">
        <v>197</v>
      </c>
      <c r="F305" s="2021">
        <v>197</v>
      </c>
      <c r="G305" s="2021">
        <v>197</v>
      </c>
      <c r="H305" s="2021">
        <v>197</v>
      </c>
      <c r="J305" s="2021">
        <v>250000</v>
      </c>
      <c r="K305" s="2021">
        <v>12000</v>
      </c>
      <c r="L305" s="2021"/>
      <c r="M305" s="2021"/>
      <c r="N305" s="2021"/>
      <c r="O305" s="2021"/>
      <c r="P305" s="2021"/>
      <c r="Q305" s="2021"/>
      <c r="R305" s="2021"/>
      <c r="S305" s="2021"/>
      <c r="T305" s="2021"/>
      <c r="U305" s="2018"/>
      <c r="V305" s="2018"/>
      <c r="W305" s="2019"/>
      <c r="AA305" s="2002"/>
      <c r="AB305" s="2002"/>
      <c r="AC305" s="2019"/>
      <c r="AD305" s="2002"/>
      <c r="AE305" s="4257"/>
      <c r="AF305" s="4257"/>
      <c r="AG305" s="2932"/>
      <c r="AH305" s="2932"/>
      <c r="AI305" s="2919"/>
    </row>
    <row r="306" spans="2:35" s="2006" customFormat="1">
      <c r="B306" s="2022" t="s">
        <v>723</v>
      </c>
      <c r="C306" s="2010" t="s">
        <v>164</v>
      </c>
      <c r="D306" s="2006">
        <v>9.1418999999999997</v>
      </c>
      <c r="E306" s="2006">
        <v>9.1418999999999997</v>
      </c>
      <c r="F306" s="2006">
        <v>9.1418999999999997</v>
      </c>
      <c r="G306" s="2006">
        <v>1.2058</v>
      </c>
      <c r="H306" s="2006">
        <v>1.2034</v>
      </c>
      <c r="J306" s="2006">
        <v>0</v>
      </c>
      <c r="U306" s="2018"/>
      <c r="V306" s="2018"/>
      <c r="W306" s="2019"/>
      <c r="AA306" s="2019"/>
      <c r="AB306" s="2019"/>
      <c r="AC306" s="2019"/>
      <c r="AD306" s="2019"/>
      <c r="AE306" s="2002"/>
      <c r="AF306" s="2002"/>
      <c r="AG306" s="2920"/>
      <c r="AH306" s="2920"/>
      <c r="AI306" s="2919"/>
    </row>
    <row r="307" spans="2:35">
      <c r="C307" s="1543"/>
      <c r="U307" s="1521"/>
      <c r="V307" s="1521"/>
    </row>
    <row r="308" spans="2:35">
      <c r="U308" s="1521"/>
      <c r="V308" s="1521"/>
    </row>
    <row r="309" spans="2:35">
      <c r="U309" s="1521"/>
      <c r="V309" s="1521"/>
    </row>
    <row r="310" spans="2:35">
      <c r="U310" s="1521"/>
      <c r="V310" s="1521"/>
    </row>
    <row r="311" spans="2:35">
      <c r="U311" s="1521"/>
      <c r="V311" s="1521"/>
    </row>
    <row r="312" spans="2:35">
      <c r="U312" s="1521"/>
      <c r="V312" s="1521"/>
    </row>
    <row r="313" spans="2:35">
      <c r="U313" s="1521"/>
      <c r="V313" s="1521"/>
    </row>
    <row r="314" spans="2:35">
      <c r="U314" s="1521"/>
      <c r="V314" s="1521"/>
    </row>
    <row r="315" spans="2:35">
      <c r="U315" s="1521"/>
      <c r="V315" s="1521"/>
    </row>
    <row r="316" spans="2:35">
      <c r="U316" s="1521"/>
      <c r="V316" s="1521"/>
    </row>
    <row r="317" spans="2:35">
      <c r="U317" s="1521"/>
      <c r="V317" s="1521"/>
    </row>
    <row r="318" spans="2:35">
      <c r="U318" s="1521"/>
      <c r="V318" s="1521"/>
    </row>
    <row r="319" spans="2:35">
      <c r="U319" s="1521"/>
      <c r="V319" s="1521"/>
    </row>
    <row r="320" spans="2:35">
      <c r="U320" s="1521"/>
      <c r="V320" s="1521"/>
    </row>
    <row r="321" spans="21:22">
      <c r="U321" s="1521"/>
      <c r="V321" s="1521"/>
    </row>
    <row r="322" spans="21:22">
      <c r="U322" s="1521"/>
      <c r="V322" s="1521"/>
    </row>
    <row r="323" spans="21:22">
      <c r="U323" s="1521"/>
      <c r="V323" s="1521"/>
    </row>
    <row r="324" spans="21:22">
      <c r="U324" s="1521"/>
      <c r="V324" s="1521"/>
    </row>
    <row r="325" spans="21:22">
      <c r="U325" s="1521"/>
      <c r="V325" s="1521"/>
    </row>
    <row r="326" spans="21:22">
      <c r="U326" s="1521"/>
      <c r="V326" s="1521"/>
    </row>
    <row r="327" spans="21:22">
      <c r="U327" s="1521"/>
      <c r="V327" s="1521"/>
    </row>
    <row r="328" spans="21:22">
      <c r="U328" s="1521"/>
      <c r="V328" s="1521"/>
    </row>
    <row r="329" spans="21:22">
      <c r="U329" s="1521"/>
      <c r="V329" s="1521"/>
    </row>
    <row r="330" spans="21:22">
      <c r="U330" s="1521"/>
      <c r="V330" s="1521"/>
    </row>
    <row r="331" spans="21:22">
      <c r="U331" s="1521"/>
      <c r="V331" s="1521"/>
    </row>
    <row r="332" spans="21:22">
      <c r="U332" s="1521"/>
      <c r="V332" s="1521"/>
    </row>
    <row r="333" spans="21:22">
      <c r="U333" s="1521"/>
      <c r="V333" s="1521"/>
    </row>
    <row r="334" spans="21:22">
      <c r="U334" s="1521"/>
      <c r="V334" s="1521"/>
    </row>
    <row r="335" spans="21:22">
      <c r="U335" s="1521"/>
      <c r="V335" s="1521"/>
    </row>
    <row r="336" spans="21:22">
      <c r="U336" s="1521"/>
      <c r="V336" s="1521"/>
    </row>
    <row r="337" spans="21:22">
      <c r="U337" s="1521"/>
      <c r="V337" s="1521"/>
    </row>
    <row r="338" spans="21:22">
      <c r="U338" s="1521"/>
      <c r="V338" s="1521"/>
    </row>
    <row r="339" spans="21:22">
      <c r="U339" s="1521"/>
      <c r="V339" s="1521"/>
    </row>
    <row r="340" spans="21:22">
      <c r="U340" s="1521"/>
      <c r="V340" s="1521"/>
    </row>
    <row r="341" spans="21:22">
      <c r="U341" s="1521"/>
      <c r="V341" s="1521"/>
    </row>
    <row r="342" spans="21:22">
      <c r="U342" s="1521"/>
      <c r="V342" s="1521"/>
    </row>
    <row r="343" spans="21:22">
      <c r="U343" s="1521"/>
      <c r="V343" s="1521"/>
    </row>
    <row r="344" spans="21:22">
      <c r="U344" s="1521"/>
      <c r="V344" s="1521"/>
    </row>
    <row r="345" spans="21:22">
      <c r="U345" s="1521"/>
      <c r="V345" s="1521"/>
    </row>
    <row r="346" spans="21:22">
      <c r="U346" s="1521"/>
      <c r="V346" s="1521"/>
    </row>
    <row r="347" spans="21:22">
      <c r="U347" s="1521"/>
      <c r="V347" s="1521"/>
    </row>
    <row r="348" spans="21:22">
      <c r="U348" s="1521"/>
      <c r="V348" s="1521"/>
    </row>
    <row r="349" spans="21:22">
      <c r="U349" s="1521"/>
      <c r="V349" s="1521"/>
    </row>
    <row r="350" spans="21:22">
      <c r="U350" s="1521"/>
      <c r="V350" s="1521"/>
    </row>
    <row r="351" spans="21:22">
      <c r="U351" s="1521"/>
      <c r="V351" s="1521"/>
    </row>
    <row r="352" spans="21:22">
      <c r="U352" s="1521"/>
      <c r="V352" s="1521"/>
    </row>
    <row r="353" spans="21:22">
      <c r="U353" s="1521"/>
      <c r="V353" s="1521"/>
    </row>
    <row r="354" spans="21:22">
      <c r="U354" s="1521"/>
      <c r="V354" s="1521"/>
    </row>
    <row r="355" spans="21:22">
      <c r="U355" s="1521"/>
      <c r="V355" s="1521"/>
    </row>
    <row r="356" spans="21:22">
      <c r="U356" s="1521"/>
      <c r="V356" s="1521"/>
    </row>
    <row r="357" spans="21:22">
      <c r="U357" s="1521"/>
      <c r="V357" s="1521"/>
    </row>
    <row r="358" spans="21:22">
      <c r="U358" s="1521"/>
      <c r="V358" s="1521"/>
    </row>
    <row r="359" spans="21:22">
      <c r="U359" s="1521"/>
      <c r="V359" s="1521"/>
    </row>
    <row r="360" spans="21:22">
      <c r="U360" s="1521"/>
      <c r="V360" s="1521"/>
    </row>
    <row r="361" spans="21:22">
      <c r="U361" s="1521"/>
      <c r="V361" s="1521"/>
    </row>
    <row r="362" spans="21:22">
      <c r="U362" s="1521"/>
      <c r="V362" s="1521"/>
    </row>
    <row r="363" spans="21:22">
      <c r="U363" s="1521"/>
      <c r="V363" s="1521"/>
    </row>
    <row r="364" spans="21:22">
      <c r="U364" s="1521"/>
      <c r="V364" s="1521"/>
    </row>
    <row r="365" spans="21:22">
      <c r="U365" s="1521"/>
      <c r="V365" s="1521"/>
    </row>
    <row r="366" spans="21:22">
      <c r="U366" s="1521"/>
      <c r="V366" s="1521"/>
    </row>
    <row r="367" spans="21:22">
      <c r="U367" s="1521"/>
      <c r="V367" s="1521"/>
    </row>
    <row r="368" spans="21:22">
      <c r="U368" s="1521"/>
      <c r="V368" s="1521"/>
    </row>
    <row r="369" spans="21:22">
      <c r="U369" s="1521"/>
      <c r="V369" s="1521"/>
    </row>
    <row r="370" spans="21:22">
      <c r="U370" s="1521"/>
      <c r="V370" s="1521"/>
    </row>
    <row r="371" spans="21:22">
      <c r="U371" s="1521"/>
      <c r="V371" s="1521"/>
    </row>
    <row r="372" spans="21:22">
      <c r="U372" s="1521"/>
      <c r="V372" s="1521"/>
    </row>
    <row r="373" spans="21:22">
      <c r="U373" s="1521"/>
      <c r="V373" s="1521"/>
    </row>
    <row r="374" spans="21:22">
      <c r="U374" s="1521"/>
      <c r="V374" s="1521"/>
    </row>
    <row r="375" spans="21:22">
      <c r="U375" s="1521"/>
      <c r="V375" s="1521"/>
    </row>
    <row r="376" spans="21:22">
      <c r="U376" s="1521"/>
      <c r="V376" s="1521"/>
    </row>
    <row r="377" spans="21:22">
      <c r="U377" s="1521"/>
      <c r="V377" s="1521"/>
    </row>
    <row r="378" spans="21:22">
      <c r="U378" s="1521"/>
      <c r="V378" s="1521"/>
    </row>
    <row r="379" spans="21:22">
      <c r="U379" s="1521"/>
      <c r="V379" s="1521"/>
    </row>
    <row r="380" spans="21:22">
      <c r="U380" s="1521"/>
      <c r="V380" s="1521"/>
    </row>
    <row r="381" spans="21:22">
      <c r="U381" s="1521"/>
      <c r="V381" s="1521"/>
    </row>
    <row r="382" spans="21:22">
      <c r="U382" s="1521"/>
      <c r="V382" s="1521"/>
    </row>
    <row r="383" spans="21:22">
      <c r="U383" s="1521"/>
      <c r="V383" s="1521"/>
    </row>
    <row r="384" spans="21:22">
      <c r="U384" s="1521"/>
      <c r="V384" s="1521"/>
    </row>
    <row r="385" spans="21:22">
      <c r="U385" s="1521"/>
      <c r="V385" s="1521"/>
    </row>
    <row r="386" spans="21:22">
      <c r="U386" s="1521"/>
      <c r="V386" s="1521"/>
    </row>
    <row r="387" spans="21:22">
      <c r="U387" s="1521"/>
      <c r="V387" s="1521"/>
    </row>
    <row r="388" spans="21:22">
      <c r="U388" s="1521"/>
      <c r="V388" s="1521"/>
    </row>
    <row r="389" spans="21:22">
      <c r="U389" s="1521"/>
      <c r="V389" s="1521"/>
    </row>
    <row r="390" spans="21:22">
      <c r="U390" s="1521"/>
      <c r="V390" s="1521"/>
    </row>
    <row r="391" spans="21:22">
      <c r="U391" s="1521"/>
      <c r="V391" s="1521"/>
    </row>
    <row r="392" spans="21:22">
      <c r="U392" s="1521"/>
      <c r="V392" s="1521"/>
    </row>
    <row r="393" spans="21:22">
      <c r="U393" s="1521"/>
      <c r="V393" s="1521"/>
    </row>
    <row r="394" spans="21:22">
      <c r="U394" s="1521"/>
      <c r="V394" s="1521"/>
    </row>
    <row r="395" spans="21:22">
      <c r="U395" s="1521"/>
      <c r="V395" s="1521"/>
    </row>
    <row r="396" spans="21:22">
      <c r="U396" s="1521"/>
      <c r="V396" s="1521"/>
    </row>
    <row r="397" spans="21:22">
      <c r="U397" s="1521"/>
      <c r="V397" s="1521"/>
    </row>
    <row r="398" spans="21:22">
      <c r="U398" s="1521"/>
      <c r="V398" s="1521"/>
    </row>
    <row r="399" spans="21:22">
      <c r="U399" s="1521"/>
      <c r="V399" s="1521"/>
    </row>
    <row r="400" spans="21:22">
      <c r="U400" s="1521"/>
      <c r="V400" s="1521"/>
    </row>
    <row r="401" spans="21:22">
      <c r="U401" s="1521"/>
      <c r="V401" s="1521"/>
    </row>
    <row r="402" spans="21:22">
      <c r="U402" s="1521"/>
      <c r="V402" s="1521"/>
    </row>
    <row r="403" spans="21:22">
      <c r="U403" s="1521"/>
      <c r="V403" s="1521"/>
    </row>
    <row r="404" spans="21:22">
      <c r="U404" s="1521"/>
      <c r="V404" s="1521"/>
    </row>
    <row r="405" spans="21:22">
      <c r="U405" s="1521"/>
      <c r="V405" s="1521"/>
    </row>
    <row r="406" spans="21:22">
      <c r="U406" s="1521"/>
      <c r="V406" s="1521"/>
    </row>
    <row r="407" spans="21:22">
      <c r="U407" s="1521"/>
      <c r="V407" s="1521"/>
    </row>
    <row r="408" spans="21:22">
      <c r="U408" s="1521"/>
      <c r="V408" s="1521"/>
    </row>
    <row r="409" spans="21:22">
      <c r="U409" s="1521"/>
      <c r="V409" s="1521"/>
    </row>
    <row r="410" spans="21:22">
      <c r="U410" s="1521"/>
      <c r="V410" s="1521"/>
    </row>
    <row r="411" spans="21:22">
      <c r="U411" s="1521"/>
      <c r="V411" s="1521"/>
    </row>
    <row r="412" spans="21:22">
      <c r="U412" s="1521"/>
      <c r="V412" s="1521"/>
    </row>
    <row r="413" spans="21:22">
      <c r="U413" s="1521"/>
      <c r="V413" s="1521"/>
    </row>
    <row r="414" spans="21:22">
      <c r="U414" s="1521"/>
      <c r="V414" s="1521"/>
    </row>
    <row r="415" spans="21:22">
      <c r="U415" s="1521"/>
      <c r="V415" s="1521"/>
    </row>
    <row r="416" spans="21:22">
      <c r="U416" s="1521"/>
      <c r="V416" s="1521"/>
    </row>
    <row r="417" spans="21:22">
      <c r="U417" s="1521"/>
      <c r="V417" s="1521"/>
    </row>
    <row r="418" spans="21:22">
      <c r="U418" s="1521"/>
      <c r="V418" s="1521"/>
    </row>
    <row r="419" spans="21:22">
      <c r="U419" s="1521"/>
      <c r="V419" s="1521"/>
    </row>
    <row r="420" spans="21:22">
      <c r="U420" s="1521"/>
      <c r="V420" s="1521"/>
    </row>
    <row r="421" spans="21:22">
      <c r="U421" s="1521"/>
      <c r="V421" s="1521"/>
    </row>
    <row r="422" spans="21:22">
      <c r="U422" s="1521"/>
      <c r="V422" s="1521"/>
    </row>
    <row r="423" spans="21:22">
      <c r="U423" s="1521"/>
      <c r="V423" s="1521"/>
    </row>
    <row r="424" spans="21:22">
      <c r="U424" s="1521"/>
      <c r="V424" s="1521"/>
    </row>
    <row r="425" spans="21:22">
      <c r="U425" s="1521"/>
      <c r="V425" s="1521"/>
    </row>
    <row r="426" spans="21:22">
      <c r="U426" s="1521"/>
      <c r="V426" s="1521"/>
    </row>
    <row r="427" spans="21:22">
      <c r="U427" s="1521"/>
      <c r="V427" s="1521"/>
    </row>
    <row r="428" spans="21:22">
      <c r="U428" s="1521"/>
      <c r="V428" s="1521"/>
    </row>
    <row r="429" spans="21:22">
      <c r="U429" s="1521"/>
      <c r="V429" s="1521"/>
    </row>
    <row r="430" spans="21:22">
      <c r="U430" s="1521"/>
      <c r="V430" s="1521"/>
    </row>
    <row r="431" spans="21:22">
      <c r="U431" s="1521"/>
      <c r="V431" s="1521"/>
    </row>
    <row r="432" spans="21:22">
      <c r="U432" s="1521"/>
      <c r="V432" s="1521"/>
    </row>
    <row r="433" spans="21:22">
      <c r="U433" s="1521"/>
      <c r="V433" s="1521"/>
    </row>
    <row r="434" spans="21:22">
      <c r="U434" s="1521"/>
      <c r="V434" s="1521"/>
    </row>
    <row r="435" spans="21:22">
      <c r="U435" s="1521"/>
      <c r="V435" s="1521"/>
    </row>
    <row r="436" spans="21:22">
      <c r="U436" s="1521"/>
      <c r="V436" s="1521"/>
    </row>
    <row r="437" spans="21:22">
      <c r="U437" s="1521"/>
      <c r="V437" s="1521"/>
    </row>
    <row r="438" spans="21:22">
      <c r="U438" s="1521"/>
      <c r="V438" s="1521"/>
    </row>
    <row r="439" spans="21:22">
      <c r="U439" s="1521"/>
      <c r="V439" s="1521"/>
    </row>
    <row r="440" spans="21:22">
      <c r="U440" s="1521"/>
      <c r="V440" s="1521"/>
    </row>
    <row r="441" spans="21:22">
      <c r="U441" s="1521"/>
      <c r="V441" s="1521"/>
    </row>
    <row r="442" spans="21:22">
      <c r="U442" s="1521"/>
      <c r="V442" s="1521"/>
    </row>
    <row r="443" spans="21:22">
      <c r="U443" s="1521"/>
      <c r="V443" s="1521"/>
    </row>
    <row r="444" spans="21:22">
      <c r="U444" s="1521"/>
      <c r="V444" s="1521"/>
    </row>
    <row r="445" spans="21:22">
      <c r="U445" s="1521"/>
      <c r="V445" s="1521"/>
    </row>
    <row r="446" spans="21:22">
      <c r="U446" s="1521"/>
      <c r="V446" s="1521"/>
    </row>
    <row r="447" spans="21:22">
      <c r="U447" s="1521"/>
      <c r="V447" s="1521"/>
    </row>
    <row r="448" spans="21:22">
      <c r="U448" s="1521"/>
      <c r="V448" s="1521"/>
    </row>
    <row r="449" spans="21:22">
      <c r="U449" s="1521"/>
      <c r="V449" s="1521"/>
    </row>
    <row r="450" spans="21:22">
      <c r="U450" s="1521"/>
      <c r="V450" s="1521"/>
    </row>
    <row r="451" spans="21:22">
      <c r="U451" s="1521"/>
      <c r="V451" s="1521"/>
    </row>
    <row r="452" spans="21:22">
      <c r="U452" s="1521"/>
      <c r="V452" s="1521"/>
    </row>
    <row r="453" spans="21:22">
      <c r="U453" s="1521"/>
      <c r="V453" s="1521"/>
    </row>
    <row r="454" spans="21:22">
      <c r="U454" s="1521"/>
      <c r="V454" s="1521"/>
    </row>
    <row r="455" spans="21:22">
      <c r="U455" s="1521"/>
      <c r="V455" s="1521"/>
    </row>
    <row r="456" spans="21:22">
      <c r="U456" s="1521"/>
      <c r="V456" s="1521"/>
    </row>
    <row r="457" spans="21:22">
      <c r="U457" s="1521"/>
      <c r="V457" s="1521"/>
    </row>
    <row r="458" spans="21:22">
      <c r="U458" s="1521"/>
      <c r="V458" s="1521"/>
    </row>
    <row r="459" spans="21:22">
      <c r="U459" s="1521"/>
      <c r="V459" s="1521"/>
    </row>
    <row r="460" spans="21:22">
      <c r="U460" s="1521"/>
      <c r="V460" s="1521"/>
    </row>
    <row r="461" spans="21:22">
      <c r="U461" s="1521"/>
      <c r="V461" s="1521"/>
    </row>
    <row r="462" spans="21:22">
      <c r="U462" s="1521"/>
      <c r="V462" s="1521"/>
    </row>
    <row r="463" spans="21:22">
      <c r="U463" s="1521"/>
      <c r="V463" s="1521"/>
    </row>
    <row r="464" spans="21:22">
      <c r="U464" s="1521"/>
      <c r="V464" s="1521"/>
    </row>
    <row r="465" spans="21:22">
      <c r="U465" s="1521"/>
      <c r="V465" s="1521"/>
    </row>
    <row r="466" spans="21:22">
      <c r="U466" s="1521"/>
      <c r="V466" s="1521"/>
    </row>
    <row r="467" spans="21:22">
      <c r="U467" s="1521"/>
      <c r="V467" s="1521"/>
    </row>
    <row r="468" spans="21:22">
      <c r="U468" s="1521"/>
      <c r="V468" s="1521"/>
    </row>
    <row r="469" spans="21:22">
      <c r="U469" s="1521"/>
      <c r="V469" s="1521"/>
    </row>
    <row r="470" spans="21:22">
      <c r="U470" s="1521"/>
      <c r="V470" s="1521"/>
    </row>
    <row r="471" spans="21:22">
      <c r="U471" s="1521"/>
      <c r="V471" s="1521"/>
    </row>
    <row r="472" spans="21:22">
      <c r="U472" s="1521"/>
      <c r="V472" s="1521"/>
    </row>
    <row r="473" spans="21:22">
      <c r="U473" s="1521"/>
      <c r="V473" s="1521"/>
    </row>
    <row r="474" spans="21:22">
      <c r="U474" s="1521"/>
      <c r="V474" s="1521"/>
    </row>
    <row r="475" spans="21:22">
      <c r="U475" s="1521"/>
      <c r="V475" s="1521"/>
    </row>
    <row r="476" spans="21:22">
      <c r="U476" s="1521"/>
      <c r="V476" s="1521"/>
    </row>
    <row r="477" spans="21:22">
      <c r="U477" s="1521"/>
      <c r="V477" s="1521"/>
    </row>
    <row r="478" spans="21:22">
      <c r="U478" s="1521"/>
      <c r="V478" s="1521"/>
    </row>
    <row r="479" spans="21:22">
      <c r="U479" s="1521"/>
      <c r="V479" s="1521"/>
    </row>
    <row r="480" spans="21:22">
      <c r="U480" s="1521"/>
      <c r="V480" s="1521"/>
    </row>
    <row r="481" spans="21:22">
      <c r="U481" s="1521"/>
      <c r="V481" s="1521"/>
    </row>
    <row r="482" spans="21:22">
      <c r="U482" s="1521"/>
      <c r="V482" s="1521"/>
    </row>
    <row r="483" spans="21:22">
      <c r="U483" s="1521"/>
      <c r="V483" s="1521"/>
    </row>
    <row r="484" spans="21:22">
      <c r="U484" s="1521"/>
      <c r="V484" s="1521"/>
    </row>
    <row r="485" spans="21:22">
      <c r="U485" s="1521"/>
      <c r="V485" s="1521"/>
    </row>
    <row r="486" spans="21:22">
      <c r="U486" s="1521"/>
      <c r="V486" s="1521"/>
    </row>
    <row r="487" spans="21:22">
      <c r="U487" s="1521"/>
      <c r="V487" s="1521"/>
    </row>
    <row r="488" spans="21:22">
      <c r="U488" s="1521"/>
      <c r="V488" s="1521"/>
    </row>
    <row r="489" spans="21:22">
      <c r="U489" s="1521"/>
      <c r="V489" s="1521"/>
    </row>
    <row r="490" spans="21:22">
      <c r="U490" s="1521"/>
      <c r="V490" s="1521"/>
    </row>
    <row r="491" spans="21:22">
      <c r="U491" s="1521"/>
      <c r="V491" s="1521"/>
    </row>
    <row r="492" spans="21:22">
      <c r="U492" s="1521"/>
      <c r="V492" s="1521"/>
    </row>
    <row r="493" spans="21:22">
      <c r="U493" s="1521"/>
      <c r="V493" s="1521"/>
    </row>
    <row r="494" spans="21:22">
      <c r="U494" s="1521"/>
      <c r="V494" s="1521"/>
    </row>
    <row r="495" spans="21:22">
      <c r="U495" s="1521"/>
      <c r="V495" s="1521"/>
    </row>
    <row r="496" spans="21:22">
      <c r="U496" s="1521"/>
      <c r="V496" s="1521"/>
    </row>
    <row r="497" spans="21:22">
      <c r="U497" s="1521"/>
      <c r="V497" s="1521"/>
    </row>
    <row r="498" spans="21:22">
      <c r="U498" s="1521"/>
      <c r="V498" s="1521"/>
    </row>
    <row r="499" spans="21:22">
      <c r="U499" s="1521"/>
      <c r="V499" s="1521"/>
    </row>
    <row r="500" spans="21:22">
      <c r="U500" s="1521"/>
      <c r="V500" s="1521"/>
    </row>
    <row r="501" spans="21:22">
      <c r="U501" s="1521"/>
      <c r="V501" s="1521"/>
    </row>
    <row r="502" spans="21:22">
      <c r="U502" s="1521"/>
      <c r="V502" s="1521"/>
    </row>
    <row r="503" spans="21:22">
      <c r="U503" s="1521"/>
      <c r="V503" s="1521"/>
    </row>
    <row r="504" spans="21:22">
      <c r="U504" s="1521"/>
      <c r="V504" s="1521"/>
    </row>
    <row r="505" spans="21:22">
      <c r="U505" s="1521"/>
      <c r="V505" s="1521"/>
    </row>
    <row r="506" spans="21:22">
      <c r="U506" s="1521"/>
      <c r="V506" s="1521"/>
    </row>
    <row r="507" spans="21:22">
      <c r="U507" s="1521"/>
      <c r="V507" s="1521"/>
    </row>
    <row r="508" spans="21:22">
      <c r="U508" s="1521"/>
      <c r="V508" s="1521"/>
    </row>
    <row r="509" spans="21:22">
      <c r="U509" s="1521"/>
      <c r="V509" s="1521"/>
    </row>
    <row r="510" spans="21:22">
      <c r="U510" s="1521"/>
      <c r="V510" s="1521"/>
    </row>
    <row r="511" spans="21:22">
      <c r="U511" s="1521"/>
      <c r="V511" s="1521"/>
    </row>
    <row r="512" spans="21:22">
      <c r="U512" s="1521"/>
      <c r="V512" s="1521"/>
    </row>
    <row r="513" spans="21:22">
      <c r="U513" s="1521"/>
      <c r="V513" s="1521"/>
    </row>
    <row r="514" spans="21:22">
      <c r="U514" s="1521"/>
      <c r="V514" s="1521"/>
    </row>
    <row r="515" spans="21:22">
      <c r="U515" s="1521"/>
      <c r="V515" s="1521"/>
    </row>
    <row r="516" spans="21:22">
      <c r="U516" s="1521"/>
      <c r="V516" s="1521"/>
    </row>
    <row r="517" spans="21:22">
      <c r="U517" s="1521"/>
      <c r="V517" s="1521"/>
    </row>
    <row r="518" spans="21:22">
      <c r="U518" s="1521"/>
      <c r="V518" s="1521"/>
    </row>
    <row r="519" spans="21:22">
      <c r="U519" s="1521"/>
      <c r="V519" s="1521"/>
    </row>
    <row r="520" spans="21:22">
      <c r="U520" s="1521"/>
      <c r="V520" s="1521"/>
    </row>
    <row r="521" spans="21:22">
      <c r="U521" s="1521"/>
      <c r="V521" s="1521"/>
    </row>
    <row r="522" spans="21:22">
      <c r="U522" s="1521"/>
      <c r="V522" s="1521"/>
    </row>
    <row r="523" spans="21:22">
      <c r="U523" s="1521"/>
      <c r="V523" s="1521"/>
    </row>
    <row r="524" spans="21:22">
      <c r="U524" s="1521"/>
      <c r="V524" s="1521"/>
    </row>
    <row r="525" spans="21:22">
      <c r="U525" s="1521"/>
      <c r="V525" s="1521"/>
    </row>
    <row r="526" spans="21:22">
      <c r="U526" s="1521"/>
      <c r="V526" s="1521"/>
    </row>
    <row r="527" spans="21:22">
      <c r="U527" s="1521"/>
      <c r="V527" s="1521"/>
    </row>
    <row r="528" spans="21:22">
      <c r="U528" s="1521"/>
      <c r="V528" s="1521"/>
    </row>
    <row r="529" spans="21:22">
      <c r="U529" s="1521"/>
      <c r="V529" s="1521"/>
    </row>
    <row r="530" spans="21:22">
      <c r="U530" s="1521"/>
      <c r="V530" s="1521"/>
    </row>
    <row r="531" spans="21:22">
      <c r="U531" s="1521"/>
      <c r="V531" s="1521"/>
    </row>
    <row r="532" spans="21:22">
      <c r="U532" s="1521"/>
      <c r="V532" s="1521"/>
    </row>
    <row r="533" spans="21:22">
      <c r="U533" s="1521"/>
      <c r="V533" s="1521"/>
    </row>
    <row r="534" spans="21:22">
      <c r="U534" s="1521"/>
      <c r="V534" s="1521"/>
    </row>
    <row r="535" spans="21:22">
      <c r="U535" s="1521"/>
      <c r="V535" s="1521"/>
    </row>
    <row r="536" spans="21:22">
      <c r="U536" s="1521"/>
      <c r="V536" s="1521"/>
    </row>
    <row r="537" spans="21:22">
      <c r="U537" s="1521"/>
      <c r="V537" s="1521"/>
    </row>
    <row r="538" spans="21:22">
      <c r="U538" s="1521"/>
      <c r="V538" s="1521"/>
    </row>
    <row r="539" spans="21:22">
      <c r="U539" s="1521"/>
      <c r="V539" s="1521"/>
    </row>
    <row r="540" spans="21:22">
      <c r="U540" s="1521"/>
      <c r="V540" s="1521"/>
    </row>
    <row r="541" spans="21:22">
      <c r="U541" s="1521"/>
      <c r="V541" s="1521"/>
    </row>
    <row r="542" spans="21:22">
      <c r="U542" s="1521"/>
      <c r="V542" s="1521"/>
    </row>
    <row r="543" spans="21:22">
      <c r="U543" s="1521"/>
      <c r="V543" s="1521"/>
    </row>
    <row r="544" spans="21:22">
      <c r="U544" s="1521"/>
      <c r="V544" s="1521"/>
    </row>
    <row r="545" spans="21:22">
      <c r="U545" s="1521"/>
      <c r="V545" s="1521"/>
    </row>
    <row r="546" spans="21:22">
      <c r="U546" s="1521"/>
      <c r="V546" s="1521"/>
    </row>
    <row r="547" spans="21:22">
      <c r="U547" s="1521"/>
      <c r="V547" s="1521"/>
    </row>
    <row r="548" spans="21:22">
      <c r="U548" s="1521"/>
      <c r="V548" s="1521"/>
    </row>
    <row r="549" spans="21:22">
      <c r="U549" s="1521"/>
      <c r="V549" s="1521"/>
    </row>
    <row r="550" spans="21:22">
      <c r="U550" s="1521"/>
      <c r="V550" s="1521"/>
    </row>
    <row r="551" spans="21:22">
      <c r="U551" s="1521"/>
      <c r="V551" s="1521"/>
    </row>
    <row r="552" spans="21:22">
      <c r="U552" s="1521"/>
      <c r="V552" s="1521"/>
    </row>
    <row r="553" spans="21:22">
      <c r="U553" s="1521"/>
      <c r="V553" s="1521"/>
    </row>
    <row r="554" spans="21:22">
      <c r="U554" s="1521"/>
      <c r="V554" s="1521"/>
    </row>
    <row r="555" spans="21:22">
      <c r="U555" s="1521"/>
      <c r="V555" s="1521"/>
    </row>
    <row r="556" spans="21:22">
      <c r="U556" s="1521"/>
      <c r="V556" s="1521"/>
    </row>
    <row r="557" spans="21:22">
      <c r="U557" s="1521"/>
      <c r="V557" s="1521"/>
    </row>
    <row r="558" spans="21:22">
      <c r="U558" s="1521"/>
      <c r="V558" s="1521"/>
    </row>
    <row r="559" spans="21:22">
      <c r="U559" s="1521"/>
      <c r="V559" s="1521"/>
    </row>
    <row r="560" spans="21:22">
      <c r="U560" s="1521"/>
      <c r="V560" s="1521"/>
    </row>
    <row r="561" spans="21:22">
      <c r="U561" s="1521"/>
      <c r="V561" s="1521"/>
    </row>
    <row r="562" spans="21:22">
      <c r="U562" s="1521"/>
      <c r="V562" s="1521"/>
    </row>
    <row r="563" spans="21:22">
      <c r="U563" s="1521"/>
      <c r="V563" s="1521"/>
    </row>
    <row r="564" spans="21:22">
      <c r="U564" s="1521"/>
      <c r="V564" s="1521"/>
    </row>
    <row r="565" spans="21:22">
      <c r="U565" s="1521"/>
      <c r="V565" s="1521"/>
    </row>
    <row r="566" spans="21:22">
      <c r="U566" s="1521"/>
      <c r="V566" s="1521"/>
    </row>
    <row r="567" spans="21:22">
      <c r="U567" s="1521"/>
      <c r="V567" s="1521"/>
    </row>
    <row r="568" spans="21:22">
      <c r="U568" s="1521"/>
      <c r="V568" s="1521"/>
    </row>
    <row r="569" spans="21:22">
      <c r="U569" s="1521"/>
      <c r="V569" s="1521"/>
    </row>
    <row r="570" spans="21:22">
      <c r="U570" s="1521"/>
      <c r="V570" s="1521"/>
    </row>
    <row r="571" spans="21:22">
      <c r="U571" s="1521"/>
      <c r="V571" s="1521"/>
    </row>
    <row r="572" spans="21:22">
      <c r="U572" s="1521"/>
      <c r="V572" s="1521"/>
    </row>
    <row r="573" spans="21:22">
      <c r="U573" s="1521"/>
      <c r="V573" s="1521"/>
    </row>
    <row r="574" spans="21:22">
      <c r="U574" s="1521"/>
      <c r="V574" s="1521"/>
    </row>
    <row r="575" spans="21:22">
      <c r="U575" s="1521"/>
      <c r="V575" s="1521"/>
    </row>
    <row r="576" spans="21:22">
      <c r="U576" s="1521"/>
      <c r="V576" s="1521"/>
    </row>
    <row r="577" spans="21:22">
      <c r="U577" s="1521"/>
      <c r="V577" s="1521"/>
    </row>
    <row r="578" spans="21:22">
      <c r="U578" s="1521"/>
      <c r="V578" s="1521"/>
    </row>
    <row r="579" spans="21:22">
      <c r="U579" s="1521"/>
      <c r="V579" s="1521"/>
    </row>
    <row r="580" spans="21:22">
      <c r="U580" s="1521"/>
      <c r="V580" s="1521"/>
    </row>
    <row r="581" spans="21:22">
      <c r="U581" s="1521"/>
      <c r="V581" s="1521"/>
    </row>
    <row r="582" spans="21:22">
      <c r="U582" s="1521"/>
      <c r="V582" s="1521"/>
    </row>
    <row r="583" spans="21:22">
      <c r="U583" s="1521"/>
      <c r="V583" s="1521"/>
    </row>
    <row r="584" spans="21:22">
      <c r="U584" s="1521"/>
      <c r="V584" s="1521"/>
    </row>
    <row r="585" spans="21:22">
      <c r="U585" s="1521"/>
      <c r="V585" s="1521"/>
    </row>
    <row r="586" spans="21:22">
      <c r="U586" s="1521"/>
      <c r="V586" s="1521"/>
    </row>
    <row r="587" spans="21:22">
      <c r="U587" s="1521"/>
      <c r="V587" s="1521"/>
    </row>
    <row r="588" spans="21:22">
      <c r="U588" s="1521"/>
      <c r="V588" s="1521"/>
    </row>
    <row r="589" spans="21:22">
      <c r="U589" s="1521"/>
      <c r="V589" s="1521"/>
    </row>
  </sheetData>
  <phoneticPr fontId="0" type="noConversion"/>
  <pageMargins left="0.75" right="0.75" top="1" bottom="1" header="0.5" footer="0.5"/>
  <pageSetup orientation="portrait" horizontalDpi="4294967293"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rgb="FF33CCFF"/>
  </sheetPr>
  <dimension ref="A1:DS589"/>
  <sheetViews>
    <sheetView zoomScale="90" zoomScaleNormal="90" workbookViewId="0">
      <pane xSplit="3" ySplit="2" topLeftCell="D3" activePane="bottomRight" state="frozen"/>
      <selection activeCell="J116" sqref="J116"/>
      <selection pane="topRight" activeCell="J116" sqref="J116"/>
      <selection pane="bottomLeft" activeCell="J116" sqref="J116"/>
      <selection pane="bottomRight" activeCell="I3" sqref="I3"/>
    </sheetView>
  </sheetViews>
  <sheetFormatPr defaultColWidth="9.140625" defaultRowHeight="12.75"/>
  <cols>
    <col min="1" max="1" width="26.140625" style="1521" customWidth="1"/>
    <col min="2" max="2" width="10.42578125" style="1521" hidden="1" customWidth="1"/>
    <col min="3" max="3" width="30.7109375" style="1522" customWidth="1"/>
    <col min="4" max="4" width="14.85546875" style="1523" customWidth="1"/>
    <col min="5" max="5" width="16" style="1523" customWidth="1"/>
    <col min="6" max="6" width="17.140625" style="1523" customWidth="1"/>
    <col min="7" max="7" width="21.85546875" style="1523" customWidth="1"/>
    <col min="8" max="8" width="20.85546875" style="1523" customWidth="1"/>
    <col min="9" max="9" width="16.28515625" style="1521" customWidth="1"/>
    <col min="10" max="10" width="18" style="1521" customWidth="1"/>
    <col min="11" max="11" width="15.5703125" style="1521" customWidth="1"/>
    <col min="12" max="12" width="15.85546875" style="1521" customWidth="1"/>
    <col min="13" max="13" width="17.5703125" style="1521" customWidth="1"/>
    <col min="14" max="14" width="14.42578125" style="1521" customWidth="1"/>
    <col min="15" max="16" width="15.28515625" style="1521" customWidth="1"/>
    <col min="17" max="17" width="14.28515625" style="1521" customWidth="1"/>
    <col min="18" max="18" width="13.7109375" style="1521" customWidth="1"/>
    <col min="19" max="19" width="14.28515625" style="1521" customWidth="1"/>
    <col min="20" max="20" width="13.7109375" style="1521" customWidth="1"/>
    <col min="21" max="21" width="15.140625" style="1524" customWidth="1"/>
    <col min="22" max="22" width="17.5703125" style="1524" customWidth="1"/>
    <col min="23" max="23" width="45.42578125" style="1524" customWidth="1"/>
    <col min="24" max="26" width="17.5703125" style="2919" customWidth="1"/>
    <col min="28" max="162" width="9.5703125" style="1521" customWidth="1"/>
    <col min="163" max="16384" width="9.140625" style="1521"/>
  </cols>
  <sheetData>
    <row r="1" spans="1:123" ht="15">
      <c r="A1" s="1520" t="s">
        <v>416</v>
      </c>
      <c r="H1" s="1711"/>
      <c r="I1" s="1524"/>
      <c r="J1" s="1524"/>
      <c r="K1" s="1524"/>
      <c r="L1" s="1524"/>
      <c r="M1" s="1524"/>
      <c r="N1" s="1524"/>
      <c r="O1" s="1524"/>
      <c r="P1" s="1524"/>
      <c r="Q1" s="1524"/>
      <c r="R1" s="1524"/>
      <c r="S1" s="1524"/>
      <c r="T1" s="1524"/>
    </row>
    <row r="2" spans="1:123" s="1530" customFormat="1" ht="75">
      <c r="A2" s="1525" t="s">
        <v>1396</v>
      </c>
      <c r="B2" s="1526" t="s">
        <v>952</v>
      </c>
      <c r="C2" s="1527" t="s">
        <v>1397</v>
      </c>
      <c r="D2" s="1528" t="str">
        <f>("Generation Turbine"&amp;" "&amp;TEXT(D7,"0.0")&amp;" MW")</f>
        <v>Generation Turbine 49.9 MW</v>
      </c>
      <c r="E2" s="1528" t="str">
        <f>("Generation Turbine"&amp;" "&amp;TEXT(E7,"0")&amp;" MW")</f>
        <v>Generation Turbine 100 MW</v>
      </c>
      <c r="F2" s="1528" t="str">
        <f>("Generation Turbine - Advanced"&amp;" "&amp;TEXT(F7,"0")&amp;" MW")</f>
        <v>Generation Turbine - Advanced 200 MW</v>
      </c>
      <c r="G2" s="1528" t="str">
        <f>("Combined Cycle - 2 CTs No Duct Firing"&amp;" "&amp;TEXT(G7,"0")&amp;" MW")</f>
        <v>Combined Cycle - 2 CTs No Duct Firing 500 MW</v>
      </c>
      <c r="H2" s="1528" t="str">
        <f>("Combined Cycle - 2 CTs With Duct Firing"&amp;" "&amp;TEXT(H7,"0")&amp;" MW")</f>
        <v>Combined Cycle - 2 CTs With Duct Firing 550 MW</v>
      </c>
      <c r="I2" s="3014" t="str">
        <f>("Biomass Fluidized Bed Boiler"&amp;" "&amp;TEXT(I7,0)&amp;" MW")</f>
        <v>Biomass Fluidized Bed Boiler 50 MW</v>
      </c>
      <c r="J2" s="3011" t="str">
        <f>("Geothermal  Binary"&amp;" "&amp;TEXT(J7,0)&amp;" MW")</f>
        <v>Geothermal  Binary 30 MW</v>
      </c>
      <c r="K2" s="3011" t="str">
        <f>("Geothermal  Flash"&amp;" "&amp;TEXT(K7,0)&amp;" MW")</f>
        <v>Geothermal  Flash 30 MW</v>
      </c>
      <c r="L2" s="3013" t="str">
        <f>("Solar Parabolic Trough W/O Storage"&amp;" "&amp;TEXT(L7,0)&amp;" MW")</f>
        <v>Solar Parabolic Trough W/O Storage 250 MW</v>
      </c>
      <c r="M2" s="3013" t="str">
        <f>("Solar Parabolic Trough With Storage"&amp;" "&amp;TEXT(M7,0)&amp;" MW")</f>
        <v>Solar Parabolic Trough With Storage 250 MW</v>
      </c>
      <c r="N2" s="3013" t="str">
        <f>("Solar Power Tower W/O Storage"&amp;" "&amp;TEXT(N7,0)&amp;" MW")</f>
        <v>Solar Power Tower W/O Storage 100 MW</v>
      </c>
      <c r="O2" s="3013" t="str">
        <f>("Solar Power Tower With Storage"&amp;" "&amp;TEXT(O7,0)&amp;" MW 6 HRs")</f>
        <v>Solar Power Tower With Storage 100 MW 6 HRs</v>
      </c>
      <c r="P2" s="3013" t="str">
        <f>("Solar Power Tower With Storage"&amp;" "&amp;TEXT(P7,0)&amp;" MW 11 HRs")</f>
        <v>Solar Power Tower With Storage 100 MW 11 HRs</v>
      </c>
      <c r="Q2" s="3013" t="str">
        <f>("Solar Photovoltaic (Thin-Film)"&amp;" "&amp;TEXT(Q7,0)&amp;" MW")</f>
        <v>Solar Photovoltaic (Thin-Film) 100 MW</v>
      </c>
      <c r="R2" s="3013" t="str">
        <f>("Solar Photovoltaic (Single Axis)"&amp;" "&amp;TEXT(R7,0)&amp;" MW")</f>
        <v>Solar Photovoltaic (Single Axis) 100 MW</v>
      </c>
      <c r="S2" s="3013" t="str">
        <f>("Solar Photovoltaic (Thin-Film)"&amp;" "&amp;TEXT(S7,0)&amp;" MW")</f>
        <v>Solar Photovoltaic (Thin-Film) 20 MW</v>
      </c>
      <c r="T2" s="3013" t="str">
        <f>("Solar Photovoltaic (Single Axis)"&amp;" "&amp;TEXT(T7,0)&amp;" MW")</f>
        <v>Solar Photovoltaic (Single Axis) 20 MW</v>
      </c>
      <c r="U2" s="3010" t="str">
        <f>("Wind - Class 3"&amp;" "&amp;TEXT(U7,0)&amp;" MW")</f>
        <v>Wind - Class 3 100 MW</v>
      </c>
      <c r="V2" s="3010" t="str">
        <f>("Wind - Class 4"&amp;" "&amp;TEXT(V7,0)&amp;" MW")</f>
        <v>Wind - Class 4 100 MW</v>
      </c>
      <c r="W2" s="1529"/>
      <c r="X2" s="4236"/>
      <c r="Y2" s="4236"/>
      <c r="Z2" s="4236"/>
    </row>
    <row r="3" spans="1:123" s="1532" customFormat="1" ht="55.5" customHeight="1">
      <c r="A3" s="1531" t="s">
        <v>297</v>
      </c>
      <c r="B3" s="1532" t="s">
        <v>680</v>
      </c>
      <c r="C3" s="1533" t="s">
        <v>1152</v>
      </c>
      <c r="D3" s="3252" t="s">
        <v>1909</v>
      </c>
      <c r="E3" s="3252" t="s">
        <v>1910</v>
      </c>
      <c r="F3" s="3252" t="s">
        <v>1911</v>
      </c>
      <c r="G3" s="3252" t="s">
        <v>1912</v>
      </c>
      <c r="H3" s="3252" t="s">
        <v>1913</v>
      </c>
      <c r="I3" s="3252" t="s">
        <v>1713</v>
      </c>
      <c r="J3" s="3252" t="s">
        <v>1782</v>
      </c>
      <c r="K3" s="3252" t="s">
        <v>1782</v>
      </c>
      <c r="L3" s="3253" t="s">
        <v>1784</v>
      </c>
      <c r="M3" s="3253" t="s">
        <v>1783</v>
      </c>
      <c r="N3" s="3253" t="s">
        <v>1783</v>
      </c>
      <c r="O3" s="3253" t="s">
        <v>1882</v>
      </c>
      <c r="P3" s="3253" t="s">
        <v>1882</v>
      </c>
      <c r="Q3" s="3255" t="s">
        <v>2053</v>
      </c>
      <c r="R3" s="3252" t="s">
        <v>2054</v>
      </c>
      <c r="S3" s="3255" t="s">
        <v>2053</v>
      </c>
      <c r="T3" s="3252" t="s">
        <v>2054</v>
      </c>
      <c r="U3" s="3252" t="s">
        <v>2052</v>
      </c>
      <c r="V3" s="3252" t="s">
        <v>2052</v>
      </c>
      <c r="W3" s="1534"/>
      <c r="X3" s="3256"/>
      <c r="Y3" s="3256"/>
      <c r="Z3" s="3256"/>
    </row>
    <row r="4" spans="1:123" s="1536" customFormat="1" ht="13.7" customHeight="1">
      <c r="A4" s="1535" t="s">
        <v>1077</v>
      </c>
      <c r="C4" s="1537" t="s">
        <v>962</v>
      </c>
      <c r="D4" s="3012">
        <v>2011</v>
      </c>
      <c r="E4" s="3012">
        <v>2011</v>
      </c>
      <c r="F4" s="3012">
        <v>2011</v>
      </c>
      <c r="G4" s="3012">
        <v>2011</v>
      </c>
      <c r="H4" s="3012">
        <v>2011</v>
      </c>
      <c r="I4" s="2778">
        <v>2011</v>
      </c>
      <c r="J4" s="2778">
        <v>2011</v>
      </c>
      <c r="K4" s="2778">
        <v>2011</v>
      </c>
      <c r="L4" s="2778">
        <v>2011</v>
      </c>
      <c r="M4" s="2778">
        <v>2011</v>
      </c>
      <c r="N4" s="2778">
        <v>2011</v>
      </c>
      <c r="O4" s="2778">
        <v>2011</v>
      </c>
      <c r="P4" s="2778">
        <v>2011</v>
      </c>
      <c r="Q4" s="2778">
        <v>2011</v>
      </c>
      <c r="R4" s="2778">
        <v>2011</v>
      </c>
      <c r="S4" s="2778">
        <v>2011</v>
      </c>
      <c r="T4" s="2778">
        <v>2011</v>
      </c>
      <c r="U4" s="2778">
        <v>2011</v>
      </c>
      <c r="V4" s="2778">
        <v>2011</v>
      </c>
      <c r="W4" s="1538"/>
      <c r="X4" s="2920"/>
      <c r="Y4" s="2920"/>
      <c r="Z4" s="2920"/>
    </row>
    <row r="5" spans="1:123" s="1536" customFormat="1" ht="13.7" customHeight="1">
      <c r="A5" s="1540" t="s">
        <v>1140</v>
      </c>
      <c r="B5" s="1541"/>
      <c r="C5" s="1542" t="s">
        <v>157</v>
      </c>
      <c r="D5" s="1537" t="s">
        <v>165</v>
      </c>
      <c r="E5" s="1537" t="s">
        <v>165</v>
      </c>
      <c r="F5" s="1537" t="s">
        <v>165</v>
      </c>
      <c r="G5" s="1537" t="s">
        <v>165</v>
      </c>
      <c r="H5" s="1537" t="s">
        <v>165</v>
      </c>
      <c r="I5" s="2779" t="s">
        <v>282</v>
      </c>
      <c r="J5" s="2779" t="s">
        <v>551</v>
      </c>
      <c r="K5" s="2779" t="s">
        <v>551</v>
      </c>
      <c r="L5" s="3012" t="s">
        <v>132</v>
      </c>
      <c r="M5" s="3012" t="s">
        <v>132</v>
      </c>
      <c r="N5" s="3012" t="s">
        <v>132</v>
      </c>
      <c r="O5" s="3012" t="s">
        <v>132</v>
      </c>
      <c r="P5" s="3012" t="s">
        <v>132</v>
      </c>
      <c r="Q5" s="3012" t="s">
        <v>132</v>
      </c>
      <c r="R5" s="3012" t="s">
        <v>132</v>
      </c>
      <c r="S5" s="3012" t="s">
        <v>132</v>
      </c>
      <c r="T5" s="3012" t="s">
        <v>132</v>
      </c>
      <c r="U5" s="3041" t="s">
        <v>131</v>
      </c>
      <c r="V5" s="3041" t="s">
        <v>131</v>
      </c>
      <c r="W5" s="1537"/>
      <c r="X5" s="2921"/>
      <c r="Y5" s="2921"/>
      <c r="Z5" s="2921"/>
    </row>
    <row r="6" spans="1:123" s="1536" customFormat="1" ht="14.25">
      <c r="A6" s="4203"/>
      <c r="B6" s="1538"/>
      <c r="C6" s="1608" t="s">
        <v>1282</v>
      </c>
      <c r="D6" s="4117" t="s">
        <v>1989</v>
      </c>
      <c r="E6" s="4117"/>
      <c r="F6" s="4117"/>
      <c r="G6" s="1549"/>
      <c r="H6" s="1549"/>
      <c r="I6" s="3004"/>
      <c r="J6" s="1538"/>
      <c r="K6" s="1538"/>
      <c r="L6" s="1538"/>
      <c r="M6" s="1538"/>
      <c r="N6" s="1538"/>
      <c r="O6" s="1538"/>
      <c r="P6" s="1538"/>
      <c r="Q6" s="1538"/>
      <c r="R6" s="1538"/>
      <c r="S6" s="1538"/>
      <c r="T6" s="1538"/>
      <c r="U6" s="1538"/>
      <c r="V6" s="1538"/>
      <c r="W6" s="1538"/>
      <c r="X6" s="2920"/>
      <c r="Y6" s="2920"/>
      <c r="Z6" s="2920"/>
    </row>
    <row r="7" spans="1:123" s="1536" customFormat="1" ht="14.25">
      <c r="A7" s="1545" t="s">
        <v>797</v>
      </c>
      <c r="B7" s="1546" t="s">
        <v>681</v>
      </c>
      <c r="C7" s="1548" t="s">
        <v>419</v>
      </c>
      <c r="D7" s="1538">
        <v>49.9</v>
      </c>
      <c r="E7" s="1538">
        <v>100</v>
      </c>
      <c r="F7" s="1538">
        <v>200</v>
      </c>
      <c r="G7" s="1538">
        <v>500</v>
      </c>
      <c r="H7" s="1538">
        <f>ROUND(G7/(1-0.091),0)</f>
        <v>550</v>
      </c>
      <c r="I7" s="4126">
        <v>50</v>
      </c>
      <c r="J7" s="4126">
        <v>30</v>
      </c>
      <c r="K7" s="4126">
        <v>30</v>
      </c>
      <c r="L7" s="4126">
        <v>250</v>
      </c>
      <c r="M7" s="4126">
        <v>250</v>
      </c>
      <c r="N7" s="3004">
        <v>100</v>
      </c>
      <c r="O7" s="3004">
        <v>100</v>
      </c>
      <c r="P7" s="3004">
        <v>100</v>
      </c>
      <c r="Q7" s="3004">
        <v>100</v>
      </c>
      <c r="R7" s="3004">
        <v>100</v>
      </c>
      <c r="S7" s="3004">
        <v>20</v>
      </c>
      <c r="T7" s="3004">
        <v>20</v>
      </c>
      <c r="U7" s="3004">
        <v>100</v>
      </c>
      <c r="V7" s="3004">
        <v>100</v>
      </c>
      <c r="W7" s="1538"/>
      <c r="X7" s="2920"/>
      <c r="Y7" s="2920"/>
      <c r="Z7" s="2920"/>
    </row>
    <row r="8" spans="1:123" s="1551" customFormat="1" ht="14.25">
      <c r="A8" s="1545" t="s">
        <v>1375</v>
      </c>
      <c r="B8" s="1546" t="s">
        <v>682</v>
      </c>
      <c r="C8" s="1548" t="s">
        <v>1374</v>
      </c>
      <c r="D8" s="1549">
        <v>4.2000000000000003E-2</v>
      </c>
      <c r="E8" s="1549">
        <v>4.2000000000000003E-2</v>
      </c>
      <c r="F8" s="1549">
        <v>4.2000000000000003E-2</v>
      </c>
      <c r="G8" s="1586">
        <v>0.04</v>
      </c>
      <c r="H8" s="1586">
        <v>0.04</v>
      </c>
      <c r="I8" s="4127">
        <v>7.0000000000000007E-2</v>
      </c>
      <c r="J8" s="4127">
        <v>0.14499999999999999</v>
      </c>
      <c r="K8" s="4127">
        <v>0.2</v>
      </c>
      <c r="L8" s="4127">
        <v>0.15</v>
      </c>
      <c r="M8" s="4127">
        <v>0.15</v>
      </c>
      <c r="N8" s="4127">
        <v>0.13</v>
      </c>
      <c r="O8" s="4127">
        <v>0.13</v>
      </c>
      <c r="P8" s="4127">
        <v>0.13</v>
      </c>
      <c r="Q8" s="4129">
        <v>0.02</v>
      </c>
      <c r="R8" s="4129">
        <v>0.04</v>
      </c>
      <c r="S8" s="4129">
        <v>0.02</v>
      </c>
      <c r="T8" s="4129">
        <v>0.04</v>
      </c>
      <c r="U8" s="4129">
        <v>0.03</v>
      </c>
      <c r="V8" s="4129">
        <v>0.03</v>
      </c>
      <c r="W8" s="1549"/>
      <c r="X8" s="2922"/>
      <c r="Y8" s="2922"/>
      <c r="Z8" s="2922"/>
      <c r="AB8" s="1550"/>
      <c r="AC8" s="1550"/>
      <c r="AD8" s="1550"/>
      <c r="AE8" s="1550"/>
      <c r="AF8" s="1550"/>
      <c r="AG8" s="1550"/>
      <c r="AH8" s="1550"/>
      <c r="AI8" s="1550"/>
      <c r="AJ8" s="1550"/>
      <c r="AK8" s="1550"/>
      <c r="AL8" s="1550"/>
      <c r="AM8" s="1550"/>
      <c r="AN8" s="1550"/>
      <c r="AO8" s="1550"/>
      <c r="AP8" s="1550"/>
      <c r="AQ8" s="1550"/>
      <c r="AR8" s="1550"/>
      <c r="AS8" s="1550"/>
      <c r="AT8" s="1550"/>
      <c r="AU8" s="1550"/>
      <c r="AV8" s="1550"/>
      <c r="AW8" s="1550"/>
      <c r="AX8" s="1550"/>
      <c r="AY8" s="1550"/>
      <c r="AZ8" s="1550"/>
      <c r="BA8" s="1550"/>
      <c r="BB8" s="1550"/>
      <c r="BC8" s="1550"/>
      <c r="BD8" s="1550"/>
      <c r="BE8" s="1550"/>
      <c r="BF8" s="1550"/>
      <c r="BG8" s="1550"/>
      <c r="BH8" s="1550"/>
      <c r="BI8" s="1550"/>
      <c r="BJ8" s="1550"/>
      <c r="BK8" s="1550"/>
      <c r="BL8" s="1550"/>
      <c r="BM8" s="1550"/>
      <c r="BN8" s="1550"/>
      <c r="BO8" s="1550"/>
      <c r="BP8" s="1550"/>
      <c r="BQ8" s="1550"/>
      <c r="BR8" s="1550"/>
      <c r="BS8" s="1550"/>
      <c r="BT8" s="1550"/>
      <c r="BU8" s="1550"/>
      <c r="BV8" s="1550"/>
      <c r="BW8" s="1550"/>
      <c r="BX8" s="1550"/>
      <c r="BY8" s="1550"/>
      <c r="BZ8" s="1550"/>
      <c r="CA8" s="1550"/>
      <c r="CB8" s="1550"/>
      <c r="CC8" s="1550"/>
      <c r="CD8" s="1550"/>
      <c r="CE8" s="1550"/>
      <c r="CF8" s="1550"/>
      <c r="CG8" s="1550"/>
      <c r="CH8" s="1550"/>
      <c r="CI8" s="1550"/>
      <c r="CJ8" s="1550"/>
      <c r="CK8" s="1550"/>
      <c r="CL8" s="1550"/>
      <c r="CM8" s="1550"/>
      <c r="CN8" s="1550"/>
      <c r="CO8" s="1550"/>
      <c r="CP8" s="1550"/>
      <c r="CQ8" s="1550"/>
      <c r="CR8" s="1550"/>
      <c r="CS8" s="1550"/>
      <c r="CT8" s="1550"/>
      <c r="CU8" s="1550"/>
      <c r="CV8" s="1550"/>
      <c r="CW8" s="1550"/>
      <c r="CX8" s="1550"/>
      <c r="CY8" s="1550"/>
      <c r="CZ8" s="1550"/>
      <c r="DA8" s="1550"/>
      <c r="DB8" s="1550"/>
      <c r="DC8" s="1550"/>
      <c r="DD8" s="1550"/>
      <c r="DE8" s="1550"/>
      <c r="DF8" s="1550"/>
      <c r="DG8" s="1550"/>
      <c r="DH8" s="1550"/>
      <c r="DI8" s="1550"/>
      <c r="DJ8" s="1550"/>
      <c r="DK8" s="1550"/>
      <c r="DL8" s="1550"/>
      <c r="DM8" s="1550"/>
      <c r="DN8" s="1550"/>
      <c r="DO8" s="1550"/>
      <c r="DP8" s="1550"/>
      <c r="DQ8" s="1550"/>
      <c r="DR8" s="1550"/>
      <c r="DS8" s="1550"/>
    </row>
    <row r="9" spans="1:123" s="1536" customFormat="1" ht="15">
      <c r="A9" s="1545" t="s">
        <v>798</v>
      </c>
      <c r="B9" s="1552" t="s">
        <v>685</v>
      </c>
      <c r="C9" s="1548" t="s">
        <v>96</v>
      </c>
      <c r="D9" s="4164">
        <f>IF(OwnerType="POU",0.153%,IF(OwnerType="IOU",0.011%,0.082%))</f>
        <v>8.1999999999999998E-4</v>
      </c>
      <c r="E9" s="4164">
        <f>IF(OwnerType="POU",0.153%,IF(OwnerType="IOU",0.011%,0.082%))</f>
        <v>8.1999999999999998E-4</v>
      </c>
      <c r="F9" s="4164">
        <f>IF(OwnerType="POU",0.23%,IF(OwnerType="IOU",0.016%,0.124%))</f>
        <v>1.24E-3</v>
      </c>
      <c r="G9" s="4165">
        <v>2.3999999999999998E-3</v>
      </c>
      <c r="H9" s="4165">
        <v>2.3999999999999998E-3</v>
      </c>
      <c r="I9" s="4127">
        <v>2E-3</v>
      </c>
      <c r="J9" s="4127">
        <v>0.02</v>
      </c>
      <c r="K9" s="4127">
        <v>0.02</v>
      </c>
      <c r="L9" s="4127">
        <v>1.4E-2</v>
      </c>
      <c r="M9" s="4127">
        <v>1.4E-2</v>
      </c>
      <c r="N9" s="4127">
        <v>1.4E-2</v>
      </c>
      <c r="O9" s="4127">
        <v>1.4E-2</v>
      </c>
      <c r="P9" s="4127">
        <v>1.4E-2</v>
      </c>
      <c r="Q9" s="4129">
        <v>1.6E-2</v>
      </c>
      <c r="R9" s="4130">
        <v>1.2500000000000001E-2</v>
      </c>
      <c r="S9" s="4129">
        <v>1.6E-2</v>
      </c>
      <c r="T9" s="4130">
        <v>1.2500000000000001E-2</v>
      </c>
      <c r="U9" s="4130">
        <v>8.0000000000000002E-3</v>
      </c>
      <c r="V9" s="4130">
        <v>8.0000000000000002E-3</v>
      </c>
      <c r="W9" s="1553"/>
      <c r="X9" s="2923"/>
      <c r="Y9" s="2923"/>
      <c r="Z9" s="2923"/>
    </row>
    <row r="10" spans="1:123" s="1536" customFormat="1">
      <c r="A10" s="2983" t="s">
        <v>1776</v>
      </c>
      <c r="B10" s="2984"/>
      <c r="C10" s="2985" t="s">
        <v>1769</v>
      </c>
      <c r="D10" s="1575">
        <v>0.6</v>
      </c>
      <c r="E10" s="1575">
        <v>0.6</v>
      </c>
      <c r="F10" s="1575">
        <v>0.6</v>
      </c>
      <c r="G10" s="1575">
        <v>0.6</v>
      </c>
      <c r="H10" s="1575">
        <v>0.6</v>
      </c>
      <c r="I10" s="1568">
        <v>0.5</v>
      </c>
      <c r="J10" s="1568">
        <v>0.5</v>
      </c>
      <c r="K10" s="1568">
        <v>0.5</v>
      </c>
      <c r="L10" s="1568">
        <v>0.5</v>
      </c>
      <c r="M10" s="1568">
        <v>0.5</v>
      </c>
      <c r="N10" s="1568">
        <v>0.5</v>
      </c>
      <c r="O10" s="1568">
        <v>0.5</v>
      </c>
      <c r="P10" s="1568">
        <v>0.5</v>
      </c>
      <c r="Q10" s="1568">
        <v>0.5</v>
      </c>
      <c r="R10" s="1568">
        <v>0.5</v>
      </c>
      <c r="S10" s="1568">
        <v>0.5</v>
      </c>
      <c r="T10" s="1568">
        <v>0.5</v>
      </c>
      <c r="U10" s="1568">
        <v>0.5</v>
      </c>
      <c r="V10" s="1568">
        <v>0.5</v>
      </c>
      <c r="W10" s="1553"/>
      <c r="X10" s="2923"/>
      <c r="Y10" s="2923"/>
      <c r="Z10" s="2923"/>
    </row>
    <row r="11" spans="1:123" s="1536" customFormat="1" ht="14.25">
      <c r="A11" s="2983" t="s">
        <v>1775</v>
      </c>
      <c r="B11" s="2984"/>
      <c r="C11" s="2985" t="s">
        <v>1878</v>
      </c>
      <c r="D11" s="1549">
        <v>3.1E-2</v>
      </c>
      <c r="E11" s="1549">
        <v>3.1E-2</v>
      </c>
      <c r="F11" s="1549">
        <v>3.1E-2</v>
      </c>
      <c r="G11" s="1549">
        <v>3.1E-2</v>
      </c>
      <c r="H11" s="1549">
        <v>3.1E-2</v>
      </c>
      <c r="I11" s="4127">
        <v>3.1699999999999999E-2</v>
      </c>
      <c r="J11" s="4127">
        <v>3.1699999999999999E-2</v>
      </c>
      <c r="K11" s="4131">
        <v>3.1699999999999999E-2</v>
      </c>
      <c r="L11" s="4131">
        <v>2.9000000000000001E-2</v>
      </c>
      <c r="M11" s="4131">
        <v>2.9000000000000001E-2</v>
      </c>
      <c r="N11" s="4131">
        <v>2.9000000000000001E-2</v>
      </c>
      <c r="O11" s="4131">
        <v>2.9000000000000001E-2</v>
      </c>
      <c r="P11" s="4131">
        <v>2.9000000000000001E-2</v>
      </c>
      <c r="Q11" s="1553">
        <v>2.9000000000000001E-2</v>
      </c>
      <c r="R11" s="1553">
        <v>2.9000000000000001E-2</v>
      </c>
      <c r="S11" s="1553">
        <v>2.9000000000000001E-2</v>
      </c>
      <c r="T11" s="1553">
        <v>2.9000000000000001E-2</v>
      </c>
      <c r="U11" s="1553">
        <v>2.9000000000000001E-2</v>
      </c>
      <c r="V11" s="1553">
        <v>2.9000000000000001E-2</v>
      </c>
      <c r="W11" s="1553"/>
      <c r="X11" s="2923"/>
      <c r="Y11" s="2923"/>
      <c r="Z11" s="2923"/>
    </row>
    <row r="12" spans="1:123" s="1536" customFormat="1" ht="14.25">
      <c r="A12" s="2983" t="s">
        <v>1774</v>
      </c>
      <c r="B12" s="2984"/>
      <c r="C12" s="2985" t="s">
        <v>1770</v>
      </c>
      <c r="D12" s="2995">
        <v>1.39</v>
      </c>
      <c r="E12" s="2995">
        <v>1.39</v>
      </c>
      <c r="F12" s="2995">
        <v>1.39</v>
      </c>
      <c r="G12" s="2995">
        <v>1.39</v>
      </c>
      <c r="H12" s="2995">
        <v>1.39</v>
      </c>
      <c r="I12" s="4161">
        <v>1.78</v>
      </c>
      <c r="J12" s="4161">
        <v>1.88</v>
      </c>
      <c r="K12" s="4132">
        <v>1.88</v>
      </c>
      <c r="L12" s="4132">
        <v>1.45</v>
      </c>
      <c r="M12" s="4132">
        <v>1.45</v>
      </c>
      <c r="N12" s="4132">
        <v>1.45</v>
      </c>
      <c r="O12" s="4132">
        <v>1.45</v>
      </c>
      <c r="P12" s="4132">
        <v>1.45</v>
      </c>
      <c r="Q12" s="1924">
        <v>1.45</v>
      </c>
      <c r="R12" s="1924">
        <v>1.45</v>
      </c>
      <c r="S12" s="1924">
        <v>1.45</v>
      </c>
      <c r="T12" s="1924">
        <v>1.45</v>
      </c>
      <c r="U12" s="1924">
        <v>1.45</v>
      </c>
      <c r="V12" s="1924">
        <v>1.45</v>
      </c>
      <c r="W12" s="1553"/>
      <c r="X12" s="2923"/>
      <c r="Y12" s="2923"/>
      <c r="Z12" s="2923"/>
    </row>
    <row r="13" spans="1:123" s="1536" customFormat="1" ht="14.25">
      <c r="A13" s="2983" t="s">
        <v>1773</v>
      </c>
      <c r="B13" s="2984"/>
      <c r="C13" s="2985" t="s">
        <v>1771</v>
      </c>
      <c r="D13" s="2995">
        <v>1.39</v>
      </c>
      <c r="E13" s="2995">
        <v>1.39</v>
      </c>
      <c r="F13" s="2995">
        <v>1.39</v>
      </c>
      <c r="G13" s="2995">
        <v>1.39</v>
      </c>
      <c r="H13" s="2995">
        <v>1.39</v>
      </c>
      <c r="I13" s="4161">
        <v>1.78</v>
      </c>
      <c r="J13" s="4161">
        <v>1.88</v>
      </c>
      <c r="K13" s="4132">
        <v>1.88</v>
      </c>
      <c r="L13" s="4132">
        <v>1.3</v>
      </c>
      <c r="M13" s="4132">
        <v>1.3</v>
      </c>
      <c r="N13" s="4132">
        <v>1.3</v>
      </c>
      <c r="O13" s="4132">
        <v>1.3</v>
      </c>
      <c r="P13" s="4132">
        <v>1.3</v>
      </c>
      <c r="Q13" s="1924">
        <v>1.3</v>
      </c>
      <c r="R13" s="1924">
        <v>1.3</v>
      </c>
      <c r="S13" s="1924">
        <v>1.3</v>
      </c>
      <c r="T13" s="1924">
        <v>1.3</v>
      </c>
      <c r="U13" s="1924">
        <v>1.3</v>
      </c>
      <c r="V13" s="1924">
        <v>1.3</v>
      </c>
      <c r="W13" s="1553"/>
      <c r="X13" s="2923"/>
      <c r="Y13" s="2923"/>
      <c r="Z13" s="2923"/>
    </row>
    <row r="14" spans="1:123" s="1536" customFormat="1">
      <c r="A14" s="2989" t="s">
        <v>799</v>
      </c>
      <c r="B14" s="2990" t="s">
        <v>686</v>
      </c>
      <c r="C14" s="2991" t="s">
        <v>1772</v>
      </c>
      <c r="D14" s="1538">
        <v>7</v>
      </c>
      <c r="E14" s="1538">
        <v>7</v>
      </c>
      <c r="F14" s="1538">
        <v>7</v>
      </c>
      <c r="G14" s="1538">
        <v>7</v>
      </c>
      <c r="H14" s="1538">
        <v>7</v>
      </c>
      <c r="I14" s="1538">
        <f>I15-5</f>
        <v>15</v>
      </c>
      <c r="J14" s="1538">
        <f t="shared" ref="J14:V14" si="0">J15-5</f>
        <v>15</v>
      </c>
      <c r="K14" s="1538">
        <f t="shared" si="0"/>
        <v>15</v>
      </c>
      <c r="L14" s="1538">
        <f t="shared" si="0"/>
        <v>15</v>
      </c>
      <c r="M14" s="1538">
        <f t="shared" si="0"/>
        <v>15</v>
      </c>
      <c r="N14" s="1538">
        <f t="shared" si="0"/>
        <v>15</v>
      </c>
      <c r="O14" s="1538">
        <f t="shared" si="0"/>
        <v>15</v>
      </c>
      <c r="P14" s="1538">
        <f t="shared" si="0"/>
        <v>15</v>
      </c>
      <c r="Q14" s="1538">
        <f t="shared" si="0"/>
        <v>15</v>
      </c>
      <c r="R14" s="1538">
        <f t="shared" si="0"/>
        <v>15</v>
      </c>
      <c r="S14" s="1538">
        <f t="shared" si="0"/>
        <v>15</v>
      </c>
      <c r="T14" s="1538">
        <f t="shared" si="0"/>
        <v>15</v>
      </c>
      <c r="U14" s="1538">
        <f t="shared" si="0"/>
        <v>15</v>
      </c>
      <c r="V14" s="1538">
        <f t="shared" si="0"/>
        <v>15</v>
      </c>
      <c r="W14" s="1538"/>
      <c r="X14" s="2920"/>
      <c r="Y14" s="2920"/>
      <c r="Z14" s="2920"/>
    </row>
    <row r="15" spans="1:123" s="1536" customFormat="1">
      <c r="A15" s="2989" t="s">
        <v>800</v>
      </c>
      <c r="B15" s="2990" t="s">
        <v>687</v>
      </c>
      <c r="C15" s="2991" t="s">
        <v>115</v>
      </c>
      <c r="D15" s="1538">
        <v>20</v>
      </c>
      <c r="E15" s="1538">
        <v>20</v>
      </c>
      <c r="F15" s="1538">
        <v>20</v>
      </c>
      <c r="G15" s="1538">
        <v>20</v>
      </c>
      <c r="H15" s="1538">
        <v>20</v>
      </c>
      <c r="I15" s="1538">
        <v>20</v>
      </c>
      <c r="J15" s="1538">
        <v>20</v>
      </c>
      <c r="K15" s="1538">
        <v>20</v>
      </c>
      <c r="L15" s="1538">
        <v>20</v>
      </c>
      <c r="M15" s="1538">
        <v>20</v>
      </c>
      <c r="N15" s="1538">
        <v>20</v>
      </c>
      <c r="O15" s="1538">
        <v>20</v>
      </c>
      <c r="P15" s="1538">
        <v>20</v>
      </c>
      <c r="Q15" s="1538">
        <v>20</v>
      </c>
      <c r="R15" s="1538">
        <v>20</v>
      </c>
      <c r="S15" s="1538">
        <v>20</v>
      </c>
      <c r="T15" s="1538">
        <v>20</v>
      </c>
      <c r="U15" s="1538">
        <v>20</v>
      </c>
      <c r="V15" s="1538">
        <v>20</v>
      </c>
      <c r="W15" s="1538"/>
      <c r="X15" s="2920"/>
      <c r="Y15" s="2920"/>
      <c r="Z15" s="2920"/>
    </row>
    <row r="16" spans="1:123" s="1536" customFormat="1">
      <c r="A16" s="2989" t="s">
        <v>801</v>
      </c>
      <c r="B16" s="2990" t="s">
        <v>688</v>
      </c>
      <c r="C16" s="2991" t="s">
        <v>1287</v>
      </c>
      <c r="D16" s="1538">
        <v>20</v>
      </c>
      <c r="E16" s="1538">
        <v>20</v>
      </c>
      <c r="F16" s="1538">
        <v>20</v>
      </c>
      <c r="G16" s="1538">
        <v>20</v>
      </c>
      <c r="H16" s="1538">
        <v>20</v>
      </c>
      <c r="I16" s="1538">
        <v>5</v>
      </c>
      <c r="J16" s="1538">
        <v>5</v>
      </c>
      <c r="K16" s="1538">
        <v>5</v>
      </c>
      <c r="L16" s="1538">
        <v>5</v>
      </c>
      <c r="M16" s="1538">
        <v>5</v>
      </c>
      <c r="N16" s="1538">
        <v>5</v>
      </c>
      <c r="O16" s="1538">
        <v>5</v>
      </c>
      <c r="P16" s="1538">
        <v>5</v>
      </c>
      <c r="Q16" s="1538">
        <v>5</v>
      </c>
      <c r="R16" s="1538">
        <v>5</v>
      </c>
      <c r="S16" s="1538">
        <v>5</v>
      </c>
      <c r="T16" s="1538">
        <v>5</v>
      </c>
      <c r="U16" s="1538">
        <v>5</v>
      </c>
      <c r="V16" s="1538">
        <v>5</v>
      </c>
      <c r="W16" s="1538"/>
      <c r="X16" s="2920"/>
      <c r="Y16" s="2920"/>
      <c r="Z16" s="2920"/>
    </row>
    <row r="17" spans="1:26" s="1536" customFormat="1">
      <c r="A17" s="2989" t="s">
        <v>802</v>
      </c>
      <c r="B17" s="2990" t="s">
        <v>689</v>
      </c>
      <c r="C17" s="2991" t="s">
        <v>1288</v>
      </c>
      <c r="D17" s="1538">
        <f t="shared" ref="D17:H17" si="1">D16</f>
        <v>20</v>
      </c>
      <c r="E17" s="1538">
        <v>20</v>
      </c>
      <c r="F17" s="1538">
        <v>20</v>
      </c>
      <c r="G17" s="1538">
        <f t="shared" si="1"/>
        <v>20</v>
      </c>
      <c r="H17" s="1538">
        <f t="shared" si="1"/>
        <v>20</v>
      </c>
      <c r="I17" s="1538">
        <v>20</v>
      </c>
      <c r="J17" s="1538">
        <v>20</v>
      </c>
      <c r="K17" s="1538">
        <v>20</v>
      </c>
      <c r="L17" s="1538">
        <v>20</v>
      </c>
      <c r="M17" s="1538">
        <v>20</v>
      </c>
      <c r="N17" s="1538">
        <v>20</v>
      </c>
      <c r="O17" s="1538">
        <v>20</v>
      </c>
      <c r="P17" s="1538">
        <v>20</v>
      </c>
      <c r="Q17" s="1538">
        <v>20</v>
      </c>
      <c r="R17" s="1538">
        <v>20</v>
      </c>
      <c r="S17" s="1538">
        <v>20</v>
      </c>
      <c r="T17" s="1538">
        <v>20</v>
      </c>
      <c r="U17" s="1538">
        <v>30</v>
      </c>
      <c r="V17" s="1538">
        <v>30</v>
      </c>
      <c r="W17" s="1538"/>
      <c r="X17" s="2920"/>
      <c r="Y17" s="2920"/>
      <c r="Z17" s="2920"/>
    </row>
    <row r="18" spans="1:26" s="1536" customFormat="1">
      <c r="A18" s="1535"/>
      <c r="C18" s="1560" t="s">
        <v>1284</v>
      </c>
      <c r="D18" s="1538"/>
      <c r="E18" s="1538"/>
      <c r="F18" s="1538"/>
      <c r="G18" s="1538"/>
      <c r="H18" s="1538"/>
      <c r="I18" s="1538"/>
      <c r="J18" s="1538"/>
      <c r="K18" s="1538"/>
      <c r="L18" s="1538"/>
      <c r="M18" s="1538"/>
      <c r="N18" s="1538"/>
      <c r="O18" s="1538"/>
      <c r="P18" s="1538"/>
      <c r="Q18" s="1538"/>
      <c r="R18" s="1538"/>
      <c r="S18" s="1538"/>
      <c r="T18" s="1538"/>
      <c r="U18" s="1538"/>
      <c r="V18" s="1538"/>
      <c r="W18" s="1538"/>
      <c r="X18" s="2920"/>
      <c r="Y18" s="2920"/>
      <c r="Z18" s="2920"/>
    </row>
    <row r="19" spans="1:26" s="1536" customFormat="1" ht="14.25">
      <c r="A19" s="1562" t="s">
        <v>391</v>
      </c>
      <c r="B19" s="1541" t="s">
        <v>690</v>
      </c>
      <c r="C19" s="1563" t="s">
        <v>1271</v>
      </c>
      <c r="D19" s="1538">
        <v>11890</v>
      </c>
      <c r="E19" s="1538">
        <v>11890</v>
      </c>
      <c r="F19" s="1538">
        <v>10200</v>
      </c>
      <c r="G19" s="1538">
        <v>7480</v>
      </c>
      <c r="H19" s="1538">
        <f>G19</f>
        <v>7480</v>
      </c>
      <c r="I19" s="4148">
        <v>14500</v>
      </c>
      <c r="J19" s="4136">
        <v>34633</v>
      </c>
      <c r="K19" s="4136">
        <v>34633</v>
      </c>
      <c r="L19" s="1538"/>
      <c r="M19" s="1538"/>
      <c r="N19" s="1538"/>
      <c r="O19" s="1538"/>
      <c r="P19" s="1538"/>
      <c r="Q19" s="1538"/>
      <c r="R19" s="1538"/>
      <c r="S19" s="1538"/>
      <c r="T19" s="1538"/>
      <c r="U19" s="1538"/>
      <c r="V19" s="1538"/>
      <c r="W19" s="1538"/>
      <c r="X19" s="2920"/>
      <c r="Y19" s="2920"/>
      <c r="Z19" s="2920"/>
    </row>
    <row r="20" spans="1:26" s="1536" customFormat="1">
      <c r="A20" s="1540" t="s">
        <v>803</v>
      </c>
      <c r="B20" s="1541" t="s">
        <v>691</v>
      </c>
      <c r="C20" s="1563" t="s">
        <v>1369</v>
      </c>
      <c r="D20" s="1538">
        <f t="shared" ref="D20:H20" si="2">2.8*D7</f>
        <v>139.72</v>
      </c>
      <c r="E20" s="1538">
        <f t="shared" si="2"/>
        <v>280</v>
      </c>
      <c r="F20" s="1538">
        <f t="shared" si="2"/>
        <v>560</v>
      </c>
      <c r="G20" s="1538">
        <f t="shared" si="2"/>
        <v>1400</v>
      </c>
      <c r="H20" s="1538">
        <f t="shared" si="2"/>
        <v>1540</v>
      </c>
      <c r="I20" s="1538"/>
      <c r="J20" s="1538"/>
      <c r="K20" s="1538"/>
      <c r="L20" s="1538"/>
      <c r="M20" s="1538"/>
      <c r="N20" s="1538"/>
      <c r="O20" s="1538"/>
      <c r="P20" s="1538"/>
      <c r="Q20" s="1538"/>
      <c r="R20" s="1538"/>
      <c r="S20" s="1538"/>
      <c r="T20" s="1538"/>
      <c r="U20" s="1538"/>
      <c r="V20" s="1538"/>
      <c r="W20" s="1538"/>
      <c r="X20" s="2920"/>
      <c r="Y20" s="2920"/>
      <c r="Z20" s="2920"/>
    </row>
    <row r="21" spans="1:26" s="1565" customFormat="1">
      <c r="A21" s="1540" t="s">
        <v>804</v>
      </c>
      <c r="B21" s="1564" t="s">
        <v>692</v>
      </c>
      <c r="C21" s="1563" t="s">
        <v>1371</v>
      </c>
      <c r="D21" s="1538">
        <v>120</v>
      </c>
      <c r="E21" s="1538">
        <v>120</v>
      </c>
      <c r="F21" s="1538">
        <v>120</v>
      </c>
      <c r="G21" s="1538">
        <v>25</v>
      </c>
      <c r="H21" s="1538">
        <v>25</v>
      </c>
      <c r="I21" s="1538"/>
      <c r="J21" s="1538"/>
      <c r="K21" s="1538"/>
      <c r="L21" s="1538"/>
      <c r="M21" s="1538"/>
      <c r="N21" s="1538"/>
      <c r="O21" s="1538"/>
      <c r="P21" s="1538"/>
      <c r="Q21" s="1538"/>
      <c r="R21" s="1538"/>
      <c r="S21" s="1538"/>
      <c r="T21" s="1538"/>
      <c r="U21" s="1538"/>
      <c r="V21" s="1538"/>
      <c r="W21" s="1566"/>
      <c r="X21" s="2920"/>
      <c r="Y21" s="2920"/>
      <c r="Z21" s="2920"/>
    </row>
    <row r="22" spans="1:26" s="1565" customFormat="1" ht="15">
      <c r="A22" s="1540" t="s">
        <v>1008</v>
      </c>
      <c r="B22" s="1564"/>
      <c r="C22" s="1563" t="s">
        <v>1331</v>
      </c>
      <c r="D22" s="4164">
        <f>IF(OwnerType="POU",0.153%,IF(OwnerType="IOU",0.011%,0.082%))</f>
        <v>8.1999999999999998E-4</v>
      </c>
      <c r="E22" s="4164">
        <f>IF(OwnerType="POU",0.153%,IF(OwnerType="IOU",0.011%,0.082%))</f>
        <v>8.1999999999999998E-4</v>
      </c>
      <c r="F22" s="4164">
        <f>IF(OwnerType="POU",0.23%,IF(OwnerType="IOU",0.016%,0.124%))</f>
        <v>1.24E-3</v>
      </c>
      <c r="G22" s="4165">
        <v>2.3999999999999998E-3</v>
      </c>
      <c r="H22" s="4165">
        <v>2.3999999999999998E-3</v>
      </c>
      <c r="I22" s="1553">
        <v>2E-3</v>
      </c>
      <c r="J22" s="4127">
        <v>0.05</v>
      </c>
      <c r="K22" s="4127">
        <v>0.05</v>
      </c>
      <c r="L22" s="1568">
        <v>0</v>
      </c>
      <c r="M22" s="1568">
        <v>0</v>
      </c>
      <c r="N22" s="1568">
        <v>0</v>
      </c>
      <c r="O22" s="1568">
        <v>0</v>
      </c>
      <c r="P22" s="1568">
        <v>0</v>
      </c>
      <c r="Q22" s="1568">
        <v>0</v>
      </c>
      <c r="R22" s="1568">
        <v>0</v>
      </c>
      <c r="S22" s="1568">
        <v>0</v>
      </c>
      <c r="T22" s="1568">
        <v>0</v>
      </c>
      <c r="U22" s="1568">
        <v>0</v>
      </c>
      <c r="V22" s="1568">
        <v>0</v>
      </c>
      <c r="W22" s="1568"/>
      <c r="X22" s="2925"/>
      <c r="Y22" s="2925"/>
      <c r="Z22" s="2925"/>
    </row>
    <row r="23" spans="1:26" s="1565" customFormat="1">
      <c r="A23" s="1535"/>
      <c r="B23" s="1536"/>
      <c r="C23" s="1560" t="s">
        <v>1291</v>
      </c>
      <c r="D23" s="1538"/>
      <c r="E23" s="1538"/>
      <c r="F23" s="1538"/>
      <c r="G23" s="1538"/>
      <c r="H23" s="1538"/>
      <c r="I23" s="1538"/>
      <c r="J23" s="1538"/>
      <c r="K23" s="1538"/>
      <c r="L23" s="1538"/>
      <c r="M23" s="1538"/>
      <c r="N23" s="1538"/>
      <c r="O23" s="1538"/>
      <c r="P23" s="1538"/>
      <c r="Q23" s="1538"/>
      <c r="R23" s="1538"/>
      <c r="S23" s="1538"/>
      <c r="T23" s="1538"/>
      <c r="U23" s="1538"/>
      <c r="V23" s="1538"/>
      <c r="W23" s="1566"/>
      <c r="X23" s="2920"/>
      <c r="Y23" s="2920"/>
      <c r="Z23" s="2920"/>
    </row>
    <row r="24" spans="1:26" s="1565" customFormat="1">
      <c r="A24" s="1569"/>
      <c r="B24" s="1570"/>
      <c r="C24" s="1547" t="s">
        <v>123</v>
      </c>
      <c r="D24" s="1538"/>
      <c r="E24" s="1538"/>
      <c r="F24" s="1538"/>
      <c r="G24" s="1538"/>
      <c r="H24" s="1538"/>
      <c r="I24" s="1538"/>
      <c r="J24" s="1538"/>
      <c r="K24" s="1538"/>
      <c r="L24" s="1538"/>
      <c r="M24" s="1538"/>
      <c r="N24" s="1538"/>
      <c r="O24" s="1538"/>
      <c r="P24" s="1538"/>
      <c r="Q24" s="1538"/>
      <c r="R24" s="1538"/>
      <c r="S24" s="1538"/>
      <c r="T24" s="1538"/>
      <c r="U24" s="1538"/>
      <c r="V24" s="1538"/>
      <c r="W24" s="1566"/>
      <c r="X24" s="2920"/>
      <c r="Y24" s="2920"/>
      <c r="Z24" s="2920"/>
    </row>
    <row r="25" spans="1:26" s="1565" customFormat="1" ht="14.25">
      <c r="A25" s="1569" t="s">
        <v>805</v>
      </c>
      <c r="B25" s="1571" t="s">
        <v>693</v>
      </c>
      <c r="C25" s="1572" t="s">
        <v>423</v>
      </c>
      <c r="D25" s="1586">
        <v>0.75</v>
      </c>
      <c r="E25" s="1586">
        <v>0.75</v>
      </c>
      <c r="F25" s="1586">
        <v>0.5</v>
      </c>
      <c r="G25" s="1575">
        <v>0.5</v>
      </c>
      <c r="H25" s="1575">
        <v>0.5</v>
      </c>
      <c r="I25" s="4129">
        <f>100%/3</f>
        <v>0.33333333333333331</v>
      </c>
      <c r="J25" s="4137">
        <v>0.125</v>
      </c>
      <c r="K25" s="4137">
        <v>0.125</v>
      </c>
      <c r="L25" s="4137">
        <v>0.4</v>
      </c>
      <c r="M25" s="4137">
        <v>0.4</v>
      </c>
      <c r="N25" s="4137">
        <v>0.4</v>
      </c>
      <c r="O25" s="4137">
        <v>0.4</v>
      </c>
      <c r="P25" s="4137">
        <v>0.4</v>
      </c>
      <c r="Q25" s="4137">
        <v>0.5</v>
      </c>
      <c r="R25" s="4137">
        <v>0.5</v>
      </c>
      <c r="S25" s="4137">
        <v>0.5</v>
      </c>
      <c r="T25" s="4137">
        <v>0.5</v>
      </c>
      <c r="U25" s="4137">
        <v>0.45</v>
      </c>
      <c r="V25" s="4137">
        <v>0.45</v>
      </c>
      <c r="W25" s="1573"/>
      <c r="X25" s="2926"/>
      <c r="Y25" s="2927"/>
      <c r="Z25" s="2927"/>
    </row>
    <row r="26" spans="1:26" s="1565" customFormat="1" ht="14.25">
      <c r="A26" s="1569" t="s">
        <v>806</v>
      </c>
      <c r="B26" s="1571" t="s">
        <v>694</v>
      </c>
      <c r="C26" s="1572" t="s">
        <v>252</v>
      </c>
      <c r="D26" s="1586">
        <v>0.25</v>
      </c>
      <c r="E26" s="1586">
        <v>0.25</v>
      </c>
      <c r="F26" s="1586">
        <v>0.4</v>
      </c>
      <c r="G26" s="1575">
        <v>0.4</v>
      </c>
      <c r="H26" s="1575">
        <v>0.4</v>
      </c>
      <c r="I26" s="4129">
        <f>100%/3</f>
        <v>0.33333333333333331</v>
      </c>
      <c r="J26" s="4137">
        <v>0.17855478294405655</v>
      </c>
      <c r="K26" s="4137">
        <v>0.21232401611048576</v>
      </c>
      <c r="L26" s="4137">
        <v>0.4</v>
      </c>
      <c r="M26" s="4137">
        <v>0.4</v>
      </c>
      <c r="N26" s="4137">
        <v>0.4</v>
      </c>
      <c r="O26" s="4137">
        <v>0.4</v>
      </c>
      <c r="P26" s="4137">
        <v>0.4</v>
      </c>
      <c r="Q26" s="4137">
        <v>0.5</v>
      </c>
      <c r="R26" s="4137">
        <v>0.5</v>
      </c>
      <c r="S26" s="4137">
        <v>0.5</v>
      </c>
      <c r="T26" s="4137">
        <v>0.5</v>
      </c>
      <c r="U26" s="4137">
        <v>0.45</v>
      </c>
      <c r="V26" s="4137">
        <v>0.45</v>
      </c>
      <c r="W26" s="1573"/>
      <c r="X26" s="2927"/>
      <c r="Y26" s="2927"/>
      <c r="Z26" s="2927"/>
    </row>
    <row r="27" spans="1:26" s="1565" customFormat="1" ht="14.25">
      <c r="A27" s="1569" t="s">
        <v>807</v>
      </c>
      <c r="B27" s="1571" t="s">
        <v>695</v>
      </c>
      <c r="C27" s="1572" t="s">
        <v>253</v>
      </c>
      <c r="D27" s="1575">
        <v>0</v>
      </c>
      <c r="E27" s="1575">
        <v>0</v>
      </c>
      <c r="F27" s="1575">
        <v>0.1</v>
      </c>
      <c r="G27" s="1575">
        <v>0.1</v>
      </c>
      <c r="H27" s="1575">
        <v>0.1</v>
      </c>
      <c r="I27" s="4129">
        <f>100%/3</f>
        <v>0.33333333333333331</v>
      </c>
      <c r="J27" s="4137">
        <v>0.17855478294405655</v>
      </c>
      <c r="K27" s="4137">
        <v>0.21071891134435433</v>
      </c>
      <c r="L27" s="4137">
        <v>0.2</v>
      </c>
      <c r="M27" s="4137">
        <v>0.2</v>
      </c>
      <c r="N27" s="4137">
        <v>0.2</v>
      </c>
      <c r="O27" s="4137">
        <v>0.2</v>
      </c>
      <c r="P27" s="4137">
        <v>0.2</v>
      </c>
      <c r="Q27" s="4137">
        <v>0</v>
      </c>
      <c r="R27" s="4137">
        <v>0</v>
      </c>
      <c r="S27" s="4137">
        <v>0</v>
      </c>
      <c r="T27" s="4137">
        <v>0</v>
      </c>
      <c r="U27" s="4162">
        <v>0.1</v>
      </c>
      <c r="V27" s="4162">
        <v>0.1</v>
      </c>
      <c r="W27" s="1575"/>
      <c r="X27" s="2955"/>
      <c r="Y27" s="2927"/>
      <c r="Z27" s="2927"/>
    </row>
    <row r="28" spans="1:26" s="1565" customFormat="1" ht="14.25">
      <c r="A28" s="1569" t="s">
        <v>808</v>
      </c>
      <c r="B28" s="1571" t="s">
        <v>696</v>
      </c>
      <c r="C28" s="1572" t="s">
        <v>254</v>
      </c>
      <c r="D28" s="1575">
        <v>0</v>
      </c>
      <c r="E28" s="1575">
        <v>0</v>
      </c>
      <c r="F28" s="1575">
        <v>0</v>
      </c>
      <c r="G28" s="1575">
        <v>0</v>
      </c>
      <c r="H28" s="1575">
        <v>0</v>
      </c>
      <c r="I28" s="1575">
        <v>0</v>
      </c>
      <c r="J28" s="4137">
        <v>0.15491619858494005</v>
      </c>
      <c r="K28" s="4137">
        <v>0.20911380657822293</v>
      </c>
      <c r="L28" s="4137">
        <v>0</v>
      </c>
      <c r="M28" s="4137">
        <v>0</v>
      </c>
      <c r="N28" s="4137">
        <v>0</v>
      </c>
      <c r="O28" s="4137">
        <v>0</v>
      </c>
      <c r="P28" s="4137">
        <v>0</v>
      </c>
      <c r="Q28" s="4137">
        <v>0</v>
      </c>
      <c r="R28" s="4137">
        <v>0</v>
      </c>
      <c r="S28" s="4137">
        <v>0</v>
      </c>
      <c r="T28" s="4137">
        <v>0</v>
      </c>
      <c r="U28" s="4137">
        <v>0</v>
      </c>
      <c r="V28" s="4137">
        <v>0</v>
      </c>
      <c r="W28" s="1575"/>
      <c r="X28" s="2927"/>
      <c r="Y28" s="2927"/>
      <c r="Z28" s="2927"/>
    </row>
    <row r="29" spans="1:26" s="1565" customFormat="1" ht="14.25">
      <c r="A29" s="1569" t="s">
        <v>809</v>
      </c>
      <c r="B29" s="1571" t="s">
        <v>697</v>
      </c>
      <c r="C29" s="1572" t="s">
        <v>255</v>
      </c>
      <c r="D29" s="1575">
        <v>0</v>
      </c>
      <c r="E29" s="1575">
        <v>0</v>
      </c>
      <c r="F29" s="1575">
        <v>0</v>
      </c>
      <c r="G29" s="1575">
        <v>0</v>
      </c>
      <c r="H29" s="1575">
        <v>0</v>
      </c>
      <c r="I29" s="1575">
        <v>0</v>
      </c>
      <c r="J29" s="4137">
        <v>0.14400514424125888</v>
      </c>
      <c r="K29" s="4137">
        <v>0.11313787654772471</v>
      </c>
      <c r="L29" s="4137">
        <v>0</v>
      </c>
      <c r="M29" s="4137">
        <v>0</v>
      </c>
      <c r="N29" s="4137">
        <v>0</v>
      </c>
      <c r="O29" s="4137">
        <v>0</v>
      </c>
      <c r="P29" s="4137">
        <v>0</v>
      </c>
      <c r="Q29" s="4137">
        <v>0</v>
      </c>
      <c r="R29" s="4137">
        <v>0</v>
      </c>
      <c r="S29" s="4137">
        <v>0</v>
      </c>
      <c r="T29" s="4137">
        <v>0</v>
      </c>
      <c r="U29" s="4137">
        <v>0</v>
      </c>
      <c r="V29" s="4137">
        <v>0</v>
      </c>
      <c r="W29" s="1575"/>
      <c r="X29" s="2927"/>
      <c r="Y29" s="2927"/>
      <c r="Z29" s="2927"/>
    </row>
    <row r="30" spans="1:26" s="1565" customFormat="1" ht="14.25">
      <c r="A30" s="1569" t="s">
        <v>609</v>
      </c>
      <c r="B30" s="1571" t="s">
        <v>697</v>
      </c>
      <c r="C30" s="1572" t="s">
        <v>256</v>
      </c>
      <c r="D30" s="1575">
        <v>0</v>
      </c>
      <c r="E30" s="1575">
        <v>0</v>
      </c>
      <c r="F30" s="1575">
        <v>0</v>
      </c>
      <c r="G30" s="1575">
        <v>0</v>
      </c>
      <c r="H30" s="1575">
        <v>0</v>
      </c>
      <c r="I30" s="1575">
        <v>0</v>
      </c>
      <c r="J30" s="4137">
        <v>0.21896909128568817</v>
      </c>
      <c r="K30" s="4137">
        <v>0.12970538941921222</v>
      </c>
      <c r="L30" s="4137">
        <v>0</v>
      </c>
      <c r="M30" s="4137">
        <v>0</v>
      </c>
      <c r="N30" s="4137">
        <v>0</v>
      </c>
      <c r="O30" s="4137">
        <v>0</v>
      </c>
      <c r="P30" s="4137">
        <v>0</v>
      </c>
      <c r="Q30" s="4137">
        <v>0</v>
      </c>
      <c r="R30" s="4137">
        <v>0</v>
      </c>
      <c r="S30" s="4137">
        <v>0</v>
      </c>
      <c r="T30" s="4137">
        <v>0</v>
      </c>
      <c r="U30" s="4137">
        <v>0</v>
      </c>
      <c r="V30" s="4137">
        <v>0</v>
      </c>
      <c r="W30" s="1575"/>
      <c r="X30" s="2927"/>
      <c r="Y30" s="2927"/>
      <c r="Z30" s="2927"/>
    </row>
    <row r="31" spans="1:26" s="1565" customFormat="1">
      <c r="A31" s="1569"/>
      <c r="B31" s="1570"/>
      <c r="C31" s="1547" t="s">
        <v>123</v>
      </c>
      <c r="D31" s="1568">
        <f t="shared" ref="D31:H31" si="3">SUM(D25:D30)</f>
        <v>1</v>
      </c>
      <c r="E31" s="1568">
        <f t="shared" si="3"/>
        <v>1</v>
      </c>
      <c r="F31" s="1568">
        <f t="shared" si="3"/>
        <v>1</v>
      </c>
      <c r="G31" s="1568">
        <f t="shared" si="3"/>
        <v>1</v>
      </c>
      <c r="H31" s="1568">
        <f t="shared" si="3"/>
        <v>1</v>
      </c>
      <c r="I31" s="1568">
        <f t="shared" ref="I31:O31" si="4">SUM(I25:I30)</f>
        <v>1</v>
      </c>
      <c r="J31" s="1568">
        <f t="shared" si="4"/>
        <v>1.0000000000000002</v>
      </c>
      <c r="K31" s="1568">
        <f t="shared" si="4"/>
        <v>1</v>
      </c>
      <c r="L31" s="1568">
        <f t="shared" si="4"/>
        <v>1</v>
      </c>
      <c r="M31" s="1568">
        <f t="shared" si="4"/>
        <v>1</v>
      </c>
      <c r="N31" s="1568">
        <f t="shared" si="4"/>
        <v>1</v>
      </c>
      <c r="O31" s="1568">
        <f t="shared" si="4"/>
        <v>1</v>
      </c>
      <c r="P31" s="1568">
        <f t="shared" ref="P31:V31" si="5">SUM(P25:P30)</f>
        <v>1</v>
      </c>
      <c r="Q31" s="1568">
        <f t="shared" si="5"/>
        <v>1</v>
      </c>
      <c r="R31" s="1568">
        <f t="shared" si="5"/>
        <v>1</v>
      </c>
      <c r="S31" s="1568">
        <f t="shared" si="5"/>
        <v>1</v>
      </c>
      <c r="T31" s="1568">
        <f t="shared" si="5"/>
        <v>1</v>
      </c>
      <c r="U31" s="1568">
        <f t="shared" si="5"/>
        <v>1</v>
      </c>
      <c r="V31" s="1568">
        <f t="shared" si="5"/>
        <v>1</v>
      </c>
      <c r="W31" s="1567"/>
      <c r="X31" s="2925"/>
      <c r="Y31" s="2925"/>
      <c r="Z31" s="2925"/>
    </row>
    <row r="32" spans="1:26" s="1583" customFormat="1" ht="14.25">
      <c r="A32" s="1576" t="s">
        <v>1190</v>
      </c>
      <c r="B32" s="1577" t="s">
        <v>693</v>
      </c>
      <c r="C32" s="1578" t="s">
        <v>1332</v>
      </c>
      <c r="D32" s="1579">
        <v>12</v>
      </c>
      <c r="E32" s="1579">
        <v>12</v>
      </c>
      <c r="F32" s="1579">
        <v>12</v>
      </c>
      <c r="G32" s="1579">
        <v>12</v>
      </c>
      <c r="H32" s="1579">
        <v>12</v>
      </c>
      <c r="I32" s="4139">
        <v>12</v>
      </c>
      <c r="J32" s="4139">
        <v>12</v>
      </c>
      <c r="K32" s="4139">
        <v>12</v>
      </c>
      <c r="L32" s="4139">
        <v>12</v>
      </c>
      <c r="M32" s="4139">
        <v>12</v>
      </c>
      <c r="N32" s="4139">
        <v>12</v>
      </c>
      <c r="O32" s="4139">
        <v>12</v>
      </c>
      <c r="P32" s="4139">
        <v>12</v>
      </c>
      <c r="Q32" s="3004">
        <v>12</v>
      </c>
      <c r="R32" s="3004">
        <v>12</v>
      </c>
      <c r="S32" s="3004">
        <v>12</v>
      </c>
      <c r="T32" s="3004">
        <v>12</v>
      </c>
      <c r="U32" s="4139">
        <v>12</v>
      </c>
      <c r="V32" s="4139">
        <v>12</v>
      </c>
      <c r="W32" s="1581"/>
      <c r="X32" s="2928"/>
      <c r="Y32" s="2928"/>
      <c r="Z32" s="2928"/>
    </row>
    <row r="33" spans="1:38" s="1583" customFormat="1" ht="14.25">
      <c r="A33" s="1576" t="s">
        <v>1191</v>
      </c>
      <c r="B33" s="1577" t="s">
        <v>694</v>
      </c>
      <c r="C33" s="1578" t="s">
        <v>1333</v>
      </c>
      <c r="D33" s="1579">
        <v>4</v>
      </c>
      <c r="E33" s="1579">
        <v>4</v>
      </c>
      <c r="F33" s="1579">
        <v>6</v>
      </c>
      <c r="G33" s="1579">
        <v>12</v>
      </c>
      <c r="H33" s="1579">
        <v>12</v>
      </c>
      <c r="I33" s="4139">
        <v>12</v>
      </c>
      <c r="J33" s="4139">
        <v>12</v>
      </c>
      <c r="K33" s="4139">
        <v>12</v>
      </c>
      <c r="L33" s="4139">
        <v>12</v>
      </c>
      <c r="M33" s="4139">
        <v>12</v>
      </c>
      <c r="N33" s="4139">
        <v>12</v>
      </c>
      <c r="O33" s="4139">
        <v>12</v>
      </c>
      <c r="P33" s="4139">
        <v>12</v>
      </c>
      <c r="Q33" s="3004">
        <v>12</v>
      </c>
      <c r="R33" s="3004">
        <v>12</v>
      </c>
      <c r="S33" s="3004">
        <v>12</v>
      </c>
      <c r="T33" s="3004">
        <v>12</v>
      </c>
      <c r="U33" s="4139">
        <v>12</v>
      </c>
      <c r="V33" s="4139">
        <v>12</v>
      </c>
      <c r="W33" s="1581"/>
      <c r="X33" s="2928"/>
      <c r="Y33" s="2928"/>
      <c r="Z33" s="2928"/>
    </row>
    <row r="34" spans="1:38" s="1583" customFormat="1" ht="14.25">
      <c r="A34" s="1576" t="s">
        <v>1192</v>
      </c>
      <c r="B34" s="1577" t="s">
        <v>695</v>
      </c>
      <c r="C34" s="1578" t="s">
        <v>1334</v>
      </c>
      <c r="D34" s="1579">
        <v>0</v>
      </c>
      <c r="E34" s="1579">
        <v>0</v>
      </c>
      <c r="F34" s="1579">
        <v>2</v>
      </c>
      <c r="G34" s="1579">
        <v>12</v>
      </c>
      <c r="H34" s="1579">
        <v>12</v>
      </c>
      <c r="I34" s="4139">
        <v>12</v>
      </c>
      <c r="J34" s="4139">
        <v>12</v>
      </c>
      <c r="K34" s="4139">
        <v>12</v>
      </c>
      <c r="L34" s="4139">
        <v>6</v>
      </c>
      <c r="M34" s="4139">
        <v>6</v>
      </c>
      <c r="N34" s="4139">
        <v>6</v>
      </c>
      <c r="O34" s="4139">
        <v>6</v>
      </c>
      <c r="P34" s="4139">
        <v>6</v>
      </c>
      <c r="Q34" s="4139">
        <v>0</v>
      </c>
      <c r="R34" s="4139">
        <v>0</v>
      </c>
      <c r="S34" s="4139">
        <v>0</v>
      </c>
      <c r="T34" s="4139">
        <v>0</v>
      </c>
      <c r="U34" s="4139">
        <v>12</v>
      </c>
      <c r="V34" s="4139">
        <v>12</v>
      </c>
      <c r="W34" s="1580"/>
      <c r="X34" s="2928"/>
      <c r="Y34" s="2928"/>
      <c r="Z34" s="2928"/>
    </row>
    <row r="35" spans="1:38" s="1583" customFormat="1" ht="14.25">
      <c r="A35" s="1576" t="s">
        <v>1193</v>
      </c>
      <c r="B35" s="1577" t="s">
        <v>696</v>
      </c>
      <c r="C35" s="1578" t="s">
        <v>1335</v>
      </c>
      <c r="D35" s="1579">
        <v>0</v>
      </c>
      <c r="E35" s="1579">
        <v>0</v>
      </c>
      <c r="F35" s="1579">
        <v>0</v>
      </c>
      <c r="G35" s="1579">
        <v>0</v>
      </c>
      <c r="H35" s="1579">
        <v>0</v>
      </c>
      <c r="I35" s="1579">
        <v>0</v>
      </c>
      <c r="J35" s="4139">
        <v>12</v>
      </c>
      <c r="K35" s="4139">
        <v>12</v>
      </c>
      <c r="L35" s="4139">
        <v>0</v>
      </c>
      <c r="M35" s="4139">
        <v>0</v>
      </c>
      <c r="N35" s="4139">
        <v>0</v>
      </c>
      <c r="O35" s="4139">
        <v>0</v>
      </c>
      <c r="P35" s="4139">
        <v>0</v>
      </c>
      <c r="Q35" s="4139">
        <v>0</v>
      </c>
      <c r="R35" s="4139">
        <v>0</v>
      </c>
      <c r="S35" s="4139">
        <v>0</v>
      </c>
      <c r="T35" s="4139">
        <v>0</v>
      </c>
      <c r="U35" s="4139">
        <v>0</v>
      </c>
      <c r="V35" s="4139">
        <v>0</v>
      </c>
      <c r="W35" s="1580"/>
      <c r="X35" s="2928"/>
      <c r="Y35" s="2928"/>
      <c r="Z35" s="2928"/>
    </row>
    <row r="36" spans="1:38" s="1583" customFormat="1" ht="14.25">
      <c r="A36" s="1576" t="s">
        <v>1194</v>
      </c>
      <c r="B36" s="1577" t="s">
        <v>697</v>
      </c>
      <c r="C36" s="1578" t="s">
        <v>1336</v>
      </c>
      <c r="D36" s="1579">
        <v>0</v>
      </c>
      <c r="E36" s="1579">
        <v>0</v>
      </c>
      <c r="F36" s="1579">
        <v>0</v>
      </c>
      <c r="G36" s="1579">
        <v>0</v>
      </c>
      <c r="H36" s="1579">
        <v>0</v>
      </c>
      <c r="I36" s="1579">
        <v>0</v>
      </c>
      <c r="J36" s="4139">
        <v>12</v>
      </c>
      <c r="K36" s="4139">
        <v>12</v>
      </c>
      <c r="L36" s="4139">
        <v>0</v>
      </c>
      <c r="M36" s="4139">
        <v>0</v>
      </c>
      <c r="N36" s="4139">
        <v>0</v>
      </c>
      <c r="O36" s="4139">
        <v>0</v>
      </c>
      <c r="P36" s="4139">
        <v>0</v>
      </c>
      <c r="Q36" s="4139">
        <v>0</v>
      </c>
      <c r="R36" s="4139">
        <v>0</v>
      </c>
      <c r="S36" s="4139">
        <v>0</v>
      </c>
      <c r="T36" s="4139">
        <v>0</v>
      </c>
      <c r="U36" s="4139">
        <v>0</v>
      </c>
      <c r="V36" s="4139">
        <v>0</v>
      </c>
      <c r="W36" s="1580"/>
      <c r="X36" s="2928"/>
      <c r="Y36" s="2928"/>
      <c r="Z36" s="2928"/>
    </row>
    <row r="37" spans="1:38" s="1583" customFormat="1" ht="14.25">
      <c r="A37" s="1576" t="s">
        <v>608</v>
      </c>
      <c r="B37" s="1577" t="s">
        <v>697</v>
      </c>
      <c r="C37" s="1578" t="s">
        <v>251</v>
      </c>
      <c r="D37" s="1579">
        <v>0</v>
      </c>
      <c r="E37" s="1579">
        <v>0</v>
      </c>
      <c r="F37" s="1579">
        <v>0</v>
      </c>
      <c r="G37" s="1579">
        <v>0</v>
      </c>
      <c r="H37" s="1579">
        <v>0</v>
      </c>
      <c r="I37" s="1579">
        <v>0</v>
      </c>
      <c r="J37" s="4139">
        <v>36</v>
      </c>
      <c r="K37" s="4139">
        <v>30</v>
      </c>
      <c r="L37" s="4139">
        <v>0</v>
      </c>
      <c r="M37" s="4139">
        <v>0</v>
      </c>
      <c r="N37" s="4139">
        <v>0</v>
      </c>
      <c r="O37" s="4139">
        <v>0</v>
      </c>
      <c r="P37" s="4139">
        <v>0</v>
      </c>
      <c r="Q37" s="4139">
        <v>0</v>
      </c>
      <c r="R37" s="4139">
        <v>0</v>
      </c>
      <c r="S37" s="4139">
        <v>0</v>
      </c>
      <c r="T37" s="4139">
        <v>0</v>
      </c>
      <c r="U37" s="4139">
        <v>0</v>
      </c>
      <c r="V37" s="4139">
        <v>0</v>
      </c>
      <c r="W37" s="1580"/>
      <c r="X37" s="2928"/>
      <c r="Y37" s="2928"/>
      <c r="Z37" s="2928"/>
    </row>
    <row r="38" spans="1:38" s="1583" customFormat="1">
      <c r="A38" s="1584"/>
      <c r="B38" s="1585"/>
      <c r="C38" s="1560" t="s">
        <v>1290</v>
      </c>
      <c r="D38" s="1579"/>
      <c r="E38" s="1579"/>
      <c r="F38" s="1579"/>
      <c r="G38" s="1579"/>
      <c r="H38" s="1579"/>
      <c r="I38" s="1579"/>
      <c r="J38" s="1579"/>
      <c r="K38" s="1579"/>
      <c r="L38" s="1579"/>
      <c r="M38" s="1579"/>
      <c r="N38" s="1579"/>
      <c r="O38" s="1579"/>
      <c r="P38" s="1579"/>
      <c r="Q38" s="1579"/>
      <c r="R38" s="1579"/>
      <c r="S38" s="1579"/>
      <c r="T38" s="1579"/>
      <c r="U38" s="1579"/>
      <c r="V38" s="1579"/>
      <c r="W38" s="1580"/>
      <c r="X38" s="2928"/>
      <c r="Y38" s="2928"/>
      <c r="Z38" s="2928"/>
    </row>
    <row r="39" spans="1:38" s="1593" customFormat="1">
      <c r="A39" s="914"/>
      <c r="B39" s="914" t="s">
        <v>698</v>
      </c>
      <c r="C39" s="918" t="s">
        <v>1890</v>
      </c>
      <c r="D39" s="1596">
        <f t="shared" ref="D39:U39" si="6">(D40/D41)/((1-D45)*(1-D46))</f>
        <v>2.7212000378965203E-2</v>
      </c>
      <c r="E39" s="1596">
        <f t="shared" si="6"/>
        <v>2.6933463378149683E-2</v>
      </c>
      <c r="F39" s="1596">
        <f t="shared" si="6"/>
        <v>4.0400195067224531E-2</v>
      </c>
      <c r="G39" s="1596">
        <f t="shared" si="6"/>
        <v>0.43537486995352637</v>
      </c>
      <c r="H39" s="1596">
        <f t="shared" si="6"/>
        <v>0.43537486995352637</v>
      </c>
      <c r="I39" s="1596">
        <f t="shared" si="6"/>
        <v>0.93002235859378712</v>
      </c>
      <c r="J39" s="1596">
        <f t="shared" si="6"/>
        <v>0.90125794986906105</v>
      </c>
      <c r="K39" s="1596">
        <f t="shared" si="6"/>
        <v>0.83952955480733249</v>
      </c>
      <c r="L39" s="1596">
        <f t="shared" si="6"/>
        <v>0.26641091219096336</v>
      </c>
      <c r="M39" s="1596">
        <f t="shared" si="6"/>
        <v>0.54614236999147492</v>
      </c>
      <c r="N39" s="1596">
        <f t="shared" si="6"/>
        <v>0.39961636828644503</v>
      </c>
      <c r="O39" s="1596">
        <f t="shared" si="6"/>
        <v>0.479539641943734</v>
      </c>
      <c r="P39" s="1596">
        <f t="shared" si="6"/>
        <v>0.69666453537936923</v>
      </c>
      <c r="Q39" s="1596">
        <f t="shared" si="6"/>
        <v>0.22058823529411764</v>
      </c>
      <c r="R39" s="1596">
        <f t="shared" si="6"/>
        <v>0.28186274509803927</v>
      </c>
      <c r="S39" s="1596">
        <f t="shared" si="6"/>
        <v>0.22058823529411764</v>
      </c>
      <c r="T39" s="1596">
        <f t="shared" si="6"/>
        <v>0.28186274509803927</v>
      </c>
      <c r="U39" s="1596">
        <f t="shared" si="6"/>
        <v>0.22222222222222224</v>
      </c>
      <c r="V39" s="1596">
        <f>(V40/V41)/((1-V45)*(1-V46))</f>
        <v>0.21212121212121213</v>
      </c>
      <c r="W39" s="1587"/>
      <c r="X39" s="2929"/>
      <c r="Y39" s="2929"/>
      <c r="Z39" s="2929"/>
      <c r="AB39" s="1592"/>
      <c r="AC39" s="1592"/>
      <c r="AD39" s="1592"/>
      <c r="AE39" s="1592"/>
      <c r="AF39" s="1592"/>
      <c r="AG39" s="1592"/>
      <c r="AH39" s="1592"/>
      <c r="AI39" s="1592"/>
      <c r="AJ39" s="1592"/>
      <c r="AK39" s="1592"/>
      <c r="AL39" s="1592"/>
    </row>
    <row r="40" spans="1:38" s="1565" customFormat="1" ht="15">
      <c r="A40" s="1594" t="s">
        <v>1888</v>
      </c>
      <c r="B40" s="1595"/>
      <c r="C40" s="3260" t="s">
        <v>1889</v>
      </c>
      <c r="D40" s="1586">
        <f>IF(OwnerType="POU",4%,IF(OwnerType="IOU",1%,2.5%))</f>
        <v>2.5000000000000001E-2</v>
      </c>
      <c r="E40" s="1586">
        <f>IF(OwnerType="POU",4%,IF(OwnerType="IOU",1%,2.5%))</f>
        <v>2.5000000000000001E-2</v>
      </c>
      <c r="F40" s="1586">
        <f>1.5*E40</f>
        <v>3.7500000000000006E-2</v>
      </c>
      <c r="G40" s="4128">
        <v>0.4</v>
      </c>
      <c r="H40" s="4128">
        <v>0.4</v>
      </c>
      <c r="I40" s="4128">
        <f>78.2%</f>
        <v>0.78200000000000003</v>
      </c>
      <c r="J40" s="4129">
        <v>0.77090000000000003</v>
      </c>
      <c r="K40" s="4129">
        <v>0.71809999999999996</v>
      </c>
      <c r="L40" s="4128">
        <v>0.2</v>
      </c>
      <c r="M40" s="4128">
        <v>0.41</v>
      </c>
      <c r="N40" s="4128">
        <v>0.3</v>
      </c>
      <c r="O40" s="4128">
        <v>0.36</v>
      </c>
      <c r="P40" s="4128">
        <v>0.52300000000000002</v>
      </c>
      <c r="Q40" s="4166">
        <v>0.18</v>
      </c>
      <c r="R40" s="4166">
        <v>0.23</v>
      </c>
      <c r="S40" s="4166">
        <v>0.18</v>
      </c>
      <c r="T40" s="4166">
        <v>0.23</v>
      </c>
      <c r="U40" s="4128">
        <v>0.22</v>
      </c>
      <c r="V40" s="4128">
        <v>0.21</v>
      </c>
      <c r="W40" s="1596"/>
      <c r="X40" s="2930"/>
      <c r="Y40" s="2930"/>
      <c r="Z40" s="2930"/>
      <c r="AB40" s="1566"/>
      <c r="AC40" s="1566"/>
      <c r="AD40" s="1566"/>
      <c r="AE40" s="1566"/>
      <c r="AF40" s="1566"/>
      <c r="AG40" s="1566"/>
      <c r="AH40" s="1566"/>
      <c r="AI40" s="1566"/>
      <c r="AJ40" s="1566"/>
      <c r="AK40" s="1566"/>
      <c r="AL40" s="1566"/>
    </row>
    <row r="41" spans="1:38" s="1601" customFormat="1">
      <c r="A41" s="1597" t="s">
        <v>1012</v>
      </c>
      <c r="B41" s="1598" t="s">
        <v>684</v>
      </c>
      <c r="C41" s="1599" t="s">
        <v>971</v>
      </c>
      <c r="D41" s="1575">
        <v>1</v>
      </c>
      <c r="E41" s="1575">
        <v>1</v>
      </c>
      <c r="F41" s="1575">
        <v>1</v>
      </c>
      <c r="G41" s="1575">
        <v>1</v>
      </c>
      <c r="H41" s="1575">
        <v>1</v>
      </c>
      <c r="I41" s="1738">
        <v>1</v>
      </c>
      <c r="J41" s="1586">
        <v>1</v>
      </c>
      <c r="K41" s="1586">
        <v>1</v>
      </c>
      <c r="L41" s="1596">
        <f>'PTA-Mid'!L41</f>
        <v>0.85</v>
      </c>
      <c r="M41" s="1596">
        <f>'PTA-Mid'!M41</f>
        <v>0.85</v>
      </c>
      <c r="N41" s="1596">
        <f>'PTA-Mid'!N41</f>
        <v>0.85</v>
      </c>
      <c r="O41" s="1596">
        <f>'PTA-Mid'!O41</f>
        <v>0.85</v>
      </c>
      <c r="P41" s="1596">
        <f>'PTA-Mid'!P41</f>
        <v>0.85</v>
      </c>
      <c r="Q41" s="1596">
        <f>'PTA-Mid'!Q41</f>
        <v>0.85</v>
      </c>
      <c r="R41" s="1596">
        <f>'PTA-Mid'!R41</f>
        <v>0.85</v>
      </c>
      <c r="S41" s="1596">
        <f>'PTA-Mid'!S41</f>
        <v>0.85</v>
      </c>
      <c r="T41" s="1596">
        <f>'PTA-Mid'!T41</f>
        <v>0.85</v>
      </c>
      <c r="U41" s="1596">
        <f>'PTA-Mid'!U41</f>
        <v>1</v>
      </c>
      <c r="V41" s="1596">
        <f>'PTA-Mid'!V41</f>
        <v>1</v>
      </c>
      <c r="W41" s="1600"/>
      <c r="X41" s="2929"/>
      <c r="Y41" s="2931"/>
      <c r="Z41" s="2931"/>
      <c r="AB41" s="1574"/>
      <c r="AC41" s="1574"/>
      <c r="AD41" s="1574"/>
      <c r="AE41" s="1574"/>
      <c r="AF41" s="1574"/>
      <c r="AG41" s="1574"/>
      <c r="AH41" s="1574"/>
      <c r="AI41" s="1574"/>
      <c r="AJ41" s="1574"/>
      <c r="AK41" s="1574"/>
      <c r="AL41" s="1574"/>
    </row>
    <row r="42" spans="1:38" s="1565" customFormat="1">
      <c r="A42" s="1594" t="s">
        <v>810</v>
      </c>
      <c r="B42" s="1595"/>
      <c r="C42" s="1602" t="s">
        <v>1013</v>
      </c>
      <c r="D42" s="1538">
        <f t="shared" ref="D42:H42" si="7">D15</f>
        <v>20</v>
      </c>
      <c r="E42" s="1538">
        <f t="shared" si="7"/>
        <v>20</v>
      </c>
      <c r="F42" s="1538">
        <f t="shared" si="7"/>
        <v>20</v>
      </c>
      <c r="G42" s="1538">
        <f t="shared" si="7"/>
        <v>20</v>
      </c>
      <c r="H42" s="1538">
        <f t="shared" si="7"/>
        <v>20</v>
      </c>
      <c r="I42" s="1538">
        <v>20</v>
      </c>
      <c r="J42" s="1538">
        <v>30</v>
      </c>
      <c r="K42" s="1538">
        <v>30</v>
      </c>
      <c r="L42" s="1538">
        <v>20</v>
      </c>
      <c r="M42" s="1538">
        <v>20</v>
      </c>
      <c r="N42" s="1538">
        <v>20</v>
      </c>
      <c r="O42" s="1538">
        <v>20</v>
      </c>
      <c r="P42" s="1538">
        <v>20</v>
      </c>
      <c r="Q42" s="1538">
        <v>20</v>
      </c>
      <c r="R42" s="1538">
        <v>20</v>
      </c>
      <c r="S42" s="1538">
        <v>20</v>
      </c>
      <c r="T42" s="1538">
        <v>20</v>
      </c>
      <c r="U42" s="1538">
        <v>30</v>
      </c>
      <c r="V42" s="1538">
        <v>30</v>
      </c>
      <c r="W42" s="1566"/>
      <c r="X42" s="2920"/>
      <c r="Y42" s="2920"/>
      <c r="Z42" s="2920"/>
      <c r="AB42" s="1566"/>
      <c r="AC42" s="1566"/>
      <c r="AD42" s="1566"/>
      <c r="AE42" s="1566"/>
      <c r="AF42" s="1566"/>
      <c r="AG42" s="1566"/>
      <c r="AH42" s="1566"/>
      <c r="AI42" s="1566"/>
      <c r="AJ42" s="1566"/>
      <c r="AK42" s="1566"/>
      <c r="AL42" s="1566"/>
    </row>
    <row r="43" spans="1:38" s="1565" customFormat="1">
      <c r="A43" s="1594" t="s">
        <v>811</v>
      </c>
      <c r="B43" s="1595" t="s">
        <v>700</v>
      </c>
      <c r="C43" s="1602" t="s">
        <v>100</v>
      </c>
      <c r="D43" s="1538">
        <v>876</v>
      </c>
      <c r="E43" s="1538">
        <v>876</v>
      </c>
      <c r="F43" s="1538">
        <v>876</v>
      </c>
      <c r="G43" s="1585">
        <v>14839.44</v>
      </c>
      <c r="H43" s="1585">
        <v>14839.44</v>
      </c>
      <c r="I43" s="1538">
        <v>0</v>
      </c>
      <c r="J43" s="1538">
        <v>0</v>
      </c>
      <c r="K43" s="1538">
        <v>0</v>
      </c>
      <c r="L43" s="1538"/>
      <c r="M43" s="1538"/>
      <c r="N43" s="1538"/>
      <c r="O43" s="1538"/>
      <c r="P43" s="1538"/>
      <c r="Q43" s="1538"/>
      <c r="R43" s="1538"/>
      <c r="S43" s="1538"/>
      <c r="T43" s="1538"/>
      <c r="U43" s="1585"/>
      <c r="V43" s="1585"/>
      <c r="W43" s="1583"/>
      <c r="X43" s="2932"/>
      <c r="Y43" s="2920"/>
      <c r="Z43" s="2920"/>
      <c r="AB43" s="1566"/>
      <c r="AC43" s="1566"/>
      <c r="AD43" s="1566"/>
      <c r="AE43" s="1566"/>
      <c r="AF43" s="1566"/>
      <c r="AG43" s="1566"/>
      <c r="AH43" s="1566"/>
      <c r="AI43" s="1566"/>
      <c r="AJ43" s="1566"/>
      <c r="AK43" s="1566"/>
      <c r="AL43" s="1566"/>
    </row>
    <row r="44" spans="1:38" s="1565" customFormat="1">
      <c r="A44" s="1594" t="s">
        <v>1014</v>
      </c>
      <c r="B44" s="1595"/>
      <c r="C44" s="1605" t="s">
        <v>1016</v>
      </c>
      <c r="D44" s="1640"/>
      <c r="E44" s="1640"/>
      <c r="F44" s="1640"/>
      <c r="G44" s="1640"/>
      <c r="H44" s="1640"/>
      <c r="I44" s="1640"/>
      <c r="J44" s="1640"/>
      <c r="K44" s="1640"/>
      <c r="L44" s="1640"/>
      <c r="M44" s="1640"/>
      <c r="N44" s="1640"/>
      <c r="O44" s="1640"/>
      <c r="P44" s="1640"/>
      <c r="Q44" s="1640"/>
      <c r="R44" s="1640"/>
      <c r="S44" s="1640"/>
      <c r="T44" s="1640"/>
      <c r="U44" s="1640"/>
      <c r="V44" s="1640"/>
      <c r="W44" s="1566"/>
      <c r="X44" s="2920"/>
      <c r="Y44" s="2920"/>
      <c r="Z44" s="2920"/>
    </row>
    <row r="45" spans="1:38" s="1565" customFormat="1" ht="14.25">
      <c r="A45" s="1594" t="s">
        <v>1218</v>
      </c>
      <c r="B45" s="1595" t="s">
        <v>701</v>
      </c>
      <c r="C45" s="1605" t="s">
        <v>1296</v>
      </c>
      <c r="D45" s="1549">
        <v>2.7199999999999998E-2</v>
      </c>
      <c r="E45" s="1549">
        <v>3.1800000000000002E-2</v>
      </c>
      <c r="F45" s="1549">
        <v>3.1800000000000002E-2</v>
      </c>
      <c r="G45" s="1549">
        <v>6.0199999999999997E-2</v>
      </c>
      <c r="H45" s="1549">
        <v>6.0199999999999997E-2</v>
      </c>
      <c r="I45" s="4130">
        <v>7.5999999999999998E-2</v>
      </c>
      <c r="J45" s="4130">
        <v>0.12</v>
      </c>
      <c r="K45" s="4130">
        <v>0.12</v>
      </c>
      <c r="L45" s="4130">
        <v>0.04</v>
      </c>
      <c r="M45" s="4130">
        <v>0.04</v>
      </c>
      <c r="N45" s="4130">
        <v>0.04</v>
      </c>
      <c r="O45" s="4130">
        <v>0.04</v>
      </c>
      <c r="P45" s="4130">
        <v>0.04</v>
      </c>
      <c r="Q45" s="4129">
        <v>0.04</v>
      </c>
      <c r="R45" s="4129">
        <v>0.04</v>
      </c>
      <c r="S45" s="4129">
        <v>0.04</v>
      </c>
      <c r="T45" s="4129">
        <v>0.04</v>
      </c>
      <c r="U45" s="4129">
        <v>0</v>
      </c>
      <c r="V45" s="4129">
        <v>0</v>
      </c>
      <c r="W45" s="1549"/>
      <c r="X45" s="2922"/>
      <c r="Y45" s="2922"/>
      <c r="Z45" s="2922"/>
    </row>
    <row r="46" spans="1:38" s="1565" customFormat="1" ht="14.25">
      <c r="A46" s="1594" t="s">
        <v>973</v>
      </c>
      <c r="B46" s="1595" t="s">
        <v>702</v>
      </c>
      <c r="C46" s="1602" t="s">
        <v>1297</v>
      </c>
      <c r="D46" s="1549">
        <v>5.5599999999999997E-2</v>
      </c>
      <c r="E46" s="1549">
        <v>4.1300000000000003E-2</v>
      </c>
      <c r="F46" s="1549">
        <v>4.1300000000000003E-2</v>
      </c>
      <c r="G46" s="1549">
        <v>2.24E-2</v>
      </c>
      <c r="H46" s="1549">
        <v>2.24E-2</v>
      </c>
      <c r="I46" s="4130">
        <v>0.09</v>
      </c>
      <c r="J46" s="4130">
        <v>2.8000000000000001E-2</v>
      </c>
      <c r="K46" s="4130">
        <v>2.8000000000000001E-2</v>
      </c>
      <c r="L46" s="4130">
        <v>0.08</v>
      </c>
      <c r="M46" s="4130">
        <v>0.08</v>
      </c>
      <c r="N46" s="4130">
        <v>0.08</v>
      </c>
      <c r="O46" s="4130">
        <v>0.08</v>
      </c>
      <c r="P46" s="4130">
        <v>0.08</v>
      </c>
      <c r="Q46" s="4129">
        <v>0</v>
      </c>
      <c r="R46" s="4129">
        <v>0</v>
      </c>
      <c r="S46" s="4129">
        <v>0</v>
      </c>
      <c r="T46" s="4129">
        <v>0</v>
      </c>
      <c r="U46" s="4129">
        <v>0.01</v>
      </c>
      <c r="V46" s="4129">
        <v>0.01</v>
      </c>
      <c r="W46" s="1549"/>
      <c r="X46" s="2922"/>
      <c r="Y46" s="2922"/>
      <c r="Z46" s="2922"/>
    </row>
    <row r="47" spans="1:38" s="1565" customFormat="1" ht="14.25">
      <c r="A47" s="1594"/>
      <c r="B47" s="1595"/>
      <c r="C47" s="1606" t="s">
        <v>403</v>
      </c>
      <c r="D47" s="1538"/>
      <c r="E47" s="1538"/>
      <c r="F47" s="1538"/>
      <c r="G47" s="1538"/>
      <c r="H47" s="1538"/>
      <c r="I47" s="3004"/>
      <c r="J47" s="1538"/>
      <c r="K47" s="1538"/>
      <c r="L47" s="1538"/>
      <c r="M47" s="1538"/>
      <c r="N47" s="1538"/>
      <c r="O47" s="1538"/>
      <c r="P47" s="1538"/>
      <c r="Q47" s="1538"/>
      <c r="R47" s="1538"/>
      <c r="S47" s="1538"/>
      <c r="T47" s="1538"/>
      <c r="U47" s="3004"/>
      <c r="V47" s="3004"/>
      <c r="W47" s="1566"/>
      <c r="X47" s="2920"/>
      <c r="Y47" s="2920"/>
      <c r="Z47" s="2920"/>
    </row>
    <row r="48" spans="1:38" s="1565" customFormat="1" ht="14.25">
      <c r="A48" s="1594" t="s">
        <v>412</v>
      </c>
      <c r="B48" s="1595"/>
      <c r="C48" s="1602" t="s">
        <v>410</v>
      </c>
      <c r="D48" s="1635">
        <f t="shared" ref="D48:H48" si="8">D74+(D51*D65+SUMPRODUCT(D52:D56,D66:D70)*D59)*D73/(D7*1000)</f>
        <v>71.088660147648682</v>
      </c>
      <c r="E48" s="1635">
        <f t="shared" si="8"/>
        <v>69.574092082202355</v>
      </c>
      <c r="F48" s="1635">
        <f t="shared" si="8"/>
        <v>66.105096505104896</v>
      </c>
      <c r="G48" s="1635">
        <f t="shared" si="8"/>
        <v>77.9593214922767</v>
      </c>
      <c r="H48" s="1635">
        <f t="shared" si="8"/>
        <v>77.957119667642758</v>
      </c>
      <c r="I48" s="4134">
        <v>95</v>
      </c>
      <c r="J48" s="4134">
        <v>146.4</v>
      </c>
      <c r="K48" s="4134">
        <v>172.69</v>
      </c>
      <c r="L48" s="4140">
        <v>93</v>
      </c>
      <c r="M48" s="4140">
        <v>140</v>
      </c>
      <c r="N48" s="4140">
        <v>87</v>
      </c>
      <c r="O48" s="4140">
        <v>140</v>
      </c>
      <c r="P48" s="4140">
        <v>140</v>
      </c>
      <c r="Q48" s="3004">
        <v>50</v>
      </c>
      <c r="R48" s="3004">
        <v>50</v>
      </c>
      <c r="S48" s="3004">
        <v>50</v>
      </c>
      <c r="T48" s="3004">
        <v>50</v>
      </c>
      <c r="U48" s="3004">
        <v>0</v>
      </c>
      <c r="V48" s="3004">
        <v>0</v>
      </c>
      <c r="W48" s="1566"/>
      <c r="X48" s="2920"/>
      <c r="Y48" s="2920"/>
      <c r="Z48" s="2920"/>
    </row>
    <row r="49" spans="1:26" s="1565" customFormat="1" ht="14.25">
      <c r="A49" s="1594" t="s">
        <v>413</v>
      </c>
      <c r="B49" s="1595"/>
      <c r="C49" s="1602" t="s">
        <v>411</v>
      </c>
      <c r="D49" s="4134">
        <v>0</v>
      </c>
      <c r="E49" s="4134">
        <v>0</v>
      </c>
      <c r="F49" s="4134">
        <v>0</v>
      </c>
      <c r="G49" s="3343">
        <v>1.79</v>
      </c>
      <c r="H49" s="3343">
        <v>1.79</v>
      </c>
      <c r="I49" s="4134">
        <v>15</v>
      </c>
      <c r="J49" s="4134">
        <v>0</v>
      </c>
      <c r="K49" s="4134">
        <v>0</v>
      </c>
      <c r="L49" s="4140">
        <v>10</v>
      </c>
      <c r="M49" s="4140">
        <v>10</v>
      </c>
      <c r="N49" s="4140">
        <v>0</v>
      </c>
      <c r="O49" s="4140">
        <v>10</v>
      </c>
      <c r="P49" s="4140">
        <v>10</v>
      </c>
      <c r="Q49" s="3004">
        <v>0</v>
      </c>
      <c r="R49" s="3004">
        <v>0</v>
      </c>
      <c r="S49" s="3004">
        <v>0</v>
      </c>
      <c r="T49" s="3004">
        <v>0</v>
      </c>
      <c r="U49" s="3004">
        <v>18</v>
      </c>
      <c r="V49" s="3004">
        <v>18</v>
      </c>
      <c r="W49" s="1607"/>
      <c r="X49" s="2920"/>
      <c r="Y49" s="2920"/>
      <c r="Z49" s="2920"/>
    </row>
    <row r="50" spans="1:26" s="1565" customFormat="1">
      <c r="A50" s="1535"/>
      <c r="B50" s="1536"/>
      <c r="C50" s="1608" t="s">
        <v>1337</v>
      </c>
      <c r="D50" s="1538"/>
      <c r="E50" s="1538"/>
      <c r="F50" s="1538"/>
      <c r="G50" s="1538"/>
      <c r="H50" s="1538"/>
      <c r="I50" s="1538"/>
      <c r="J50" s="1538"/>
      <c r="K50" s="1538"/>
      <c r="L50" s="1538"/>
      <c r="M50" s="1538"/>
      <c r="N50" s="1538"/>
      <c r="O50" s="1538"/>
      <c r="P50" s="1538"/>
      <c r="Q50" s="1538"/>
      <c r="R50" s="1538"/>
      <c r="S50" s="1538"/>
      <c r="T50" s="1538"/>
      <c r="U50" s="1538"/>
      <c r="V50" s="1538"/>
      <c r="W50" s="1566"/>
      <c r="X50" s="2920"/>
      <c r="Y50" s="2920"/>
      <c r="Z50" s="2920"/>
    </row>
    <row r="51" spans="1:26" s="1536" customFormat="1" ht="14.25">
      <c r="A51" s="922" t="s">
        <v>812</v>
      </c>
      <c r="B51" s="146" t="s">
        <v>703</v>
      </c>
      <c r="C51" s="2260" t="s">
        <v>1540</v>
      </c>
      <c r="D51" s="4134">
        <f>ROUND(0.118*(4.321*LN(D$7)-13.072),2)*1.67</f>
        <v>0.75149999999999995</v>
      </c>
      <c r="E51" s="4134">
        <f>ROUND(0.118*(4.321*LN(E$7)-13.072),2)*1.67</f>
        <v>1.3527</v>
      </c>
      <c r="F51" s="4134">
        <f>ROUND(0.118*(4.321*LN(F$7)-13.072),2)*1.67</f>
        <v>1.9371999999999998</v>
      </c>
      <c r="G51" s="4134">
        <f>ROUND(0.112*0.059*G$7,2)</f>
        <v>3.3</v>
      </c>
      <c r="H51" s="4134">
        <f>ROUND(0.112*0.059*H$7,2)</f>
        <v>3.63</v>
      </c>
      <c r="I51" s="1538"/>
      <c r="J51" s="1538"/>
      <c r="K51" s="1538"/>
      <c r="L51" s="1538"/>
      <c r="M51" s="1538"/>
      <c r="N51" s="1538"/>
      <c r="O51" s="1538"/>
      <c r="P51" s="1538"/>
      <c r="Q51" s="1538"/>
      <c r="R51" s="1538"/>
      <c r="S51" s="1538"/>
      <c r="T51" s="1538"/>
      <c r="U51" s="1538"/>
      <c r="V51" s="1538"/>
      <c r="W51" s="1538"/>
      <c r="X51" s="2920"/>
      <c r="Y51" s="2920"/>
      <c r="Z51" s="2920"/>
    </row>
    <row r="52" spans="1:26" s="1536" customFormat="1" ht="14.25">
      <c r="A52" s="922" t="s">
        <v>1536</v>
      </c>
      <c r="B52" s="146" t="s">
        <v>704</v>
      </c>
      <c r="C52" s="2260" t="s">
        <v>1541</v>
      </c>
      <c r="D52" s="4134">
        <f>ROUND(0.384*(4.321*LN(D$7)-13.072),2)*1.67</f>
        <v>2.4548999999999999</v>
      </c>
      <c r="E52" s="4134">
        <f>ROUND(0.384*(4.321*LN(E$7)-13.072),2)*1.67</f>
        <v>4.3754</v>
      </c>
      <c r="F52" s="4134">
        <f>ROUND(0.384*(4.321*LN(F$7)-13.072),2)*1.67</f>
        <v>6.2958999999999996</v>
      </c>
      <c r="G52" s="4134">
        <f>ROUND(0.506*0.059*G$7,2)</f>
        <v>14.93</v>
      </c>
      <c r="H52" s="4134">
        <f>ROUND(0.506*0.059*H$7,2)</f>
        <v>16.420000000000002</v>
      </c>
      <c r="I52" s="1538"/>
      <c r="J52" s="1538"/>
      <c r="K52" s="1538"/>
      <c r="L52" s="1538"/>
      <c r="M52" s="1538"/>
      <c r="N52" s="1538"/>
      <c r="O52" s="1538"/>
      <c r="P52" s="1538"/>
      <c r="Q52" s="1538"/>
      <c r="R52" s="1538"/>
      <c r="S52" s="1538"/>
      <c r="T52" s="1538"/>
      <c r="U52" s="1538"/>
      <c r="V52" s="1538"/>
      <c r="W52" s="1538"/>
      <c r="X52" s="2920"/>
      <c r="Y52" s="2920"/>
      <c r="Z52" s="2920"/>
    </row>
    <row r="53" spans="1:26" s="1536" customFormat="1" ht="14.25">
      <c r="A53" s="922" t="s">
        <v>1537</v>
      </c>
      <c r="B53" s="146" t="s">
        <v>705</v>
      </c>
      <c r="C53" s="2260" t="s">
        <v>1542</v>
      </c>
      <c r="D53" s="4134">
        <f>ROUND(0.207*(4.321*LN(D$7)-13.072),2)*1.67</f>
        <v>1.3192999999999999</v>
      </c>
      <c r="E53" s="4134">
        <f>ROUND(0.207*(4.321*LN(E$7)-13.072),2)*1.67</f>
        <v>2.3546999999999998</v>
      </c>
      <c r="F53" s="4134">
        <f>ROUND(0.207*(4.321*LN(F$7)-13.072),2)*1.67</f>
        <v>3.3900999999999994</v>
      </c>
      <c r="G53" s="4134">
        <f>ROUND(0.157*0.059*G$7,2)</f>
        <v>4.63</v>
      </c>
      <c r="H53" s="4134">
        <f>ROUND(0.157*0.059*H$7,2)</f>
        <v>5.09</v>
      </c>
      <c r="I53" s="1538"/>
      <c r="J53" s="1538"/>
      <c r="K53" s="1538"/>
      <c r="L53" s="1538"/>
      <c r="M53" s="1538"/>
      <c r="N53" s="1538"/>
      <c r="O53" s="1538"/>
      <c r="P53" s="1538"/>
      <c r="Q53" s="1538"/>
      <c r="R53" s="1538"/>
      <c r="S53" s="1538"/>
      <c r="T53" s="1538"/>
      <c r="U53" s="1538"/>
      <c r="V53" s="1538"/>
      <c r="W53" s="1538"/>
      <c r="X53" s="2920"/>
      <c r="Y53" s="2920"/>
      <c r="Z53" s="2920"/>
    </row>
    <row r="54" spans="1:26" s="1536" customFormat="1" ht="14.25">
      <c r="A54" s="922" t="s">
        <v>1545</v>
      </c>
      <c r="B54" s="146" t="s">
        <v>706</v>
      </c>
      <c r="C54" s="2260" t="s">
        <v>1539</v>
      </c>
      <c r="D54" s="4134">
        <f>ROUND(0.082*(4.321*LN(D$7)-13.072),2)*1.67</f>
        <v>0.51769999999999994</v>
      </c>
      <c r="E54" s="4134">
        <f>ROUND(0.082*(4.321*LN(E$7)-13.072),2)*1.67</f>
        <v>0.93520000000000003</v>
      </c>
      <c r="F54" s="4134">
        <f>ROUND(0.082*(4.321*LN(F$7)-13.072),2)*1.67</f>
        <v>1.3527</v>
      </c>
      <c r="G54" s="4134">
        <f>ROUND(0*0.059*G$7,2)</f>
        <v>0</v>
      </c>
      <c r="H54" s="4134">
        <f>ROUND(0*0.059*H$7,2)</f>
        <v>0</v>
      </c>
      <c r="I54" s="1538"/>
      <c r="J54" s="1538"/>
      <c r="K54" s="1538"/>
      <c r="L54" s="1538"/>
      <c r="M54" s="1538"/>
      <c r="N54" s="1538"/>
      <c r="O54" s="1538"/>
      <c r="P54" s="1538"/>
      <c r="Q54" s="1538"/>
      <c r="R54" s="1538"/>
      <c r="S54" s="1538"/>
      <c r="T54" s="1538"/>
      <c r="U54" s="1538"/>
      <c r="V54" s="1538"/>
      <c r="W54" s="1538"/>
      <c r="X54" s="2920"/>
      <c r="Y54" s="2920"/>
      <c r="Z54" s="2920"/>
    </row>
    <row r="55" spans="1:26" s="1536" customFormat="1" ht="14.25">
      <c r="A55" s="922" t="s">
        <v>813</v>
      </c>
      <c r="B55" s="146" t="s">
        <v>707</v>
      </c>
      <c r="C55" s="2260" t="s">
        <v>1543</v>
      </c>
      <c r="D55" s="4134">
        <f>ROUND(0.101*(4.321*LN(D$7)-13.072),2)*1.67</f>
        <v>0.65129999999999999</v>
      </c>
      <c r="E55" s="4134">
        <f>ROUND(0.101*(4.321*LN(E$7)-13.072),2)*1.67</f>
        <v>1.1522999999999999</v>
      </c>
      <c r="F55" s="4134">
        <f>ROUND(0.101*(4.321*LN(F$7)-13.072),2)*1.67</f>
        <v>1.6533</v>
      </c>
      <c r="G55" s="4134">
        <f>ROUND(0.118*0.059*G$7,2)</f>
        <v>3.48</v>
      </c>
      <c r="H55" s="4134">
        <f>ROUND(0.118*0.059*H$7,2)</f>
        <v>3.83</v>
      </c>
      <c r="I55" s="1538"/>
      <c r="J55" s="1538"/>
      <c r="K55" s="1538"/>
      <c r="L55" s="1538"/>
      <c r="M55" s="1538"/>
      <c r="N55" s="1538"/>
      <c r="O55" s="1538"/>
      <c r="P55" s="1538"/>
      <c r="Q55" s="1538"/>
      <c r="R55" s="1538"/>
      <c r="S55" s="1538"/>
      <c r="T55" s="1538"/>
      <c r="U55" s="1538"/>
      <c r="V55" s="1538"/>
      <c r="W55" s="1538"/>
      <c r="X55" s="2920"/>
      <c r="Y55" s="2920"/>
      <c r="Z55" s="2920"/>
    </row>
    <row r="56" spans="1:26" s="1536" customFormat="1" ht="14.25">
      <c r="A56" s="922" t="s">
        <v>1538</v>
      </c>
      <c r="B56" s="146"/>
      <c r="C56" s="2260" t="s">
        <v>1544</v>
      </c>
      <c r="D56" s="4134">
        <f>ROUND(0.109*(4.321*LN(D$7)-13.072),2)*1.67</f>
        <v>0.70139999999999991</v>
      </c>
      <c r="E56" s="4134">
        <f>ROUND(0.109*(4.321*LN(E$7)-13.072),2)*1.67</f>
        <v>1.2358</v>
      </c>
      <c r="F56" s="4134">
        <f>ROUND(0.109*(4.321*LN(F$7)-13.072),2)*1.67</f>
        <v>1.7868999999999999</v>
      </c>
      <c r="G56" s="4134">
        <f>ROUND(0.108*0.059*G$7,2)</f>
        <v>3.19</v>
      </c>
      <c r="H56" s="4134">
        <f>ROUND(0.108*0.059*H$7,2)</f>
        <v>3.5</v>
      </c>
      <c r="I56" s="1538"/>
      <c r="J56" s="1538"/>
      <c r="K56" s="1538"/>
      <c r="L56" s="1538"/>
      <c r="M56" s="1538"/>
      <c r="N56" s="1538"/>
      <c r="O56" s="1538"/>
      <c r="P56" s="1538"/>
      <c r="Q56" s="1538"/>
      <c r="R56" s="1538"/>
      <c r="S56" s="1538"/>
      <c r="T56" s="1538"/>
      <c r="U56" s="1538"/>
      <c r="V56" s="1538"/>
      <c r="W56" s="1538"/>
      <c r="X56" s="2920"/>
      <c r="Y56" s="2920"/>
      <c r="Z56" s="2920"/>
    </row>
    <row r="57" spans="1:26" s="1536" customFormat="1">
      <c r="A57" s="922"/>
      <c r="B57" s="146"/>
      <c r="C57" s="923" t="s">
        <v>1310</v>
      </c>
      <c r="D57" s="1924"/>
      <c r="E57" s="1538"/>
      <c r="F57" s="1538"/>
      <c r="G57" s="1538"/>
      <c r="H57" s="1538"/>
      <c r="I57" s="1538"/>
      <c r="J57" s="1538"/>
      <c r="K57" s="1538"/>
      <c r="L57" s="1538"/>
      <c r="M57" s="1538"/>
      <c r="N57" s="1538"/>
      <c r="O57" s="1538"/>
      <c r="P57" s="1538"/>
      <c r="Q57" s="1538"/>
      <c r="R57" s="1538"/>
      <c r="S57" s="1538"/>
      <c r="T57" s="1538"/>
      <c r="U57" s="1538"/>
      <c r="V57" s="1538"/>
      <c r="W57" s="1538"/>
      <c r="X57" s="2920"/>
      <c r="Y57" s="2920"/>
      <c r="Z57" s="2920"/>
    </row>
    <row r="58" spans="1:26" s="1538" customFormat="1">
      <c r="A58" s="924" t="s">
        <v>814</v>
      </c>
      <c r="B58" s="925" t="s">
        <v>708</v>
      </c>
      <c r="C58" s="2260" t="s">
        <v>1540</v>
      </c>
      <c r="X58" s="2920"/>
      <c r="Y58" s="2920"/>
      <c r="Z58" s="2920"/>
    </row>
    <row r="59" spans="1:26" s="1538" customFormat="1">
      <c r="A59" s="924" t="s">
        <v>1533</v>
      </c>
      <c r="B59" s="925" t="s">
        <v>709</v>
      </c>
      <c r="C59" s="2260" t="s">
        <v>1541</v>
      </c>
      <c r="D59" s="3293">
        <v>2080</v>
      </c>
      <c r="E59" s="3293">
        <v>2080</v>
      </c>
      <c r="F59" s="3293">
        <v>2080</v>
      </c>
      <c r="G59" s="3293">
        <v>2080</v>
      </c>
      <c r="H59" s="3293">
        <v>2080</v>
      </c>
      <c r="J59" s="1612"/>
      <c r="K59" s="1612"/>
      <c r="L59" s="1612"/>
      <c r="M59" s="1612"/>
      <c r="N59" s="1612"/>
      <c r="O59" s="1612"/>
      <c r="P59" s="1612"/>
      <c r="Q59" s="1612"/>
      <c r="R59" s="1612"/>
      <c r="S59" s="1612"/>
      <c r="T59" s="1612"/>
      <c r="X59" s="2920"/>
      <c r="Y59" s="2957"/>
      <c r="Z59" s="2957"/>
    </row>
    <row r="60" spans="1:26" s="1538" customFormat="1">
      <c r="A60" s="924" t="s">
        <v>1534</v>
      </c>
      <c r="B60" s="925" t="s">
        <v>710</v>
      </c>
      <c r="C60" s="2260" t="s">
        <v>1542</v>
      </c>
      <c r="D60" s="3293">
        <v>2080</v>
      </c>
      <c r="E60" s="3293">
        <v>2080</v>
      </c>
      <c r="F60" s="3293">
        <v>2080</v>
      </c>
      <c r="G60" s="3293">
        <v>2080</v>
      </c>
      <c r="H60" s="3293">
        <v>2080</v>
      </c>
      <c r="J60" s="1612"/>
      <c r="K60" s="1612"/>
      <c r="L60" s="1612"/>
      <c r="M60" s="1612"/>
      <c r="N60" s="1612"/>
      <c r="O60" s="1612"/>
      <c r="P60" s="1612"/>
      <c r="Q60" s="1612"/>
      <c r="R60" s="1612"/>
      <c r="S60" s="1612"/>
      <c r="T60" s="1612"/>
      <c r="X60" s="2920"/>
      <c r="Y60" s="2957"/>
      <c r="Z60" s="2957"/>
    </row>
    <row r="61" spans="1:26" s="1538" customFormat="1">
      <c r="A61" s="924" t="s">
        <v>1546</v>
      </c>
      <c r="B61" s="925" t="s">
        <v>711</v>
      </c>
      <c r="C61" s="2260" t="s">
        <v>1539</v>
      </c>
      <c r="D61" s="3293">
        <v>2080</v>
      </c>
      <c r="E61" s="3293">
        <v>2080</v>
      </c>
      <c r="F61" s="3293">
        <v>2080</v>
      </c>
      <c r="G61" s="3293">
        <v>2080</v>
      </c>
      <c r="H61" s="3293">
        <v>2080</v>
      </c>
      <c r="J61" s="1612"/>
      <c r="K61" s="1612"/>
      <c r="L61" s="1612"/>
      <c r="M61" s="1612"/>
      <c r="N61" s="1612"/>
      <c r="O61" s="1612"/>
      <c r="P61" s="1612"/>
      <c r="Q61" s="1612"/>
      <c r="R61" s="1612"/>
      <c r="S61" s="1612"/>
      <c r="T61" s="1612"/>
      <c r="X61" s="2920"/>
      <c r="Y61" s="2957"/>
      <c r="Z61" s="2957"/>
    </row>
    <row r="62" spans="1:26" s="1538" customFormat="1">
      <c r="A62" s="924" t="s">
        <v>815</v>
      </c>
      <c r="B62" s="925" t="s">
        <v>712</v>
      </c>
      <c r="C62" s="2260" t="s">
        <v>1543</v>
      </c>
      <c r="D62" s="3293">
        <v>2080</v>
      </c>
      <c r="E62" s="3293">
        <v>2080</v>
      </c>
      <c r="F62" s="3293">
        <v>2080</v>
      </c>
      <c r="G62" s="3293">
        <v>2080</v>
      </c>
      <c r="H62" s="3293">
        <v>2080</v>
      </c>
      <c r="J62" s="1612"/>
      <c r="K62" s="1612"/>
      <c r="L62" s="1612"/>
      <c r="M62" s="1612"/>
      <c r="N62" s="1612"/>
      <c r="O62" s="1612"/>
      <c r="P62" s="1612"/>
      <c r="Q62" s="1612"/>
      <c r="R62" s="1612"/>
      <c r="S62" s="1612"/>
      <c r="T62" s="1612"/>
      <c r="X62" s="2920"/>
      <c r="Y62" s="2957"/>
      <c r="Z62" s="2957"/>
    </row>
    <row r="63" spans="1:26" s="1538" customFormat="1">
      <c r="A63" s="924" t="s">
        <v>1535</v>
      </c>
      <c r="B63" s="925"/>
      <c r="C63" s="2260" t="s">
        <v>1544</v>
      </c>
      <c r="D63" s="3293">
        <v>2080</v>
      </c>
      <c r="E63" s="3293">
        <v>2080</v>
      </c>
      <c r="F63" s="3293">
        <v>2080</v>
      </c>
      <c r="G63" s="3293">
        <v>2080</v>
      </c>
      <c r="H63" s="3293">
        <v>2080</v>
      </c>
      <c r="J63" s="1612"/>
      <c r="K63" s="1612"/>
      <c r="L63" s="1612"/>
      <c r="M63" s="1612"/>
      <c r="N63" s="1612"/>
      <c r="O63" s="1612"/>
      <c r="P63" s="1612"/>
      <c r="Q63" s="1612"/>
      <c r="R63" s="1612"/>
      <c r="S63" s="1612"/>
      <c r="T63" s="1612"/>
      <c r="X63" s="2920"/>
      <c r="Y63" s="2957"/>
      <c r="Z63" s="2957"/>
    </row>
    <row r="64" spans="1:26" s="1538" customFormat="1">
      <c r="A64" s="1611"/>
      <c r="B64" s="1614"/>
      <c r="C64" s="1610" t="s">
        <v>424</v>
      </c>
      <c r="X64" s="2920"/>
      <c r="Y64" s="2920"/>
      <c r="Z64" s="2920"/>
    </row>
    <row r="65" spans="1:26" s="1538" customFormat="1">
      <c r="A65" s="1611" t="s">
        <v>816</v>
      </c>
      <c r="B65" s="1615" t="s">
        <v>713</v>
      </c>
      <c r="C65" s="1609" t="s">
        <v>1303</v>
      </c>
      <c r="D65" s="1616">
        <v>118920</v>
      </c>
      <c r="E65" s="1616">
        <v>118920</v>
      </c>
      <c r="F65" s="1616">
        <v>118920</v>
      </c>
      <c r="G65" s="1616">
        <v>118920</v>
      </c>
      <c r="H65" s="1616">
        <v>118920</v>
      </c>
      <c r="I65" s="1617"/>
      <c r="J65" s="1616"/>
      <c r="K65" s="1616"/>
      <c r="L65" s="1616"/>
      <c r="M65" s="1616"/>
      <c r="N65" s="1616"/>
      <c r="O65" s="1616"/>
      <c r="P65" s="1616"/>
      <c r="Q65" s="1616"/>
      <c r="R65" s="1616"/>
      <c r="S65" s="1616"/>
      <c r="T65" s="1616"/>
      <c r="U65" s="1618"/>
      <c r="V65" s="1618"/>
      <c r="W65" s="1618"/>
      <c r="X65" s="2933"/>
      <c r="Y65" s="2958"/>
      <c r="Z65" s="2958"/>
    </row>
    <row r="66" spans="1:26" s="1538" customFormat="1">
      <c r="A66" s="1611" t="s">
        <v>1530</v>
      </c>
      <c r="B66" s="1615" t="s">
        <v>714</v>
      </c>
      <c r="C66" s="2260" t="s">
        <v>1516</v>
      </c>
      <c r="D66" s="1622">
        <v>33.08</v>
      </c>
      <c r="E66" s="1622">
        <v>33.08</v>
      </c>
      <c r="F66" s="1622">
        <v>33.08</v>
      </c>
      <c r="G66" s="1622">
        <v>33.08</v>
      </c>
      <c r="H66" s="1622">
        <v>33.08</v>
      </c>
      <c r="I66" s="1617"/>
      <c r="J66" s="1622"/>
      <c r="K66" s="1622"/>
      <c r="L66" s="1622"/>
      <c r="M66" s="1622"/>
      <c r="N66" s="1622"/>
      <c r="O66" s="1622"/>
      <c r="P66" s="1622"/>
      <c r="Q66" s="1622"/>
      <c r="R66" s="1622"/>
      <c r="S66" s="1622"/>
      <c r="T66" s="1622"/>
      <c r="U66" s="1623"/>
      <c r="V66" s="1623"/>
      <c r="W66" s="1623"/>
      <c r="X66" s="2934"/>
      <c r="Y66" s="2959"/>
      <c r="Z66" s="2959"/>
    </row>
    <row r="67" spans="1:26" s="1538" customFormat="1">
      <c r="A67" s="1611" t="s">
        <v>1529</v>
      </c>
      <c r="B67" s="1615" t="s">
        <v>715</v>
      </c>
      <c r="C67" s="2260" t="s">
        <v>1517</v>
      </c>
      <c r="D67" s="1622">
        <v>30.35</v>
      </c>
      <c r="E67" s="1622">
        <v>30.35</v>
      </c>
      <c r="F67" s="1622">
        <v>30.35</v>
      </c>
      <c r="G67" s="1622">
        <v>30.35</v>
      </c>
      <c r="H67" s="1622">
        <v>30.35</v>
      </c>
      <c r="I67" s="1617"/>
      <c r="J67" s="1622"/>
      <c r="K67" s="1622"/>
      <c r="L67" s="1622"/>
      <c r="M67" s="1622"/>
      <c r="N67" s="1622"/>
      <c r="O67" s="1622"/>
      <c r="P67" s="1622"/>
      <c r="Q67" s="1622"/>
      <c r="R67" s="1622"/>
      <c r="S67" s="1622"/>
      <c r="T67" s="1622"/>
      <c r="U67" s="1623"/>
      <c r="V67" s="1623"/>
      <c r="W67" s="1623"/>
      <c r="X67" s="2934"/>
      <c r="Y67" s="2959"/>
      <c r="Z67" s="2959"/>
    </row>
    <row r="68" spans="1:26" s="1538" customFormat="1">
      <c r="A68" s="1611" t="s">
        <v>1531</v>
      </c>
      <c r="B68" s="1615" t="s">
        <v>716</v>
      </c>
      <c r="C68" s="2260" t="s">
        <v>1518</v>
      </c>
      <c r="D68" s="1622">
        <v>17.690000000000001</v>
      </c>
      <c r="E68" s="1622">
        <v>17.690000000000001</v>
      </c>
      <c r="F68" s="1622">
        <v>17.690000000000001</v>
      </c>
      <c r="G68" s="1622">
        <v>17.690000000000001</v>
      </c>
      <c r="H68" s="1622">
        <v>17.690000000000001</v>
      </c>
      <c r="I68" s="1617"/>
      <c r="J68" s="1622"/>
      <c r="K68" s="1622"/>
      <c r="L68" s="1622"/>
      <c r="M68" s="1622"/>
      <c r="N68" s="1622"/>
      <c r="O68" s="1622"/>
      <c r="P68" s="1622"/>
      <c r="Q68" s="1622"/>
      <c r="R68" s="1622"/>
      <c r="S68" s="1622"/>
      <c r="T68" s="1622"/>
      <c r="U68" s="1623"/>
      <c r="V68" s="1623"/>
      <c r="W68" s="1623"/>
      <c r="X68" s="2934"/>
      <c r="Y68" s="2959"/>
      <c r="Z68" s="2959"/>
    </row>
    <row r="69" spans="1:26" s="1538" customFormat="1">
      <c r="A69" s="1611" t="s">
        <v>817</v>
      </c>
      <c r="B69" s="1615" t="s">
        <v>717</v>
      </c>
      <c r="C69" s="2260" t="s">
        <v>1519</v>
      </c>
      <c r="D69" s="1622">
        <v>21.36</v>
      </c>
      <c r="E69" s="1622">
        <v>21.36</v>
      </c>
      <c r="F69" s="1622">
        <v>21.36</v>
      </c>
      <c r="G69" s="1622">
        <v>21.36</v>
      </c>
      <c r="H69" s="1622">
        <v>21.36</v>
      </c>
      <c r="I69" s="1617"/>
      <c r="J69" s="1622"/>
      <c r="K69" s="1622"/>
      <c r="L69" s="1622"/>
      <c r="M69" s="1622"/>
      <c r="N69" s="1622"/>
      <c r="O69" s="1622"/>
      <c r="P69" s="1622"/>
      <c r="Q69" s="1622"/>
      <c r="R69" s="1622"/>
      <c r="S69" s="1622"/>
      <c r="T69" s="1622"/>
      <c r="U69" s="1623"/>
      <c r="V69" s="1623"/>
      <c r="W69" s="1623"/>
      <c r="X69" s="2934"/>
      <c r="Y69" s="2959"/>
      <c r="Z69" s="2959"/>
    </row>
    <row r="70" spans="1:26" s="1538" customFormat="1">
      <c r="A70" s="1611" t="s">
        <v>1532</v>
      </c>
      <c r="B70" s="1615"/>
      <c r="C70" s="2260" t="s">
        <v>1520</v>
      </c>
      <c r="D70" s="1622">
        <v>23.19</v>
      </c>
      <c r="E70" s="1622">
        <v>23.19</v>
      </c>
      <c r="F70" s="1622">
        <v>23.19</v>
      </c>
      <c r="G70" s="1622">
        <v>23.19</v>
      </c>
      <c r="H70" s="1622">
        <v>23.19</v>
      </c>
      <c r="I70" s="1617"/>
      <c r="J70" s="1622"/>
      <c r="K70" s="1622"/>
      <c r="L70" s="1622"/>
      <c r="M70" s="1622"/>
      <c r="N70" s="1622"/>
      <c r="O70" s="1622"/>
      <c r="P70" s="1622"/>
      <c r="Q70" s="1622"/>
      <c r="R70" s="1622"/>
      <c r="S70" s="1622"/>
      <c r="T70" s="1622"/>
      <c r="U70" s="1623"/>
      <c r="V70" s="1623"/>
      <c r="W70" s="1623"/>
      <c r="X70" s="2934"/>
      <c r="Y70" s="2959"/>
      <c r="Z70" s="2959"/>
    </row>
    <row r="71" spans="1:26" s="1538" customFormat="1">
      <c r="A71" s="1611"/>
      <c r="B71" s="1614"/>
      <c r="C71" s="1626" t="s">
        <v>301</v>
      </c>
      <c r="X71" s="2920"/>
      <c r="Y71" s="2920"/>
      <c r="Z71" s="2920"/>
    </row>
    <row r="72" spans="1:26" s="1553" customFormat="1" ht="14.25">
      <c r="A72" s="1627" t="s">
        <v>819</v>
      </c>
      <c r="B72" s="1628" t="s">
        <v>718</v>
      </c>
      <c r="C72" s="1629" t="s">
        <v>1262</v>
      </c>
      <c r="D72" s="1549">
        <v>6.0000000000000001E-3</v>
      </c>
      <c r="E72" s="1549">
        <v>6.0000000000000001E-3</v>
      </c>
      <c r="F72" s="1549">
        <v>6.0000000000000001E-3</v>
      </c>
      <c r="G72" s="1549">
        <v>6.0000000000000001E-3</v>
      </c>
      <c r="H72" s="1549">
        <v>6.0000000000000001E-3</v>
      </c>
      <c r="I72" s="1549">
        <v>6.0000000000000001E-3</v>
      </c>
      <c r="J72" s="1549">
        <v>6.0000000000000001E-3</v>
      </c>
      <c r="K72" s="1549">
        <v>6.0000000000000001E-3</v>
      </c>
      <c r="L72" s="4129">
        <v>5.0000000000000001E-3</v>
      </c>
      <c r="M72" s="4129">
        <v>5.0000000000000001E-3</v>
      </c>
      <c r="N72" s="4129">
        <v>5.0000000000000001E-3</v>
      </c>
      <c r="O72" s="4129">
        <v>5.0000000000000001E-3</v>
      </c>
      <c r="P72" s="4129">
        <v>5.0000000000000001E-3</v>
      </c>
      <c r="Q72" s="4129">
        <v>5.0000000000000001E-3</v>
      </c>
      <c r="R72" s="4129">
        <v>5.0000000000000001E-3</v>
      </c>
      <c r="S72" s="4129">
        <v>5.0000000000000001E-3</v>
      </c>
      <c r="T72" s="4129">
        <v>5.0000000000000001E-3</v>
      </c>
      <c r="U72" s="4129">
        <v>6.0000000000000001E-3</v>
      </c>
      <c r="V72" s="4129">
        <v>6.0000000000000001E-3</v>
      </c>
      <c r="W72" s="1549"/>
      <c r="X72" s="2922"/>
      <c r="Y72" s="2922"/>
      <c r="Z72" s="2922"/>
    </row>
    <row r="73" spans="1:26" s="1538" customFormat="1">
      <c r="A73" s="1611" t="s">
        <v>820</v>
      </c>
      <c r="B73" s="1614" t="s">
        <v>720</v>
      </c>
      <c r="C73" s="1609" t="s">
        <v>1308</v>
      </c>
      <c r="D73" s="1630">
        <f>'Labor Table'!$B$15*'Labor Table'!$K$19</f>
        <v>1.6341451795044541</v>
      </c>
      <c r="E73" s="1630">
        <f>'Labor Table'!$B$15*'Labor Table'!$K$19</f>
        <v>1.6341451795044541</v>
      </c>
      <c r="F73" s="1630">
        <f>'Labor Table'!$B$15*'Labor Table'!$K$19</f>
        <v>1.6341451795044541</v>
      </c>
      <c r="G73" s="1630">
        <f>'Labor Table'!$B$15*'Labor Table'!$K$19</f>
        <v>1.6341451795044541</v>
      </c>
      <c r="H73" s="1630">
        <f>'Labor Table'!$B$15*'Labor Table'!$K$19</f>
        <v>1.6341451795044541</v>
      </c>
      <c r="J73" s="1630"/>
      <c r="K73" s="1630"/>
      <c r="L73" s="1630"/>
      <c r="M73" s="1630"/>
      <c r="N73" s="1630"/>
      <c r="O73" s="1630"/>
      <c r="P73" s="1630"/>
      <c r="Q73" s="1630"/>
      <c r="R73" s="1630"/>
      <c r="S73" s="1630"/>
      <c r="T73" s="1630"/>
      <c r="X73" s="2920"/>
      <c r="Y73" s="2936"/>
      <c r="Z73" s="2936"/>
    </row>
    <row r="74" spans="1:26" s="1635" customFormat="1">
      <c r="A74" s="1632" t="s">
        <v>261</v>
      </c>
      <c r="B74" s="1633"/>
      <c r="C74" s="1634" t="s">
        <v>260</v>
      </c>
      <c r="D74" s="1635">
        <v>57.223527655486052</v>
      </c>
      <c r="E74" s="1635">
        <v>57.223527655486052</v>
      </c>
      <c r="F74" s="1635">
        <v>57.223527655486052</v>
      </c>
      <c r="G74" s="1635">
        <v>71.355803886829975</v>
      </c>
      <c r="H74" s="1635">
        <v>71.355803886829975</v>
      </c>
      <c r="X74" s="2935"/>
      <c r="Y74" s="2935"/>
      <c r="Z74" s="2935"/>
    </row>
    <row r="75" spans="1:26" s="1536" customFormat="1">
      <c r="A75" s="1535"/>
      <c r="C75" s="1608" t="s">
        <v>293</v>
      </c>
      <c r="D75" s="1538"/>
      <c r="E75" s="1538"/>
      <c r="F75" s="1538"/>
      <c r="G75" s="1538"/>
      <c r="H75" s="1538"/>
      <c r="I75" s="1538"/>
      <c r="J75" s="1538"/>
      <c r="K75" s="1538"/>
      <c r="L75" s="1538"/>
      <c r="M75" s="1538"/>
      <c r="N75" s="1538"/>
      <c r="O75" s="1538"/>
      <c r="P75" s="1538"/>
      <c r="Q75" s="1538"/>
      <c r="R75" s="1538"/>
      <c r="S75" s="1538"/>
      <c r="T75" s="1538"/>
      <c r="U75" s="1538"/>
      <c r="V75" s="1538"/>
      <c r="W75" s="1538"/>
      <c r="X75" s="2920"/>
      <c r="Y75" s="2920"/>
      <c r="Z75" s="2920"/>
    </row>
    <row r="76" spans="1:26" s="1536" customFormat="1">
      <c r="A76" s="1594" t="s">
        <v>821</v>
      </c>
      <c r="B76" s="1637" t="s">
        <v>722</v>
      </c>
      <c r="C76" s="1605" t="s">
        <v>1040</v>
      </c>
      <c r="D76" s="4167">
        <v>7.7512111267385531E-4</v>
      </c>
      <c r="E76" s="4167">
        <v>7.7512111267385531E-4</v>
      </c>
      <c r="F76" s="4167">
        <v>7.7512111267385531E-4</v>
      </c>
      <c r="G76" s="1630">
        <v>6.7996576859049131E-4</v>
      </c>
      <c r="H76" s="1630">
        <v>6.7996576859049131E-4</v>
      </c>
      <c r="I76" s="1538"/>
      <c r="J76" s="1585"/>
      <c r="K76" s="1585"/>
      <c r="L76" s="1585"/>
      <c r="M76" s="1585"/>
      <c r="N76" s="1585"/>
      <c r="O76" s="1585"/>
      <c r="P76" s="1585"/>
      <c r="Q76" s="1585"/>
      <c r="R76" s="1585"/>
      <c r="S76" s="1585"/>
      <c r="T76" s="1585"/>
      <c r="U76" s="1630"/>
      <c r="V76" s="1630"/>
      <c r="W76" s="1630"/>
      <c r="X76" s="2936"/>
      <c r="Y76" s="2932"/>
      <c r="Z76" s="2932"/>
    </row>
    <row r="77" spans="1:26" s="1565" customFormat="1">
      <c r="A77" s="1638" t="s">
        <v>1042</v>
      </c>
      <c r="B77" s="1637"/>
      <c r="C77" s="1605" t="s">
        <v>1043</v>
      </c>
      <c r="D77" s="1538"/>
      <c r="E77" s="1538"/>
      <c r="F77" s="1538"/>
      <c r="G77" s="1538"/>
      <c r="H77" s="1538"/>
      <c r="I77" s="1538"/>
      <c r="J77" s="1538"/>
      <c r="K77" s="1538"/>
      <c r="L77" s="1538"/>
      <c r="M77" s="1538"/>
      <c r="N77" s="1538"/>
      <c r="O77" s="1538"/>
      <c r="P77" s="1538"/>
      <c r="Q77" s="1538"/>
      <c r="R77" s="1538"/>
      <c r="S77" s="1538"/>
      <c r="T77" s="1538"/>
      <c r="U77" s="1630"/>
      <c r="V77" s="1630"/>
      <c r="W77" s="1639"/>
      <c r="X77" s="2936"/>
      <c r="Y77" s="2920"/>
      <c r="Z77" s="2920"/>
    </row>
    <row r="78" spans="1:26" s="1565" customFormat="1">
      <c r="A78" s="2852"/>
      <c r="B78" s="2853"/>
      <c r="C78" s="2856" t="s">
        <v>1420</v>
      </c>
      <c r="D78" s="1538"/>
      <c r="E78" s="1538"/>
      <c r="F78" s="1538"/>
      <c r="G78" s="1538"/>
      <c r="H78" s="1538"/>
      <c r="I78" s="1538"/>
      <c r="J78" s="1538"/>
      <c r="K78" s="1538"/>
      <c r="L78" s="1538"/>
      <c r="M78" s="1538"/>
      <c r="N78" s="1538"/>
      <c r="O78" s="1538"/>
      <c r="P78" s="1538"/>
      <c r="Q78" s="1538"/>
      <c r="R78" s="1538"/>
      <c r="S78" s="1538"/>
      <c r="T78" s="1538"/>
      <c r="U78" s="1538"/>
      <c r="V78" s="1538"/>
      <c r="W78" s="1566"/>
      <c r="X78" s="2920"/>
      <c r="Y78" s="2920"/>
      <c r="Z78" s="2920"/>
    </row>
    <row r="79" spans="1:26" s="1565" customFormat="1">
      <c r="A79" s="2852" t="s">
        <v>1744</v>
      </c>
      <c r="B79" s="2853"/>
      <c r="C79" s="2854" t="s">
        <v>1745</v>
      </c>
      <c r="D79" s="2969">
        <f>Transmission!M39</f>
        <v>2.1761411094991762E-2</v>
      </c>
      <c r="E79" s="2969">
        <f>Transmission!N39</f>
        <v>3.2289228895001278E-2</v>
      </c>
      <c r="F79" s="2969">
        <f>Transmission!O39</f>
        <v>7.2480622706929095E-3</v>
      </c>
      <c r="G79" s="2969">
        <f>Transmission!P39</f>
        <v>3.092809044041106E-3</v>
      </c>
      <c r="H79" s="2969">
        <f>Transmission!Q39</f>
        <v>3.092809044041106E-3</v>
      </c>
      <c r="I79" s="2969">
        <f>Transmission!R39</f>
        <v>1.5701404240836235E-2</v>
      </c>
      <c r="J79" s="2969">
        <f>Transmission!S39</f>
        <v>3.140280848167247E-2</v>
      </c>
      <c r="K79" s="2969">
        <f>Transmission!T39</f>
        <v>3.140280848167247E-2</v>
      </c>
      <c r="L79" s="2969">
        <f>Transmission!U39</f>
        <v>7.2480622706929095E-3</v>
      </c>
      <c r="M79" s="2969">
        <f>Transmission!V39</f>
        <v>7.2480622706929095E-3</v>
      </c>
      <c r="N79" s="2969">
        <f>Transmission!W39</f>
        <v>3.2289228895001278E-2</v>
      </c>
      <c r="O79" s="2969">
        <f>Transmission!X39</f>
        <v>3.2289228895001278E-2</v>
      </c>
      <c r="P79" s="2969">
        <f>Transmission!Y39</f>
        <v>3.2289228895001278E-2</v>
      </c>
      <c r="Q79" s="2969">
        <f>Transmission!Z39</f>
        <v>3.2289228895001278E-2</v>
      </c>
      <c r="R79" s="2969">
        <f>Transmission!AA39</f>
        <v>3.2289228895001278E-2</v>
      </c>
      <c r="S79" s="2969">
        <f>Transmission!AB39</f>
        <v>4.5560328827255921E-2</v>
      </c>
      <c r="T79" s="2969">
        <f>Transmission!AC39</f>
        <v>4.5560328827255921E-2</v>
      </c>
      <c r="U79" s="2969">
        <f>Transmission!AD39</f>
        <v>3.2289228895001278E-2</v>
      </c>
      <c r="V79" s="2969">
        <f>Transmission!AE39</f>
        <v>3.2289228895001278E-2</v>
      </c>
      <c r="W79" s="1566"/>
      <c r="X79" s="2937"/>
      <c r="Y79" s="2937"/>
      <c r="Z79" s="2937"/>
    </row>
    <row r="80" spans="1:26" s="1566" customFormat="1">
      <c r="A80" s="2852"/>
      <c r="B80" s="2855"/>
      <c r="C80" s="2854"/>
      <c r="D80" s="1538"/>
      <c r="E80" s="1538"/>
      <c r="F80" s="1538"/>
      <c r="G80" s="1538"/>
      <c r="H80" s="1538"/>
      <c r="I80" s="2141"/>
      <c r="J80" s="2141"/>
      <c r="K80" s="2141"/>
      <c r="L80" s="2141"/>
      <c r="M80" s="2141"/>
      <c r="N80" s="2141"/>
      <c r="O80" s="2141"/>
      <c r="P80" s="2141"/>
      <c r="Q80" s="1553"/>
      <c r="R80" s="1553"/>
      <c r="S80" s="1553"/>
      <c r="T80" s="1553"/>
      <c r="U80" s="1553"/>
      <c r="V80" s="1553"/>
      <c r="X80" s="2938"/>
      <c r="Y80" s="2938"/>
      <c r="Z80" s="2938"/>
    </row>
    <row r="81" spans="1:26" s="1566" customFormat="1">
      <c r="A81" s="2852"/>
      <c r="B81" s="2855"/>
      <c r="C81" s="2854"/>
      <c r="D81" s="1635"/>
      <c r="E81" s="1635"/>
      <c r="F81" s="1635"/>
      <c r="G81" s="1635"/>
      <c r="H81" s="1635"/>
      <c r="I81" s="1635"/>
      <c r="J81" s="1635"/>
      <c r="K81" s="1635"/>
      <c r="L81" s="1635"/>
      <c r="M81" s="1635"/>
      <c r="N81" s="1635"/>
      <c r="O81" s="1635"/>
      <c r="P81" s="1635"/>
      <c r="Q81" s="2141"/>
      <c r="R81" s="2141"/>
      <c r="S81" s="2141"/>
      <c r="T81" s="2141"/>
      <c r="U81" s="2141"/>
      <c r="V81" s="2141"/>
      <c r="X81" s="2935"/>
      <c r="Y81" s="2935"/>
      <c r="Z81" s="2935"/>
    </row>
    <row r="82" spans="1:26" s="1566" customFormat="1">
      <c r="A82" s="2852"/>
      <c r="B82" s="2855"/>
      <c r="C82" s="2854"/>
      <c r="D82" s="1635"/>
      <c r="E82" s="1635"/>
      <c r="F82" s="1635"/>
      <c r="G82" s="1635"/>
      <c r="H82" s="1635"/>
      <c r="I82" s="1635"/>
      <c r="J82" s="1635"/>
      <c r="K82" s="1635"/>
      <c r="L82" s="1635"/>
      <c r="M82" s="1635"/>
      <c r="N82" s="1635"/>
      <c r="O82" s="1635"/>
      <c r="P82" s="1635"/>
      <c r="Q82" s="1635"/>
      <c r="R82" s="1635"/>
      <c r="S82" s="1635"/>
      <c r="T82" s="1635"/>
      <c r="U82" s="1635"/>
      <c r="V82" s="1635"/>
      <c r="X82" s="2935"/>
      <c r="Y82" s="2935"/>
      <c r="Z82" s="2935"/>
    </row>
    <row r="83" spans="1:26" s="1565" customFormat="1">
      <c r="A83" s="2852"/>
      <c r="B83" s="2855"/>
      <c r="C83" s="2854"/>
      <c r="D83" s="1538"/>
      <c r="E83" s="1538"/>
      <c r="F83" s="1538"/>
      <c r="G83" s="1538"/>
      <c r="H83" s="1538"/>
      <c r="I83" s="1538"/>
      <c r="J83" s="1538"/>
      <c r="K83" s="1538"/>
      <c r="L83" s="1538"/>
      <c r="M83" s="1538"/>
      <c r="N83" s="1538"/>
      <c r="O83" s="1538"/>
      <c r="P83" s="1538"/>
      <c r="Q83" s="1538"/>
      <c r="R83" s="1538"/>
      <c r="S83" s="1538"/>
      <c r="T83" s="1538"/>
      <c r="U83" s="1538"/>
      <c r="V83" s="1538"/>
      <c r="W83" s="1566"/>
      <c r="X83" s="2920"/>
      <c r="Y83" s="2920"/>
      <c r="Z83" s="2920"/>
    </row>
    <row r="84" spans="1:26" s="1565" customFormat="1">
      <c r="A84" s="1535"/>
      <c r="B84" s="1536"/>
      <c r="C84" s="1560" t="s">
        <v>298</v>
      </c>
      <c r="D84" s="3832">
        <v>1100.3931184681794</v>
      </c>
      <c r="E84" s="3832">
        <v>1286.9731886084601</v>
      </c>
      <c r="F84" s="3832">
        <v>975.41496515167</v>
      </c>
      <c r="G84" s="3832">
        <v>856.75809850220003</v>
      </c>
      <c r="H84" s="3832">
        <v>852.32115668401832</v>
      </c>
      <c r="I84" s="3832">
        <v>4658.2700000000004</v>
      </c>
      <c r="J84" s="3832">
        <v>5594.45</v>
      </c>
      <c r="K84" s="3831">
        <v>6826.45</v>
      </c>
      <c r="L84" s="3832">
        <v>4367.7725514173508</v>
      </c>
      <c r="M84" s="3832">
        <v>7586.0322811603546</v>
      </c>
      <c r="N84" s="3832">
        <v>4892.9277641773224</v>
      </c>
      <c r="O84" s="3832">
        <v>6526</v>
      </c>
      <c r="P84" s="3832">
        <v>6824</v>
      </c>
      <c r="Q84" s="2970"/>
      <c r="R84" s="2970"/>
      <c r="S84" s="2970"/>
      <c r="T84" s="2970"/>
      <c r="U84" s="4160">
        <v>1.2488000327732172</v>
      </c>
      <c r="V84" s="4118">
        <v>1.1073383707442015</v>
      </c>
      <c r="W84" s="2330"/>
      <c r="X84" s="1566"/>
      <c r="Y84" s="2920"/>
      <c r="Z84" s="2920"/>
    </row>
    <row r="85" spans="1:26" s="1565" customFormat="1" ht="15">
      <c r="A85" s="1569"/>
      <c r="B85" s="1570"/>
      <c r="C85" s="1547" t="s">
        <v>1662</v>
      </c>
      <c r="D85" s="4144">
        <f>1502.92818860846-Transmission!M44</f>
        <v>1100.3931184681794</v>
      </c>
      <c r="E85" s="4144">
        <f>1502.92818860846-Transmission!N44</f>
        <v>1286.9731886084601</v>
      </c>
      <c r="F85" s="4144">
        <f>1313.25996515167-Transmission!O44</f>
        <v>975.41496515167</v>
      </c>
      <c r="G85" s="4144">
        <f>1108.6636985022-0.2335352*G7-Transmission!P44</f>
        <v>856.75809850220003</v>
      </c>
      <c r="H85" s="4144">
        <f>1108.6636985022-0.2335352*H7-Transmission!Q44</f>
        <v>852.32115668401832</v>
      </c>
      <c r="I85" s="4144">
        <f>5060-Transmission!R44</f>
        <v>4658.2700000000004</v>
      </c>
      <c r="J85" s="4144">
        <f>6264-Transmission!S44</f>
        <v>5594.45</v>
      </c>
      <c r="K85" s="4144">
        <f>7496-Transmission!T44</f>
        <v>6826.45</v>
      </c>
      <c r="L85" s="4144">
        <f>IF(StartYr=2011,4365,0.1165593212*StartYr^3 - 707.3932050116*StartYr^2 + 1431000.51711873*StartYr - 964899127.968527)-Transmission!U44</f>
        <v>4097.4965514173509</v>
      </c>
      <c r="M85" s="4144">
        <f>IF(StartYr=2011,7681, 0.1087345054*StartYr^3 - 662.3185197986*StartYr^2 + 1344625.44679643*StartYr- 909845986.035743)-Transmission!V44</f>
        <v>7315.7562811603548</v>
      </c>
      <c r="N85" s="4144">
        <f>IF(StartYr=2011,4890,0.1305794471*StartYr^3 - 792.4807099109*StartYr^2 + 1603125.81129551*StartYr- 1080960264.40116)-Transmission!W44</f>
        <v>4676.9727641773225</v>
      </c>
      <c r="O85" s="4144">
        <f>IF(StartYr&lt;2016,6526, -59.967746*StartYr + 127345.094203)-Transmission!X44</f>
        <v>6310.0450000000001</v>
      </c>
      <c r="P85" s="4144">
        <f>IF(StartYr&lt;2016,6824,   -63.3299489998*StartYr + 134420.839430372)-Transmission!Y44</f>
        <v>6608.0450000000001</v>
      </c>
      <c r="Q85" s="4144">
        <f>1200+(2400*EXP(-0.13*(StartYr-2011)))</f>
        <v>3050.5238059285593</v>
      </c>
      <c r="R85" s="4144">
        <f>1000+(2800*EXP(-0.05*(StartYr-2011)))</f>
        <v>3533.5447705006868</v>
      </c>
      <c r="S85" s="4144">
        <f>1200+(2400*EXP(-0.13*(StartYr-2011)))</f>
        <v>3050.5238059285593</v>
      </c>
      <c r="T85" s="4144">
        <f>1000+(2800*EXP(-0.05*(StartYr-2011)))</f>
        <v>3533.5447705006868</v>
      </c>
      <c r="U85" s="4144">
        <f>1100+(900*EXP(-0.05*(StartYr-2011)))</f>
        <v>1914.3536762323636</v>
      </c>
      <c r="V85" s="4144">
        <f>1000+(800*EXP(-0.05*(StartYr-2011)))</f>
        <v>1723.8699344287675</v>
      </c>
      <c r="W85" s="1642"/>
      <c r="X85" s="2956"/>
      <c r="Y85" s="2956"/>
      <c r="Z85" s="2956"/>
    </row>
    <row r="86" spans="1:26" s="1646" customFormat="1">
      <c r="A86" s="1651" t="s">
        <v>865</v>
      </c>
      <c r="B86" s="2058" t="s">
        <v>724</v>
      </c>
      <c r="C86" s="1648" t="s">
        <v>660</v>
      </c>
      <c r="D86" s="1646">
        <f t="shared" ref="D86:V86" si="9">D85*D7*1000</f>
        <v>54909616.611562155</v>
      </c>
      <c r="E86" s="1646">
        <f t="shared" si="9"/>
        <v>128697318.860846</v>
      </c>
      <c r="F86" s="1646">
        <f t="shared" si="9"/>
        <v>195082993.030334</v>
      </c>
      <c r="G86" s="1646">
        <f t="shared" si="9"/>
        <v>428379049.2511</v>
      </c>
      <c r="H86" s="1646">
        <f t="shared" si="9"/>
        <v>468776636.17621005</v>
      </c>
      <c r="I86" s="1646">
        <f t="shared" si="9"/>
        <v>232913500.00000003</v>
      </c>
      <c r="J86" s="1646">
        <f t="shared" si="9"/>
        <v>167833500</v>
      </c>
      <c r="K86" s="1646">
        <f t="shared" si="9"/>
        <v>204793500</v>
      </c>
      <c r="L86" s="1646">
        <f t="shared" si="9"/>
        <v>1024374137.8543377</v>
      </c>
      <c r="M86" s="1646">
        <f t="shared" si="9"/>
        <v>1828939070.2900887</v>
      </c>
      <c r="N86" s="1646">
        <f t="shared" si="9"/>
        <v>467697276.41773224</v>
      </c>
      <c r="O86" s="1646">
        <f t="shared" si="9"/>
        <v>631004500</v>
      </c>
      <c r="P86" s="1646">
        <f t="shared" si="9"/>
        <v>660804500</v>
      </c>
      <c r="Q86" s="1646">
        <f t="shared" si="9"/>
        <v>305052380.59285593</v>
      </c>
      <c r="R86" s="1646">
        <f t="shared" si="9"/>
        <v>353354477.05006868</v>
      </c>
      <c r="S86" s="1646">
        <f t="shared" si="9"/>
        <v>61010476.118571185</v>
      </c>
      <c r="T86" s="1646">
        <f t="shared" si="9"/>
        <v>70670895.410013735</v>
      </c>
      <c r="U86" s="1646">
        <f t="shared" si="9"/>
        <v>191435367.62323636</v>
      </c>
      <c r="V86" s="1646">
        <f t="shared" si="9"/>
        <v>172386993.44287676</v>
      </c>
      <c r="X86" s="2940"/>
      <c r="Y86" s="2940"/>
      <c r="Z86" s="2940"/>
    </row>
    <row r="87" spans="1:26" s="1647" customFormat="1">
      <c r="A87" s="1643" t="s">
        <v>866</v>
      </c>
      <c r="B87" s="1644" t="s">
        <v>725</v>
      </c>
      <c r="C87" s="1648" t="s">
        <v>661</v>
      </c>
      <c r="D87" s="1646"/>
      <c r="E87" s="1646"/>
      <c r="F87" s="1646"/>
      <c r="G87" s="1646"/>
      <c r="H87" s="1646"/>
      <c r="I87" s="1646"/>
      <c r="J87" s="1646"/>
      <c r="K87" s="1646"/>
      <c r="L87" s="2335"/>
      <c r="M87" s="2335"/>
      <c r="N87" s="2335"/>
      <c r="O87" s="2335"/>
      <c r="P87" s="2335"/>
      <c r="Q87" s="2335"/>
      <c r="R87" s="2335"/>
      <c r="S87" s="2335"/>
      <c r="T87" s="2335"/>
      <c r="U87" s="1646"/>
      <c r="V87" s="1646"/>
      <c r="W87" s="1646"/>
      <c r="X87" s="2940"/>
      <c r="Y87" s="4258"/>
      <c r="Z87" s="4258"/>
    </row>
    <row r="88" spans="1:26" s="1649" customFormat="1">
      <c r="A88" s="1643" t="s">
        <v>867</v>
      </c>
      <c r="B88" s="1644" t="s">
        <v>726</v>
      </c>
      <c r="C88" s="1648" t="s">
        <v>662</v>
      </c>
      <c r="D88" s="1646"/>
      <c r="E88" s="1646"/>
      <c r="F88" s="1646"/>
      <c r="G88" s="1646"/>
      <c r="H88" s="1646"/>
      <c r="I88" s="1646"/>
      <c r="J88" s="1646"/>
      <c r="K88" s="1646"/>
      <c r="L88" s="1646"/>
      <c r="M88" s="1646"/>
      <c r="N88" s="1646"/>
      <c r="O88" s="1646"/>
      <c r="P88" s="1646"/>
      <c r="Q88" s="1646"/>
      <c r="R88" s="1646"/>
      <c r="S88" s="1646"/>
      <c r="T88" s="1646"/>
      <c r="U88" s="1646"/>
      <c r="V88" s="1646"/>
      <c r="W88" s="1650"/>
      <c r="X88" s="2940"/>
      <c r="Y88" s="2940"/>
      <c r="Z88" s="2940"/>
    </row>
    <row r="89" spans="1:26" s="1649" customFormat="1">
      <c r="A89" s="1643" t="s">
        <v>868</v>
      </c>
      <c r="B89" s="1644" t="s">
        <v>727</v>
      </c>
      <c r="C89" s="1648" t="s">
        <v>663</v>
      </c>
      <c r="D89" s="1646"/>
      <c r="E89" s="1646"/>
      <c r="F89" s="1646"/>
      <c r="G89" s="1646"/>
      <c r="H89" s="1646"/>
      <c r="I89" s="1646"/>
      <c r="J89" s="1646"/>
      <c r="K89" s="1646"/>
      <c r="L89" s="1646"/>
      <c r="M89" s="1646"/>
      <c r="N89" s="1646"/>
      <c r="O89" s="1646"/>
      <c r="P89" s="1646"/>
      <c r="Q89" s="1646"/>
      <c r="R89" s="1646"/>
      <c r="S89" s="1646"/>
      <c r="T89" s="1646"/>
      <c r="U89" s="1646"/>
      <c r="V89" s="1646"/>
      <c r="W89" s="1650"/>
      <c r="X89" s="2940"/>
      <c r="Y89" s="2940"/>
      <c r="Z89" s="2940"/>
    </row>
    <row r="90" spans="1:26" s="1649" customFormat="1">
      <c r="A90" s="1643" t="s">
        <v>869</v>
      </c>
      <c r="B90" s="1644" t="s">
        <v>728</v>
      </c>
      <c r="C90" s="1648" t="s">
        <v>664</v>
      </c>
      <c r="D90" s="1646"/>
      <c r="E90" s="1646"/>
      <c r="F90" s="1646"/>
      <c r="G90" s="1646"/>
      <c r="H90" s="1646"/>
      <c r="I90" s="1646"/>
      <c r="J90" s="1646"/>
      <c r="K90" s="1646"/>
      <c r="L90" s="1646"/>
      <c r="M90" s="1646"/>
      <c r="N90" s="1646"/>
      <c r="O90" s="1646"/>
      <c r="P90" s="1646"/>
      <c r="Q90" s="1646"/>
      <c r="R90" s="1646"/>
      <c r="S90" s="1646"/>
      <c r="T90" s="1646"/>
      <c r="U90" s="1646"/>
      <c r="V90" s="1646"/>
      <c r="W90" s="1650"/>
      <c r="X90" s="2940"/>
      <c r="Y90" s="2940"/>
      <c r="Z90" s="2940"/>
    </row>
    <row r="91" spans="1:26" s="1649" customFormat="1">
      <c r="A91" s="1643" t="s">
        <v>870</v>
      </c>
      <c r="B91" s="1644" t="s">
        <v>729</v>
      </c>
      <c r="C91" s="1648" t="s">
        <v>665</v>
      </c>
      <c r="D91" s="1646"/>
      <c r="E91" s="1646"/>
      <c r="F91" s="1646"/>
      <c r="G91" s="1646"/>
      <c r="H91" s="1646"/>
      <c r="I91" s="1646"/>
      <c r="J91" s="1646"/>
      <c r="K91" s="1646"/>
      <c r="L91" s="1646"/>
      <c r="M91" s="1711"/>
      <c r="N91" s="1646"/>
      <c r="O91" s="1711"/>
      <c r="P91" s="1711"/>
      <c r="Q91" s="1711"/>
      <c r="R91" s="1711"/>
      <c r="S91" s="1711"/>
      <c r="T91" s="1711"/>
      <c r="U91" s="1711"/>
      <c r="V91" s="1711"/>
      <c r="W91" s="1524"/>
      <c r="X91" s="2919"/>
      <c r="Y91" s="2940"/>
      <c r="Z91" s="4241"/>
    </row>
    <row r="92" spans="1:26" s="1649" customFormat="1">
      <c r="A92" s="1643" t="s">
        <v>871</v>
      </c>
      <c r="B92" s="1644" t="s">
        <v>730</v>
      </c>
      <c r="C92" s="1648" t="s">
        <v>666</v>
      </c>
      <c r="D92" s="1646"/>
      <c r="E92" s="1646"/>
      <c r="F92" s="1646"/>
      <c r="G92" s="1646"/>
      <c r="H92" s="1646"/>
      <c r="I92" s="1646"/>
      <c r="J92" s="1646"/>
      <c r="K92" s="1646"/>
      <c r="L92" s="1646"/>
      <c r="M92" s="1646"/>
      <c r="N92" s="1646"/>
      <c r="O92" s="1646"/>
      <c r="P92" s="1646"/>
      <c r="Q92" s="1646"/>
      <c r="R92" s="1646"/>
      <c r="S92" s="1646"/>
      <c r="T92" s="1646"/>
      <c r="U92" s="1646"/>
      <c r="V92" s="1646"/>
      <c r="W92" s="1650"/>
      <c r="X92" s="2940"/>
      <c r="Y92" s="2940"/>
      <c r="Z92" s="2940"/>
    </row>
    <row r="93" spans="1:26" s="1649" customFormat="1">
      <c r="A93" s="1651" t="s">
        <v>873</v>
      </c>
      <c r="B93" s="1644" t="s">
        <v>731</v>
      </c>
      <c r="C93" s="1648" t="s">
        <v>667</v>
      </c>
      <c r="D93" s="1646"/>
      <c r="E93" s="1646"/>
      <c r="F93" s="1646"/>
      <c r="G93" s="1646"/>
      <c r="H93" s="1646"/>
      <c r="I93" s="1646"/>
      <c r="J93" s="1646"/>
      <c r="K93" s="1646"/>
      <c r="L93" s="1646"/>
      <c r="M93" s="1646"/>
      <c r="N93" s="1646"/>
      <c r="O93" s="1646"/>
      <c r="P93" s="1646"/>
      <c r="Q93" s="1646"/>
      <c r="R93" s="1646"/>
      <c r="S93" s="1646"/>
      <c r="T93" s="1646"/>
      <c r="U93" s="1646"/>
      <c r="V93" s="1646"/>
      <c r="W93" s="1650"/>
      <c r="X93" s="2940"/>
      <c r="Y93" s="2940"/>
      <c r="Z93" s="2940"/>
    </row>
    <row r="94" spans="1:26" s="1649" customFormat="1">
      <c r="A94" s="1643" t="s">
        <v>874</v>
      </c>
      <c r="B94" s="1644" t="s">
        <v>732</v>
      </c>
      <c r="C94" s="1648" t="s">
        <v>668</v>
      </c>
      <c r="D94" s="1646"/>
      <c r="E94" s="1646"/>
      <c r="F94" s="1646"/>
      <c r="G94" s="1646"/>
      <c r="H94" s="1646"/>
      <c r="I94" s="1646"/>
      <c r="J94" s="1646"/>
      <c r="K94" s="1646"/>
      <c r="L94" s="1646"/>
      <c r="M94" s="1646"/>
      <c r="N94" s="1646"/>
      <c r="O94" s="1646"/>
      <c r="P94" s="1646"/>
      <c r="Q94" s="1646"/>
      <c r="R94" s="1646"/>
      <c r="S94" s="1646"/>
      <c r="T94" s="1646"/>
      <c r="U94" s="1646"/>
      <c r="V94" s="1646"/>
      <c r="W94" s="1650"/>
      <c r="X94" s="2940"/>
      <c r="Y94" s="2940"/>
      <c r="Z94" s="2940"/>
    </row>
    <row r="95" spans="1:26" s="1565" customFormat="1">
      <c r="A95" s="1569" t="s">
        <v>875</v>
      </c>
      <c r="B95" s="1570" t="s">
        <v>733</v>
      </c>
      <c r="C95" s="1652" t="s">
        <v>669</v>
      </c>
      <c r="D95" s="1538" t="s">
        <v>652</v>
      </c>
      <c r="E95" s="1538" t="s">
        <v>652</v>
      </c>
      <c r="F95" s="1538" t="s">
        <v>652</v>
      </c>
      <c r="G95" s="1538" t="s">
        <v>652</v>
      </c>
      <c r="H95" s="1538" t="s">
        <v>652</v>
      </c>
      <c r="I95" s="1538" t="s">
        <v>652</v>
      </c>
      <c r="J95" s="1538" t="s">
        <v>652</v>
      </c>
      <c r="K95" s="1538" t="s">
        <v>652</v>
      </c>
      <c r="L95" s="1538" t="s">
        <v>652</v>
      </c>
      <c r="M95" s="1538" t="s">
        <v>652</v>
      </c>
      <c r="N95" s="1538" t="s">
        <v>652</v>
      </c>
      <c r="O95" s="1538" t="s">
        <v>652</v>
      </c>
      <c r="P95" s="1538" t="s">
        <v>652</v>
      </c>
      <c r="Q95" s="1538" t="s">
        <v>652</v>
      </c>
      <c r="R95" s="1538" t="s">
        <v>652</v>
      </c>
      <c r="S95" s="1538" t="s">
        <v>652</v>
      </c>
      <c r="T95" s="1538" t="s">
        <v>652</v>
      </c>
      <c r="U95" s="1538" t="s">
        <v>652</v>
      </c>
      <c r="V95" s="1538" t="s">
        <v>652</v>
      </c>
      <c r="W95" s="1566"/>
      <c r="X95" s="2920"/>
      <c r="Y95" s="2920"/>
      <c r="Z95" s="2920"/>
    </row>
    <row r="96" spans="1:26" s="1565" customFormat="1">
      <c r="A96" s="1569" t="s">
        <v>876</v>
      </c>
      <c r="B96" s="1570" t="s">
        <v>734</v>
      </c>
      <c r="C96" s="1652" t="s">
        <v>670</v>
      </c>
      <c r="D96" s="1538"/>
      <c r="E96" s="1538"/>
      <c r="F96" s="1538"/>
      <c r="G96" s="1538"/>
      <c r="H96" s="1538"/>
      <c r="I96" s="1538"/>
      <c r="J96" s="1653"/>
      <c r="K96" s="1653"/>
      <c r="L96" s="1654"/>
      <c r="M96" s="1654"/>
      <c r="N96" s="1654"/>
      <c r="O96" s="1654"/>
      <c r="P96" s="1654"/>
      <c r="Q96" s="1653"/>
      <c r="R96" s="1653"/>
      <c r="S96" s="1653"/>
      <c r="T96" s="1653"/>
      <c r="U96" s="1653"/>
      <c r="V96" s="1653"/>
      <c r="W96" s="1653"/>
      <c r="X96" s="2941"/>
      <c r="Y96" s="2961"/>
      <c r="Z96" s="2961"/>
    </row>
    <row r="97" spans="1:28" s="1565" customFormat="1">
      <c r="A97" s="1569" t="s">
        <v>877</v>
      </c>
      <c r="B97" s="1570" t="s">
        <v>735</v>
      </c>
      <c r="C97" s="1652" t="s">
        <v>671</v>
      </c>
      <c r="D97" s="1538"/>
      <c r="E97" s="1538"/>
      <c r="F97" s="1538"/>
      <c r="G97" s="1538"/>
      <c r="H97" s="1538"/>
      <c r="I97" s="1538"/>
      <c r="J97" s="1538"/>
      <c r="K97" s="1538"/>
      <c r="L97" s="1654"/>
      <c r="M97" s="1654"/>
      <c r="N97" s="1654"/>
      <c r="O97" s="1654"/>
      <c r="P97" s="1654"/>
      <c r="Q97" s="1653"/>
      <c r="R97" s="1653"/>
      <c r="S97" s="1653"/>
      <c r="T97" s="1653"/>
      <c r="U97" s="1538"/>
      <c r="V97" s="1538"/>
      <c r="W97" s="1566"/>
      <c r="X97" s="2920"/>
      <c r="Y97" s="2961"/>
      <c r="Z97" s="2961"/>
    </row>
    <row r="98" spans="1:28" s="1565" customFormat="1">
      <c r="A98" s="1569" t="s">
        <v>878</v>
      </c>
      <c r="B98" s="1570" t="s">
        <v>736</v>
      </c>
      <c r="C98" s="1652" t="s">
        <v>672</v>
      </c>
      <c r="D98" s="1538"/>
      <c r="E98" s="1538"/>
      <c r="F98" s="1538"/>
      <c r="G98" s="1538"/>
      <c r="H98" s="1538"/>
      <c r="I98" s="1538"/>
      <c r="J98" s="1538"/>
      <c r="K98" s="1538"/>
      <c r="L98" s="1654"/>
      <c r="M98" s="1654"/>
      <c r="N98" s="1654"/>
      <c r="O98" s="1654"/>
      <c r="P98" s="1654"/>
      <c r="Q98" s="1653"/>
      <c r="R98" s="1653"/>
      <c r="S98" s="1653"/>
      <c r="T98" s="1653"/>
      <c r="U98" s="1538"/>
      <c r="V98" s="1538"/>
      <c r="W98" s="1566"/>
      <c r="X98" s="2920"/>
      <c r="Y98" s="2961"/>
      <c r="Z98" s="2961"/>
    </row>
    <row r="99" spans="1:28" s="1565" customFormat="1">
      <c r="A99" s="1569" t="s">
        <v>879</v>
      </c>
      <c r="B99" s="1570" t="s">
        <v>737</v>
      </c>
      <c r="C99" s="1652" t="s">
        <v>673</v>
      </c>
      <c r="D99" s="1538"/>
      <c r="E99" s="1538"/>
      <c r="F99" s="1538"/>
      <c r="G99" s="1538"/>
      <c r="H99" s="1538"/>
      <c r="I99" s="1538"/>
      <c r="J99" s="1538"/>
      <c r="K99" s="1538"/>
      <c r="L99" s="1654"/>
      <c r="M99" s="1654"/>
      <c r="N99" s="1654"/>
      <c r="O99" s="1654"/>
      <c r="P99" s="1654"/>
      <c r="Q99" s="1653"/>
      <c r="R99" s="1653"/>
      <c r="S99" s="1653"/>
      <c r="T99" s="1653"/>
      <c r="U99" s="1538"/>
      <c r="V99" s="1538"/>
      <c r="W99" s="1566"/>
      <c r="X99" s="2920"/>
      <c r="Y99" s="2961"/>
      <c r="Z99" s="2961"/>
    </row>
    <row r="100" spans="1:28" s="1565" customFormat="1">
      <c r="A100" s="1569" t="s">
        <v>880</v>
      </c>
      <c r="B100" s="1570" t="s">
        <v>738</v>
      </c>
      <c r="C100" s="1652" t="s">
        <v>674</v>
      </c>
      <c r="D100" s="1538"/>
      <c r="E100" s="1538"/>
      <c r="F100" s="1538"/>
      <c r="G100" s="1538"/>
      <c r="H100" s="1538"/>
      <c r="I100" s="1538"/>
      <c r="J100" s="1538"/>
      <c r="K100" s="1538"/>
      <c r="L100" s="1654"/>
      <c r="M100" s="1654"/>
      <c r="N100" s="1654"/>
      <c r="O100" s="1654"/>
      <c r="P100" s="1654"/>
      <c r="Q100" s="1653"/>
      <c r="R100" s="1653"/>
      <c r="S100" s="1653"/>
      <c r="T100" s="1653"/>
      <c r="U100" s="1538"/>
      <c r="V100" s="1538"/>
      <c r="W100" s="1566"/>
      <c r="X100" s="2920"/>
      <c r="Y100" s="2961"/>
      <c r="Z100" s="2961"/>
    </row>
    <row r="101" spans="1:28" s="1565" customFormat="1">
      <c r="A101" s="1569" t="s">
        <v>881</v>
      </c>
      <c r="B101" s="1570" t="s">
        <v>739</v>
      </c>
      <c r="C101" s="1652" t="s">
        <v>675</v>
      </c>
      <c r="D101" s="1538"/>
      <c r="E101" s="1538"/>
      <c r="F101" s="1538"/>
      <c r="G101" s="1538"/>
      <c r="H101" s="1538"/>
      <c r="I101" s="1538"/>
      <c r="J101" s="1538"/>
      <c r="K101" s="1538"/>
      <c r="L101" s="1538"/>
      <c r="M101" s="1538"/>
      <c r="N101" s="1538"/>
      <c r="O101" s="1538"/>
      <c r="P101" s="1538"/>
      <c r="Q101" s="1538"/>
      <c r="R101" s="1538"/>
      <c r="S101" s="1538"/>
      <c r="T101" s="1538"/>
      <c r="U101" s="1538"/>
      <c r="V101" s="1538"/>
      <c r="W101" s="1566"/>
      <c r="X101" s="2920"/>
      <c r="Y101" s="2920"/>
      <c r="Z101" s="2920"/>
    </row>
    <row r="102" spans="1:28" s="1565" customFormat="1">
      <c r="A102" s="1569" t="s">
        <v>882</v>
      </c>
      <c r="B102" s="1570" t="s">
        <v>740</v>
      </c>
      <c r="C102" s="1652" t="s">
        <v>676</v>
      </c>
      <c r="D102" s="1538" t="str">
        <f t="shared" ref="D102:H102" si="10">IF(Region="Bay Area","Bay Area location","")</f>
        <v/>
      </c>
      <c r="E102" s="1538" t="str">
        <f t="shared" si="10"/>
        <v/>
      </c>
      <c r="F102" s="1538" t="str">
        <f t="shared" si="10"/>
        <v/>
      </c>
      <c r="G102" s="1538" t="str">
        <f t="shared" si="10"/>
        <v/>
      </c>
      <c r="H102" s="1538" t="str">
        <f t="shared" si="10"/>
        <v/>
      </c>
      <c r="I102" s="1538"/>
      <c r="J102" s="1538"/>
      <c r="K102" s="1538"/>
      <c r="L102" s="1538"/>
      <c r="M102" s="1538"/>
      <c r="N102" s="1538"/>
      <c r="O102" s="1538"/>
      <c r="P102" s="1538"/>
      <c r="Q102" s="1538"/>
      <c r="R102" s="1538"/>
      <c r="S102" s="1538"/>
      <c r="T102" s="1538"/>
      <c r="U102" s="1538"/>
      <c r="V102" s="1538"/>
      <c r="W102" s="1566"/>
      <c r="X102" s="2920"/>
      <c r="Y102" s="2920"/>
      <c r="Z102" s="2920"/>
    </row>
    <row r="103" spans="1:28" s="1565" customFormat="1">
      <c r="A103" s="1569" t="s">
        <v>883</v>
      </c>
      <c r="B103" s="1570" t="s">
        <v>741</v>
      </c>
      <c r="C103" s="1652" t="s">
        <v>677</v>
      </c>
      <c r="D103" s="1538"/>
      <c r="E103" s="1538"/>
      <c r="F103" s="1538"/>
      <c r="G103" s="1538"/>
      <c r="H103" s="1538"/>
      <c r="I103" s="1538"/>
      <c r="J103" s="1538"/>
      <c r="K103" s="1538"/>
      <c r="L103" s="1538"/>
      <c r="M103" s="1538"/>
      <c r="N103" s="1538"/>
      <c r="O103" s="1538"/>
      <c r="P103" s="1538"/>
      <c r="Q103" s="1538"/>
      <c r="R103" s="1538"/>
      <c r="S103" s="1538"/>
      <c r="T103" s="1538"/>
      <c r="U103" s="1538"/>
      <c r="V103" s="1538"/>
      <c r="W103" s="1566"/>
      <c r="X103" s="2920"/>
      <c r="Y103" s="2920"/>
      <c r="Z103" s="2920"/>
    </row>
    <row r="104" spans="1:28" s="1659" customFormat="1">
      <c r="A104" s="1655"/>
      <c r="B104" s="1656"/>
      <c r="C104" s="1657" t="s">
        <v>1394</v>
      </c>
      <c r="D104" s="2969"/>
      <c r="E104" s="2969"/>
      <c r="F104" s="2969"/>
      <c r="G104" s="2969"/>
      <c r="H104" s="2969"/>
      <c r="I104" s="2969"/>
      <c r="J104" s="2969"/>
      <c r="K104" s="2969"/>
      <c r="L104" s="2969"/>
      <c r="M104" s="2969"/>
      <c r="N104" s="2969"/>
      <c r="O104" s="2969"/>
      <c r="P104" s="2969"/>
      <c r="Q104" s="2969"/>
      <c r="R104" s="2969"/>
      <c r="S104" s="2969"/>
      <c r="T104" s="2969"/>
      <c r="U104" s="2969"/>
      <c r="V104" s="2969"/>
      <c r="W104" s="1660"/>
      <c r="X104" s="4246"/>
      <c r="Y104" s="4246"/>
      <c r="Z104" s="4246"/>
    </row>
    <row r="105" spans="1:28" s="1659" customFormat="1">
      <c r="A105" s="1661" t="s">
        <v>1402</v>
      </c>
      <c r="B105" s="1655"/>
      <c r="C105" s="1662" t="s">
        <v>1401</v>
      </c>
      <c r="D105" s="2969"/>
      <c r="E105" s="2969"/>
      <c r="F105" s="2969"/>
      <c r="G105" s="2969"/>
      <c r="H105" s="2969"/>
      <c r="I105" s="2969"/>
      <c r="J105" s="2969"/>
      <c r="K105" s="2969"/>
      <c r="L105" s="2969"/>
      <c r="M105" s="2969"/>
      <c r="N105" s="2969"/>
      <c r="O105" s="2969"/>
      <c r="P105" s="2969"/>
      <c r="Q105" s="2969"/>
      <c r="R105" s="2969"/>
      <c r="S105" s="2969"/>
      <c r="T105" s="2969"/>
      <c r="U105" s="2969"/>
      <c r="V105" s="2969"/>
      <c r="W105" s="1660"/>
      <c r="X105" s="4246"/>
      <c r="Y105" s="4246"/>
      <c r="Z105" s="4246"/>
    </row>
    <row r="106" spans="1:28" s="1565" customFormat="1">
      <c r="A106" s="1569"/>
      <c r="B106" s="1570"/>
      <c r="C106" s="1547" t="s">
        <v>402</v>
      </c>
      <c r="D106" s="1538"/>
      <c r="E106" s="1538"/>
      <c r="F106" s="1538"/>
      <c r="G106" s="1538"/>
      <c r="H106" s="2969"/>
      <c r="I106" s="1538"/>
      <c r="J106" s="1538"/>
      <c r="K106" s="1538"/>
      <c r="L106" s="1538"/>
      <c r="M106" s="1538"/>
      <c r="N106" s="1538"/>
      <c r="O106" s="1538"/>
      <c r="P106" s="1538"/>
      <c r="Q106" s="1538"/>
      <c r="R106" s="1538"/>
      <c r="S106" s="1538"/>
      <c r="T106" s="1538"/>
      <c r="U106" s="1538"/>
      <c r="V106" s="1538"/>
      <c r="W106" s="1566"/>
      <c r="X106" s="2920"/>
      <c r="Y106" s="2920"/>
      <c r="Z106" s="2920"/>
    </row>
    <row r="107" spans="1:28" s="1565" customFormat="1">
      <c r="A107" s="1569"/>
      <c r="B107" s="1570"/>
      <c r="C107" s="1547" t="s">
        <v>437</v>
      </c>
      <c r="D107" s="1538"/>
      <c r="E107" s="1538"/>
      <c r="F107" s="1538"/>
      <c r="G107" s="1538"/>
      <c r="H107" s="1538"/>
      <c r="I107" s="1538"/>
      <c r="J107" s="1538"/>
      <c r="K107" s="1538"/>
      <c r="L107" s="1538"/>
      <c r="M107" s="1538"/>
      <c r="N107" s="1538"/>
      <c r="O107" s="1538"/>
      <c r="P107" s="1538"/>
      <c r="Q107" s="1538"/>
      <c r="R107" s="1538"/>
      <c r="S107" s="1538"/>
      <c r="T107" s="1538"/>
      <c r="U107" s="1538"/>
      <c r="V107" s="1538"/>
      <c r="W107" s="1566"/>
      <c r="X107" s="2920"/>
      <c r="Y107" s="2920"/>
      <c r="Z107" s="2920"/>
    </row>
    <row r="108" spans="1:28" s="1565" customFormat="1" ht="14.25">
      <c r="A108" s="1569" t="s">
        <v>823</v>
      </c>
      <c r="B108" s="1570" t="s">
        <v>742</v>
      </c>
      <c r="C108" s="1548" t="s">
        <v>438</v>
      </c>
      <c r="D108" s="1538"/>
      <c r="E108" s="1538"/>
      <c r="F108" s="1538"/>
      <c r="G108" s="1538"/>
      <c r="H108" s="1538"/>
      <c r="I108" s="1538"/>
      <c r="J108" s="1737"/>
      <c r="K108" s="1646"/>
      <c r="L108" s="1538"/>
      <c r="M108" s="1538"/>
      <c r="N108" s="1538"/>
      <c r="O108" s="1538"/>
      <c r="P108" s="1538"/>
      <c r="Q108" s="1538"/>
      <c r="R108" s="1538"/>
      <c r="S108" s="1538"/>
      <c r="T108" s="1538"/>
      <c r="U108" s="4121"/>
      <c r="V108" s="4121"/>
      <c r="W108" s="1663"/>
      <c r="X108" s="2942"/>
      <c r="Y108" s="2920"/>
      <c r="Z108" s="2920"/>
    </row>
    <row r="109" spans="1:28" s="1565" customFormat="1">
      <c r="A109" s="1569" t="s">
        <v>824</v>
      </c>
      <c r="B109" s="1570" t="s">
        <v>743</v>
      </c>
      <c r="C109" s="1548" t="s">
        <v>441</v>
      </c>
      <c r="D109" s="2969">
        <v>3.5000000000000003E-2</v>
      </c>
      <c r="E109" s="2969">
        <v>3.5000000000000003E-2</v>
      </c>
      <c r="F109" s="2969">
        <v>3.5000000000000003E-2</v>
      </c>
      <c r="G109" s="2969">
        <v>3.5000000000000003E-2</v>
      </c>
      <c r="H109" s="2969">
        <v>3.5000000000000003E-2</v>
      </c>
      <c r="I109" s="2969">
        <v>3.5000000000000003E-2</v>
      </c>
      <c r="J109" s="2969">
        <v>3.5000000000000003E-2</v>
      </c>
      <c r="K109" s="2969">
        <v>3.5000000000000003E-2</v>
      </c>
      <c r="L109" s="2969">
        <v>3.5000000000000003E-2</v>
      </c>
      <c r="M109" s="2969">
        <v>3.5000000000000003E-2</v>
      </c>
      <c r="N109" s="2969">
        <v>3.5000000000000003E-2</v>
      </c>
      <c r="O109" s="2969">
        <v>3.5000000000000003E-2</v>
      </c>
      <c r="P109" s="2969">
        <v>3.5000000000000003E-2</v>
      </c>
      <c r="Q109" s="2969">
        <v>3.5000000000000003E-2</v>
      </c>
      <c r="R109" s="2969">
        <v>3.5000000000000003E-2</v>
      </c>
      <c r="S109" s="2969">
        <v>3.5000000000000003E-2</v>
      </c>
      <c r="T109" s="2969">
        <v>3.5000000000000003E-2</v>
      </c>
      <c r="U109" s="2969">
        <v>3.5000000000000003E-2</v>
      </c>
      <c r="V109" s="2969">
        <v>3.5000000000000003E-2</v>
      </c>
      <c r="W109" s="1641"/>
      <c r="X109" s="2937"/>
      <c r="Y109" s="2937"/>
      <c r="Z109" s="2937"/>
    </row>
    <row r="110" spans="1:28" s="1565" customFormat="1">
      <c r="A110" s="1569" t="s">
        <v>825</v>
      </c>
      <c r="B110" s="1570" t="s">
        <v>744</v>
      </c>
      <c r="C110" s="1548" t="s">
        <v>439</v>
      </c>
      <c r="D110" s="1538"/>
      <c r="E110" s="1538"/>
      <c r="F110" s="1538"/>
      <c r="G110" s="1538"/>
      <c r="H110" s="1538"/>
      <c r="I110" s="1538"/>
      <c r="J110" s="1538"/>
      <c r="K110" s="1538"/>
      <c r="L110" s="1538"/>
      <c r="M110" s="1538"/>
      <c r="N110" s="1538"/>
      <c r="O110" s="1538"/>
      <c r="P110" s="1538"/>
      <c r="Q110" s="1538"/>
      <c r="R110" s="1538"/>
      <c r="S110" s="1538"/>
      <c r="T110" s="1538"/>
      <c r="U110" s="1538"/>
      <c r="V110" s="1538"/>
      <c r="W110" s="1566"/>
      <c r="X110" s="2920"/>
      <c r="Y110" s="2920"/>
      <c r="Z110" s="2920"/>
    </row>
    <row r="111" spans="1:28" s="2331" customFormat="1">
      <c r="A111" s="907" t="s">
        <v>1673</v>
      </c>
      <c r="B111" s="908"/>
      <c r="C111" s="905" t="s">
        <v>1669</v>
      </c>
      <c r="D111" s="2969">
        <v>3.5000000000000003E-2</v>
      </c>
      <c r="E111" s="2969">
        <v>3.5000000000000003E-2</v>
      </c>
      <c r="F111" s="2969">
        <v>3.5000000000000003E-2</v>
      </c>
      <c r="G111" s="2969">
        <v>3.5000000000000003E-2</v>
      </c>
      <c r="H111" s="2969">
        <v>3.5000000000000003E-2</v>
      </c>
      <c r="I111" s="2969">
        <v>3.5000000000000003E-2</v>
      </c>
      <c r="J111" s="2969">
        <v>3.5000000000000003E-2</v>
      </c>
      <c r="K111" s="2969">
        <v>3.5000000000000003E-2</v>
      </c>
      <c r="L111" s="2969">
        <v>3.5000000000000003E-2</v>
      </c>
      <c r="M111" s="2969">
        <v>3.5000000000000003E-2</v>
      </c>
      <c r="N111" s="2969">
        <v>3.5000000000000003E-2</v>
      </c>
      <c r="O111" s="2969">
        <v>3.5000000000000003E-2</v>
      </c>
      <c r="P111" s="2969">
        <v>3.5000000000000003E-2</v>
      </c>
      <c r="Q111" s="2969">
        <v>3.5000000000000003E-2</v>
      </c>
      <c r="R111" s="2969">
        <v>3.5000000000000003E-2</v>
      </c>
      <c r="S111" s="2969">
        <v>3.5000000000000003E-2</v>
      </c>
      <c r="T111" s="2969">
        <v>3.5000000000000003E-2</v>
      </c>
      <c r="U111" s="2969">
        <v>3.5000000000000003E-2</v>
      </c>
      <c r="V111" s="2969">
        <v>3.5000000000000003E-2</v>
      </c>
      <c r="W111" s="2335"/>
      <c r="X111" s="2937"/>
      <c r="Y111" s="2937"/>
      <c r="Z111" s="2937"/>
      <c r="AB111" s="2335"/>
    </row>
    <row r="112" spans="1:28" s="1565" customFormat="1">
      <c r="A112" s="1569"/>
      <c r="B112" s="1570"/>
      <c r="C112" s="1547" t="s">
        <v>1324</v>
      </c>
      <c r="D112" s="1924">
        <f>(D114*D116)/D7/1000</f>
        <v>21.643286573146291</v>
      </c>
      <c r="E112" s="1924">
        <f t="shared" ref="E112:V112" si="11">(E114*E116)/E7/1000</f>
        <v>10.8</v>
      </c>
      <c r="F112" s="1924">
        <f t="shared" si="11"/>
        <v>5.4</v>
      </c>
      <c r="G112" s="1924">
        <f t="shared" si="11"/>
        <v>9.25</v>
      </c>
      <c r="H112" s="1924">
        <f t="shared" si="11"/>
        <v>8.4090909090909101</v>
      </c>
      <c r="I112" s="1924">
        <f t="shared" si="11"/>
        <v>105.6</v>
      </c>
      <c r="J112" s="1924">
        <f t="shared" si="11"/>
        <v>198</v>
      </c>
      <c r="K112" s="1924">
        <f t="shared" si="11"/>
        <v>198</v>
      </c>
      <c r="L112" s="1924">
        <f t="shared" si="11"/>
        <v>90.9</v>
      </c>
      <c r="M112" s="1924">
        <f t="shared" si="11"/>
        <v>90.9</v>
      </c>
      <c r="N112" s="1924">
        <f t="shared" si="11"/>
        <v>90.9</v>
      </c>
      <c r="O112" s="1924">
        <f t="shared" si="11"/>
        <v>90.9</v>
      </c>
      <c r="P112" s="1924">
        <f t="shared" si="11"/>
        <v>90.9</v>
      </c>
      <c r="Q112" s="1924">
        <f t="shared" si="11"/>
        <v>90.9</v>
      </c>
      <c r="R112" s="1924">
        <f t="shared" si="11"/>
        <v>90.9</v>
      </c>
      <c r="S112" s="1924">
        <f t="shared" si="11"/>
        <v>90.9</v>
      </c>
      <c r="T112" s="1924">
        <f t="shared" si="11"/>
        <v>90.9</v>
      </c>
      <c r="U112" s="1924">
        <f t="shared" si="11"/>
        <v>400</v>
      </c>
      <c r="V112" s="1924">
        <f t="shared" si="11"/>
        <v>400</v>
      </c>
      <c r="W112" s="1566"/>
      <c r="X112" s="2920"/>
      <c r="Y112" s="2920"/>
      <c r="Z112" s="2920"/>
    </row>
    <row r="113" spans="1:26" s="1565" customFormat="1">
      <c r="A113" s="1569" t="s">
        <v>826</v>
      </c>
      <c r="B113" s="1570" t="s">
        <v>745</v>
      </c>
      <c r="C113" s="1652" t="s">
        <v>442</v>
      </c>
      <c r="D113" s="1538"/>
      <c r="E113" s="1538"/>
      <c r="F113" s="1538"/>
      <c r="G113" s="1538"/>
      <c r="H113" s="1538"/>
      <c r="I113" s="1538">
        <f>I114/I7</f>
        <v>3.2</v>
      </c>
      <c r="J113" s="1665">
        <v>6</v>
      </c>
      <c r="K113" s="1665">
        <v>6</v>
      </c>
      <c r="L113" s="1665">
        <v>9.09</v>
      </c>
      <c r="M113" s="1665">
        <v>9.09</v>
      </c>
      <c r="N113" s="1665">
        <v>9.09</v>
      </c>
      <c r="O113" s="1665">
        <v>9.09</v>
      </c>
      <c r="P113" s="1665">
        <v>9.09</v>
      </c>
      <c r="Q113" s="1665">
        <v>9.09</v>
      </c>
      <c r="R113" s="1665">
        <v>9.09</v>
      </c>
      <c r="S113" s="1665">
        <v>9.09</v>
      </c>
      <c r="T113" s="1665">
        <v>9.09</v>
      </c>
      <c r="U113" s="1538">
        <v>40</v>
      </c>
      <c r="V113" s="1538">
        <v>40</v>
      </c>
      <c r="W113" s="1566"/>
      <c r="X113" s="2920"/>
      <c r="Y113" s="2920"/>
      <c r="Z113" s="2920"/>
    </row>
    <row r="114" spans="1:26" s="1565" customFormat="1">
      <c r="A114" s="1569" t="s">
        <v>827</v>
      </c>
      <c r="B114" s="1664" t="s">
        <v>746</v>
      </c>
      <c r="C114" s="1652" t="s">
        <v>329</v>
      </c>
      <c r="D114" s="1665">
        <v>8</v>
      </c>
      <c r="E114" s="1665">
        <v>8</v>
      </c>
      <c r="F114" s="1665">
        <v>8</v>
      </c>
      <c r="G114" s="1665">
        <v>25</v>
      </c>
      <c r="H114" s="1665">
        <v>25</v>
      </c>
      <c r="I114" s="1538">
        <f>ROUND(80/25*I7,0)</f>
        <v>160</v>
      </c>
      <c r="J114" s="1665">
        <f t="shared" ref="J114:V114" si="12">J113*J7</f>
        <v>180</v>
      </c>
      <c r="K114" s="1665">
        <f t="shared" si="12"/>
        <v>180</v>
      </c>
      <c r="L114" s="1665">
        <f t="shared" si="12"/>
        <v>2272.5</v>
      </c>
      <c r="M114" s="1665">
        <f t="shared" si="12"/>
        <v>2272.5</v>
      </c>
      <c r="N114" s="1665">
        <f t="shared" si="12"/>
        <v>909</v>
      </c>
      <c r="O114" s="1665">
        <f t="shared" si="12"/>
        <v>909</v>
      </c>
      <c r="P114" s="1665">
        <f t="shared" si="12"/>
        <v>909</v>
      </c>
      <c r="Q114" s="1665">
        <f t="shared" si="12"/>
        <v>909</v>
      </c>
      <c r="R114" s="1665">
        <f t="shared" si="12"/>
        <v>909</v>
      </c>
      <c r="S114" s="1665">
        <f>S113*S7</f>
        <v>181.8</v>
      </c>
      <c r="T114" s="1665">
        <f>T113*T7</f>
        <v>181.8</v>
      </c>
      <c r="U114" s="1665">
        <f t="shared" si="12"/>
        <v>4000</v>
      </c>
      <c r="V114" s="1665">
        <f t="shared" si="12"/>
        <v>4000</v>
      </c>
      <c r="W114" s="1607"/>
      <c r="X114" s="2943"/>
      <c r="Y114" s="2943"/>
      <c r="Z114" s="2943"/>
    </row>
    <row r="115" spans="1:26" s="1565" customFormat="1">
      <c r="A115" s="1569" t="s">
        <v>831</v>
      </c>
      <c r="B115" s="1570" t="s">
        <v>747</v>
      </c>
      <c r="C115" s="1652" t="s">
        <v>460</v>
      </c>
      <c r="D115" s="1538"/>
      <c r="E115" s="1538"/>
      <c r="F115" s="1538"/>
      <c r="G115" s="1538"/>
      <c r="H115" s="1538"/>
      <c r="I115" s="1538"/>
      <c r="J115" s="1538"/>
      <c r="K115" s="1538"/>
      <c r="L115" s="1538"/>
      <c r="M115" s="1538"/>
      <c r="N115" s="1538"/>
      <c r="O115" s="1538"/>
      <c r="P115" s="1538"/>
      <c r="Q115" s="1538"/>
      <c r="R115" s="1538"/>
      <c r="S115" s="1538"/>
      <c r="T115" s="1538"/>
      <c r="U115" s="1538"/>
      <c r="V115" s="1538"/>
      <c r="W115" s="1566"/>
      <c r="X115" s="2920"/>
      <c r="Y115" s="2920"/>
      <c r="Z115" s="2920"/>
    </row>
    <row r="116" spans="1:26" s="1565" customFormat="1" ht="14.25">
      <c r="A116" s="1569" t="s">
        <v>832</v>
      </c>
      <c r="B116" s="1570" t="s">
        <v>748</v>
      </c>
      <c r="C116" s="1666" t="s">
        <v>330</v>
      </c>
      <c r="D116" s="4157">
        <v>135000</v>
      </c>
      <c r="E116" s="4157">
        <v>135000</v>
      </c>
      <c r="F116" s="4157">
        <v>135000</v>
      </c>
      <c r="G116" s="4157">
        <v>185000</v>
      </c>
      <c r="H116" s="4157">
        <v>185000</v>
      </c>
      <c r="I116" s="4122">
        <f t="shared" ref="I116:K116" si="13">ROUND(30000+(29700*0.03*(StartYr-2010)),-3)</f>
        <v>33000</v>
      </c>
      <c r="J116" s="4122">
        <f t="shared" si="13"/>
        <v>33000</v>
      </c>
      <c r="K116" s="4122">
        <f t="shared" si="13"/>
        <v>33000</v>
      </c>
      <c r="L116" s="4122">
        <v>10000</v>
      </c>
      <c r="M116" s="4122">
        <v>10000</v>
      </c>
      <c r="N116" s="4122">
        <v>10000</v>
      </c>
      <c r="O116" s="4122">
        <v>10000</v>
      </c>
      <c r="P116" s="4122">
        <v>10000</v>
      </c>
      <c r="Q116" s="4122">
        <v>10000</v>
      </c>
      <c r="R116" s="4122">
        <v>10000</v>
      </c>
      <c r="S116" s="4122">
        <v>10000</v>
      </c>
      <c r="T116" s="4122">
        <v>10000</v>
      </c>
      <c r="U116" s="4122">
        <v>10000</v>
      </c>
      <c r="V116" s="4122">
        <v>10000</v>
      </c>
      <c r="W116" s="1668"/>
      <c r="X116" s="2933"/>
      <c r="Y116" s="2933"/>
      <c r="Z116" s="2933"/>
    </row>
    <row r="117" spans="1:26" s="1565" customFormat="1">
      <c r="A117" s="1569" t="s">
        <v>833</v>
      </c>
      <c r="B117" s="1669" t="s">
        <v>749</v>
      </c>
      <c r="C117" s="1666" t="s">
        <v>1325</v>
      </c>
      <c r="D117" s="1618"/>
      <c r="E117" s="1618"/>
      <c r="F117" s="1618"/>
      <c r="G117" s="1618"/>
      <c r="H117" s="1618"/>
      <c r="I117" s="1617"/>
      <c r="J117" s="1618"/>
      <c r="K117" s="1618"/>
      <c r="L117" s="1618"/>
      <c r="M117" s="1618"/>
      <c r="N117" s="1618"/>
      <c r="O117" s="1618"/>
      <c r="P117" s="1618"/>
      <c r="Q117" s="1618"/>
      <c r="R117" s="1618"/>
      <c r="S117" s="1618"/>
      <c r="T117" s="1618"/>
      <c r="U117" s="1618"/>
      <c r="V117" s="1618"/>
      <c r="W117" s="1668"/>
      <c r="X117" s="2933"/>
      <c r="Y117" s="2933"/>
      <c r="Z117" s="2933"/>
    </row>
    <row r="118" spans="1:26" s="1565" customFormat="1">
      <c r="A118" s="1569"/>
      <c r="B118" s="1570"/>
      <c r="C118" s="1547" t="s">
        <v>1327</v>
      </c>
      <c r="D118" s="1538"/>
      <c r="E118" s="1538"/>
      <c r="F118" s="1538"/>
      <c r="G118" s="1538"/>
      <c r="H118" s="1538"/>
      <c r="I118" s="3476"/>
      <c r="J118" s="3476"/>
      <c r="K118" s="3476"/>
      <c r="L118" s="3476"/>
      <c r="M118" s="3476"/>
      <c r="N118" s="3476"/>
      <c r="O118" s="3476"/>
      <c r="P118" s="3476"/>
      <c r="Q118" s="3833"/>
      <c r="R118" s="3833"/>
      <c r="S118" s="3833"/>
      <c r="T118" s="3833"/>
      <c r="U118" s="3833"/>
      <c r="V118" s="3833"/>
      <c r="W118" s="1566"/>
      <c r="X118" s="2920"/>
      <c r="Y118" s="2920"/>
      <c r="Z118" s="2920"/>
    </row>
    <row r="119" spans="1:26" s="1565" customFormat="1">
      <c r="A119" s="1569" t="s">
        <v>834</v>
      </c>
      <c r="B119" s="1570" t="s">
        <v>750</v>
      </c>
      <c r="C119" s="1548" t="s">
        <v>332</v>
      </c>
      <c r="D119" s="1538"/>
      <c r="E119" s="1538"/>
      <c r="F119" s="1538"/>
      <c r="G119" s="1538"/>
      <c r="H119" s="1538"/>
      <c r="I119" s="3476">
        <v>1500000</v>
      </c>
      <c r="J119" s="3476">
        <v>3000000</v>
      </c>
      <c r="K119" s="3476">
        <v>3000000</v>
      </c>
      <c r="L119" s="3476"/>
      <c r="M119" s="3476"/>
      <c r="N119" s="3476"/>
      <c r="O119" s="3476"/>
      <c r="P119" s="3476"/>
      <c r="Q119" s="3833"/>
      <c r="R119" s="3833"/>
      <c r="S119" s="3833"/>
      <c r="T119" s="3833"/>
      <c r="U119" s="3833">
        <v>1500000</v>
      </c>
      <c r="V119" s="3833">
        <v>1500000</v>
      </c>
      <c r="W119" s="1566"/>
      <c r="X119" s="2920"/>
      <c r="Y119" s="2920"/>
      <c r="Z119" s="2920"/>
    </row>
    <row r="120" spans="1:26" s="1565" customFormat="1" ht="14.25">
      <c r="A120" s="1569" t="s">
        <v>835</v>
      </c>
      <c r="B120" s="1570" t="s">
        <v>751</v>
      </c>
      <c r="C120" s="1548" t="s">
        <v>1328</v>
      </c>
      <c r="D120" s="4157">
        <f>88.05*D7*1000</f>
        <v>4393695</v>
      </c>
      <c r="E120" s="4157">
        <f>88.05*E7*1000</f>
        <v>8805000</v>
      </c>
      <c r="F120" s="4157">
        <f>88.05*F7*1000</f>
        <v>17610000</v>
      </c>
      <c r="G120" s="4157">
        <f>59.22*G7*1000</f>
        <v>29610000</v>
      </c>
      <c r="H120" s="4157">
        <f>59.22*H7*1000</f>
        <v>32571000</v>
      </c>
      <c r="I120" s="1538"/>
      <c r="J120" s="1538"/>
      <c r="K120" s="1538"/>
      <c r="L120" s="1618">
        <f>12000*L114</f>
        <v>27270000</v>
      </c>
      <c r="M120" s="1618">
        <f t="shared" ref="M120:O120" si="14">12000*M114</f>
        <v>27270000</v>
      </c>
      <c r="N120" s="1618">
        <f t="shared" si="14"/>
        <v>10908000</v>
      </c>
      <c r="O120" s="1618">
        <f t="shared" si="14"/>
        <v>10908000</v>
      </c>
      <c r="P120" s="1618">
        <f>12000*P114</f>
        <v>10908000</v>
      </c>
      <c r="Q120" s="1618">
        <f t="shared" ref="Q120:R120" si="15">12000*Q114</f>
        <v>10908000</v>
      </c>
      <c r="R120" s="1618">
        <f t="shared" si="15"/>
        <v>10908000</v>
      </c>
      <c r="S120" s="1618">
        <f>12000*S114</f>
        <v>2181600</v>
      </c>
      <c r="T120" s="1618">
        <f>12000*T114</f>
        <v>2181600</v>
      </c>
      <c r="U120" s="1618"/>
      <c r="V120" s="1618"/>
      <c r="W120" s="1566"/>
      <c r="X120" s="2920"/>
      <c r="Y120" s="2920"/>
      <c r="Z120" s="2920"/>
    </row>
    <row r="121" spans="1:26" s="1565" customFormat="1">
      <c r="A121" s="1569"/>
      <c r="B121" s="1570"/>
      <c r="C121" s="1547" t="s">
        <v>1329</v>
      </c>
      <c r="D121" s="1538"/>
      <c r="E121" s="1538"/>
      <c r="F121" s="1538"/>
      <c r="G121" s="1538"/>
      <c r="H121" s="1538"/>
      <c r="I121" s="1538"/>
      <c r="J121" s="1538"/>
      <c r="K121" s="1538"/>
      <c r="L121" s="1538"/>
      <c r="M121" s="1538"/>
      <c r="N121" s="1538"/>
      <c r="O121" s="1538"/>
      <c r="P121" s="1538"/>
      <c r="Q121" s="1538"/>
      <c r="R121" s="1538"/>
      <c r="S121" s="1538"/>
      <c r="T121" s="1538"/>
      <c r="U121" s="1538"/>
      <c r="V121" s="1538"/>
      <c r="W121" s="1566"/>
      <c r="X121" s="2920"/>
      <c r="Y121" s="2920"/>
      <c r="Z121" s="2920"/>
    </row>
    <row r="122" spans="1:26" s="1565" customFormat="1" ht="14.25">
      <c r="A122" s="1545" t="s">
        <v>914</v>
      </c>
      <c r="B122" s="1669" t="s">
        <v>752</v>
      </c>
      <c r="C122" s="1548" t="s">
        <v>912</v>
      </c>
      <c r="D122" s="1640">
        <f>Transmission!M36*1000</f>
        <v>20086500</v>
      </c>
      <c r="E122" s="1640">
        <f>Transmission!N36*1000</f>
        <v>21595500</v>
      </c>
      <c r="F122" s="1640">
        <f>Transmission!O36*1000</f>
        <v>67569000</v>
      </c>
      <c r="G122" s="1640">
        <f>Transmission!P36*1000</f>
        <v>67569000</v>
      </c>
      <c r="H122" s="1640">
        <f>Transmission!Q36*1000</f>
        <v>70344000</v>
      </c>
      <c r="I122" s="1640">
        <f>Transmission!R36*1000</f>
        <v>20086500</v>
      </c>
      <c r="J122" s="1640">
        <f>Transmission!S36*1000</f>
        <v>20086500</v>
      </c>
      <c r="K122" s="1640">
        <f>Transmission!T36*1000</f>
        <v>20086500</v>
      </c>
      <c r="L122" s="1640">
        <f>Transmission!U36*1000</f>
        <v>67569000</v>
      </c>
      <c r="M122" s="1640">
        <f>Transmission!V36*1000</f>
        <v>67569000</v>
      </c>
      <c r="N122" s="1640">
        <f>Transmission!W36*1000</f>
        <v>21595500</v>
      </c>
      <c r="O122" s="1640">
        <f>Transmission!X36*1000</f>
        <v>21595500</v>
      </c>
      <c r="P122" s="1640">
        <f>Transmission!Y36*1000</f>
        <v>21595500</v>
      </c>
      <c r="Q122" s="1640">
        <f>Transmission!Z36*1000</f>
        <v>21595500</v>
      </c>
      <c r="R122" s="1640">
        <f>Transmission!AA36*1000</f>
        <v>21595500</v>
      </c>
      <c r="S122" s="1640">
        <f>Transmission!AB36*1000</f>
        <v>20086500</v>
      </c>
      <c r="T122" s="1640">
        <f>Transmission!AC36*1000</f>
        <v>20086500</v>
      </c>
      <c r="U122" s="1640">
        <f>Transmission!AD36*1000</f>
        <v>21595500</v>
      </c>
      <c r="V122" s="1640">
        <f>Transmission!AE36*1000</f>
        <v>21595500</v>
      </c>
      <c r="W122" s="1670"/>
      <c r="X122" s="2944"/>
      <c r="Y122" s="2920"/>
      <c r="Z122" s="2920"/>
    </row>
    <row r="123" spans="1:26" s="1565" customFormat="1">
      <c r="A123" s="1569" t="s">
        <v>917</v>
      </c>
      <c r="B123" s="1669" t="s">
        <v>753</v>
      </c>
      <c r="C123" s="1548" t="s">
        <v>915</v>
      </c>
      <c r="D123" s="1538"/>
      <c r="E123" s="1538"/>
      <c r="F123" s="1538"/>
      <c r="G123" s="1538"/>
      <c r="H123" s="1538"/>
      <c r="I123" s="1538"/>
      <c r="J123" s="1538"/>
      <c r="K123" s="1538"/>
      <c r="L123" s="1538"/>
      <c r="M123" s="1538"/>
      <c r="N123" s="1538"/>
      <c r="O123" s="1538"/>
      <c r="P123" s="1538"/>
      <c r="Q123" s="1538"/>
      <c r="R123" s="1538"/>
      <c r="S123" s="1538"/>
      <c r="T123" s="1538"/>
      <c r="U123" s="1538"/>
      <c r="V123" s="1538"/>
      <c r="W123" s="1566"/>
      <c r="X123" s="2920"/>
      <c r="Y123" s="2920"/>
      <c r="Z123" s="2920"/>
    </row>
    <row r="124" spans="1:26" s="1565" customFormat="1">
      <c r="A124" s="1569" t="s">
        <v>918</v>
      </c>
      <c r="B124" s="1570" t="s">
        <v>754</v>
      </c>
      <c r="C124" s="1548" t="s">
        <v>913</v>
      </c>
      <c r="D124" s="1538"/>
      <c r="E124" s="1538"/>
      <c r="F124" s="1538"/>
      <c r="G124" s="1538"/>
      <c r="H124" s="1538"/>
      <c r="I124" s="1538"/>
      <c r="J124" s="1538"/>
      <c r="K124" s="1538"/>
      <c r="L124" s="1538"/>
      <c r="M124" s="1538"/>
      <c r="N124" s="1538"/>
      <c r="O124" s="1538"/>
      <c r="P124" s="1538"/>
      <c r="Q124" s="1538"/>
      <c r="R124" s="1538"/>
      <c r="S124" s="1538"/>
      <c r="T124" s="1538"/>
      <c r="U124" s="1538"/>
      <c r="V124" s="1538"/>
      <c r="W124" s="1566"/>
      <c r="X124" s="2920"/>
      <c r="Y124" s="2920"/>
      <c r="Z124" s="2920"/>
    </row>
    <row r="125" spans="1:26" s="1565" customFormat="1">
      <c r="A125" s="1671"/>
      <c r="B125" s="1672" t="s">
        <v>756</v>
      </c>
      <c r="C125" s="1673"/>
      <c r="D125" s="1538"/>
      <c r="E125" s="1538"/>
      <c r="F125" s="1538"/>
      <c r="G125" s="1538"/>
      <c r="H125" s="1538"/>
      <c r="I125" s="1538"/>
      <c r="J125" s="1538"/>
      <c r="K125" s="1538"/>
      <c r="L125" s="1538"/>
      <c r="M125" s="1538"/>
      <c r="N125" s="1538"/>
      <c r="O125" s="1538"/>
      <c r="P125" s="1538"/>
      <c r="Q125" s="1538"/>
      <c r="R125" s="1538"/>
      <c r="S125" s="1538"/>
      <c r="T125" s="1538"/>
      <c r="U125" s="1538"/>
      <c r="V125" s="1538"/>
      <c r="W125" s="1566"/>
      <c r="X125" s="2920"/>
      <c r="Y125" s="2920"/>
      <c r="Z125" s="2920"/>
    </row>
    <row r="126" spans="1:26" s="1565" customFormat="1">
      <c r="A126" s="1535"/>
      <c r="B126" s="1536"/>
      <c r="C126" s="1560" t="s">
        <v>990</v>
      </c>
      <c r="D126" s="1538"/>
      <c r="E126" s="1538"/>
      <c r="F126" s="1538"/>
      <c r="G126" s="1538"/>
      <c r="H126" s="1538"/>
      <c r="I126" s="1538"/>
      <c r="J126" s="1538"/>
      <c r="K126" s="1538"/>
      <c r="L126" s="1538"/>
      <c r="M126" s="1538"/>
      <c r="N126" s="1538"/>
      <c r="O126" s="1538"/>
      <c r="P126" s="1538"/>
      <c r="Q126" s="1538"/>
      <c r="R126" s="1538"/>
      <c r="S126" s="1538"/>
      <c r="T126" s="1538"/>
      <c r="U126" s="1538"/>
      <c r="V126" s="1538"/>
      <c r="W126" s="1566"/>
      <c r="X126" s="2920"/>
      <c r="Y126" s="2920"/>
      <c r="Z126" s="2920"/>
    </row>
    <row r="127" spans="1:26" s="1565" customFormat="1">
      <c r="A127" s="1594"/>
      <c r="B127" s="1595"/>
      <c r="C127" s="1674" t="s">
        <v>461</v>
      </c>
      <c r="D127" s="1538"/>
      <c r="E127" s="1538"/>
      <c r="F127" s="1538"/>
      <c r="G127" s="1538"/>
      <c r="H127" s="1538"/>
      <c r="I127" s="1538"/>
      <c r="J127" s="1538"/>
      <c r="K127" s="1538"/>
      <c r="L127" s="1538"/>
      <c r="M127" s="1538"/>
      <c r="N127" s="1538"/>
      <c r="O127" s="1538"/>
      <c r="P127" s="1538"/>
      <c r="Q127" s="1538"/>
      <c r="R127" s="1538"/>
      <c r="S127" s="1538"/>
      <c r="T127" s="1538"/>
      <c r="U127" s="1538"/>
      <c r="V127" s="1538"/>
      <c r="W127" s="1566"/>
      <c r="X127" s="2920"/>
      <c r="Y127" s="2920"/>
      <c r="Z127" s="2920"/>
    </row>
    <row r="128" spans="1:26" s="1565" customFormat="1">
      <c r="A128" s="1594" t="s">
        <v>1219</v>
      </c>
      <c r="B128" s="1595"/>
      <c r="C128" s="1605" t="s">
        <v>1017</v>
      </c>
      <c r="D128" s="1538" t="s">
        <v>521</v>
      </c>
      <c r="E128" s="1538" t="s">
        <v>521</v>
      </c>
      <c r="F128" s="1538" t="s">
        <v>521</v>
      </c>
      <c r="G128" s="1538" t="s">
        <v>521</v>
      </c>
      <c r="H128" s="1538" t="s">
        <v>521</v>
      </c>
      <c r="I128" s="1538" t="s">
        <v>521</v>
      </c>
      <c r="J128" s="1538" t="s">
        <v>521</v>
      </c>
      <c r="K128" s="1538" t="s">
        <v>521</v>
      </c>
      <c r="L128" s="1538" t="s">
        <v>521</v>
      </c>
      <c r="M128" s="1538" t="s">
        <v>521</v>
      </c>
      <c r="N128" s="1538" t="s">
        <v>521</v>
      </c>
      <c r="O128" s="1538" t="s">
        <v>521</v>
      </c>
      <c r="P128" s="1538" t="s">
        <v>521</v>
      </c>
      <c r="Q128" s="1538" t="s">
        <v>521</v>
      </c>
      <c r="R128" s="1538" t="s">
        <v>521</v>
      </c>
      <c r="S128" s="1538" t="s">
        <v>521</v>
      </c>
      <c r="T128" s="1538" t="s">
        <v>521</v>
      </c>
      <c r="U128" s="1538" t="s">
        <v>521</v>
      </c>
      <c r="V128" s="1538" t="s">
        <v>521</v>
      </c>
      <c r="W128" s="1566"/>
      <c r="X128" s="2920"/>
      <c r="Y128" s="2920"/>
      <c r="Z128" s="2920"/>
    </row>
    <row r="129" spans="1:26" s="1565" customFormat="1">
      <c r="A129" s="1594" t="s">
        <v>1220</v>
      </c>
      <c r="B129" s="1595"/>
      <c r="C129" s="1605" t="s">
        <v>1031</v>
      </c>
      <c r="D129" s="1538"/>
      <c r="E129" s="1538"/>
      <c r="F129" s="1538"/>
      <c r="G129" s="1538"/>
      <c r="H129" s="1538"/>
      <c r="I129" s="1538"/>
      <c r="J129" s="1538"/>
      <c r="K129" s="1538"/>
      <c r="L129" s="1538"/>
      <c r="M129" s="1538"/>
      <c r="N129" s="1538"/>
      <c r="O129" s="1538"/>
      <c r="P129" s="1538"/>
      <c r="Q129" s="1538"/>
      <c r="R129" s="1538"/>
      <c r="S129" s="1538"/>
      <c r="T129" s="1538"/>
      <c r="U129" s="1538"/>
      <c r="V129" s="1538"/>
      <c r="W129" s="1566"/>
      <c r="X129" s="2920"/>
      <c r="Y129" s="2920"/>
      <c r="Z129" s="2920"/>
    </row>
    <row r="130" spans="1:26" s="1565" customFormat="1">
      <c r="A130" s="1594" t="s">
        <v>1221</v>
      </c>
      <c r="B130" s="1675" t="s">
        <v>763</v>
      </c>
      <c r="C130" s="1605" t="s">
        <v>471</v>
      </c>
      <c r="D130" s="1538"/>
      <c r="E130" s="1538"/>
      <c r="F130" s="1538"/>
      <c r="G130" s="1538"/>
      <c r="H130" s="1538"/>
      <c r="I130" s="1538"/>
      <c r="J130" s="1538"/>
      <c r="K130" s="1538"/>
      <c r="L130" s="1538"/>
      <c r="M130" s="1538"/>
      <c r="N130" s="1538"/>
      <c r="O130" s="1538"/>
      <c r="P130" s="1538"/>
      <c r="Q130" s="1538"/>
      <c r="R130" s="1538"/>
      <c r="S130" s="1538"/>
      <c r="T130" s="1538"/>
      <c r="U130" s="1538"/>
      <c r="V130" s="1538"/>
      <c r="W130" s="1566"/>
      <c r="X130" s="2920"/>
      <c r="Y130" s="2920"/>
      <c r="Z130" s="2920"/>
    </row>
    <row r="131" spans="1:26" s="1565" customFormat="1">
      <c r="A131" s="1594" t="s">
        <v>1222</v>
      </c>
      <c r="B131" s="1595"/>
      <c r="C131" s="1605" t="s">
        <v>1032</v>
      </c>
      <c r="D131" s="1538"/>
      <c r="E131" s="1538"/>
      <c r="F131" s="1538"/>
      <c r="G131" s="1538"/>
      <c r="H131" s="1538"/>
      <c r="I131" s="1617"/>
      <c r="J131" s="1617"/>
      <c r="K131" s="1617"/>
      <c r="L131" s="1538"/>
      <c r="M131" s="1538"/>
      <c r="N131" s="1538"/>
      <c r="O131" s="1538"/>
      <c r="P131" s="1538"/>
      <c r="Q131" s="1538"/>
      <c r="R131" s="1538"/>
      <c r="S131" s="1538"/>
      <c r="T131" s="1538"/>
      <c r="U131" s="1617"/>
      <c r="V131" s="1617"/>
      <c r="W131" s="1641"/>
      <c r="X131" s="4249"/>
      <c r="Y131" s="2920"/>
      <c r="Z131" s="2920"/>
    </row>
    <row r="132" spans="1:26" s="1565" customFormat="1">
      <c r="A132" s="1594" t="s">
        <v>1223</v>
      </c>
      <c r="B132" s="1595"/>
      <c r="C132" s="1605" t="s">
        <v>1033</v>
      </c>
      <c r="D132" s="1538"/>
      <c r="E132" s="1538"/>
      <c r="F132" s="1538"/>
      <c r="G132" s="1538"/>
      <c r="H132" s="1538"/>
      <c r="I132" s="1538"/>
      <c r="J132" s="1538"/>
      <c r="K132" s="1538"/>
      <c r="L132" s="1538"/>
      <c r="M132" s="1538"/>
      <c r="N132" s="1538"/>
      <c r="O132" s="1538"/>
      <c r="P132" s="1538"/>
      <c r="Q132" s="1538"/>
      <c r="R132" s="1538"/>
      <c r="S132" s="1538"/>
      <c r="T132" s="1538"/>
      <c r="U132" s="1538"/>
      <c r="V132" s="1538"/>
      <c r="W132" s="1566"/>
      <c r="X132" s="2920"/>
      <c r="Y132" s="2920"/>
      <c r="Z132" s="2920"/>
    </row>
    <row r="133" spans="1:26" s="1565" customFormat="1">
      <c r="A133" s="1594" t="s">
        <v>1224</v>
      </c>
      <c r="B133" s="1595"/>
      <c r="C133" s="1605" t="s">
        <v>1034</v>
      </c>
      <c r="D133" s="1646">
        <v>0</v>
      </c>
      <c r="E133" s="1646">
        <v>0</v>
      </c>
      <c r="F133" s="1646">
        <v>0</v>
      </c>
      <c r="G133" s="1646">
        <f>0.53*G7*8760*(1-G8)*G40</f>
        <v>891417.60000000009</v>
      </c>
      <c r="H133" s="1646">
        <f>0.53*H7*8760*(1-H8)*H40</f>
        <v>980559.35999999999</v>
      </c>
      <c r="I133" s="2141">
        <v>0</v>
      </c>
      <c r="J133" s="2141">
        <v>0</v>
      </c>
      <c r="K133" s="2141">
        <v>0</v>
      </c>
      <c r="L133" s="2141">
        <v>0</v>
      </c>
      <c r="M133" s="2141">
        <v>0</v>
      </c>
      <c r="N133" s="2141">
        <v>0</v>
      </c>
      <c r="O133" s="2141">
        <v>0</v>
      </c>
      <c r="P133" s="2141">
        <v>0</v>
      </c>
      <c r="Q133" s="2141">
        <v>0</v>
      </c>
      <c r="R133" s="2141">
        <v>0</v>
      </c>
      <c r="S133" s="2141">
        <v>0</v>
      </c>
      <c r="T133" s="2141">
        <v>0</v>
      </c>
      <c r="U133" s="2141">
        <v>0</v>
      </c>
      <c r="V133" s="2141">
        <v>0</v>
      </c>
      <c r="W133" s="1566"/>
      <c r="X133" s="2920"/>
      <c r="Y133" s="2920"/>
      <c r="Z133" s="2920"/>
    </row>
    <row r="134" spans="1:26" s="1565" customFormat="1">
      <c r="A134" s="1594"/>
      <c r="B134" s="1595"/>
      <c r="C134" s="1674" t="s">
        <v>462</v>
      </c>
      <c r="D134" s="2335"/>
      <c r="E134" s="2335"/>
      <c r="F134" s="2335"/>
      <c r="G134" s="339"/>
      <c r="H134" s="2335"/>
      <c r="I134" s="1538"/>
      <c r="J134" s="1538"/>
      <c r="K134" s="1538"/>
      <c r="L134" s="1538"/>
      <c r="M134" s="1538"/>
      <c r="N134" s="1538"/>
      <c r="O134" s="1538"/>
      <c r="P134" s="1538"/>
      <c r="Q134" s="1538"/>
      <c r="R134" s="1538"/>
      <c r="S134" s="1538"/>
      <c r="T134" s="1538"/>
      <c r="U134" s="1538"/>
      <c r="V134" s="1538"/>
      <c r="W134" s="1566"/>
      <c r="X134" s="2920"/>
      <c r="Y134" s="2920"/>
      <c r="Z134" s="2920"/>
    </row>
    <row r="135" spans="1:26" s="1565" customFormat="1" ht="14.25">
      <c r="A135" s="1638" t="s">
        <v>906</v>
      </c>
      <c r="B135" s="1676"/>
      <c r="C135" s="1605" t="s">
        <v>884</v>
      </c>
      <c r="D135" s="4148">
        <f t="shared" ref="D135:H135" si="16">D$74*D7*1000</f>
        <v>2855454.0300087538</v>
      </c>
      <c r="E135" s="4148">
        <f t="shared" si="16"/>
        <v>5722352.7655486055</v>
      </c>
      <c r="F135" s="4148">
        <f t="shared" si="16"/>
        <v>11444705.531097211</v>
      </c>
      <c r="G135" s="4148">
        <f t="shared" si="16"/>
        <v>35677901.943414986</v>
      </c>
      <c r="H135" s="4148">
        <f t="shared" si="16"/>
        <v>39245692.137756489</v>
      </c>
      <c r="I135" s="1538"/>
      <c r="J135" s="1677"/>
      <c r="K135" s="1677"/>
      <c r="L135" s="1538"/>
      <c r="M135" s="1538"/>
      <c r="N135" s="1538"/>
      <c r="O135" s="1538"/>
      <c r="P135" s="1538"/>
      <c r="Q135" s="1538"/>
      <c r="R135" s="1538"/>
      <c r="S135" s="1538"/>
      <c r="T135" s="1538"/>
      <c r="U135" s="1538"/>
      <c r="V135" s="1538"/>
      <c r="W135" s="1566"/>
      <c r="X135" s="2920"/>
      <c r="Y135" s="2920"/>
      <c r="Z135" s="2920"/>
    </row>
    <row r="136" spans="1:26" s="1565" customFormat="1">
      <c r="A136" s="1638" t="s">
        <v>920</v>
      </c>
      <c r="B136" s="1676"/>
      <c r="C136" s="1605" t="s">
        <v>885</v>
      </c>
      <c r="D136" s="2335"/>
      <c r="E136" s="2335"/>
      <c r="F136" s="2335"/>
      <c r="G136" s="1538"/>
      <c r="H136" s="1538"/>
      <c r="I136" s="1538"/>
      <c r="J136" s="1677"/>
      <c r="K136" s="1677"/>
      <c r="L136" s="1538"/>
      <c r="M136" s="1538"/>
      <c r="N136" s="1538"/>
      <c r="O136" s="1538"/>
      <c r="P136" s="1538"/>
      <c r="Q136" s="1538"/>
      <c r="R136" s="1538"/>
      <c r="S136" s="1538"/>
      <c r="T136" s="1538"/>
      <c r="U136" s="1538"/>
      <c r="V136" s="1538"/>
      <c r="W136" s="1566"/>
      <c r="X136" s="2920"/>
      <c r="Y136" s="2920"/>
      <c r="Z136" s="2920"/>
    </row>
    <row r="137" spans="1:26" s="1565" customFormat="1">
      <c r="A137" s="1638" t="s">
        <v>921</v>
      </c>
      <c r="B137" s="1676"/>
      <c r="C137" s="1605" t="s">
        <v>886</v>
      </c>
      <c r="D137" s="2335"/>
      <c r="E137" s="2335"/>
      <c r="F137" s="2335"/>
      <c r="G137" s="1538"/>
      <c r="H137" s="1538"/>
      <c r="I137" s="1538"/>
      <c r="J137" s="1677"/>
      <c r="K137" s="1677"/>
      <c r="L137" s="1538"/>
      <c r="M137" s="1538"/>
      <c r="N137" s="1538"/>
      <c r="O137" s="1538"/>
      <c r="P137" s="1538"/>
      <c r="Q137" s="1538"/>
      <c r="R137" s="1538"/>
      <c r="S137" s="1538"/>
      <c r="T137" s="1538"/>
      <c r="U137" s="1538"/>
      <c r="V137" s="1538"/>
      <c r="W137" s="1566"/>
      <c r="X137" s="2920"/>
      <c r="Y137" s="2920"/>
      <c r="Z137" s="2920"/>
    </row>
    <row r="138" spans="1:26" s="1565" customFormat="1">
      <c r="A138" s="1638" t="s">
        <v>922</v>
      </c>
      <c r="B138" s="1676"/>
      <c r="C138" s="1605" t="s">
        <v>887</v>
      </c>
      <c r="D138" s="2335"/>
      <c r="E138" s="2335"/>
      <c r="F138" s="2335"/>
      <c r="G138" s="1538"/>
      <c r="H138" s="1538"/>
      <c r="I138" s="1538"/>
      <c r="J138" s="1677"/>
      <c r="K138" s="1677"/>
      <c r="L138" s="1538"/>
      <c r="M138" s="1538"/>
      <c r="N138" s="1538"/>
      <c r="O138" s="1538"/>
      <c r="P138" s="1538"/>
      <c r="Q138" s="1538"/>
      <c r="R138" s="1538"/>
      <c r="S138" s="1538"/>
      <c r="T138" s="1538"/>
      <c r="U138" s="1538"/>
      <c r="V138" s="1538"/>
      <c r="W138" s="1566"/>
      <c r="X138" s="2920"/>
      <c r="Y138" s="2920"/>
      <c r="Z138" s="2920"/>
    </row>
    <row r="139" spans="1:26" s="1565" customFormat="1">
      <c r="A139" s="1638" t="s">
        <v>923</v>
      </c>
      <c r="B139" s="1676"/>
      <c r="C139" s="1605" t="s">
        <v>888</v>
      </c>
      <c r="D139" s="2335"/>
      <c r="E139" s="2335"/>
      <c r="F139" s="2335"/>
      <c r="G139" s="1538"/>
      <c r="H139" s="1538"/>
      <c r="I139" s="1538"/>
      <c r="J139" s="1677"/>
      <c r="K139" s="1677"/>
      <c r="L139" s="1538"/>
      <c r="M139" s="1538"/>
      <c r="N139" s="1538"/>
      <c r="O139" s="1538"/>
      <c r="P139" s="1538"/>
      <c r="Q139" s="1538"/>
      <c r="R139" s="1538"/>
      <c r="S139" s="1538"/>
      <c r="T139" s="1538"/>
      <c r="U139" s="1538"/>
      <c r="V139" s="1538"/>
      <c r="W139" s="1566"/>
      <c r="X139" s="2920"/>
      <c r="Y139" s="2920"/>
      <c r="Z139" s="2920"/>
    </row>
    <row r="140" spans="1:26" s="1565" customFormat="1">
      <c r="A140" s="1638" t="s">
        <v>924</v>
      </c>
      <c r="B140" s="1676"/>
      <c r="C140" s="1605" t="s">
        <v>891</v>
      </c>
      <c r="D140" s="2335"/>
      <c r="E140" s="2335"/>
      <c r="F140" s="2335"/>
      <c r="G140" s="1538"/>
      <c r="H140" s="1538"/>
      <c r="I140" s="1538"/>
      <c r="J140" s="1677"/>
      <c r="K140" s="1677"/>
      <c r="L140" s="1538"/>
      <c r="M140" s="1538"/>
      <c r="N140" s="1538"/>
      <c r="O140" s="1538"/>
      <c r="P140" s="1538"/>
      <c r="Q140" s="1538"/>
      <c r="R140" s="1538"/>
      <c r="S140" s="1538"/>
      <c r="T140" s="1538"/>
      <c r="U140" s="1538"/>
      <c r="V140" s="1538"/>
      <c r="W140" s="1566"/>
      <c r="X140" s="2920"/>
      <c r="Y140" s="2920"/>
      <c r="Z140" s="2920"/>
    </row>
    <row r="141" spans="1:26" s="1565" customFormat="1">
      <c r="A141" s="1638" t="s">
        <v>925</v>
      </c>
      <c r="B141" s="1676"/>
      <c r="C141" s="1605" t="s">
        <v>892</v>
      </c>
      <c r="D141" s="2335"/>
      <c r="E141" s="2335"/>
      <c r="F141" s="2335"/>
      <c r="G141" s="1538"/>
      <c r="H141" s="1538"/>
      <c r="I141" s="1538"/>
      <c r="J141" s="1677"/>
      <c r="K141" s="1538"/>
      <c r="L141" s="1538"/>
      <c r="M141" s="1538"/>
      <c r="N141" s="1538"/>
      <c r="O141" s="1538"/>
      <c r="P141" s="1538"/>
      <c r="Q141" s="1538"/>
      <c r="R141" s="1538"/>
      <c r="S141" s="1538"/>
      <c r="T141" s="1538"/>
      <c r="U141" s="1538"/>
      <c r="V141" s="1538"/>
      <c r="W141" s="1566"/>
      <c r="X141" s="2920"/>
      <c r="Y141" s="2920"/>
      <c r="Z141" s="2920"/>
    </row>
    <row r="142" spans="1:26" s="1565" customFormat="1">
      <c r="A142" s="1638" t="s">
        <v>926</v>
      </c>
      <c r="B142" s="1676"/>
      <c r="C142" s="1605" t="s">
        <v>893</v>
      </c>
      <c r="D142" s="2335"/>
      <c r="E142" s="2335"/>
      <c r="F142" s="2335"/>
      <c r="G142" s="1538"/>
      <c r="H142" s="1538"/>
      <c r="I142" s="1538"/>
      <c r="J142" s="1538"/>
      <c r="K142" s="1538"/>
      <c r="L142" s="1538"/>
      <c r="M142" s="1538"/>
      <c r="N142" s="1538"/>
      <c r="O142" s="1538"/>
      <c r="P142" s="1538"/>
      <c r="Q142" s="1538"/>
      <c r="R142" s="1538"/>
      <c r="S142" s="1538"/>
      <c r="T142" s="1538"/>
      <c r="U142" s="1538"/>
      <c r="V142" s="1538"/>
      <c r="W142" s="1566"/>
      <c r="X142" s="2920"/>
      <c r="Y142" s="2920"/>
      <c r="Z142" s="2920"/>
    </row>
    <row r="143" spans="1:26" s="1565" customFormat="1">
      <c r="A143" s="1638" t="s">
        <v>927</v>
      </c>
      <c r="B143" s="1676"/>
      <c r="C143" s="1605" t="s">
        <v>894</v>
      </c>
      <c r="D143" s="70" t="s">
        <v>1488</v>
      </c>
      <c r="E143" s="70" t="s">
        <v>1488</v>
      </c>
      <c r="F143" s="70" t="s">
        <v>1488</v>
      </c>
      <c r="G143" s="1537" t="s">
        <v>1908</v>
      </c>
      <c r="H143" s="1537" t="s">
        <v>1908</v>
      </c>
      <c r="I143" s="1538"/>
      <c r="J143" s="1537"/>
      <c r="K143" s="1537"/>
      <c r="L143" s="1538"/>
      <c r="M143" s="1538"/>
      <c r="N143" s="1538"/>
      <c r="O143" s="1538"/>
      <c r="P143" s="1538"/>
      <c r="Q143" s="1538"/>
      <c r="R143" s="1538"/>
      <c r="S143" s="1538"/>
      <c r="T143" s="1538"/>
      <c r="U143" s="1538"/>
      <c r="V143" s="1538"/>
      <c r="W143" s="1566"/>
      <c r="X143" s="2920"/>
      <c r="Y143" s="2920"/>
      <c r="Z143" s="2920"/>
    </row>
    <row r="144" spans="1:26" s="1565" customFormat="1">
      <c r="A144" s="1638" t="s">
        <v>928</v>
      </c>
      <c r="B144" s="1676"/>
      <c r="C144" s="1605" t="s">
        <v>896</v>
      </c>
      <c r="D144" s="1538"/>
      <c r="E144" s="1538"/>
      <c r="F144" s="1538"/>
      <c r="G144" s="1538"/>
      <c r="H144" s="1538"/>
      <c r="I144" s="1538"/>
      <c r="J144" s="1537"/>
      <c r="K144" s="1537"/>
      <c r="L144" s="1538"/>
      <c r="M144" s="1538"/>
      <c r="N144" s="1538"/>
      <c r="O144" s="1538"/>
      <c r="P144" s="1538"/>
      <c r="Q144" s="1538"/>
      <c r="R144" s="1538"/>
      <c r="S144" s="1538"/>
      <c r="T144" s="1538"/>
      <c r="U144" s="1538"/>
      <c r="V144" s="1538"/>
      <c r="W144" s="1566"/>
      <c r="X144" s="2920"/>
      <c r="Y144" s="2920"/>
      <c r="Z144" s="2920"/>
    </row>
    <row r="145" spans="1:26" s="1565" customFormat="1">
      <c r="A145" s="1638" t="s">
        <v>929</v>
      </c>
      <c r="B145" s="1676"/>
      <c r="C145" s="1605" t="s">
        <v>897</v>
      </c>
      <c r="D145" s="1538"/>
      <c r="E145" s="1538"/>
      <c r="F145" s="1538"/>
      <c r="G145" s="1538"/>
      <c r="H145" s="1538"/>
      <c r="I145" s="1538"/>
      <c r="J145" s="1537"/>
      <c r="K145" s="1537"/>
      <c r="L145" s="1538"/>
      <c r="M145" s="1538"/>
      <c r="N145" s="1538"/>
      <c r="O145" s="1538"/>
      <c r="P145" s="1538"/>
      <c r="Q145" s="1538"/>
      <c r="R145" s="1538"/>
      <c r="S145" s="1538"/>
      <c r="T145" s="1538"/>
      <c r="U145" s="1538"/>
      <c r="V145" s="1538"/>
      <c r="W145" s="1566"/>
      <c r="X145" s="2920"/>
      <c r="Y145" s="2920"/>
      <c r="Z145" s="2920"/>
    </row>
    <row r="146" spans="1:26" s="1565" customFormat="1">
      <c r="A146" s="1638" t="s">
        <v>930</v>
      </c>
      <c r="B146" s="1676"/>
      <c r="C146" s="1605" t="s">
        <v>898</v>
      </c>
      <c r="D146" s="1538"/>
      <c r="E146" s="1538"/>
      <c r="F146" s="1538"/>
      <c r="G146" s="1538"/>
      <c r="H146" s="1538"/>
      <c r="I146" s="1538"/>
      <c r="J146" s="1537"/>
      <c r="K146" s="1537"/>
      <c r="L146" s="1538"/>
      <c r="M146" s="1538"/>
      <c r="N146" s="1538"/>
      <c r="O146" s="1538"/>
      <c r="P146" s="1538"/>
      <c r="Q146" s="1538"/>
      <c r="R146" s="1538"/>
      <c r="S146" s="1538"/>
      <c r="T146" s="1538"/>
      <c r="U146" s="1538"/>
      <c r="V146" s="1538"/>
      <c r="W146" s="1566"/>
      <c r="X146" s="2920"/>
      <c r="Y146" s="2920"/>
      <c r="Z146" s="2920"/>
    </row>
    <row r="147" spans="1:26" s="1565" customFormat="1">
      <c r="A147" s="1638" t="s">
        <v>931</v>
      </c>
      <c r="B147" s="1676"/>
      <c r="C147" s="1605" t="s">
        <v>899</v>
      </c>
      <c r="D147" s="1538"/>
      <c r="E147" s="1538"/>
      <c r="F147" s="1538"/>
      <c r="G147" s="1538"/>
      <c r="H147" s="1538"/>
      <c r="I147" s="1538"/>
      <c r="J147" s="1537"/>
      <c r="K147" s="1537"/>
      <c r="L147" s="1538"/>
      <c r="M147" s="1538"/>
      <c r="N147" s="1538"/>
      <c r="O147" s="1538"/>
      <c r="P147" s="1538"/>
      <c r="Q147" s="1538"/>
      <c r="R147" s="1538"/>
      <c r="S147" s="1538"/>
      <c r="T147" s="1538"/>
      <c r="U147" s="1538"/>
      <c r="V147" s="1538"/>
      <c r="W147" s="1566"/>
      <c r="X147" s="2920"/>
      <c r="Y147" s="2920"/>
      <c r="Z147" s="2920"/>
    </row>
    <row r="148" spans="1:26" s="1565" customFormat="1">
      <c r="A148" s="1638" t="s">
        <v>932</v>
      </c>
      <c r="B148" s="1676"/>
      <c r="C148" s="1605" t="s">
        <v>902</v>
      </c>
      <c r="D148" s="1538"/>
      <c r="E148" s="1538"/>
      <c r="F148" s="1538"/>
      <c r="G148" s="1538"/>
      <c r="H148" s="1538"/>
      <c r="I148" s="1538"/>
      <c r="J148" s="1537"/>
      <c r="K148" s="1537"/>
      <c r="L148" s="1538"/>
      <c r="M148" s="1538"/>
      <c r="N148" s="1538"/>
      <c r="O148" s="1538"/>
      <c r="P148" s="1538"/>
      <c r="Q148" s="1538"/>
      <c r="R148" s="1538"/>
      <c r="S148" s="1538"/>
      <c r="T148" s="1538"/>
      <c r="U148" s="1538"/>
      <c r="V148" s="1538"/>
      <c r="W148" s="1566"/>
      <c r="X148" s="2920"/>
      <c r="Y148" s="2920"/>
      <c r="Z148" s="2920"/>
    </row>
    <row r="149" spans="1:26" s="1565" customFormat="1">
      <c r="A149" s="1638" t="s">
        <v>933</v>
      </c>
      <c r="B149" s="1676"/>
      <c r="C149" s="1605" t="s">
        <v>903</v>
      </c>
      <c r="D149" s="1538"/>
      <c r="E149" s="1538"/>
      <c r="F149" s="1538"/>
      <c r="G149" s="1538"/>
      <c r="H149" s="1538"/>
      <c r="I149" s="1538"/>
      <c r="J149" s="1537"/>
      <c r="K149" s="1538"/>
      <c r="L149" s="1538"/>
      <c r="M149" s="1538"/>
      <c r="N149" s="1538"/>
      <c r="O149" s="1538"/>
      <c r="P149" s="1538"/>
      <c r="Q149" s="1538"/>
      <c r="R149" s="1538"/>
      <c r="S149" s="1538"/>
      <c r="T149" s="1538"/>
      <c r="U149" s="1538"/>
      <c r="V149" s="1538"/>
      <c r="W149" s="1566"/>
      <c r="X149" s="2920"/>
      <c r="Y149" s="2920"/>
      <c r="Z149" s="2920"/>
    </row>
    <row r="150" spans="1:26" s="1565" customFormat="1">
      <c r="A150" s="1678"/>
      <c r="B150" s="1679"/>
      <c r="C150" s="1680"/>
      <c r="D150" s="1538"/>
      <c r="E150" s="1538"/>
      <c r="F150" s="1538"/>
      <c r="G150" s="1538"/>
      <c r="H150" s="1538"/>
      <c r="I150" s="1538"/>
      <c r="J150" s="1538"/>
      <c r="K150" s="1538"/>
      <c r="L150" s="1538"/>
      <c r="M150" s="1538"/>
      <c r="N150" s="1538"/>
      <c r="O150" s="1538"/>
      <c r="P150" s="1538"/>
      <c r="Q150" s="1538"/>
      <c r="R150" s="1538"/>
      <c r="S150" s="1538"/>
      <c r="T150" s="1538"/>
      <c r="U150" s="1538"/>
      <c r="V150" s="1538"/>
      <c r="W150" s="1566"/>
      <c r="X150" s="2920"/>
      <c r="Y150" s="2920"/>
      <c r="Z150" s="2920"/>
    </row>
    <row r="151" spans="1:26" s="1565" customFormat="1">
      <c r="A151" s="1594"/>
      <c r="B151" s="1595"/>
      <c r="C151" s="1674" t="s">
        <v>445</v>
      </c>
      <c r="D151" s="1538"/>
      <c r="E151" s="1538"/>
      <c r="F151" s="1538"/>
      <c r="G151" s="1538"/>
      <c r="H151" s="1538"/>
      <c r="I151" s="1538"/>
      <c r="J151" s="1538"/>
      <c r="K151" s="1538"/>
      <c r="L151" s="1538"/>
      <c r="M151" s="1538"/>
      <c r="N151" s="1538"/>
      <c r="O151" s="1538"/>
      <c r="P151" s="1538"/>
      <c r="Q151" s="1538"/>
      <c r="R151" s="1538"/>
      <c r="S151" s="1538"/>
      <c r="T151" s="1538"/>
      <c r="U151" s="1538"/>
      <c r="V151" s="1538"/>
      <c r="W151" s="1566"/>
      <c r="X151" s="2920"/>
      <c r="Y151" s="2920"/>
      <c r="Z151" s="2920"/>
    </row>
    <row r="152" spans="1:26" s="1565" customFormat="1">
      <c r="A152" s="1594" t="s">
        <v>934</v>
      </c>
      <c r="B152" s="1595"/>
      <c r="C152" s="1605" t="s">
        <v>445</v>
      </c>
      <c r="D152" s="1538"/>
      <c r="E152" s="1538"/>
      <c r="F152" s="1538"/>
      <c r="G152" s="1538"/>
      <c r="H152" s="1538"/>
      <c r="I152" s="1538"/>
      <c r="J152" s="1677"/>
      <c r="K152" s="1538"/>
      <c r="L152" s="1538"/>
      <c r="M152" s="1538"/>
      <c r="N152" s="1538"/>
      <c r="O152" s="1538"/>
      <c r="P152" s="1538"/>
      <c r="Q152" s="1538"/>
      <c r="R152" s="1538"/>
      <c r="S152" s="1538"/>
      <c r="T152" s="1538"/>
      <c r="U152" s="1538"/>
      <c r="V152" s="1538"/>
      <c r="W152" s="1566"/>
      <c r="X152" s="2920"/>
      <c r="Y152" s="2920"/>
      <c r="Z152" s="2920"/>
    </row>
    <row r="153" spans="1:26" s="1565" customFormat="1">
      <c r="A153" s="1594" t="s">
        <v>935</v>
      </c>
      <c r="B153" s="1595"/>
      <c r="C153" s="1605" t="s">
        <v>446</v>
      </c>
      <c r="D153" s="1538"/>
      <c r="E153" s="1538"/>
      <c r="F153" s="1538"/>
      <c r="G153" s="1538"/>
      <c r="H153" s="1538"/>
      <c r="I153" s="1538"/>
      <c r="J153" s="1677"/>
      <c r="K153" s="1677"/>
      <c r="L153" s="1538"/>
      <c r="M153" s="1538"/>
      <c r="N153" s="1538"/>
      <c r="O153" s="1538"/>
      <c r="P153" s="1538"/>
      <c r="Q153" s="1538"/>
      <c r="R153" s="1538"/>
      <c r="S153" s="1538"/>
      <c r="T153" s="1538"/>
      <c r="U153" s="1538"/>
      <c r="V153" s="1538"/>
      <c r="W153" s="1566"/>
      <c r="X153" s="2920"/>
      <c r="Y153" s="2920"/>
      <c r="Z153" s="2920"/>
    </row>
    <row r="154" spans="1:26" s="1565" customFormat="1">
      <c r="A154" s="1594" t="s">
        <v>936</v>
      </c>
      <c r="B154" s="1595"/>
      <c r="C154" s="1605" t="s">
        <v>447</v>
      </c>
      <c r="D154" s="1538"/>
      <c r="E154" s="1538"/>
      <c r="F154" s="1538"/>
      <c r="G154" s="1538"/>
      <c r="H154" s="1538"/>
      <c r="I154" s="1538"/>
      <c r="J154" s="1677"/>
      <c r="K154" s="1538"/>
      <c r="L154" s="1538"/>
      <c r="M154" s="1538"/>
      <c r="N154" s="1538"/>
      <c r="O154" s="1538"/>
      <c r="P154" s="1538"/>
      <c r="Q154" s="1538"/>
      <c r="R154" s="1538"/>
      <c r="S154" s="1538"/>
      <c r="T154" s="1538"/>
      <c r="U154" s="1538"/>
      <c r="V154" s="1538"/>
      <c r="W154" s="1566"/>
      <c r="X154" s="2920"/>
      <c r="Y154" s="2920"/>
      <c r="Z154" s="2920"/>
    </row>
    <row r="155" spans="1:26" s="1565" customFormat="1">
      <c r="A155" s="1594" t="s">
        <v>937</v>
      </c>
      <c r="B155" s="1595"/>
      <c r="C155" s="1605" t="s">
        <v>448</v>
      </c>
      <c r="D155" s="1538"/>
      <c r="E155" s="1538"/>
      <c r="F155" s="1538"/>
      <c r="G155" s="1538"/>
      <c r="H155" s="1538"/>
      <c r="I155" s="1538"/>
      <c r="J155" s="1677"/>
      <c r="K155" s="1677"/>
      <c r="L155" s="1538"/>
      <c r="M155" s="1538"/>
      <c r="N155" s="1538"/>
      <c r="O155" s="1538"/>
      <c r="P155" s="1538"/>
      <c r="Q155" s="1538"/>
      <c r="R155" s="1538"/>
      <c r="S155" s="1538"/>
      <c r="T155" s="1538"/>
      <c r="U155" s="1538"/>
      <c r="V155" s="1538"/>
      <c r="W155" s="1566"/>
      <c r="X155" s="2920"/>
      <c r="Y155" s="2920"/>
      <c r="Z155" s="2920"/>
    </row>
    <row r="156" spans="1:26" s="1565" customFormat="1">
      <c r="A156" s="1594" t="s">
        <v>938</v>
      </c>
      <c r="B156" s="1595"/>
      <c r="C156" s="1605" t="s">
        <v>449</v>
      </c>
      <c r="D156" s="1538"/>
      <c r="E156" s="1538"/>
      <c r="F156" s="1538"/>
      <c r="G156" s="1538"/>
      <c r="H156" s="1538"/>
      <c r="I156" s="1538"/>
      <c r="J156" s="1618"/>
      <c r="K156" s="1677"/>
      <c r="L156" s="1538"/>
      <c r="M156" s="1538"/>
      <c r="N156" s="1538"/>
      <c r="O156" s="1538"/>
      <c r="P156" s="1538"/>
      <c r="Q156" s="1538"/>
      <c r="R156" s="1538"/>
      <c r="S156" s="1538"/>
      <c r="T156" s="1538"/>
      <c r="U156" s="1538"/>
      <c r="V156" s="1538"/>
      <c r="W156" s="1566"/>
      <c r="X156" s="2920"/>
      <c r="Y156" s="2920"/>
      <c r="Z156" s="2920"/>
    </row>
    <row r="157" spans="1:26" s="1565" customFormat="1">
      <c r="A157" s="1681"/>
      <c r="B157" s="1682"/>
      <c r="C157" s="1683" t="s">
        <v>1302</v>
      </c>
      <c r="D157" s="1538"/>
      <c r="E157" s="1538"/>
      <c r="F157" s="1538"/>
      <c r="G157" s="1538"/>
      <c r="H157" s="1538"/>
      <c r="I157" s="1538"/>
      <c r="J157" s="1538"/>
      <c r="K157" s="1538"/>
      <c r="L157" s="1538"/>
      <c r="M157" s="1538"/>
      <c r="N157" s="1538"/>
      <c r="O157" s="1538"/>
      <c r="P157" s="1538"/>
      <c r="Q157" s="1538"/>
      <c r="R157" s="1538"/>
      <c r="S157" s="1538"/>
      <c r="T157" s="1538"/>
      <c r="U157" s="1538"/>
      <c r="V157" s="1538"/>
      <c r="W157" s="1566"/>
      <c r="X157" s="2920"/>
      <c r="Y157" s="2920"/>
      <c r="Z157" s="2920"/>
    </row>
    <row r="158" spans="1:26" s="1565" customFormat="1">
      <c r="A158" s="1681"/>
      <c r="B158" s="1682"/>
      <c r="C158" s="1683" t="s">
        <v>1301</v>
      </c>
      <c r="D158" s="1538"/>
      <c r="E158" s="1538"/>
      <c r="F158" s="1538"/>
      <c r="G158" s="1538"/>
      <c r="H158" s="1538"/>
      <c r="I158" s="1538"/>
      <c r="J158" s="1538"/>
      <c r="K158" s="1538"/>
      <c r="L158" s="1538"/>
      <c r="M158" s="1538"/>
      <c r="N158" s="1538"/>
      <c r="O158" s="1538"/>
      <c r="P158" s="1538"/>
      <c r="Q158" s="1538"/>
      <c r="R158" s="1538"/>
      <c r="S158" s="1538"/>
      <c r="T158" s="1538"/>
      <c r="U158" s="1538"/>
      <c r="V158" s="1538"/>
      <c r="W158" s="1566"/>
      <c r="X158" s="2920"/>
      <c r="Y158" s="2920"/>
      <c r="Z158" s="2920"/>
    </row>
    <row r="159" spans="1:26" s="1565" customFormat="1">
      <c r="A159" s="1681" t="s">
        <v>836</v>
      </c>
      <c r="B159" s="1684" t="s">
        <v>770</v>
      </c>
      <c r="C159" s="1685" t="s">
        <v>1318</v>
      </c>
      <c r="D159" s="1538"/>
      <c r="E159" s="1538"/>
      <c r="F159" s="1538"/>
      <c r="G159" s="1538"/>
      <c r="H159" s="1538"/>
      <c r="I159" s="1538"/>
      <c r="J159" s="1538"/>
      <c r="K159" s="1538"/>
      <c r="L159" s="1538"/>
      <c r="M159" s="1538"/>
      <c r="N159" s="1538"/>
      <c r="O159" s="1538"/>
      <c r="P159" s="1538"/>
      <c r="Q159" s="1538"/>
      <c r="R159" s="1538"/>
      <c r="S159" s="1538"/>
      <c r="T159" s="1538"/>
      <c r="U159" s="1538">
        <v>0</v>
      </c>
      <c r="V159" s="1538">
        <v>0</v>
      </c>
      <c r="W159" s="1566"/>
      <c r="X159" s="2920"/>
      <c r="Y159" s="2920"/>
      <c r="Z159" s="2920"/>
    </row>
    <row r="160" spans="1:26" s="1565" customFormat="1">
      <c r="A160" s="1681" t="s">
        <v>837</v>
      </c>
      <c r="B160" s="1686" t="s">
        <v>771</v>
      </c>
      <c r="C160" s="1685" t="s">
        <v>1316</v>
      </c>
      <c r="D160" s="1538"/>
      <c r="E160" s="1538"/>
      <c r="F160" s="1538"/>
      <c r="G160" s="1538"/>
      <c r="H160" s="1538"/>
      <c r="I160" s="1617"/>
      <c r="J160" s="1617"/>
      <c r="K160" s="1617"/>
      <c r="L160" s="1538"/>
      <c r="M160" s="1538"/>
      <c r="N160" s="1538"/>
      <c r="O160" s="1538"/>
      <c r="P160" s="1538"/>
      <c r="Q160" s="1538"/>
      <c r="R160" s="1538"/>
      <c r="S160" s="1538"/>
      <c r="T160" s="1538"/>
      <c r="U160" s="1617">
        <v>0</v>
      </c>
      <c r="V160" s="1617">
        <v>0</v>
      </c>
      <c r="W160" s="1641"/>
      <c r="X160" s="4249"/>
      <c r="Y160" s="2920"/>
      <c r="Z160" s="2920"/>
    </row>
    <row r="161" spans="1:26" s="1565" customFormat="1">
      <c r="A161" s="1681"/>
      <c r="B161" s="1682"/>
      <c r="C161" s="1683" t="s">
        <v>1323</v>
      </c>
      <c r="D161" s="1538"/>
      <c r="E161" s="1538"/>
      <c r="F161" s="1538"/>
      <c r="G161" s="1538"/>
      <c r="H161" s="1538"/>
      <c r="I161" s="1538"/>
      <c r="J161" s="1538"/>
      <c r="K161" s="1538"/>
      <c r="L161" s="1538"/>
      <c r="M161" s="1538"/>
      <c r="N161" s="1538"/>
      <c r="O161" s="1538"/>
      <c r="P161" s="1538"/>
      <c r="Q161" s="1538"/>
      <c r="R161" s="1538"/>
      <c r="S161" s="1538"/>
      <c r="T161" s="1538"/>
      <c r="U161" s="1538"/>
      <c r="V161" s="1538"/>
      <c r="W161" s="1566"/>
      <c r="X161" s="2920"/>
      <c r="Y161" s="2920"/>
      <c r="Z161" s="2920"/>
    </row>
    <row r="162" spans="1:26" s="1565" customFormat="1">
      <c r="A162" s="1681" t="s">
        <v>838</v>
      </c>
      <c r="B162" s="1686" t="s">
        <v>772</v>
      </c>
      <c r="C162" s="1685" t="s">
        <v>371</v>
      </c>
      <c r="D162" s="1585"/>
      <c r="E162" s="1585"/>
      <c r="F162" s="1585"/>
      <c r="G162" s="1585"/>
      <c r="H162" s="1585"/>
      <c r="I162" s="1617"/>
      <c r="J162" s="1585"/>
      <c r="K162" s="1585"/>
      <c r="L162" s="1585"/>
      <c r="M162" s="1585"/>
      <c r="N162" s="1585"/>
      <c r="O162" s="1585"/>
      <c r="P162" s="1585"/>
      <c r="Q162" s="1585"/>
      <c r="R162" s="1585"/>
      <c r="S162" s="1585"/>
      <c r="T162" s="1585"/>
      <c r="U162" s="1585">
        <v>0</v>
      </c>
      <c r="V162" s="1585">
        <v>0</v>
      </c>
      <c r="W162" s="1583"/>
      <c r="X162" s="2932"/>
      <c r="Y162" s="2932"/>
      <c r="Z162" s="2932"/>
    </row>
    <row r="163" spans="1:26" s="1565" customFormat="1">
      <c r="A163" s="1681" t="s">
        <v>839</v>
      </c>
      <c r="B163" s="1687" t="s">
        <v>773</v>
      </c>
      <c r="C163" s="1685" t="s">
        <v>1314</v>
      </c>
      <c r="D163" s="1585"/>
      <c r="E163" s="1585"/>
      <c r="F163" s="1585"/>
      <c r="G163" s="1585"/>
      <c r="H163" s="1585"/>
      <c r="I163" s="1538"/>
      <c r="J163" s="1585"/>
      <c r="K163" s="1585"/>
      <c r="L163" s="1585"/>
      <c r="M163" s="1585"/>
      <c r="N163" s="1585"/>
      <c r="O163" s="1585"/>
      <c r="P163" s="1585"/>
      <c r="Q163" s="1585"/>
      <c r="R163" s="1585"/>
      <c r="S163" s="1585"/>
      <c r="T163" s="1585"/>
      <c r="U163" s="1585">
        <v>0</v>
      </c>
      <c r="V163" s="1585">
        <v>0</v>
      </c>
      <c r="W163" s="1583"/>
      <c r="X163" s="2932"/>
      <c r="Y163" s="2932"/>
      <c r="Z163" s="2932"/>
    </row>
    <row r="164" spans="1:26" s="1565" customFormat="1">
      <c r="A164" s="1681" t="s">
        <v>840</v>
      </c>
      <c r="B164" s="1686" t="s">
        <v>774</v>
      </c>
      <c r="C164" s="1685" t="s">
        <v>372</v>
      </c>
      <c r="D164" s="1585"/>
      <c r="E164" s="1585"/>
      <c r="F164" s="1585"/>
      <c r="G164" s="1585"/>
      <c r="H164" s="1585"/>
      <c r="I164" s="1617"/>
      <c r="J164" s="1585"/>
      <c r="K164" s="1585"/>
      <c r="L164" s="1585"/>
      <c r="M164" s="1585"/>
      <c r="N164" s="1585"/>
      <c r="O164" s="1585"/>
      <c r="P164" s="1585"/>
      <c r="Q164" s="1585"/>
      <c r="R164" s="1585"/>
      <c r="S164" s="1585"/>
      <c r="T164" s="1585"/>
      <c r="U164" s="1585">
        <v>0</v>
      </c>
      <c r="V164" s="1585">
        <v>0</v>
      </c>
      <c r="W164" s="1583"/>
      <c r="X164" s="2932"/>
      <c r="Y164" s="2932"/>
      <c r="Z164" s="2932"/>
    </row>
    <row r="165" spans="1:26" s="1565" customFormat="1">
      <c r="A165" s="1681" t="s">
        <v>841</v>
      </c>
      <c r="B165" s="1687" t="s">
        <v>775</v>
      </c>
      <c r="C165" s="1685" t="s">
        <v>1315</v>
      </c>
      <c r="D165" s="1585"/>
      <c r="E165" s="1585"/>
      <c r="F165" s="1585"/>
      <c r="G165" s="1585"/>
      <c r="H165" s="1585"/>
      <c r="I165" s="1538"/>
      <c r="J165" s="1585"/>
      <c r="K165" s="1585"/>
      <c r="L165" s="1585"/>
      <c r="M165" s="1585"/>
      <c r="N165" s="1585"/>
      <c r="O165" s="1585"/>
      <c r="P165" s="1585"/>
      <c r="Q165" s="1585"/>
      <c r="R165" s="1585"/>
      <c r="S165" s="1585"/>
      <c r="T165" s="1585"/>
      <c r="U165" s="1585">
        <v>0</v>
      </c>
      <c r="V165" s="1585">
        <v>0</v>
      </c>
      <c r="W165" s="1583"/>
      <c r="X165" s="2932"/>
      <c r="Y165" s="2932"/>
      <c r="Z165" s="2932"/>
    </row>
    <row r="166" spans="1:26" s="1565" customFormat="1">
      <c r="A166" s="1681" t="s">
        <v>842</v>
      </c>
      <c r="B166" s="1687"/>
      <c r="C166" s="1685" t="s">
        <v>511</v>
      </c>
      <c r="D166" s="1538"/>
      <c r="E166" s="1538"/>
      <c r="F166" s="1538"/>
      <c r="G166" s="1538"/>
      <c r="H166" s="1538"/>
      <c r="I166" s="1538"/>
      <c r="J166" s="1538"/>
      <c r="K166" s="1538"/>
      <c r="L166" s="1538"/>
      <c r="M166" s="1538"/>
      <c r="N166" s="1538"/>
      <c r="O166" s="1538"/>
      <c r="P166" s="1538"/>
      <c r="Q166" s="1538"/>
      <c r="R166" s="1538"/>
      <c r="S166" s="1538"/>
      <c r="T166" s="1538"/>
      <c r="U166" s="1538"/>
      <c r="V166" s="1538"/>
      <c r="W166" s="1566"/>
      <c r="X166" s="2920"/>
      <c r="Y166" s="2920"/>
      <c r="Z166" s="2920"/>
    </row>
    <row r="167" spans="1:26" s="1565" customFormat="1">
      <c r="A167" s="1681" t="s">
        <v>843</v>
      </c>
      <c r="B167" s="1687"/>
      <c r="C167" s="1685" t="s">
        <v>512</v>
      </c>
      <c r="D167" s="1538"/>
      <c r="E167" s="1538"/>
      <c r="F167" s="1538"/>
      <c r="G167" s="1538"/>
      <c r="H167" s="1538"/>
      <c r="I167" s="1538"/>
      <c r="J167" s="1538"/>
      <c r="K167" s="1538"/>
      <c r="L167" s="1538"/>
      <c r="M167" s="1538"/>
      <c r="N167" s="1538"/>
      <c r="O167" s="1538"/>
      <c r="P167" s="1538"/>
      <c r="Q167" s="1538"/>
      <c r="R167" s="1538"/>
      <c r="S167" s="1538"/>
      <c r="T167" s="1538"/>
      <c r="U167" s="1538"/>
      <c r="V167" s="1538"/>
      <c r="W167" s="1566"/>
      <c r="X167" s="2920"/>
      <c r="Y167" s="2920"/>
      <c r="Z167" s="2920"/>
    </row>
    <row r="168" spans="1:26" s="1565" customFormat="1">
      <c r="A168" s="1681"/>
      <c r="B168" s="1682"/>
      <c r="C168" s="1683" t="s">
        <v>1275</v>
      </c>
      <c r="D168" s="1538"/>
      <c r="E168" s="1538"/>
      <c r="F168" s="1538"/>
      <c r="G168" s="1538"/>
      <c r="H168" s="1538"/>
      <c r="I168" s="1538"/>
      <c r="J168" s="1538"/>
      <c r="K168" s="1538"/>
      <c r="L168" s="1538"/>
      <c r="M168" s="1538"/>
      <c r="N168" s="1538"/>
      <c r="O168" s="1538"/>
      <c r="P168" s="1538"/>
      <c r="Q168" s="1538"/>
      <c r="R168" s="1538"/>
      <c r="S168" s="1538"/>
      <c r="T168" s="1538"/>
      <c r="U168" s="1538"/>
      <c r="V168" s="1538"/>
      <c r="W168" s="1566"/>
      <c r="X168" s="2920"/>
      <c r="Y168" s="2920"/>
      <c r="Z168" s="2920"/>
    </row>
    <row r="169" spans="1:26" s="1565" customFormat="1">
      <c r="A169" s="1681" t="s">
        <v>844</v>
      </c>
      <c r="B169" s="1688" t="s">
        <v>776</v>
      </c>
      <c r="C169" s="1685" t="s">
        <v>1321</v>
      </c>
      <c r="D169" s="1538"/>
      <c r="E169" s="1538"/>
      <c r="F169" s="1538"/>
      <c r="G169" s="1538"/>
      <c r="H169" s="1538"/>
      <c r="I169" s="1617"/>
      <c r="J169" s="1617"/>
      <c r="K169" s="1617"/>
      <c r="L169" s="1538"/>
      <c r="M169" s="1538"/>
      <c r="N169" s="1538"/>
      <c r="O169" s="1538"/>
      <c r="P169" s="1538"/>
      <c r="Q169" s="1538"/>
      <c r="R169" s="1538"/>
      <c r="S169" s="1538"/>
      <c r="T169" s="1538"/>
      <c r="U169" s="1617">
        <v>0</v>
      </c>
      <c r="V169" s="1617">
        <v>0</v>
      </c>
      <c r="W169" s="1641"/>
      <c r="X169" s="4249"/>
      <c r="Y169" s="2920"/>
      <c r="Z169" s="2920"/>
    </row>
    <row r="170" spans="1:26" s="1565" customFormat="1">
      <c r="A170" s="1535"/>
      <c r="B170" s="1536"/>
      <c r="C170" s="1560" t="s">
        <v>1350</v>
      </c>
      <c r="D170" s="1538"/>
      <c r="E170" s="1538"/>
      <c r="F170" s="1538"/>
      <c r="G170" s="1538"/>
      <c r="H170" s="1538"/>
      <c r="I170" s="1538"/>
      <c r="J170" s="1538"/>
      <c r="K170" s="1538"/>
      <c r="L170" s="1538"/>
      <c r="M170" s="1538"/>
      <c r="N170" s="1538"/>
      <c r="O170" s="1538"/>
      <c r="P170" s="1538"/>
      <c r="Q170" s="1538"/>
      <c r="R170" s="1538"/>
      <c r="S170" s="1538"/>
      <c r="T170" s="1538"/>
      <c r="U170" s="1538"/>
      <c r="V170" s="1538"/>
      <c r="W170" s="1566"/>
      <c r="X170" s="2920"/>
      <c r="Y170" s="2920"/>
      <c r="Z170" s="2920"/>
    </row>
    <row r="171" spans="1:26" s="1565" customFormat="1">
      <c r="A171" s="1689"/>
      <c r="B171" s="1690"/>
      <c r="C171" s="1691" t="s">
        <v>1361</v>
      </c>
      <c r="D171" s="1538"/>
      <c r="E171" s="1538"/>
      <c r="F171" s="1538"/>
      <c r="G171" s="1538"/>
      <c r="H171" s="1538"/>
      <c r="I171" s="1538"/>
      <c r="J171" s="1538"/>
      <c r="K171" s="1538"/>
      <c r="L171" s="1538"/>
      <c r="M171" s="1538"/>
      <c r="N171" s="1538"/>
      <c r="O171" s="1538"/>
      <c r="P171" s="1538"/>
      <c r="Q171" s="1538"/>
      <c r="R171" s="1538"/>
      <c r="S171" s="1538"/>
      <c r="T171" s="1538"/>
      <c r="U171" s="1538"/>
      <c r="V171" s="1538"/>
      <c r="W171" s="1566"/>
      <c r="X171" s="2920"/>
      <c r="Y171" s="2920"/>
      <c r="Z171" s="2920"/>
    </row>
    <row r="172" spans="1:26" s="1565" customFormat="1">
      <c r="A172" s="1689"/>
      <c r="B172" s="1690"/>
      <c r="C172" s="1691" t="s">
        <v>1340</v>
      </c>
      <c r="D172" s="1538"/>
      <c r="E172" s="1538"/>
      <c r="F172" s="1538"/>
      <c r="G172" s="1538"/>
      <c r="H172" s="1538"/>
      <c r="I172" s="1538"/>
      <c r="J172" s="1538"/>
      <c r="K172" s="1538"/>
      <c r="L172" s="1538"/>
      <c r="M172" s="1538"/>
      <c r="N172" s="1538"/>
      <c r="O172" s="1538"/>
      <c r="P172" s="1538"/>
      <c r="Q172" s="1538"/>
      <c r="R172" s="1538"/>
      <c r="S172" s="1538"/>
      <c r="T172" s="1538"/>
      <c r="U172" s="1538"/>
      <c r="V172" s="1538"/>
      <c r="W172" s="1566"/>
      <c r="X172" s="2920"/>
      <c r="Y172" s="2920"/>
      <c r="Z172" s="2920"/>
    </row>
    <row r="173" spans="1:26" s="1565" customFormat="1">
      <c r="A173" s="1689"/>
      <c r="B173" s="1690"/>
      <c r="C173" s="1692" t="s">
        <v>1359</v>
      </c>
      <c r="D173" s="1538"/>
      <c r="E173" s="1538"/>
      <c r="F173" s="1538"/>
      <c r="G173" s="1538"/>
      <c r="H173" s="1538"/>
      <c r="I173" s="1538"/>
      <c r="J173" s="1538"/>
      <c r="K173" s="1538"/>
      <c r="L173" s="1538"/>
      <c r="M173" s="1538"/>
      <c r="N173" s="1538"/>
      <c r="O173" s="1538"/>
      <c r="P173" s="1538"/>
      <c r="Q173" s="1538"/>
      <c r="R173" s="1538"/>
      <c r="S173" s="1538"/>
      <c r="T173" s="1538"/>
      <c r="U173" s="1538"/>
      <c r="V173" s="1538"/>
      <c r="W173" s="1566"/>
      <c r="X173" s="2920"/>
      <c r="Y173" s="2920"/>
      <c r="Z173" s="2920"/>
    </row>
    <row r="174" spans="1:26" s="1565" customFormat="1">
      <c r="A174" s="1689" t="s">
        <v>845</v>
      </c>
      <c r="B174" s="1693" t="s">
        <v>777</v>
      </c>
      <c r="C174" s="1694" t="s">
        <v>1351</v>
      </c>
      <c r="D174" s="1538"/>
      <c r="E174" s="1538"/>
      <c r="F174" s="1538"/>
      <c r="G174" s="1538"/>
      <c r="H174" s="1538"/>
      <c r="I174" s="1538"/>
      <c r="J174" s="1538"/>
      <c r="K174" s="1538"/>
      <c r="L174" s="1538"/>
      <c r="M174" s="1538"/>
      <c r="N174" s="1538"/>
      <c r="O174" s="1538"/>
      <c r="P174" s="1538"/>
      <c r="Q174" s="1538"/>
      <c r="R174" s="1538"/>
      <c r="S174" s="1538"/>
      <c r="T174" s="1538"/>
      <c r="U174" s="1538"/>
      <c r="V174" s="1538"/>
      <c r="W174" s="1566"/>
      <c r="X174" s="2920"/>
      <c r="Y174" s="2920"/>
      <c r="Z174" s="2920"/>
    </row>
    <row r="175" spans="1:26" s="1565" customFormat="1">
      <c r="A175" s="1689" t="s">
        <v>846</v>
      </c>
      <c r="B175" s="1693" t="s">
        <v>778</v>
      </c>
      <c r="C175" s="1694" t="s">
        <v>1353</v>
      </c>
      <c r="D175" s="1538"/>
      <c r="E175" s="1538"/>
      <c r="F175" s="1538"/>
      <c r="G175" s="1538"/>
      <c r="H175" s="1538"/>
      <c r="I175" s="1538"/>
      <c r="J175" s="1538"/>
      <c r="K175" s="1538"/>
      <c r="L175" s="1538"/>
      <c r="M175" s="1538"/>
      <c r="N175" s="1538"/>
      <c r="O175" s="1538"/>
      <c r="P175" s="1538"/>
      <c r="Q175" s="1538"/>
      <c r="R175" s="1538"/>
      <c r="S175" s="1538"/>
      <c r="T175" s="1538"/>
      <c r="U175" s="1538">
        <v>0</v>
      </c>
      <c r="V175" s="1538">
        <v>0</v>
      </c>
      <c r="W175" s="1566"/>
      <c r="X175" s="2920"/>
      <c r="Y175" s="2920"/>
      <c r="Z175" s="2920"/>
    </row>
    <row r="176" spans="1:26" s="1566" customFormat="1">
      <c r="A176" s="1695" t="s">
        <v>847</v>
      </c>
      <c r="B176" s="1696" t="s">
        <v>779</v>
      </c>
      <c r="C176" s="1692" t="s">
        <v>1356</v>
      </c>
      <c r="D176" s="1630"/>
      <c r="E176" s="1630"/>
      <c r="F176" s="1630"/>
      <c r="G176" s="1630"/>
      <c r="H176" s="1630"/>
      <c r="I176" s="1617"/>
      <c r="J176" s="1630"/>
      <c r="K176" s="1630"/>
      <c r="L176" s="1630"/>
      <c r="M176" s="1630"/>
      <c r="N176" s="1630"/>
      <c r="O176" s="1630"/>
      <c r="P176" s="1630"/>
      <c r="Q176" s="1630"/>
      <c r="R176" s="1630"/>
      <c r="S176" s="1630"/>
      <c r="T176" s="1630"/>
      <c r="U176" s="1630">
        <v>0</v>
      </c>
      <c r="V176" s="1630">
        <v>0</v>
      </c>
      <c r="W176" s="1639"/>
      <c r="X176" s="2936"/>
      <c r="Y176" s="2936"/>
      <c r="Z176" s="2936"/>
    </row>
    <row r="177" spans="1:26" s="1566" customFormat="1">
      <c r="A177" s="1695" t="s">
        <v>848</v>
      </c>
      <c r="B177" s="1697" t="s">
        <v>780</v>
      </c>
      <c r="C177" s="1692" t="s">
        <v>1352</v>
      </c>
      <c r="D177" s="1538"/>
      <c r="E177" s="1538"/>
      <c r="F177" s="1538"/>
      <c r="G177" s="1538"/>
      <c r="H177" s="1538"/>
      <c r="I177" s="1538"/>
      <c r="J177" s="1538"/>
      <c r="K177" s="1538"/>
      <c r="L177" s="1538"/>
      <c r="M177" s="1538"/>
      <c r="N177" s="1538"/>
      <c r="O177" s="1538"/>
      <c r="P177" s="1538"/>
      <c r="Q177" s="1538"/>
      <c r="R177" s="1538"/>
      <c r="S177" s="1538"/>
      <c r="T177" s="1538"/>
      <c r="U177" s="1538"/>
      <c r="V177" s="1538"/>
      <c r="X177" s="2920"/>
      <c r="Y177" s="2920"/>
      <c r="Z177" s="2920"/>
    </row>
    <row r="178" spans="1:26" s="1566" customFormat="1">
      <c r="A178" s="1695" t="s">
        <v>849</v>
      </c>
      <c r="B178" s="1696" t="s">
        <v>781</v>
      </c>
      <c r="C178" s="1692" t="s">
        <v>1357</v>
      </c>
      <c r="D178" s="1585"/>
      <c r="E178" s="1585"/>
      <c r="F178" s="1585"/>
      <c r="G178" s="1585"/>
      <c r="H178" s="1585"/>
      <c r="I178" s="1538"/>
      <c r="J178" s="1538"/>
      <c r="K178" s="1538"/>
      <c r="L178" s="1538"/>
      <c r="M178" s="1538"/>
      <c r="N178" s="1538"/>
      <c r="O178" s="1538"/>
      <c r="P178" s="1538"/>
      <c r="Q178" s="1538"/>
      <c r="R178" s="1538"/>
      <c r="S178" s="1538"/>
      <c r="T178" s="1538"/>
      <c r="U178" s="1538">
        <v>0</v>
      </c>
      <c r="V178" s="1538">
        <v>0</v>
      </c>
      <c r="X178" s="2920"/>
      <c r="Y178" s="2920"/>
      <c r="Z178" s="2920"/>
    </row>
    <row r="179" spans="1:26" s="1566" customFormat="1">
      <c r="A179" s="1695"/>
      <c r="B179" s="1698"/>
      <c r="C179" s="1699" t="s">
        <v>418</v>
      </c>
      <c r="D179" s="1538"/>
      <c r="E179" s="1538"/>
      <c r="F179" s="1538"/>
      <c r="G179" s="1538"/>
      <c r="H179" s="1538"/>
      <c r="I179" s="1538"/>
      <c r="J179" s="1538"/>
      <c r="K179" s="1538"/>
      <c r="L179" s="1538"/>
      <c r="M179" s="1538"/>
      <c r="N179" s="1538"/>
      <c r="O179" s="1538"/>
      <c r="P179" s="1538"/>
      <c r="Q179" s="1538"/>
      <c r="R179" s="1538"/>
      <c r="S179" s="1538"/>
      <c r="T179" s="1538"/>
      <c r="U179" s="1538"/>
      <c r="V179" s="1538"/>
      <c r="X179" s="2920"/>
      <c r="Y179" s="2920"/>
      <c r="Z179" s="2920"/>
    </row>
    <row r="180" spans="1:26" s="1566" customFormat="1">
      <c r="A180" s="1695"/>
      <c r="B180" s="1698"/>
      <c r="C180" s="1692" t="s">
        <v>1363</v>
      </c>
      <c r="D180" s="1538"/>
      <c r="E180" s="1538"/>
      <c r="F180" s="1538"/>
      <c r="G180" s="1538"/>
      <c r="H180" s="1538"/>
      <c r="I180" s="1538"/>
      <c r="J180" s="1538"/>
      <c r="K180" s="1538"/>
      <c r="L180" s="1538"/>
      <c r="M180" s="1538"/>
      <c r="N180" s="1538"/>
      <c r="O180" s="1538"/>
      <c r="P180" s="1538"/>
      <c r="Q180" s="1538"/>
      <c r="R180" s="1538"/>
      <c r="S180" s="1538"/>
      <c r="T180" s="1538"/>
      <c r="U180" s="1538"/>
      <c r="V180" s="1538"/>
      <c r="X180" s="2920"/>
      <c r="Y180" s="2920"/>
      <c r="Z180" s="2920"/>
    </row>
    <row r="181" spans="1:26" s="1566" customFormat="1">
      <c r="A181" s="1695" t="s">
        <v>850</v>
      </c>
      <c r="B181" s="1697" t="s">
        <v>782</v>
      </c>
      <c r="C181" s="1692" t="s">
        <v>1351</v>
      </c>
      <c r="D181" s="1538"/>
      <c r="E181" s="1538"/>
      <c r="F181" s="1538"/>
      <c r="G181" s="1538"/>
      <c r="H181" s="1538"/>
      <c r="I181" s="1538"/>
      <c r="J181" s="1538"/>
      <c r="K181" s="1538"/>
      <c r="L181" s="1538"/>
      <c r="M181" s="1538"/>
      <c r="N181" s="1538"/>
      <c r="O181" s="1538"/>
      <c r="P181" s="1538"/>
      <c r="Q181" s="1538"/>
      <c r="R181" s="1538"/>
      <c r="S181" s="1538"/>
      <c r="T181" s="1538"/>
      <c r="U181" s="1538"/>
      <c r="V181" s="1538"/>
      <c r="X181" s="2920"/>
      <c r="Y181" s="2920"/>
      <c r="Z181" s="2920"/>
    </row>
    <row r="182" spans="1:26" s="1566" customFormat="1">
      <c r="A182" s="1695" t="s">
        <v>851</v>
      </c>
      <c r="B182" s="1698" t="s">
        <v>783</v>
      </c>
      <c r="C182" s="1692" t="s">
        <v>1353</v>
      </c>
      <c r="D182" s="1538"/>
      <c r="E182" s="1538"/>
      <c r="F182" s="1538"/>
      <c r="G182" s="1538"/>
      <c r="H182" s="1538"/>
      <c r="I182" s="1538"/>
      <c r="J182" s="1538"/>
      <c r="K182" s="1538"/>
      <c r="L182" s="1538"/>
      <c r="M182" s="1538"/>
      <c r="N182" s="1538"/>
      <c r="O182" s="1538"/>
      <c r="P182" s="1538"/>
      <c r="Q182" s="1538"/>
      <c r="R182" s="1538"/>
      <c r="S182" s="1538"/>
      <c r="T182" s="1538"/>
      <c r="U182" s="1538">
        <v>0</v>
      </c>
      <c r="V182" s="1538">
        <v>0</v>
      </c>
      <c r="X182" s="2920"/>
      <c r="Y182" s="2920"/>
      <c r="Z182" s="2920"/>
    </row>
    <row r="183" spans="1:26" s="1566" customFormat="1">
      <c r="A183" s="1695" t="s">
        <v>852</v>
      </c>
      <c r="B183" s="1697" t="s">
        <v>784</v>
      </c>
      <c r="C183" s="1692" t="s">
        <v>1356</v>
      </c>
      <c r="D183" s="1630"/>
      <c r="E183" s="1630"/>
      <c r="F183" s="1630"/>
      <c r="G183" s="1630"/>
      <c r="H183" s="1630"/>
      <c r="I183" s="1617"/>
      <c r="J183" s="1630"/>
      <c r="K183" s="1630"/>
      <c r="L183" s="1630"/>
      <c r="M183" s="1630"/>
      <c r="N183" s="1630"/>
      <c r="O183" s="1630"/>
      <c r="P183" s="1630"/>
      <c r="Q183" s="1630"/>
      <c r="R183" s="1630"/>
      <c r="S183" s="1630"/>
      <c r="T183" s="1630"/>
      <c r="U183" s="1630">
        <v>0</v>
      </c>
      <c r="V183" s="1630">
        <v>0</v>
      </c>
      <c r="W183" s="1639"/>
      <c r="X183" s="2936"/>
      <c r="Y183" s="2936"/>
      <c r="Z183" s="2936"/>
    </row>
    <row r="184" spans="1:26" s="1566" customFormat="1">
      <c r="A184" s="1695" t="s">
        <v>853</v>
      </c>
      <c r="B184" s="1697" t="s">
        <v>785</v>
      </c>
      <c r="C184" s="1692" t="s">
        <v>1352</v>
      </c>
      <c r="D184" s="1538"/>
      <c r="E184" s="1538"/>
      <c r="F184" s="1538"/>
      <c r="G184" s="1538"/>
      <c r="H184" s="1538"/>
      <c r="I184" s="1538"/>
      <c r="J184" s="1538"/>
      <c r="K184" s="1538"/>
      <c r="L184" s="1538"/>
      <c r="M184" s="1538"/>
      <c r="N184" s="1538"/>
      <c r="O184" s="1538"/>
      <c r="P184" s="1538"/>
      <c r="Q184" s="1538"/>
      <c r="R184" s="1538"/>
      <c r="S184" s="1538"/>
      <c r="T184" s="1538"/>
      <c r="U184" s="1538"/>
      <c r="V184" s="1538"/>
      <c r="X184" s="2920"/>
      <c r="Y184" s="2920"/>
      <c r="Z184" s="2920"/>
    </row>
    <row r="185" spans="1:26" s="1566" customFormat="1">
      <c r="A185" s="1695" t="s">
        <v>854</v>
      </c>
      <c r="B185" s="1696" t="s">
        <v>786</v>
      </c>
      <c r="C185" s="1692" t="s">
        <v>1357</v>
      </c>
      <c r="D185" s="1585"/>
      <c r="E185" s="1585"/>
      <c r="F185" s="1585"/>
      <c r="G185" s="1585"/>
      <c r="H185" s="1585"/>
      <c r="I185" s="1538"/>
      <c r="J185" s="1538"/>
      <c r="K185" s="1538"/>
      <c r="L185" s="1538"/>
      <c r="M185" s="1538"/>
      <c r="N185" s="1538"/>
      <c r="O185" s="1538"/>
      <c r="P185" s="1538"/>
      <c r="Q185" s="1538"/>
      <c r="R185" s="1538"/>
      <c r="S185" s="1538"/>
      <c r="T185" s="1538"/>
      <c r="U185" s="1538">
        <v>0</v>
      </c>
      <c r="V185" s="1538">
        <v>0</v>
      </c>
      <c r="X185" s="2920"/>
      <c r="Y185" s="2920"/>
      <c r="Z185" s="2920"/>
    </row>
    <row r="186" spans="1:26" s="1565" customFormat="1">
      <c r="A186" s="1689"/>
      <c r="B186" s="1690"/>
      <c r="C186" s="1691" t="s">
        <v>1364</v>
      </c>
      <c r="D186" s="1538"/>
      <c r="E186" s="1538"/>
      <c r="F186" s="1538"/>
      <c r="G186" s="1538"/>
      <c r="H186" s="1538"/>
      <c r="I186" s="1538"/>
      <c r="J186" s="1538"/>
      <c r="K186" s="1538"/>
      <c r="L186" s="1538"/>
      <c r="M186" s="1538"/>
      <c r="N186" s="1538"/>
      <c r="O186" s="1538"/>
      <c r="P186" s="1538"/>
      <c r="Q186" s="1538"/>
      <c r="R186" s="1538"/>
      <c r="S186" s="1538"/>
      <c r="T186" s="1538"/>
      <c r="U186" s="1538"/>
      <c r="V186" s="1538"/>
      <c r="W186" s="1566"/>
      <c r="X186" s="2920"/>
      <c r="Y186" s="2920"/>
      <c r="Z186" s="2920"/>
    </row>
    <row r="187" spans="1:26" s="1565" customFormat="1">
      <c r="A187" s="1689"/>
      <c r="B187" s="1690"/>
      <c r="C187" s="1694" t="s">
        <v>1365</v>
      </c>
      <c r="D187" s="1538"/>
      <c r="E187" s="1538"/>
      <c r="F187" s="1538"/>
      <c r="G187" s="1538"/>
      <c r="H187" s="1538"/>
      <c r="I187" s="1538"/>
      <c r="J187" s="1538"/>
      <c r="K187" s="1538"/>
      <c r="L187" s="1538"/>
      <c r="M187" s="1538"/>
      <c r="N187" s="1538"/>
      <c r="O187" s="1538"/>
      <c r="P187" s="1538"/>
      <c r="Q187" s="1538"/>
      <c r="R187" s="1538"/>
      <c r="S187" s="1538"/>
      <c r="T187" s="1538"/>
      <c r="U187" s="1538"/>
      <c r="V187" s="1538"/>
      <c r="W187" s="1566"/>
      <c r="X187" s="2920"/>
      <c r="Y187" s="2920"/>
      <c r="Z187" s="2920"/>
    </row>
    <row r="188" spans="1:26" s="1565" customFormat="1">
      <c r="A188" s="1689" t="s">
        <v>855</v>
      </c>
      <c r="B188" s="1690" t="s">
        <v>787</v>
      </c>
      <c r="C188" s="1694" t="s">
        <v>119</v>
      </c>
      <c r="D188" s="1538"/>
      <c r="E188" s="1538"/>
      <c r="F188" s="1538"/>
      <c r="G188" s="1538"/>
      <c r="H188" s="1538"/>
      <c r="I188" s="1538"/>
      <c r="J188" s="1538"/>
      <c r="K188" s="1538"/>
      <c r="L188" s="1538"/>
      <c r="M188" s="1538"/>
      <c r="N188" s="1538"/>
      <c r="O188" s="1538"/>
      <c r="P188" s="1538"/>
      <c r="Q188" s="1538"/>
      <c r="R188" s="1538"/>
      <c r="S188" s="1538"/>
      <c r="T188" s="1538"/>
      <c r="U188" s="1538">
        <v>0</v>
      </c>
      <c r="V188" s="1538">
        <v>0</v>
      </c>
      <c r="W188" s="1566"/>
      <c r="X188" s="2920"/>
      <c r="Y188" s="2920"/>
      <c r="Z188" s="2920"/>
    </row>
    <row r="189" spans="1:26" s="1565" customFormat="1">
      <c r="A189" s="1689" t="s">
        <v>856</v>
      </c>
      <c r="B189" s="1693" t="s">
        <v>788</v>
      </c>
      <c r="C189" s="1694" t="s">
        <v>435</v>
      </c>
      <c r="D189" s="1538"/>
      <c r="E189" s="1538"/>
      <c r="F189" s="1538"/>
      <c r="G189" s="1538"/>
      <c r="H189" s="1538"/>
      <c r="I189" s="1538"/>
      <c r="J189" s="1538"/>
      <c r="K189" s="1538"/>
      <c r="L189" s="1538"/>
      <c r="M189" s="1538"/>
      <c r="N189" s="1538"/>
      <c r="O189" s="1538"/>
      <c r="P189" s="1538"/>
      <c r="Q189" s="1538"/>
      <c r="R189" s="1538"/>
      <c r="S189" s="1538"/>
      <c r="T189" s="1538"/>
      <c r="U189" s="1617">
        <v>0</v>
      </c>
      <c r="V189" s="1617">
        <v>0</v>
      </c>
      <c r="W189" s="1641"/>
      <c r="X189" s="4249"/>
      <c r="Y189" s="2920"/>
      <c r="Z189" s="2920"/>
    </row>
    <row r="190" spans="1:26" s="1565" customFormat="1">
      <c r="A190" s="1689" t="s">
        <v>857</v>
      </c>
      <c r="B190" s="1693" t="s">
        <v>789</v>
      </c>
      <c r="C190" s="1694" t="s">
        <v>436</v>
      </c>
      <c r="D190" s="1538"/>
      <c r="E190" s="1538"/>
      <c r="F190" s="1538"/>
      <c r="G190" s="1538"/>
      <c r="H190" s="1538"/>
      <c r="I190" s="1538"/>
      <c r="J190" s="1538"/>
      <c r="K190" s="1538"/>
      <c r="L190" s="1538"/>
      <c r="M190" s="1538"/>
      <c r="N190" s="1538"/>
      <c r="O190" s="1538"/>
      <c r="P190" s="1538"/>
      <c r="Q190" s="1538"/>
      <c r="R190" s="1538"/>
      <c r="S190" s="1538"/>
      <c r="T190" s="1538"/>
      <c r="U190" s="1617">
        <v>0</v>
      </c>
      <c r="V190" s="1617">
        <v>0</v>
      </c>
      <c r="W190" s="1641"/>
      <c r="X190" s="4249"/>
      <c r="Y190" s="2920"/>
      <c r="Z190" s="2920"/>
    </row>
    <row r="191" spans="1:26" s="1565" customFormat="1">
      <c r="A191" s="1689"/>
      <c r="B191" s="1690"/>
      <c r="C191" s="1694" t="s">
        <v>1368</v>
      </c>
      <c r="D191" s="1538"/>
      <c r="E191" s="1538"/>
      <c r="F191" s="1538"/>
      <c r="G191" s="1538"/>
      <c r="H191" s="1538"/>
      <c r="I191" s="1538"/>
      <c r="J191" s="1538"/>
      <c r="K191" s="1538"/>
      <c r="L191" s="1538"/>
      <c r="M191" s="1538"/>
      <c r="N191" s="1538"/>
      <c r="O191" s="1538"/>
      <c r="P191" s="1538"/>
      <c r="Q191" s="1538"/>
      <c r="R191" s="1538"/>
      <c r="S191" s="1538"/>
      <c r="T191" s="1538"/>
      <c r="U191" s="1538"/>
      <c r="V191" s="1538"/>
      <c r="W191" s="1566"/>
      <c r="X191" s="2920"/>
      <c r="Y191" s="2920"/>
      <c r="Z191" s="2920"/>
    </row>
    <row r="192" spans="1:26" s="1565" customFormat="1">
      <c r="A192" s="1689" t="s">
        <v>858</v>
      </c>
      <c r="B192" s="1690" t="s">
        <v>790</v>
      </c>
      <c r="C192" s="1694" t="s">
        <v>119</v>
      </c>
      <c r="D192" s="1538"/>
      <c r="E192" s="1538"/>
      <c r="F192" s="1538"/>
      <c r="G192" s="1538"/>
      <c r="H192" s="1538"/>
      <c r="I192" s="1538"/>
      <c r="J192" s="1538"/>
      <c r="K192" s="1538"/>
      <c r="L192" s="1538"/>
      <c r="M192" s="1538"/>
      <c r="N192" s="1538"/>
      <c r="O192" s="1538"/>
      <c r="P192" s="1538"/>
      <c r="Q192" s="1538"/>
      <c r="R192" s="1538"/>
      <c r="S192" s="1538"/>
      <c r="T192" s="1538"/>
      <c r="U192" s="1538">
        <v>0</v>
      </c>
      <c r="V192" s="1538">
        <v>0</v>
      </c>
      <c r="W192" s="1566"/>
      <c r="X192" s="2920"/>
      <c r="Y192" s="2920"/>
      <c r="Z192" s="2920"/>
    </row>
    <row r="193" spans="1:26" s="1565" customFormat="1">
      <c r="A193" s="1689" t="s">
        <v>859</v>
      </c>
      <c r="B193" s="1693" t="s">
        <v>791</v>
      </c>
      <c r="C193" s="1694" t="s">
        <v>435</v>
      </c>
      <c r="D193" s="1538"/>
      <c r="E193" s="1538"/>
      <c r="F193" s="1538"/>
      <c r="G193" s="1538"/>
      <c r="H193" s="1538"/>
      <c r="I193" s="1538"/>
      <c r="J193" s="1538"/>
      <c r="K193" s="1538"/>
      <c r="L193" s="1538"/>
      <c r="M193" s="1538"/>
      <c r="N193" s="1538"/>
      <c r="O193" s="1538"/>
      <c r="P193" s="1538"/>
      <c r="Q193" s="1538"/>
      <c r="R193" s="1538"/>
      <c r="S193" s="1538"/>
      <c r="T193" s="1538"/>
      <c r="U193" s="1617">
        <v>0</v>
      </c>
      <c r="V193" s="1617">
        <v>0</v>
      </c>
      <c r="W193" s="1641"/>
      <c r="X193" s="4249"/>
      <c r="Y193" s="2920"/>
      <c r="Z193" s="2920"/>
    </row>
    <row r="194" spans="1:26" s="1565" customFormat="1">
      <c r="A194" s="1689" t="s">
        <v>860</v>
      </c>
      <c r="B194" s="1693" t="s">
        <v>792</v>
      </c>
      <c r="C194" s="1694" t="s">
        <v>436</v>
      </c>
      <c r="D194" s="1538"/>
      <c r="E194" s="1538"/>
      <c r="F194" s="1538"/>
      <c r="G194" s="1538"/>
      <c r="H194" s="1538"/>
      <c r="I194" s="1538"/>
      <c r="J194" s="1538"/>
      <c r="K194" s="1538"/>
      <c r="L194" s="1538"/>
      <c r="M194" s="1538"/>
      <c r="N194" s="1538"/>
      <c r="O194" s="1538"/>
      <c r="P194" s="1538"/>
      <c r="Q194" s="1538"/>
      <c r="R194" s="1538"/>
      <c r="S194" s="1538"/>
      <c r="T194" s="1538"/>
      <c r="U194" s="1617">
        <v>0</v>
      </c>
      <c r="V194" s="1617">
        <v>0</v>
      </c>
      <c r="W194" s="1641"/>
      <c r="X194" s="4249"/>
      <c r="Y194" s="2920"/>
      <c r="Z194" s="2920"/>
    </row>
    <row r="195" spans="1:26" s="1565" customFormat="1">
      <c r="A195" s="1689"/>
      <c r="B195" s="1690"/>
      <c r="C195" s="1691" t="s">
        <v>111</v>
      </c>
      <c r="D195" s="1538"/>
      <c r="E195" s="1538"/>
      <c r="F195" s="1538"/>
      <c r="G195" s="1538"/>
      <c r="H195" s="1538"/>
      <c r="I195" s="1538"/>
      <c r="J195" s="1538"/>
      <c r="K195" s="1538"/>
      <c r="L195" s="1538"/>
      <c r="M195" s="1538"/>
      <c r="N195" s="1538"/>
      <c r="O195" s="1538"/>
      <c r="P195" s="1538"/>
      <c r="Q195" s="1538"/>
      <c r="R195" s="1538"/>
      <c r="S195" s="1538"/>
      <c r="T195" s="1538"/>
      <c r="U195" s="1538"/>
      <c r="V195" s="1538"/>
      <c r="W195" s="1566"/>
      <c r="X195" s="2920"/>
      <c r="Y195" s="2920"/>
      <c r="Z195" s="2920"/>
    </row>
    <row r="196" spans="1:26" s="1565" customFormat="1">
      <c r="A196" s="1689"/>
      <c r="B196" s="1690"/>
      <c r="C196" s="1691" t="s">
        <v>112</v>
      </c>
      <c r="D196" s="1538"/>
      <c r="E196" s="1538"/>
      <c r="F196" s="1538"/>
      <c r="G196" s="1538"/>
      <c r="H196" s="1538"/>
      <c r="I196" s="1538"/>
      <c r="J196" s="1538"/>
      <c r="K196" s="1538"/>
      <c r="L196" s="1538"/>
      <c r="M196" s="1538"/>
      <c r="N196" s="1538"/>
      <c r="O196" s="1538"/>
      <c r="P196" s="1538"/>
      <c r="Q196" s="1538"/>
      <c r="R196" s="1538"/>
      <c r="S196" s="1538"/>
      <c r="T196" s="1538"/>
      <c r="U196" s="1538"/>
      <c r="V196" s="1538"/>
      <c r="W196" s="1566"/>
      <c r="X196" s="2920"/>
      <c r="Y196" s="2920"/>
      <c r="Z196" s="2920"/>
    </row>
    <row r="197" spans="1:26" s="1565" customFormat="1">
      <c r="A197" s="1689" t="s">
        <v>861</v>
      </c>
      <c r="B197" s="1690" t="s">
        <v>793</v>
      </c>
      <c r="C197" s="1694" t="s">
        <v>425</v>
      </c>
      <c r="D197" s="1538"/>
      <c r="E197" s="1538"/>
      <c r="F197" s="1538"/>
      <c r="G197" s="1538"/>
      <c r="H197" s="1538"/>
      <c r="I197" s="1538"/>
      <c r="J197" s="1538"/>
      <c r="K197" s="1538"/>
      <c r="L197" s="1538"/>
      <c r="M197" s="1538"/>
      <c r="N197" s="1538"/>
      <c r="O197" s="1538"/>
      <c r="P197" s="1538"/>
      <c r="Q197" s="1538"/>
      <c r="R197" s="1538"/>
      <c r="S197" s="1538"/>
      <c r="T197" s="1538"/>
      <c r="U197" s="1538"/>
      <c r="V197" s="1538"/>
      <c r="W197" s="1566"/>
      <c r="X197" s="2920"/>
      <c r="Y197" s="2920"/>
      <c r="Z197" s="2920"/>
    </row>
    <row r="198" spans="1:26" s="1565" customFormat="1">
      <c r="A198" s="1689" t="s">
        <v>862</v>
      </c>
      <c r="B198" s="1690" t="s">
        <v>794</v>
      </c>
      <c r="C198" s="1694" t="s">
        <v>426</v>
      </c>
      <c r="D198" s="1538"/>
      <c r="E198" s="1538"/>
      <c r="F198" s="1538"/>
      <c r="G198" s="1538"/>
      <c r="H198" s="1538"/>
      <c r="I198" s="1538"/>
      <c r="J198" s="1538"/>
      <c r="K198" s="1538"/>
      <c r="L198" s="1538"/>
      <c r="M198" s="1538"/>
      <c r="N198" s="1538"/>
      <c r="O198" s="1538"/>
      <c r="P198" s="1538"/>
      <c r="Q198" s="1538"/>
      <c r="R198" s="1538"/>
      <c r="S198" s="1538"/>
      <c r="T198" s="1538"/>
      <c r="U198" s="1538"/>
      <c r="V198" s="1538"/>
      <c r="W198" s="1566"/>
      <c r="X198" s="2920"/>
      <c r="Y198" s="2920"/>
      <c r="Z198" s="2920"/>
    </row>
    <row r="199" spans="1:26" s="1565" customFormat="1">
      <c r="A199" s="1689" t="s">
        <v>863</v>
      </c>
      <c r="B199" s="1690" t="s">
        <v>795</v>
      </c>
      <c r="C199" s="1694" t="s">
        <v>427</v>
      </c>
      <c r="D199" s="1538"/>
      <c r="E199" s="1538"/>
      <c r="F199" s="1538"/>
      <c r="G199" s="1538"/>
      <c r="H199" s="1538"/>
      <c r="I199" s="1538"/>
      <c r="J199" s="1538"/>
      <c r="K199" s="1538"/>
      <c r="L199" s="1538"/>
      <c r="M199" s="1538"/>
      <c r="N199" s="1538"/>
      <c r="O199" s="1538"/>
      <c r="P199" s="1538"/>
      <c r="Q199" s="1538"/>
      <c r="R199" s="1538"/>
      <c r="S199" s="1538"/>
      <c r="T199" s="1538"/>
      <c r="U199" s="1538"/>
      <c r="V199" s="1538"/>
      <c r="W199" s="1566"/>
      <c r="X199" s="2920"/>
      <c r="Y199" s="2920"/>
      <c r="Z199" s="2920"/>
    </row>
    <row r="200" spans="1:26" s="1565" customFormat="1">
      <c r="A200" s="1689" t="s">
        <v>864</v>
      </c>
      <c r="B200" s="1690" t="s">
        <v>796</v>
      </c>
      <c r="C200" s="1694" t="s">
        <v>432</v>
      </c>
      <c r="D200" s="1538"/>
      <c r="E200" s="1538"/>
      <c r="F200" s="1538"/>
      <c r="G200" s="1538"/>
      <c r="H200" s="1538"/>
      <c r="I200" s="1538"/>
      <c r="J200" s="1538"/>
      <c r="K200" s="1538"/>
      <c r="L200" s="1538"/>
      <c r="M200" s="1538"/>
      <c r="N200" s="1538"/>
      <c r="O200" s="1538"/>
      <c r="P200" s="1538"/>
      <c r="Q200" s="1538"/>
      <c r="R200" s="1538"/>
      <c r="S200" s="1538"/>
      <c r="T200" s="1538"/>
      <c r="U200" s="1538"/>
      <c r="V200" s="1538"/>
      <c r="W200" s="1566"/>
      <c r="X200" s="2920"/>
      <c r="Y200" s="2920"/>
      <c r="Z200" s="2920"/>
    </row>
    <row r="201" spans="1:26" s="1565" customFormat="1">
      <c r="A201" s="1700"/>
      <c r="B201" s="1701"/>
      <c r="C201" s="1702" t="s">
        <v>1339</v>
      </c>
      <c r="D201" s="1538"/>
      <c r="E201" s="1538"/>
      <c r="F201" s="1538"/>
      <c r="G201" s="1538"/>
      <c r="H201" s="1538"/>
      <c r="I201" s="1538"/>
      <c r="J201" s="1538"/>
      <c r="K201" s="1538"/>
      <c r="L201" s="1538"/>
      <c r="M201" s="1538"/>
      <c r="N201" s="1538"/>
      <c r="O201" s="1538"/>
      <c r="P201" s="1538"/>
      <c r="Q201" s="1538"/>
      <c r="R201" s="1538"/>
      <c r="S201" s="1538"/>
      <c r="T201" s="1538"/>
      <c r="U201" s="1538"/>
      <c r="V201" s="1538"/>
      <c r="W201" s="1566"/>
      <c r="X201" s="2920"/>
      <c r="Y201" s="2920"/>
      <c r="Z201" s="2920"/>
    </row>
    <row r="202" spans="1:26" s="1565" customFormat="1">
      <c r="A202" s="1700"/>
      <c r="B202" s="1701"/>
      <c r="C202" s="1703" t="s">
        <v>1398</v>
      </c>
      <c r="D202" s="4109"/>
      <c r="E202" s="4109"/>
      <c r="F202" s="4109"/>
      <c r="G202" s="4109"/>
      <c r="H202" s="4109"/>
      <c r="I202" s="1538"/>
      <c r="J202" s="1538"/>
      <c r="K202" s="1538"/>
      <c r="L202" s="1538"/>
      <c r="M202" s="1538"/>
      <c r="N202" s="1538"/>
      <c r="O202" s="1538"/>
      <c r="P202" s="1538"/>
      <c r="Q202" s="1538"/>
      <c r="R202" s="1538"/>
      <c r="S202" s="1538"/>
      <c r="T202" s="1538"/>
      <c r="U202" s="1538"/>
      <c r="V202" s="1538"/>
      <c r="W202" s="1566"/>
      <c r="X202" s="2920"/>
      <c r="Y202" s="2920"/>
      <c r="Z202" s="2920"/>
    </row>
    <row r="203" spans="1:26" s="1706" customFormat="1">
      <c r="A203" s="1749" t="s">
        <v>939</v>
      </c>
      <c r="B203" s="1750"/>
      <c r="C203" s="1751" t="s">
        <v>1341</v>
      </c>
      <c r="D203" s="4124">
        <f>0.279*(3000/8760)/D$40</f>
        <v>3.8219178082191783</v>
      </c>
      <c r="E203" s="4124">
        <f>0.279*(3000/8760)/E$40</f>
        <v>3.8219178082191783</v>
      </c>
      <c r="F203" s="4124">
        <f>0.099*(3000/8760)/F$40</f>
        <v>0.90410958904109573</v>
      </c>
      <c r="G203" s="4124">
        <f>0.07*(7884/8760)/G$40</f>
        <v>0.15750000000000003</v>
      </c>
      <c r="H203" s="4124">
        <f>0.076*(7884/8760)/H$40</f>
        <v>0.17099999999999999</v>
      </c>
      <c r="I203" s="1752">
        <v>7.4999999999999997E-2</v>
      </c>
      <c r="J203" s="1752">
        <v>0</v>
      </c>
      <c r="K203" s="1752">
        <v>0.191</v>
      </c>
      <c r="L203" s="1752">
        <v>0</v>
      </c>
      <c r="M203" s="1752">
        <v>0</v>
      </c>
      <c r="N203" s="1752">
        <v>0</v>
      </c>
      <c r="O203" s="1752">
        <v>0</v>
      </c>
      <c r="P203" s="1752">
        <v>0</v>
      </c>
      <c r="Q203" s="1752">
        <v>0</v>
      </c>
      <c r="R203" s="1752">
        <v>0</v>
      </c>
      <c r="S203" s="1752">
        <v>0</v>
      </c>
      <c r="T203" s="1752">
        <v>0</v>
      </c>
      <c r="U203" s="1752">
        <v>0</v>
      </c>
      <c r="V203" s="1752">
        <v>0</v>
      </c>
      <c r="W203" s="1752"/>
      <c r="X203" s="2945"/>
      <c r="Y203" s="2945"/>
      <c r="Z203" s="2945"/>
    </row>
    <row r="204" spans="1:26" s="1706" customFormat="1" ht="14.25">
      <c r="A204" s="1749" t="s">
        <v>940</v>
      </c>
      <c r="B204" s="1750"/>
      <c r="C204" s="1751" t="s">
        <v>1342</v>
      </c>
      <c r="D204" s="4124">
        <f>0.054*(3000/8760)/D$40</f>
        <v>0.73972602739726023</v>
      </c>
      <c r="E204" s="4124">
        <f>0.054*(3000/8760)/E$40</f>
        <v>0.73972602739726023</v>
      </c>
      <c r="F204" s="4124">
        <f>0.031*(3000/8760)/F$40</f>
        <v>0.28310502283105016</v>
      </c>
      <c r="G204" s="4149">
        <f>0.024*(7884/8760)/G$40</f>
        <v>5.3999999999999999E-2</v>
      </c>
      <c r="H204" s="4149">
        <f>0.018*(7884/8760)/H$40</f>
        <v>4.0499999999999994E-2</v>
      </c>
      <c r="I204" s="1752">
        <v>1.2E-2</v>
      </c>
      <c r="J204" s="1705">
        <v>0</v>
      </c>
      <c r="K204" s="1705">
        <v>1.0999999999999999E-2</v>
      </c>
      <c r="L204" s="1705">
        <v>0</v>
      </c>
      <c r="M204" s="1705">
        <v>0</v>
      </c>
      <c r="N204" s="1705">
        <v>0</v>
      </c>
      <c r="O204" s="1705">
        <v>0</v>
      </c>
      <c r="P204" s="1705">
        <v>0</v>
      </c>
      <c r="Q204" s="1705">
        <v>0</v>
      </c>
      <c r="R204" s="1705">
        <v>0</v>
      </c>
      <c r="S204" s="1705">
        <v>0</v>
      </c>
      <c r="T204" s="1705">
        <v>0</v>
      </c>
      <c r="U204" s="1705">
        <v>0</v>
      </c>
      <c r="V204" s="1705">
        <v>0</v>
      </c>
      <c r="W204" s="1705"/>
      <c r="X204" s="2946"/>
      <c r="Y204" s="2946"/>
      <c r="Z204" s="2946"/>
    </row>
    <row r="205" spans="1:26" s="1706" customFormat="1" ht="14.25">
      <c r="A205" s="1749" t="s">
        <v>941</v>
      </c>
      <c r="B205" s="1750"/>
      <c r="C205" s="1751" t="s">
        <v>1343</v>
      </c>
      <c r="D205" s="4124">
        <f>0.368*(3000/8760)/D$40</f>
        <v>5.0410958904109577</v>
      </c>
      <c r="E205" s="4124">
        <f>0.368*(3000/8760)/E$40</f>
        <v>5.0410958904109577</v>
      </c>
      <c r="F205" s="4124">
        <f>0.19*(3000/8760)/F$40</f>
        <v>1.7351598173515979</v>
      </c>
      <c r="G205" s="4149">
        <f>0.208*(7884/8760)/G$40</f>
        <v>0.46799999999999997</v>
      </c>
      <c r="H205" s="4149">
        <f>0.315*(7884/8760)/H$40</f>
        <v>0.70874999999999999</v>
      </c>
      <c r="I205" s="1752">
        <v>0.105</v>
      </c>
      <c r="J205" s="1705">
        <v>0</v>
      </c>
      <c r="K205" s="1705">
        <v>5.8000000000000003E-2</v>
      </c>
      <c r="L205" s="1705">
        <v>0</v>
      </c>
      <c r="M205" s="1705">
        <v>0</v>
      </c>
      <c r="N205" s="1705">
        <v>0</v>
      </c>
      <c r="O205" s="1705">
        <v>0</v>
      </c>
      <c r="P205" s="1705">
        <v>0</v>
      </c>
      <c r="Q205" s="1705">
        <v>0</v>
      </c>
      <c r="R205" s="1705">
        <v>0</v>
      </c>
      <c r="S205" s="1705">
        <v>0</v>
      </c>
      <c r="T205" s="1705">
        <v>0</v>
      </c>
      <c r="U205" s="1705">
        <v>0</v>
      </c>
      <c r="V205" s="1705">
        <v>0</v>
      </c>
      <c r="W205" s="1705"/>
      <c r="X205" s="2946"/>
      <c r="Y205" s="2946"/>
      <c r="Z205" s="2946"/>
    </row>
    <row r="206" spans="1:26" s="1756" customFormat="1">
      <c r="A206" s="1753" t="s">
        <v>942</v>
      </c>
      <c r="B206" s="1754"/>
      <c r="C206" s="2768" t="s">
        <v>1711</v>
      </c>
      <c r="D206" s="4123">
        <f t="shared" ref="D206:H206" si="17">117.08*D19/1000</f>
        <v>1392.0811999999999</v>
      </c>
      <c r="E206" s="4123">
        <f t="shared" si="17"/>
        <v>1392.0811999999999</v>
      </c>
      <c r="F206" s="4123">
        <f t="shared" si="17"/>
        <v>1194.2159999999999</v>
      </c>
      <c r="G206" s="4123">
        <f t="shared" si="17"/>
        <v>875.75840000000005</v>
      </c>
      <c r="H206" s="4123">
        <f t="shared" si="17"/>
        <v>875.75840000000005</v>
      </c>
      <c r="I206" s="1912">
        <v>195</v>
      </c>
      <c r="J206" s="4123">
        <v>120</v>
      </c>
      <c r="K206" s="4123">
        <v>397</v>
      </c>
      <c r="L206" s="1912">
        <v>0</v>
      </c>
      <c r="M206" s="1912">
        <v>0</v>
      </c>
      <c r="N206" s="1912">
        <v>0</v>
      </c>
      <c r="O206" s="1912">
        <v>0</v>
      </c>
      <c r="P206" s="1912">
        <v>0</v>
      </c>
      <c r="Q206" s="1755">
        <v>0</v>
      </c>
      <c r="R206" s="1755">
        <v>0</v>
      </c>
      <c r="S206" s="1755">
        <v>0</v>
      </c>
      <c r="T206" s="1755">
        <v>0</v>
      </c>
      <c r="U206" s="1755">
        <v>0</v>
      </c>
      <c r="V206" s="1755">
        <v>0</v>
      </c>
      <c r="W206" s="1755"/>
      <c r="X206" s="2947"/>
      <c r="Y206" s="2963"/>
      <c r="Z206" s="2963"/>
    </row>
    <row r="207" spans="1:26" s="1706" customFormat="1">
      <c r="A207" s="1749" t="s">
        <v>943</v>
      </c>
      <c r="B207" s="1750"/>
      <c r="C207" s="1751" t="s">
        <v>294</v>
      </c>
      <c r="D207" s="4124"/>
      <c r="E207" s="4124"/>
      <c r="F207" s="4124"/>
      <c r="G207" s="4124"/>
      <c r="H207" s="4124"/>
      <c r="I207" s="1752"/>
      <c r="J207" s="4151"/>
      <c r="K207" s="4151"/>
      <c r="L207" s="1752"/>
      <c r="M207" s="1752"/>
      <c r="N207" s="1752"/>
      <c r="O207" s="1752"/>
      <c r="P207" s="1752"/>
      <c r="Q207" s="1752"/>
      <c r="R207" s="1752"/>
      <c r="S207" s="1752"/>
      <c r="T207" s="1752"/>
      <c r="U207" s="1752"/>
      <c r="V207" s="1752"/>
      <c r="W207" s="1707"/>
      <c r="X207" s="2945"/>
      <c r="Y207" s="2945"/>
      <c r="Z207" s="2945"/>
    </row>
    <row r="208" spans="1:26" s="1706" customFormat="1">
      <c r="A208" s="1749" t="s">
        <v>944</v>
      </c>
      <c r="B208" s="1750"/>
      <c r="C208" s="1751" t="s">
        <v>295</v>
      </c>
      <c r="D208" s="4124"/>
      <c r="E208" s="4124"/>
      <c r="F208" s="4124"/>
      <c r="G208" s="4124"/>
      <c r="H208" s="4124"/>
      <c r="I208" s="1752"/>
      <c r="J208" s="1752"/>
      <c r="K208" s="1752"/>
      <c r="L208" s="1752"/>
      <c r="M208" s="1752"/>
      <c r="N208" s="1752"/>
      <c r="O208" s="1752"/>
      <c r="P208" s="1752"/>
      <c r="Q208" s="1752"/>
      <c r="R208" s="1752"/>
      <c r="S208" s="1752"/>
      <c r="T208" s="1752"/>
      <c r="U208" s="1752"/>
      <c r="V208" s="1752"/>
      <c r="W208" s="1707"/>
      <c r="X208" s="2945"/>
      <c r="Y208" s="2945"/>
      <c r="Z208" s="2945"/>
    </row>
    <row r="209" spans="1:26" s="1706" customFormat="1">
      <c r="A209" s="1749" t="s">
        <v>945</v>
      </c>
      <c r="B209" s="1750"/>
      <c r="C209" s="1751" t="s">
        <v>296</v>
      </c>
      <c r="D209" s="4124"/>
      <c r="E209" s="4124"/>
      <c r="F209" s="4124"/>
      <c r="G209" s="4124"/>
      <c r="H209" s="4124"/>
      <c r="I209" s="1752"/>
      <c r="J209" s="1752"/>
      <c r="K209" s="1752"/>
      <c r="L209" s="1752"/>
      <c r="M209" s="1752"/>
      <c r="N209" s="1752"/>
      <c r="O209" s="1752"/>
      <c r="P209" s="1752"/>
      <c r="Q209" s="1752"/>
      <c r="R209" s="1752"/>
      <c r="S209" s="1752"/>
      <c r="T209" s="1752"/>
      <c r="U209" s="1752"/>
      <c r="V209" s="1752"/>
      <c r="W209" s="1707"/>
      <c r="X209" s="2945"/>
      <c r="Y209" s="2945"/>
      <c r="Z209" s="2945"/>
    </row>
    <row r="210" spans="1:26" s="1706" customFormat="1">
      <c r="A210" s="1749" t="s">
        <v>946</v>
      </c>
      <c r="B210" s="1750"/>
      <c r="C210" s="1751" t="s">
        <v>387</v>
      </c>
      <c r="D210" s="4124">
        <f>0.013*(3000/8760)/D$40</f>
        <v>0.17808219178082191</v>
      </c>
      <c r="E210" s="4124">
        <f>0.013*(3000/8760)/E$40</f>
        <v>0.17808219178082191</v>
      </c>
      <c r="F210" s="4124">
        <f>0.008*(3000/8760)/F$40</f>
        <v>7.3059360730593603E-2</v>
      </c>
      <c r="G210" s="4124">
        <f>0.005*(7884/8760)/G$40</f>
        <v>1.1250000000000001E-2</v>
      </c>
      <c r="H210" s="4124">
        <f>0.00525*(7884/8760)/H$40</f>
        <v>1.18125E-2</v>
      </c>
      <c r="I210" s="1752">
        <v>3.4000000000000002E-2</v>
      </c>
      <c r="J210" s="1752">
        <v>0</v>
      </c>
      <c r="K210" s="1752">
        <v>2.5999999999999999E-2</v>
      </c>
      <c r="L210" s="1752">
        <v>0</v>
      </c>
      <c r="M210" s="1752">
        <v>0</v>
      </c>
      <c r="N210" s="1752">
        <v>0</v>
      </c>
      <c r="O210" s="1752">
        <v>0</v>
      </c>
      <c r="P210" s="1752">
        <v>0</v>
      </c>
      <c r="Q210" s="1752">
        <v>0</v>
      </c>
      <c r="R210" s="1752">
        <v>0</v>
      </c>
      <c r="S210" s="1752">
        <v>0</v>
      </c>
      <c r="T210" s="1752">
        <v>0</v>
      </c>
      <c r="U210" s="1752">
        <v>0</v>
      </c>
      <c r="V210" s="1752">
        <v>0</v>
      </c>
      <c r="W210" s="1752"/>
      <c r="X210" s="2945"/>
      <c r="Y210" s="2945"/>
      <c r="Z210" s="2945"/>
    </row>
    <row r="211" spans="1:26" s="1706" customFormat="1">
      <c r="A211" s="1749" t="s">
        <v>947</v>
      </c>
      <c r="B211" s="1750"/>
      <c r="C211" s="1751" t="s">
        <v>375</v>
      </c>
      <c r="D211" s="4124">
        <f>0.134*(3000/8760)/D$40</f>
        <v>1.8356164383561642</v>
      </c>
      <c r="E211" s="4124">
        <f>0.134*(3000/8760)/E$40</f>
        <v>1.8356164383561642</v>
      </c>
      <c r="F211" s="4124">
        <f>0.062*(3000/8760)/F$40</f>
        <v>0.56621004566210031</v>
      </c>
      <c r="G211" s="4124">
        <f>0.037*(7884/8760)/G$40</f>
        <v>8.3249999999999991E-2</v>
      </c>
      <c r="H211" s="4124">
        <f>0.042*(7884/8760)/H$40</f>
        <v>9.4500000000000001E-2</v>
      </c>
      <c r="I211" s="1752">
        <v>0.2</v>
      </c>
      <c r="J211" s="1752">
        <v>0</v>
      </c>
      <c r="K211" s="1752">
        <v>0</v>
      </c>
      <c r="L211" s="1752">
        <v>0</v>
      </c>
      <c r="M211" s="1752">
        <v>0</v>
      </c>
      <c r="N211" s="1752">
        <v>0</v>
      </c>
      <c r="O211" s="1752">
        <v>0</v>
      </c>
      <c r="P211" s="1752">
        <v>0</v>
      </c>
      <c r="Q211" s="1752">
        <v>0</v>
      </c>
      <c r="R211" s="1752">
        <v>0</v>
      </c>
      <c r="S211" s="1752">
        <v>0</v>
      </c>
      <c r="T211" s="1752">
        <v>0</v>
      </c>
      <c r="U211" s="1752">
        <v>0</v>
      </c>
      <c r="V211" s="1752">
        <v>0</v>
      </c>
      <c r="W211" s="1752"/>
      <c r="X211" s="2945"/>
      <c r="Y211" s="2945"/>
      <c r="Z211" s="2945"/>
    </row>
    <row r="212" spans="1:26" s="1565" customFormat="1">
      <c r="A212" s="1700"/>
      <c r="B212" s="1701"/>
      <c r="C212" s="1703" t="s">
        <v>1345</v>
      </c>
      <c r="D212" s="1538"/>
      <c r="E212" s="1538"/>
      <c r="F212" s="1538"/>
      <c r="G212" s="1538"/>
      <c r="H212" s="1538"/>
      <c r="I212" s="1538"/>
      <c r="J212" s="1538"/>
      <c r="K212" s="1538"/>
      <c r="L212" s="1538"/>
      <c r="M212" s="1538"/>
      <c r="N212" s="1538"/>
      <c r="O212" s="1538"/>
      <c r="P212" s="1538"/>
      <c r="Q212" s="1538"/>
      <c r="R212" s="1538"/>
      <c r="S212" s="1538"/>
      <c r="T212" s="1538"/>
      <c r="U212" s="1538"/>
      <c r="V212" s="1538"/>
      <c r="W212" s="1566"/>
      <c r="X212" s="2920"/>
      <c r="Y212" s="2920"/>
      <c r="Z212" s="2920"/>
    </row>
    <row r="213" spans="1:26" s="1565" customFormat="1">
      <c r="A213" s="1700" t="s">
        <v>948</v>
      </c>
      <c r="B213" s="1701"/>
      <c r="C213" s="1704" t="s">
        <v>1346</v>
      </c>
      <c r="D213" s="1538"/>
      <c r="E213" s="1538"/>
      <c r="F213" s="1538"/>
      <c r="G213" s="1538"/>
      <c r="H213" s="1538"/>
      <c r="I213" s="1538"/>
      <c r="J213" s="1538"/>
      <c r="K213" s="1538"/>
      <c r="L213" s="1538"/>
      <c r="M213" s="1538"/>
      <c r="N213" s="1538"/>
      <c r="O213" s="1538"/>
      <c r="P213" s="1538"/>
      <c r="Q213" s="1538"/>
      <c r="R213" s="1538"/>
      <c r="S213" s="1538"/>
      <c r="T213" s="1538"/>
      <c r="U213" s="1538"/>
      <c r="V213" s="1538"/>
      <c r="W213" s="1566"/>
      <c r="X213" s="2920"/>
      <c r="Y213" s="2920"/>
      <c r="Z213" s="2920"/>
    </row>
    <row r="214" spans="1:26" s="1565" customFormat="1">
      <c r="A214" s="1700" t="s">
        <v>949</v>
      </c>
      <c r="B214" s="1701"/>
      <c r="C214" s="1704" t="s">
        <v>1347</v>
      </c>
      <c r="D214" s="1538"/>
      <c r="E214" s="1538"/>
      <c r="F214" s="1538"/>
      <c r="G214" s="1538"/>
      <c r="H214" s="1538"/>
      <c r="I214" s="1538"/>
      <c r="J214" s="1538"/>
      <c r="K214" s="1538"/>
      <c r="L214" s="1538"/>
      <c r="M214" s="1538"/>
      <c r="N214" s="1538"/>
      <c r="O214" s="1538"/>
      <c r="P214" s="1538"/>
      <c r="Q214" s="1538"/>
      <c r="R214" s="1538"/>
      <c r="S214" s="1538"/>
      <c r="T214" s="1538"/>
      <c r="U214" s="1538"/>
      <c r="V214" s="1538"/>
      <c r="W214" s="1566"/>
      <c r="X214" s="2920"/>
      <c r="Y214" s="2920"/>
      <c r="Z214" s="2920"/>
    </row>
    <row r="215" spans="1:26" s="1565" customFormat="1">
      <c r="A215" s="1700" t="s">
        <v>950</v>
      </c>
      <c r="B215" s="1701"/>
      <c r="C215" s="1704" t="s">
        <v>1349</v>
      </c>
      <c r="D215" s="1538"/>
      <c r="E215" s="1538"/>
      <c r="F215" s="1538"/>
      <c r="G215" s="1538"/>
      <c r="H215" s="1538"/>
      <c r="I215" s="1538"/>
      <c r="J215" s="1538"/>
      <c r="K215" s="1538"/>
      <c r="L215" s="1538"/>
      <c r="M215" s="1538"/>
      <c r="N215" s="1538"/>
      <c r="O215" s="1538"/>
      <c r="P215" s="1538"/>
      <c r="Q215" s="1538"/>
      <c r="R215" s="1538"/>
      <c r="S215" s="1538"/>
      <c r="T215" s="1538"/>
      <c r="U215" s="1538"/>
      <c r="V215" s="1538"/>
      <c r="W215" s="1566"/>
      <c r="X215" s="2920"/>
      <c r="Y215" s="2920"/>
      <c r="Z215" s="2920"/>
    </row>
    <row r="216" spans="1:26" s="1565" customFormat="1">
      <c r="A216" s="1535"/>
      <c r="C216" s="1608" t="s">
        <v>106</v>
      </c>
      <c r="D216" s="1538"/>
      <c r="E216" s="1538"/>
      <c r="F216" s="1538"/>
      <c r="G216" s="1538"/>
      <c r="H216" s="1538"/>
      <c r="I216" s="1538"/>
      <c r="J216" s="1538"/>
      <c r="K216" s="1538"/>
      <c r="L216" s="1538"/>
      <c r="M216" s="1538"/>
      <c r="N216" s="1538"/>
      <c r="O216" s="1538"/>
      <c r="P216" s="1538"/>
      <c r="Q216" s="1538"/>
      <c r="R216" s="1538"/>
      <c r="S216" s="1538"/>
      <c r="T216" s="1538"/>
      <c r="U216" s="1538"/>
      <c r="V216" s="1538"/>
      <c r="W216" s="1566"/>
      <c r="X216" s="2920"/>
      <c r="Y216" s="2920"/>
      <c r="Z216" s="2920"/>
    </row>
    <row r="217" spans="1:26" s="1711" customFormat="1">
      <c r="A217" s="1709" t="s">
        <v>995</v>
      </c>
      <c r="B217" s="1710"/>
      <c r="C217" s="1558" t="s">
        <v>1418</v>
      </c>
      <c r="D217" s="1711" t="s">
        <v>1177</v>
      </c>
      <c r="E217" s="1711" t="s">
        <v>1177</v>
      </c>
      <c r="F217" s="1711" t="s">
        <v>1177</v>
      </c>
      <c r="G217" s="1711" t="s">
        <v>1177</v>
      </c>
      <c r="H217" s="1711" t="s">
        <v>1177</v>
      </c>
      <c r="I217" s="1712" t="str">
        <f>IF(StartYr&lt;I220,"Y","N")</f>
        <v>Y</v>
      </c>
      <c r="J217" s="1717" t="str">
        <f t="shared" ref="J217:P217" si="18">IF(StartYr&lt;2017,"Y","N")</f>
        <v>Y</v>
      </c>
      <c r="K217" s="1717" t="str">
        <f t="shared" si="18"/>
        <v>Y</v>
      </c>
      <c r="L217" s="1717" t="str">
        <f t="shared" si="18"/>
        <v>Y</v>
      </c>
      <c r="M217" s="1717" t="str">
        <f t="shared" si="18"/>
        <v>Y</v>
      </c>
      <c r="N217" s="1717" t="str">
        <f t="shared" si="18"/>
        <v>Y</v>
      </c>
      <c r="O217" s="1717" t="str">
        <f t="shared" si="18"/>
        <v>Y</v>
      </c>
      <c r="P217" s="1717" t="str">
        <f t="shared" si="18"/>
        <v>Y</v>
      </c>
      <c r="Q217" s="1717" t="str">
        <f>IF(StartYr&lt;2017,"Y","N")</f>
        <v>Y</v>
      </c>
      <c r="R217" s="1717" t="str">
        <f>IF(StartYr&lt;2017,"Y","N")</f>
        <v>Y</v>
      </c>
      <c r="S217" s="1717" t="str">
        <f>IF(StartYr&lt;2017,"Y","N")</f>
        <v>Y</v>
      </c>
      <c r="T217" s="1717" t="str">
        <f>IF(StartYr&lt;2017,"Y","N")</f>
        <v>Y</v>
      </c>
      <c r="U217" s="1712" t="str">
        <f>IF(StartYr&lt;U220,"Y","N")</f>
        <v>Y</v>
      </c>
      <c r="V217" s="1712" t="str">
        <f>IF(StartYr&lt;V220,"Y","N")</f>
        <v>Y</v>
      </c>
      <c r="W217" s="1712"/>
      <c r="X217" s="2948"/>
      <c r="Y217" s="2951"/>
      <c r="Z217" s="2951"/>
    </row>
    <row r="218" spans="1:26" s="1711" customFormat="1">
      <c r="A218" s="1714" t="s">
        <v>996</v>
      </c>
      <c r="B218" s="1710"/>
      <c r="C218" s="1558" t="s">
        <v>1417</v>
      </c>
      <c r="I218" s="1715">
        <f>IF(StartYr&lt;I220,'Tax Incentives'!$D$17,0)</f>
        <v>0.3</v>
      </c>
      <c r="J218" s="1715">
        <f>IF(StartYr&lt;J220,'Tax Incentives'!$G$17,'Tax Incentives'!$G$11)</f>
        <v>0.3</v>
      </c>
      <c r="K218" s="1715">
        <f>IF(StartYr&lt;K220,'Tax Incentives'!$G$17,'Tax Incentives'!$G$11)</f>
        <v>0.3</v>
      </c>
      <c r="L218" s="1715">
        <f>IF(StartYr&lt;L220,'Tax Incentives'!$J$17,10%)</f>
        <v>0.3</v>
      </c>
      <c r="M218" s="1715">
        <f>IF(StartYr&lt;M220,'Tax Incentives'!$J$17,10%)</f>
        <v>0.3</v>
      </c>
      <c r="N218" s="1715">
        <f>IF(StartYr&lt;N220,'Tax Incentives'!$J$17,10%)</f>
        <v>0.3</v>
      </c>
      <c r="O218" s="1715">
        <f>IF(StartYr&lt;O220,'Tax Incentives'!$J$17,10%)</f>
        <v>0.3</v>
      </c>
      <c r="P218" s="1715">
        <f>IF(StartYr&lt;P220,'Tax Incentives'!$J$17,10%)</f>
        <v>0.3</v>
      </c>
      <c r="Q218" s="1715">
        <v>0.3</v>
      </c>
      <c r="R218" s="1715">
        <v>0.3</v>
      </c>
      <c r="S218" s="1715">
        <v>0.3</v>
      </c>
      <c r="T218" s="1715">
        <v>0.3</v>
      </c>
      <c r="U218" s="1715">
        <v>0.3</v>
      </c>
      <c r="V218" s="1715">
        <v>0.3</v>
      </c>
      <c r="W218" s="1715"/>
      <c r="X218" s="2949"/>
      <c r="Y218" s="2949"/>
      <c r="Z218" s="2949"/>
    </row>
    <row r="219" spans="1:26" s="1711" customFormat="1">
      <c r="A219" s="1714" t="s">
        <v>49</v>
      </c>
      <c r="B219" s="1710"/>
      <c r="C219" s="1558" t="s">
        <v>48</v>
      </c>
      <c r="I219" s="1715">
        <f t="shared" ref="I219:V219" si="19">0.5*I218</f>
        <v>0.15</v>
      </c>
      <c r="J219" s="1715">
        <f t="shared" si="19"/>
        <v>0.15</v>
      </c>
      <c r="K219" s="1715">
        <f t="shared" si="19"/>
        <v>0.15</v>
      </c>
      <c r="L219" s="1715">
        <f t="shared" si="19"/>
        <v>0.15</v>
      </c>
      <c r="M219" s="1715">
        <f t="shared" si="19"/>
        <v>0.15</v>
      </c>
      <c r="N219" s="1715">
        <f t="shared" si="19"/>
        <v>0.15</v>
      </c>
      <c r="O219" s="1715">
        <f t="shared" si="19"/>
        <v>0.15</v>
      </c>
      <c r="P219" s="1715">
        <f t="shared" si="19"/>
        <v>0.15</v>
      </c>
      <c r="Q219" s="1715">
        <f t="shared" si="19"/>
        <v>0.15</v>
      </c>
      <c r="R219" s="1715">
        <f t="shared" si="19"/>
        <v>0.15</v>
      </c>
      <c r="S219" s="1715">
        <f t="shared" si="19"/>
        <v>0.15</v>
      </c>
      <c r="T219" s="1715">
        <f t="shared" si="19"/>
        <v>0.15</v>
      </c>
      <c r="U219" s="1715">
        <f t="shared" si="19"/>
        <v>0.15</v>
      </c>
      <c r="V219" s="1715">
        <f t="shared" si="19"/>
        <v>0.15</v>
      </c>
      <c r="W219" s="1715"/>
      <c r="X219" s="2949"/>
      <c r="Y219" s="2949"/>
      <c r="Z219" s="2949"/>
    </row>
    <row r="220" spans="1:26" s="1995" customFormat="1">
      <c r="A220" s="1992" t="s">
        <v>45</v>
      </c>
      <c r="B220" s="1993"/>
      <c r="C220" s="1994" t="s">
        <v>44</v>
      </c>
      <c r="I220" s="1996">
        <f>'Tax Incentives'!$D$18</f>
        <v>2014</v>
      </c>
      <c r="J220" s="1996">
        <f>'Tax Incentives'!$G$18</f>
        <v>2014</v>
      </c>
      <c r="K220" s="1996">
        <f>'Tax Incentives'!$G$18</f>
        <v>2014</v>
      </c>
      <c r="L220" s="4163">
        <f>'Tax Incentives'!$J$13</f>
        <v>2017</v>
      </c>
      <c r="M220" s="4163">
        <f>'Tax Incentives'!$J$13</f>
        <v>2017</v>
      </c>
      <c r="N220" s="4163">
        <f>'Tax Incentives'!$J$13</f>
        <v>2017</v>
      </c>
      <c r="O220" s="4163">
        <f>'Tax Incentives'!$J$13</f>
        <v>2017</v>
      </c>
      <c r="P220" s="4163">
        <f>'Tax Incentives'!$J$13</f>
        <v>2017</v>
      </c>
      <c r="Q220" s="4163">
        <v>2017</v>
      </c>
      <c r="R220" s="4163">
        <v>2017</v>
      </c>
      <c r="S220" s="4163">
        <v>2017</v>
      </c>
      <c r="T220" s="4163">
        <v>2017</v>
      </c>
      <c r="U220" s="1996">
        <v>2014</v>
      </c>
      <c r="V220" s="1996">
        <v>2014</v>
      </c>
      <c r="W220" s="1996"/>
      <c r="X220" s="2950"/>
      <c r="Y220" s="2966"/>
      <c r="Z220" s="2966"/>
    </row>
    <row r="221" spans="1:26" s="2336" customFormat="1">
      <c r="A221" s="1992" t="s">
        <v>1643</v>
      </c>
      <c r="B221" s="1993"/>
      <c r="C221" s="1994" t="s">
        <v>1644</v>
      </c>
      <c r="D221" s="4052"/>
      <c r="E221" s="4052"/>
      <c r="F221" s="4052"/>
      <c r="G221" s="4052"/>
      <c r="H221" s="4052"/>
      <c r="I221" s="3834">
        <v>0.9</v>
      </c>
      <c r="J221" s="3834">
        <v>0.9</v>
      </c>
      <c r="K221" s="3834">
        <v>0.9</v>
      </c>
      <c r="L221" s="3834">
        <v>0.9</v>
      </c>
      <c r="M221" s="3834">
        <v>0.9</v>
      </c>
      <c r="N221" s="3834">
        <v>0.9</v>
      </c>
      <c r="O221" s="3834">
        <v>0.9</v>
      </c>
      <c r="P221" s="3834">
        <v>0.9</v>
      </c>
      <c r="Q221" s="3834">
        <v>0.9</v>
      </c>
      <c r="R221" s="3834">
        <v>0.9</v>
      </c>
      <c r="S221" s="3834">
        <v>0.9</v>
      </c>
      <c r="T221" s="3834">
        <v>0.9</v>
      </c>
      <c r="U221" s="3834">
        <v>0.75</v>
      </c>
      <c r="V221" s="3834">
        <v>0.75</v>
      </c>
      <c r="W221" s="896"/>
      <c r="X221" s="4253"/>
      <c r="Y221" s="4253"/>
      <c r="Z221" s="4253"/>
    </row>
    <row r="222" spans="1:26" s="1538" customFormat="1">
      <c r="A222" s="1709" t="s">
        <v>1204</v>
      </c>
      <c r="B222" s="1710"/>
      <c r="C222" s="1558" t="s">
        <v>1132</v>
      </c>
      <c r="D222" s="1538" t="s">
        <v>1177</v>
      </c>
      <c r="E222" s="1538" t="s">
        <v>1177</v>
      </c>
      <c r="F222" s="1538" t="s">
        <v>1177</v>
      </c>
      <c r="G222" s="1538" t="s">
        <v>1177</v>
      </c>
      <c r="H222" s="1538" t="s">
        <v>1177</v>
      </c>
      <c r="I222" s="1717" t="str">
        <f>IF(StartYr&lt;I226,"Y","N")</f>
        <v>Y</v>
      </c>
      <c r="J222" s="1717" t="str">
        <f>IF(StartYr&lt;J226,"Y","N")</f>
        <v>Y</v>
      </c>
      <c r="K222" s="1717" t="str">
        <f>IF(StartYr&lt;K226,"Y","N")</f>
        <v>Y</v>
      </c>
      <c r="L222" s="1717" t="s">
        <v>1177</v>
      </c>
      <c r="M222" s="1717" t="s">
        <v>1177</v>
      </c>
      <c r="N222" s="1717" t="s">
        <v>1177</v>
      </c>
      <c r="O222" s="1717" t="s">
        <v>1177</v>
      </c>
      <c r="P222" s="1717" t="s">
        <v>1177</v>
      </c>
      <c r="Q222" s="1717" t="s">
        <v>1177</v>
      </c>
      <c r="R222" s="1717" t="s">
        <v>1177</v>
      </c>
      <c r="S222" s="1717" t="s">
        <v>1177</v>
      </c>
      <c r="T222" s="1717" t="s">
        <v>1177</v>
      </c>
      <c r="U222" s="1717" t="str">
        <f>IF(StartYr&lt;U226,"Y","N")</f>
        <v>Y</v>
      </c>
      <c r="V222" s="1717" t="str">
        <f>IF(StartYr&lt;V226,"Y","N")</f>
        <v>Y</v>
      </c>
      <c r="W222" s="1717"/>
      <c r="X222" s="2951"/>
      <c r="Y222" s="2951"/>
      <c r="Z222" s="2951"/>
    </row>
    <row r="223" spans="1:26" s="1538" customFormat="1">
      <c r="A223" s="1709" t="s">
        <v>1205</v>
      </c>
      <c r="B223" s="1710"/>
      <c r="C223" s="1558" t="s">
        <v>34</v>
      </c>
      <c r="I223" s="1930">
        <f>ROUND('Tax Incentives'!$D$5/1000,3)</f>
        <v>0.01</v>
      </c>
      <c r="J223" s="1952">
        <f>ROUND('Tax Incentives'!$G$5/1000,3)</f>
        <v>2.1000000000000001E-2</v>
      </c>
      <c r="K223" s="1952">
        <f>ROUND('Tax Incentives'!$G$5/1000,3)</f>
        <v>2.1000000000000001E-2</v>
      </c>
      <c r="L223" s="1717"/>
      <c r="M223" s="1717"/>
      <c r="N223" s="1717"/>
      <c r="O223" s="1717"/>
      <c r="P223" s="1717"/>
      <c r="Q223" s="1717"/>
      <c r="R223" s="1717"/>
      <c r="S223" s="1717"/>
      <c r="T223" s="1717"/>
      <c r="U223" s="1717">
        <v>2.1000000000000001E-2</v>
      </c>
      <c r="V223" s="1717">
        <v>2.1000000000000001E-2</v>
      </c>
      <c r="W223" s="1717"/>
      <c r="X223" s="2951"/>
      <c r="Y223" s="2951"/>
      <c r="Z223" s="2951"/>
    </row>
    <row r="224" spans="1:26" s="1538" customFormat="1">
      <c r="A224" s="1709" t="s">
        <v>1209</v>
      </c>
      <c r="B224" s="1710"/>
      <c r="C224" s="1558" t="s">
        <v>1210</v>
      </c>
      <c r="I224" s="1717">
        <v>2008</v>
      </c>
      <c r="J224" s="1717">
        <v>2008</v>
      </c>
      <c r="K224" s="1717">
        <v>2008</v>
      </c>
      <c r="L224" s="1717"/>
      <c r="M224" s="1717"/>
      <c r="N224" s="1717"/>
      <c r="O224" s="1717"/>
      <c r="P224" s="1717"/>
      <c r="Q224" s="1717"/>
      <c r="R224" s="1717"/>
      <c r="S224" s="1717"/>
      <c r="T224" s="1717"/>
      <c r="U224" s="1717">
        <v>2008</v>
      </c>
      <c r="V224" s="1717">
        <v>2008</v>
      </c>
      <c r="W224" s="1717"/>
      <c r="X224" s="2951"/>
      <c r="Y224" s="2951"/>
      <c r="Z224" s="2951"/>
    </row>
    <row r="225" spans="1:26" s="1538" customFormat="1">
      <c r="A225" s="1709" t="s">
        <v>1206</v>
      </c>
      <c r="B225" s="1710"/>
      <c r="C225" s="1558" t="s">
        <v>1134</v>
      </c>
      <c r="I225" s="1717">
        <v>10</v>
      </c>
      <c r="J225" s="1717">
        <v>10</v>
      </c>
      <c r="K225" s="1717">
        <v>10</v>
      </c>
      <c r="L225" s="1717"/>
      <c r="M225" s="1717"/>
      <c r="N225" s="1717"/>
      <c r="O225" s="1717"/>
      <c r="P225" s="1717"/>
      <c r="Q225" s="1717"/>
      <c r="R225" s="1717"/>
      <c r="S225" s="1717"/>
      <c r="T225" s="1717"/>
      <c r="U225" s="1717">
        <v>10</v>
      </c>
      <c r="V225" s="1717">
        <v>10</v>
      </c>
      <c r="W225" s="1717"/>
      <c r="X225" s="2951"/>
      <c r="Y225" s="2951"/>
      <c r="Z225" s="2951"/>
    </row>
    <row r="226" spans="1:26" s="1585" customFormat="1">
      <c r="A226" s="1999" t="s">
        <v>43</v>
      </c>
      <c r="B226" s="1993"/>
      <c r="C226" s="1994" t="s">
        <v>42</v>
      </c>
      <c r="I226" s="2000">
        <f>'Tax Incentives'!$D$8</f>
        <v>2014</v>
      </c>
      <c r="J226" s="2000">
        <f>'Tax Incentives'!$G$8</f>
        <v>2014</v>
      </c>
      <c r="K226" s="2000">
        <f>'Tax Incentives'!$G$8</f>
        <v>2014</v>
      </c>
      <c r="L226" s="2000"/>
      <c r="M226" s="2000"/>
      <c r="N226" s="2000"/>
      <c r="O226" s="2000"/>
      <c r="P226" s="2000"/>
      <c r="Q226" s="2000"/>
      <c r="R226" s="2000"/>
      <c r="S226" s="2000"/>
      <c r="T226" s="2000"/>
      <c r="U226" s="2000">
        <v>2014</v>
      </c>
      <c r="V226" s="2000">
        <v>2014</v>
      </c>
      <c r="W226" s="2000"/>
      <c r="X226" s="2952"/>
      <c r="Y226" s="2952"/>
      <c r="Z226" s="2952"/>
    </row>
    <row r="227" spans="1:26" s="1538" customFormat="1">
      <c r="A227" s="1709" t="s">
        <v>475</v>
      </c>
      <c r="B227" s="1710" t="s">
        <v>919</v>
      </c>
      <c r="C227" s="1558" t="s">
        <v>919</v>
      </c>
      <c r="D227" s="1538" t="s">
        <v>1177</v>
      </c>
      <c r="E227" s="1538" t="s">
        <v>1177</v>
      </c>
      <c r="F227" s="1538" t="s">
        <v>1177</v>
      </c>
      <c r="G227" s="1538" t="s">
        <v>1177</v>
      </c>
      <c r="H227" s="1538" t="s">
        <v>1177</v>
      </c>
      <c r="I227" s="1717" t="s">
        <v>1177</v>
      </c>
      <c r="J227" s="1712" t="s">
        <v>1177</v>
      </c>
      <c r="K227" s="1712" t="s">
        <v>1177</v>
      </c>
      <c r="L227" s="1717" t="s">
        <v>1177</v>
      </c>
      <c r="M227" s="1717" t="s">
        <v>1177</v>
      </c>
      <c r="N227" s="1717" t="s">
        <v>1177</v>
      </c>
      <c r="O227" s="1717" t="s">
        <v>1177</v>
      </c>
      <c r="P227" s="1717" t="s">
        <v>1177</v>
      </c>
      <c r="Q227" s="1717" t="s">
        <v>1177</v>
      </c>
      <c r="R227" s="1717" t="s">
        <v>1177</v>
      </c>
      <c r="S227" s="1717" t="s">
        <v>1177</v>
      </c>
      <c r="T227" s="1717" t="s">
        <v>1177</v>
      </c>
      <c r="U227" s="1717" t="s">
        <v>1177</v>
      </c>
      <c r="V227" s="1717" t="s">
        <v>1177</v>
      </c>
      <c r="W227" s="1717"/>
      <c r="X227" s="2951"/>
      <c r="Y227" s="2951"/>
      <c r="Z227" s="2951"/>
    </row>
    <row r="228" spans="1:26" s="1538" customFormat="1">
      <c r="A228" s="1709" t="s">
        <v>1136</v>
      </c>
      <c r="B228" s="1710"/>
      <c r="C228" s="1558" t="s">
        <v>476</v>
      </c>
      <c r="D228" s="1538" t="s">
        <v>1177</v>
      </c>
      <c r="E228" s="1538" t="s">
        <v>1177</v>
      </c>
      <c r="F228" s="1538" t="s">
        <v>1177</v>
      </c>
      <c r="G228" s="1538" t="s">
        <v>1177</v>
      </c>
      <c r="H228" s="1538" t="s">
        <v>1177</v>
      </c>
      <c r="I228" s="1717" t="s">
        <v>1177</v>
      </c>
      <c r="J228" s="1717" t="s">
        <v>1177</v>
      </c>
      <c r="K228" s="1717" t="s">
        <v>1177</v>
      </c>
      <c r="L228" s="1717" t="s">
        <v>1177</v>
      </c>
      <c r="M228" s="1717" t="s">
        <v>1177</v>
      </c>
      <c r="N228" s="1717" t="s">
        <v>1177</v>
      </c>
      <c r="O228" s="1717" t="s">
        <v>1177</v>
      </c>
      <c r="P228" s="1717" t="s">
        <v>1177</v>
      </c>
      <c r="Q228" s="1717" t="s">
        <v>1177</v>
      </c>
      <c r="R228" s="1717" t="s">
        <v>1177</v>
      </c>
      <c r="S228" s="1717" t="s">
        <v>1177</v>
      </c>
      <c r="T228" s="1717" t="s">
        <v>1177</v>
      </c>
      <c r="U228" s="1717" t="s">
        <v>1177</v>
      </c>
      <c r="V228" s="1717" t="s">
        <v>1177</v>
      </c>
      <c r="W228" s="1717"/>
      <c r="X228" s="2951"/>
      <c r="Y228" s="2951"/>
      <c r="Z228" s="2951"/>
    </row>
    <row r="229" spans="1:26" s="1538" customFormat="1">
      <c r="A229" s="1709" t="s">
        <v>1007</v>
      </c>
      <c r="B229" s="1710"/>
      <c r="C229" s="1558" t="s">
        <v>101</v>
      </c>
      <c r="I229" s="1717"/>
      <c r="J229" s="1789">
        <v>0.15</v>
      </c>
      <c r="K229" s="1789">
        <v>0.15</v>
      </c>
      <c r="L229" s="1717"/>
      <c r="M229" s="1717"/>
      <c r="N229" s="1717"/>
      <c r="O229" s="1717"/>
      <c r="P229" s="1717"/>
      <c r="Q229" s="1717"/>
      <c r="R229" s="1717"/>
      <c r="S229" s="1717"/>
      <c r="T229" s="1717"/>
      <c r="U229" s="1717"/>
      <c r="V229" s="1717"/>
      <c r="W229" s="1717"/>
      <c r="X229" s="2951"/>
      <c r="Y229" s="2951"/>
      <c r="Z229" s="2951"/>
    </row>
    <row r="230" spans="1:26" s="1538" customFormat="1">
      <c r="A230" s="1709" t="s">
        <v>1006</v>
      </c>
      <c r="B230" s="1710"/>
      <c r="C230" s="1558" t="s">
        <v>102</v>
      </c>
      <c r="I230" s="1717"/>
      <c r="J230" s="1789">
        <v>0.5</v>
      </c>
      <c r="K230" s="1789">
        <v>0.5</v>
      </c>
      <c r="L230" s="1717"/>
      <c r="M230" s="1717"/>
      <c r="N230" s="1717"/>
      <c r="O230" s="1717"/>
      <c r="P230" s="1717"/>
      <c r="Q230" s="1717"/>
      <c r="R230" s="1717"/>
      <c r="S230" s="1717"/>
      <c r="T230" s="1717"/>
      <c r="U230" s="1717"/>
      <c r="V230" s="1717"/>
      <c r="W230" s="1717"/>
      <c r="X230" s="2951"/>
      <c r="Y230" s="2951"/>
      <c r="Z230" s="2951"/>
    </row>
    <row r="231" spans="1:26" s="1538" customFormat="1">
      <c r="A231" s="1709" t="s">
        <v>1214</v>
      </c>
      <c r="B231" s="1710"/>
      <c r="C231" s="1558" t="s">
        <v>1213</v>
      </c>
      <c r="I231" s="1717">
        <v>2</v>
      </c>
      <c r="J231" s="1717">
        <f>IF(StartYr&lt;2014,1,"")</f>
        <v>1</v>
      </c>
      <c r="K231" s="1717">
        <v>1</v>
      </c>
      <c r="L231" s="1717">
        <f t="shared" ref="L231:P231" si="20">IF(StartYr&lt;2014,1,"")</f>
        <v>1</v>
      </c>
      <c r="M231" s="1717">
        <f t="shared" si="20"/>
        <v>1</v>
      </c>
      <c r="N231" s="1717">
        <f t="shared" si="20"/>
        <v>1</v>
      </c>
      <c r="O231" s="1717">
        <f t="shared" si="20"/>
        <v>1</v>
      </c>
      <c r="P231" s="1717">
        <f t="shared" si="20"/>
        <v>1</v>
      </c>
      <c r="Q231" s="1717">
        <f>IF(StartYr&lt;2014,1,"")</f>
        <v>1</v>
      </c>
      <c r="R231" s="1717">
        <f>IF(StartYr&lt;2014,1,"")</f>
        <v>1</v>
      </c>
      <c r="S231" s="1717">
        <f>IF(StartYr&lt;2014,1,"")</f>
        <v>1</v>
      </c>
      <c r="T231" s="1717">
        <f>IF(StartYr&lt;2014,1,"")</f>
        <v>1</v>
      </c>
      <c r="U231" s="1717">
        <f t="shared" ref="U231:V231" si="21">IF(StartYr&lt;2014,1,"")</f>
        <v>1</v>
      </c>
      <c r="V231" s="1717">
        <f t="shared" si="21"/>
        <v>1</v>
      </c>
      <c r="W231" s="1717"/>
      <c r="X231" s="2951"/>
      <c r="Y231" s="2951"/>
      <c r="Z231" s="2951"/>
    </row>
    <row r="232" spans="1:26" s="1565" customFormat="1">
      <c r="A232" s="1709" t="s">
        <v>130</v>
      </c>
      <c r="B232" s="1718"/>
      <c r="C232" s="1558" t="s">
        <v>130</v>
      </c>
      <c r="D232" s="1538"/>
      <c r="E232" s="1538"/>
      <c r="F232" s="1538"/>
      <c r="G232" s="1538"/>
      <c r="H232" s="1538"/>
      <c r="I232" s="2971">
        <f>IF(StartYr&lt;I235,ROUND('Tax Incentives'!$C$5/1000,3),0)</f>
        <v>2.1000000000000001E-2</v>
      </c>
      <c r="J232" s="2971">
        <f>IF(StartYr&lt;J235,ROUND('Tax Incentives'!$C$5/1000,3),0)</f>
        <v>2.1000000000000001E-2</v>
      </c>
      <c r="K232" s="2971">
        <f>IF(StartYr&lt;K235,ROUND('Tax Incentives'!$C$5/1000,3),0)</f>
        <v>2.1000000000000001E-2</v>
      </c>
      <c r="L232" s="2971">
        <f>IF(StartYr&lt;L235,ROUND('Tax Incentives'!$C$5/1000,3),0)</f>
        <v>2.1000000000000001E-2</v>
      </c>
      <c r="M232" s="2971">
        <f>IF(StartYr&lt;M235,ROUND('Tax Incentives'!$C$5/1000,3),0)</f>
        <v>2.1000000000000001E-2</v>
      </c>
      <c r="N232" s="2971">
        <f>IF(StartYr&lt;N235,ROUND('Tax Incentives'!$C$5/1000,3),0)</f>
        <v>2.1000000000000001E-2</v>
      </c>
      <c r="O232" s="2971">
        <f>IF(StartYr&lt;O235,ROUND('Tax Incentives'!$C$5/1000,3),0)</f>
        <v>2.1000000000000001E-2</v>
      </c>
      <c r="P232" s="2971">
        <f>IF(StartYr&lt;P235,ROUND('Tax Incentives'!$C$5/1000,3),0)</f>
        <v>2.1000000000000001E-2</v>
      </c>
      <c r="Q232" s="2971">
        <v>2.1000000000000001E-2</v>
      </c>
      <c r="R232" s="2971">
        <v>2.1000000000000001E-2</v>
      </c>
      <c r="S232" s="2971">
        <v>2.1000000000000001E-2</v>
      </c>
      <c r="T232" s="2971">
        <v>2.1000000000000001E-2</v>
      </c>
      <c r="U232" s="2971">
        <v>2.1000000000000001E-2</v>
      </c>
      <c r="V232" s="2971">
        <v>2.1000000000000001E-2</v>
      </c>
      <c r="W232" s="1717"/>
      <c r="X232" s="2953"/>
      <c r="Y232" s="2953"/>
      <c r="Z232" s="2953"/>
    </row>
    <row r="233" spans="1:26" s="1565" customFormat="1">
      <c r="A233" s="1557" t="s">
        <v>1211</v>
      </c>
      <c r="B233" s="1718"/>
      <c r="C233" s="1558" t="s">
        <v>1212</v>
      </c>
      <c r="D233" s="1538"/>
      <c r="E233" s="1538"/>
      <c r="F233" s="1538"/>
      <c r="G233" s="1538"/>
      <c r="H233" s="1538"/>
      <c r="I233" s="1717">
        <v>2008</v>
      </c>
      <c r="J233" s="1717">
        <v>2008</v>
      </c>
      <c r="K233" s="1717">
        <v>2008</v>
      </c>
      <c r="L233" s="1717">
        <v>2008</v>
      </c>
      <c r="M233" s="1717">
        <v>2008</v>
      </c>
      <c r="N233" s="1717">
        <v>2008</v>
      </c>
      <c r="O233" s="1717">
        <v>2008</v>
      </c>
      <c r="P233" s="1717">
        <v>2008</v>
      </c>
      <c r="Q233" s="1717">
        <v>2008</v>
      </c>
      <c r="R233" s="1717">
        <v>2008</v>
      </c>
      <c r="S233" s="1717">
        <v>2008</v>
      </c>
      <c r="T233" s="1717">
        <v>2008</v>
      </c>
      <c r="U233" s="1717">
        <v>2008</v>
      </c>
      <c r="V233" s="1717">
        <v>2008</v>
      </c>
      <c r="W233" s="1717"/>
      <c r="X233" s="2951"/>
      <c r="Y233" s="2951"/>
      <c r="Z233" s="2951"/>
    </row>
    <row r="234" spans="1:26" s="1565" customFormat="1">
      <c r="A234" s="1709" t="s">
        <v>1001</v>
      </c>
      <c r="B234" s="1718"/>
      <c r="C234" s="1558" t="s">
        <v>1002</v>
      </c>
      <c r="D234" s="1538"/>
      <c r="E234" s="1538"/>
      <c r="F234" s="1538"/>
      <c r="G234" s="1538"/>
      <c r="H234" s="1538"/>
      <c r="I234" s="1717">
        <v>10</v>
      </c>
      <c r="J234" s="1717">
        <v>10</v>
      </c>
      <c r="K234" s="1717">
        <v>10</v>
      </c>
      <c r="L234" s="1717">
        <v>10</v>
      </c>
      <c r="M234" s="1717">
        <v>10</v>
      </c>
      <c r="N234" s="1717">
        <v>10</v>
      </c>
      <c r="O234" s="1717">
        <v>10</v>
      </c>
      <c r="P234" s="1717">
        <v>10</v>
      </c>
      <c r="Q234" s="1717">
        <v>10</v>
      </c>
      <c r="R234" s="1717">
        <v>10</v>
      </c>
      <c r="S234" s="1717">
        <v>10</v>
      </c>
      <c r="T234" s="1717">
        <v>10</v>
      </c>
      <c r="U234" s="1717">
        <v>10</v>
      </c>
      <c r="V234" s="1717">
        <v>10</v>
      </c>
      <c r="W234" s="1717"/>
      <c r="X234" s="2951"/>
      <c r="Y234" s="2951"/>
      <c r="Z234" s="2951"/>
    </row>
    <row r="235" spans="1:26" s="1603" customFormat="1">
      <c r="A235" s="1999" t="s">
        <v>47</v>
      </c>
      <c r="B235" s="2001"/>
      <c r="C235" s="1994" t="s">
        <v>46</v>
      </c>
      <c r="D235" s="1585"/>
      <c r="E235" s="1585"/>
      <c r="F235" s="1585"/>
      <c r="G235" s="1585"/>
      <c r="H235" s="1585"/>
      <c r="I235" s="2000">
        <f>'Tax Incentives'!$D$24</f>
        <v>2027</v>
      </c>
      <c r="J235" s="2000">
        <f>'Tax Incentives'!$G$24</f>
        <v>2027</v>
      </c>
      <c r="K235" s="2000">
        <f>'Tax Incentives'!$G$24</f>
        <v>2027</v>
      </c>
      <c r="L235" s="2000">
        <f>'Tax Incentives'!$J$24</f>
        <v>2027</v>
      </c>
      <c r="M235" s="2000">
        <f>'Tax Incentives'!$J$24</f>
        <v>2027</v>
      </c>
      <c r="N235" s="2000">
        <f>'Tax Incentives'!$J$24</f>
        <v>2027</v>
      </c>
      <c r="O235" s="2000">
        <f>'Tax Incentives'!$J$24</f>
        <v>2027</v>
      </c>
      <c r="P235" s="2000">
        <f>'Tax Incentives'!$J$24</f>
        <v>2027</v>
      </c>
      <c r="Q235" s="2000">
        <v>2027</v>
      </c>
      <c r="R235" s="2000">
        <v>2027</v>
      </c>
      <c r="S235" s="2000">
        <v>2027</v>
      </c>
      <c r="T235" s="2000">
        <v>2027</v>
      </c>
      <c r="U235" s="2000">
        <v>2027</v>
      </c>
      <c r="V235" s="2000">
        <v>2027</v>
      </c>
      <c r="W235" s="2000"/>
      <c r="X235" s="2952"/>
      <c r="Y235" s="2952"/>
      <c r="Z235" s="2952"/>
    </row>
    <row r="236" spans="1:26" s="1565" customFormat="1">
      <c r="A236" s="1719" t="s">
        <v>536</v>
      </c>
      <c r="B236" s="1720"/>
      <c r="C236" s="1721" t="s">
        <v>537</v>
      </c>
      <c r="D236" s="1538"/>
      <c r="E236" s="1538"/>
      <c r="F236" s="1538"/>
      <c r="G236" s="1538"/>
      <c r="H236" s="1538"/>
      <c r="I236" s="1538"/>
      <c r="J236" s="1538"/>
      <c r="K236" s="1538"/>
      <c r="L236" s="1789">
        <f>IF(StartYr&lt;L238,0.55,0)</f>
        <v>0.55000000000000004</v>
      </c>
      <c r="M236" s="1789">
        <f>IF(StartYr&lt;M238,0.9,0)</f>
        <v>0.9</v>
      </c>
      <c r="N236" s="1789">
        <f>IF(StartYr&lt;N238,0.55,0)</f>
        <v>0.55000000000000004</v>
      </c>
      <c r="O236" s="1789">
        <f t="shared" ref="O236:P236" si="22">IF(StartYr&lt;O238,0.9,0)</f>
        <v>0.9</v>
      </c>
      <c r="P236" s="1789">
        <f t="shared" si="22"/>
        <v>0.9</v>
      </c>
      <c r="Q236" s="1789">
        <f t="shared" ref="Q236:T236" si="23">IF(StartYr&lt;Q238,0.9,0)</f>
        <v>0.9</v>
      </c>
      <c r="R236" s="1789">
        <f t="shared" si="23"/>
        <v>0.9</v>
      </c>
      <c r="S236" s="1789">
        <f t="shared" si="23"/>
        <v>0.9</v>
      </c>
      <c r="T236" s="1789">
        <f t="shared" si="23"/>
        <v>0.9</v>
      </c>
      <c r="U236" s="1538"/>
      <c r="V236" s="1538"/>
      <c r="W236" s="1566"/>
      <c r="X236" s="2920"/>
      <c r="Y236" s="2967"/>
      <c r="Z236" s="2967"/>
    </row>
    <row r="237" spans="1:26" s="2332" customFormat="1">
      <c r="A237" s="2511" t="s">
        <v>1639</v>
      </c>
      <c r="B237" s="2512"/>
      <c r="C237" s="2513" t="s">
        <v>1637</v>
      </c>
      <c r="D237" s="4052"/>
      <c r="E237" s="4052"/>
      <c r="F237" s="4052"/>
      <c r="G237" s="4052"/>
      <c r="H237" s="4052"/>
      <c r="I237" s="4052"/>
      <c r="J237" s="4052"/>
      <c r="K237" s="4052"/>
      <c r="L237" s="1789">
        <f>IF(StartYr&lt;L238,0.35,0)</f>
        <v>0.35</v>
      </c>
      <c r="M237" s="1800">
        <v>0</v>
      </c>
      <c r="N237" s="1789">
        <f>IF(StartYr&lt;N238,0.35,0)</f>
        <v>0.35</v>
      </c>
      <c r="O237" s="1800">
        <v>0</v>
      </c>
      <c r="P237" s="1800">
        <v>0</v>
      </c>
      <c r="Q237" s="1800">
        <v>0</v>
      </c>
      <c r="R237" s="1800">
        <v>0</v>
      </c>
      <c r="S237" s="1800">
        <v>0</v>
      </c>
      <c r="T237" s="1800">
        <v>0</v>
      </c>
      <c r="U237" s="4052"/>
      <c r="V237" s="4052"/>
      <c r="X237" s="2954"/>
      <c r="Y237" s="4254"/>
      <c r="Z237" s="4254"/>
    </row>
    <row r="238" spans="1:26" s="2332" customFormat="1">
      <c r="A238" s="2511" t="s">
        <v>1640</v>
      </c>
      <c r="B238" s="2512"/>
      <c r="C238" s="2513" t="s">
        <v>1638</v>
      </c>
      <c r="D238" s="4052"/>
      <c r="E238" s="4052"/>
      <c r="F238" s="4052"/>
      <c r="G238" s="4052"/>
      <c r="H238" s="4052"/>
      <c r="I238" s="4052"/>
      <c r="J238" s="4052"/>
      <c r="K238" s="4052"/>
      <c r="L238" s="4125">
        <v>2017</v>
      </c>
      <c r="M238" s="4125">
        <v>2017</v>
      </c>
      <c r="N238" s="4125">
        <v>2017</v>
      </c>
      <c r="O238" s="4125">
        <v>2017</v>
      </c>
      <c r="P238" s="4125">
        <v>2017</v>
      </c>
      <c r="Q238" s="4125">
        <v>2017</v>
      </c>
      <c r="R238" s="4125">
        <v>2017</v>
      </c>
      <c r="S238" s="4125">
        <v>2017</v>
      </c>
      <c r="T238" s="4125">
        <v>2017</v>
      </c>
      <c r="U238" s="4052"/>
      <c r="V238" s="4052"/>
      <c r="X238" s="2954"/>
      <c r="Y238" s="2964"/>
      <c r="Z238" s="2964"/>
    </row>
    <row r="239" spans="1:26" s="2332" customFormat="1" ht="14.25">
      <c r="A239" s="2498" t="s">
        <v>1664</v>
      </c>
      <c r="B239" s="2514"/>
      <c r="C239" s="1721" t="s">
        <v>1663</v>
      </c>
      <c r="D239" s="4152">
        <v>0.65</v>
      </c>
      <c r="E239" s="4152">
        <v>0.65</v>
      </c>
      <c r="F239" s="4152">
        <v>0.65</v>
      </c>
      <c r="G239" s="4152">
        <v>0.65</v>
      </c>
      <c r="H239" s="4152">
        <v>0.65</v>
      </c>
      <c r="I239" s="4152">
        <v>0.6</v>
      </c>
      <c r="J239" s="4152">
        <v>0.73</v>
      </c>
      <c r="K239" s="4152">
        <v>0.7</v>
      </c>
      <c r="L239" s="4152">
        <v>0.65</v>
      </c>
      <c r="M239" s="4152">
        <v>0.65</v>
      </c>
      <c r="N239" s="4152">
        <v>0.65</v>
      </c>
      <c r="O239" s="4152">
        <v>0.65</v>
      </c>
      <c r="P239" s="4152">
        <v>0.65</v>
      </c>
      <c r="Q239" s="4152">
        <v>0.77</v>
      </c>
      <c r="R239" s="4152">
        <v>0.77</v>
      </c>
      <c r="S239" s="4152">
        <v>0.77</v>
      </c>
      <c r="T239" s="4152">
        <v>0.77</v>
      </c>
      <c r="U239" s="4152">
        <v>0.93</v>
      </c>
      <c r="V239" s="4152">
        <v>0.93</v>
      </c>
      <c r="X239" s="4254"/>
      <c r="Y239" s="4254"/>
      <c r="Z239" s="4254"/>
    </row>
    <row r="240" spans="1:26" s="2332" customFormat="1">
      <c r="A240" s="2511"/>
      <c r="B240" s="2512"/>
      <c r="C240" s="2513"/>
      <c r="D240" s="4052"/>
      <c r="E240" s="4052"/>
      <c r="F240" s="4052"/>
      <c r="G240" s="4052"/>
      <c r="H240" s="4052"/>
      <c r="I240" s="4052"/>
      <c r="J240" s="4052"/>
      <c r="K240" s="4052"/>
      <c r="L240" s="4125"/>
      <c r="M240" s="4125"/>
      <c r="N240" s="4125"/>
      <c r="O240" s="4125"/>
      <c r="P240" s="4125"/>
      <c r="Q240" s="4125"/>
      <c r="R240" s="4125"/>
      <c r="S240" s="4125"/>
      <c r="T240" s="4125"/>
      <c r="U240" s="4052"/>
      <c r="V240" s="4052"/>
      <c r="X240" s="2954"/>
      <c r="Y240" s="2964"/>
      <c r="Z240" s="2964"/>
    </row>
    <row r="241" spans="1:55" s="1729" customFormat="1">
      <c r="A241" s="1723" t="s">
        <v>532</v>
      </c>
      <c r="B241" s="1724"/>
      <c r="C241" s="1725" t="s">
        <v>533</v>
      </c>
      <c r="D241" s="1717"/>
      <c r="E241" s="1717"/>
      <c r="F241" s="1717"/>
      <c r="G241" s="1717"/>
      <c r="H241" s="1717"/>
      <c r="I241" s="1717"/>
      <c r="J241" s="1717"/>
      <c r="K241" s="1717"/>
      <c r="L241" s="4153"/>
      <c r="M241" s="4153"/>
      <c r="N241" s="4153"/>
      <c r="O241" s="4153"/>
      <c r="P241" s="4153"/>
      <c r="Q241" s="4153"/>
      <c r="R241" s="4153"/>
      <c r="S241" s="4153"/>
      <c r="T241" s="4153"/>
      <c r="U241" s="1717"/>
      <c r="V241" s="1717"/>
      <c r="W241" s="1727"/>
      <c r="X241" s="2951"/>
      <c r="Y241" s="2965"/>
      <c r="Z241" s="2965"/>
    </row>
    <row r="242" spans="1:55" s="1729" customFormat="1">
      <c r="A242" s="1723" t="s">
        <v>534</v>
      </c>
      <c r="B242" s="1724"/>
      <c r="C242" s="1725" t="s">
        <v>535</v>
      </c>
      <c r="D242" s="1717"/>
      <c r="E242" s="1717"/>
      <c r="F242" s="1717"/>
      <c r="G242" s="1717"/>
      <c r="H242" s="1717"/>
      <c r="I242" s="1717"/>
      <c r="J242" s="1717"/>
      <c r="K242" s="1717"/>
      <c r="L242" s="1717"/>
      <c r="M242" s="1717"/>
      <c r="N242" s="1717"/>
      <c r="O242" s="1717"/>
      <c r="P242" s="1717"/>
      <c r="Q242" s="1717"/>
      <c r="R242" s="1717"/>
      <c r="S242" s="1717"/>
      <c r="T242" s="1717"/>
      <c r="U242" s="1717"/>
      <c r="V242" s="1717"/>
      <c r="W242" s="1727"/>
      <c r="X242" s="2951"/>
      <c r="Y242" s="2951"/>
      <c r="Z242" s="2951"/>
    </row>
    <row r="243" spans="1:55" s="1729" customFormat="1">
      <c r="A243" s="1723" t="s">
        <v>109</v>
      </c>
      <c r="B243" s="1724"/>
      <c r="C243" s="1725" t="s">
        <v>543</v>
      </c>
      <c r="D243" s="1717"/>
      <c r="E243" s="1717"/>
      <c r="F243" s="1717"/>
      <c r="G243" s="1717"/>
      <c r="H243" s="1717"/>
      <c r="I243" s="4154"/>
      <c r="J243" s="1717"/>
      <c r="K243" s="1717"/>
      <c r="L243" s="1717"/>
      <c r="M243" s="1717"/>
      <c r="N243" s="1717"/>
      <c r="O243" s="1717"/>
      <c r="P243" s="1717"/>
      <c r="Q243" s="1717"/>
      <c r="R243" s="1717"/>
      <c r="S243" s="1717"/>
      <c r="T243" s="1717"/>
      <c r="U243" s="4155"/>
      <c r="V243" s="4155"/>
      <c r="W243" s="1730"/>
      <c r="X243" s="4256"/>
      <c r="Y243" s="2951"/>
      <c r="Z243" s="2951"/>
    </row>
    <row r="244" spans="1:55" s="1565" customFormat="1">
      <c r="A244" s="1536"/>
      <c r="C244" s="1537"/>
      <c r="D244" s="1538"/>
      <c r="E244" s="1538"/>
      <c r="F244" s="1538"/>
      <c r="G244" s="1538"/>
      <c r="H244" s="1538"/>
      <c r="I244" s="1538"/>
      <c r="J244" s="1538"/>
      <c r="K244" s="1538"/>
      <c r="L244" s="1538"/>
      <c r="M244" s="1538"/>
      <c r="N244" s="1538"/>
      <c r="O244" s="1538"/>
      <c r="P244" s="1538"/>
      <c r="Q244" s="1538"/>
      <c r="R244" s="1538"/>
      <c r="S244" s="1538"/>
      <c r="T244" s="1538"/>
      <c r="U244" s="1538"/>
      <c r="V244" s="1538"/>
      <c r="W244" s="1566"/>
      <c r="X244" s="2920"/>
      <c r="Y244" s="2920"/>
      <c r="Z244" s="2920"/>
    </row>
    <row r="245" spans="1:55" s="1565" customFormat="1" ht="14.25">
      <c r="A245" s="2334" t="s">
        <v>905</v>
      </c>
      <c r="B245" s="2331"/>
      <c r="C245" s="70" t="s">
        <v>444</v>
      </c>
      <c r="D245" s="2969">
        <f>IF('Physical Data'!$C$15="At Busbar - Plant Side",0%,0.5%)</f>
        <v>5.0000000000000001E-3</v>
      </c>
      <c r="E245" s="2969">
        <f>IF('Physical Data'!$C$15="At Busbar - Plant Side",0%,0.5%)</f>
        <v>5.0000000000000001E-3</v>
      </c>
      <c r="F245" s="2969">
        <f>IF('Physical Data'!$C$15="At Busbar - Plant Side",0%,0.5%)</f>
        <v>5.0000000000000001E-3</v>
      </c>
      <c r="G245" s="2969">
        <f>IF('Physical Data'!$C$15="At Busbar - Plant Side",0%,0.5%)</f>
        <v>5.0000000000000001E-3</v>
      </c>
      <c r="H245" s="2969">
        <f>IF('Physical Data'!$C$15="At Busbar - Plant Side",0%,0.5%)</f>
        <v>5.0000000000000001E-3</v>
      </c>
      <c r="I245" s="2969">
        <f>IF('Physical Data'!$C$15="At Busbar - Plant Side",0%,0.5%)</f>
        <v>5.0000000000000001E-3</v>
      </c>
      <c r="J245" s="2969">
        <f>IF('Physical Data'!$C$15="At Busbar - Plant Side",0%,0.5%)</f>
        <v>5.0000000000000001E-3</v>
      </c>
      <c r="K245" s="2969">
        <f>IF('Physical Data'!$C$15="At Busbar - Plant Side",0%,0.5%)</f>
        <v>5.0000000000000001E-3</v>
      </c>
      <c r="L245" s="4156">
        <f>IF('Physical Data'!$C$15="At Busbar - Plant Side",0%,0.5%)</f>
        <v>5.0000000000000001E-3</v>
      </c>
      <c r="M245" s="4156">
        <f>IF('Physical Data'!$C$15="At Busbar - Plant Side",0%,0.5%)</f>
        <v>5.0000000000000001E-3</v>
      </c>
      <c r="N245" s="2969">
        <f>IF('Physical Data'!$C$15="At Busbar - Plant Side",0%,0.5%)</f>
        <v>5.0000000000000001E-3</v>
      </c>
      <c r="O245" s="2969">
        <f>IF('Physical Data'!$C$15="At Busbar - Plant Side",0%,0.5%)</f>
        <v>5.0000000000000001E-3</v>
      </c>
      <c r="P245" s="2969">
        <f>IF('Physical Data'!$C$15="At Busbar - Plant Side",0%,0.5%)</f>
        <v>5.0000000000000001E-3</v>
      </c>
      <c r="Q245" s="4156">
        <v>0.02</v>
      </c>
      <c r="R245" s="4156">
        <v>0.02</v>
      </c>
      <c r="S245" s="4156">
        <v>0.02</v>
      </c>
      <c r="T245" s="4156">
        <v>0.02</v>
      </c>
      <c r="U245" s="2969">
        <v>5.0000000000000001E-3</v>
      </c>
      <c r="V245" s="2969">
        <v>5.0000000000000001E-3</v>
      </c>
      <c r="W245" s="1566"/>
      <c r="X245" s="2937"/>
      <c r="Y245" s="2937"/>
      <c r="Z245" s="2937"/>
      <c r="AB245" s="1539"/>
      <c r="AC245" s="1539"/>
      <c r="AD245" s="1539"/>
      <c r="AE245" s="1539"/>
      <c r="AF245" s="1566"/>
    </row>
    <row r="246" spans="1:55" s="1565" customFormat="1">
      <c r="A246" s="1536"/>
      <c r="C246" s="1537"/>
      <c r="D246" s="1538"/>
      <c r="E246" s="1538"/>
      <c r="F246" s="1538"/>
      <c r="G246" s="1538"/>
      <c r="H246" s="1538"/>
      <c r="I246" s="1538"/>
      <c r="J246" s="1538"/>
      <c r="K246" s="1538"/>
      <c r="L246" s="1538"/>
      <c r="M246" s="1538"/>
      <c r="N246" s="1538"/>
      <c r="O246" s="1538"/>
      <c r="P246" s="1538"/>
      <c r="Q246" s="1538"/>
      <c r="R246" s="1538"/>
      <c r="S246" s="1538"/>
      <c r="T246" s="1538"/>
      <c r="U246" s="1538"/>
      <c r="V246" s="1538"/>
      <c r="W246" s="1566"/>
      <c r="X246" s="2920"/>
      <c r="Y246" s="2920"/>
      <c r="Z246" s="2920"/>
    </row>
    <row r="247" spans="1:55" s="1565" customFormat="1">
      <c r="A247" s="1536"/>
      <c r="C247" s="1537"/>
      <c r="D247" s="1538"/>
      <c r="E247" s="1538"/>
      <c r="F247" s="1538"/>
      <c r="G247" s="1538"/>
      <c r="H247" s="1538"/>
      <c r="I247" s="1538"/>
      <c r="J247" s="1538"/>
      <c r="K247" s="1538"/>
      <c r="L247" s="1538"/>
      <c r="M247" s="1538"/>
      <c r="N247" s="1538"/>
      <c r="O247" s="1538"/>
      <c r="P247" s="1538"/>
      <c r="Q247" s="1538"/>
      <c r="R247" s="1538"/>
      <c r="S247" s="1538"/>
      <c r="T247" s="1538"/>
      <c r="U247" s="1538"/>
      <c r="V247" s="1538"/>
      <c r="W247" s="1566"/>
      <c r="X247" s="2920"/>
      <c r="Y247" s="2920"/>
      <c r="Z247" s="2920"/>
    </row>
    <row r="248" spans="1:55" s="1565" customFormat="1">
      <c r="A248" s="1536"/>
      <c r="C248" s="1537"/>
      <c r="D248" s="1538"/>
      <c r="E248" s="1538"/>
      <c r="F248" s="1538"/>
      <c r="G248" s="1538"/>
      <c r="H248" s="1538"/>
      <c r="I248" s="1538"/>
      <c r="J248" s="1538"/>
      <c r="K248" s="1538"/>
      <c r="L248" s="1538"/>
      <c r="M248" s="1538"/>
      <c r="N248" s="1538"/>
      <c r="O248" s="1538"/>
      <c r="P248" s="1538"/>
      <c r="Q248" s="1538"/>
      <c r="R248" s="1538"/>
      <c r="S248" s="1538"/>
      <c r="T248" s="1538"/>
      <c r="U248" s="1538"/>
      <c r="V248" s="1538"/>
      <c r="W248" s="1566"/>
      <c r="X248" s="2920"/>
      <c r="Y248" s="2920"/>
      <c r="Z248" s="2920"/>
    </row>
    <row r="249" spans="1:55" s="1565" customFormat="1">
      <c r="A249" s="1536"/>
      <c r="C249" s="1537"/>
      <c r="D249" s="1538"/>
      <c r="E249" s="1538"/>
      <c r="F249" s="1538"/>
      <c r="G249" s="1538"/>
      <c r="H249" s="1538"/>
      <c r="I249" s="1538"/>
      <c r="J249" s="1538"/>
      <c r="K249" s="1538"/>
      <c r="L249" s="1538"/>
      <c r="M249" s="1538"/>
      <c r="N249" s="1538"/>
      <c r="O249" s="1538"/>
      <c r="P249" s="1538"/>
      <c r="Q249" s="1538"/>
      <c r="R249" s="1538"/>
      <c r="S249" s="1538"/>
      <c r="T249" s="1538"/>
      <c r="U249" s="1538"/>
      <c r="V249" s="1538"/>
      <c r="W249" s="1566"/>
      <c r="X249" s="2920"/>
      <c r="Y249" s="2920"/>
      <c r="Z249" s="2920"/>
    </row>
    <row r="250" spans="1:55" s="2002" customFormat="1">
      <c r="B250" s="2002" t="s">
        <v>1051</v>
      </c>
      <c r="C250" s="2003" t="s">
        <v>482</v>
      </c>
      <c r="D250" s="1538"/>
      <c r="E250" s="1538"/>
      <c r="F250" s="1538"/>
      <c r="G250" s="1538"/>
      <c r="H250" s="1538"/>
      <c r="I250" s="1538"/>
      <c r="J250" s="1538"/>
      <c r="K250" s="1538"/>
      <c r="L250" s="1538"/>
      <c r="M250" s="1538"/>
      <c r="N250" s="1538"/>
      <c r="O250" s="1538"/>
      <c r="P250" s="1538"/>
      <c r="Q250" s="1538"/>
      <c r="R250" s="1538"/>
      <c r="S250" s="1538"/>
      <c r="T250" s="1538"/>
      <c r="U250" s="1538"/>
      <c r="V250" s="1538"/>
      <c r="X250" s="2920"/>
      <c r="Y250" s="2920"/>
      <c r="Z250" s="2920"/>
    </row>
    <row r="251" spans="1:55" s="2006" customFormat="1">
      <c r="A251" s="2004"/>
      <c r="B251" s="2004" t="s">
        <v>755</v>
      </c>
      <c r="C251" s="2005" t="s">
        <v>334</v>
      </c>
      <c r="D251" s="1538"/>
      <c r="E251" s="1538"/>
      <c r="F251" s="1538"/>
      <c r="G251" s="1538"/>
      <c r="H251" s="1538"/>
      <c r="I251" s="1538"/>
      <c r="J251" s="1538">
        <v>0</v>
      </c>
      <c r="K251" s="1538">
        <v>0</v>
      </c>
      <c r="L251" s="1538"/>
      <c r="M251" s="1538"/>
      <c r="N251" s="1538"/>
      <c r="O251" s="1538"/>
      <c r="P251" s="1538"/>
      <c r="Q251" s="1538"/>
      <c r="R251" s="1538"/>
      <c r="S251" s="1538"/>
      <c r="T251" s="1538"/>
      <c r="U251" s="1538"/>
      <c r="V251" s="1538"/>
      <c r="W251" s="2002"/>
      <c r="X251" s="2920"/>
      <c r="Y251" s="2920"/>
      <c r="Z251" s="2920"/>
    </row>
    <row r="252" spans="1:55" s="2009" customFormat="1">
      <c r="A252" s="2007"/>
      <c r="B252" s="2007" t="s">
        <v>683</v>
      </c>
      <c r="C252" s="2008" t="s">
        <v>1270</v>
      </c>
      <c r="D252" s="1538"/>
      <c r="E252" s="1538"/>
      <c r="F252" s="1538"/>
      <c r="G252" s="1538"/>
      <c r="H252" s="1538">
        <v>1</v>
      </c>
      <c r="I252" s="1538"/>
      <c r="J252" s="1538">
        <v>1</v>
      </c>
      <c r="K252" s="1538">
        <v>1</v>
      </c>
      <c r="L252" s="1538"/>
      <c r="M252" s="1538"/>
      <c r="N252" s="1538"/>
      <c r="O252" s="1538"/>
      <c r="P252" s="1538"/>
      <c r="Q252" s="1538"/>
      <c r="R252" s="1538"/>
      <c r="S252" s="1538"/>
      <c r="T252" s="1538"/>
      <c r="U252" s="1586"/>
      <c r="V252" s="1586"/>
      <c r="W252" s="2007"/>
      <c r="X252" s="2929"/>
      <c r="Y252" s="2920"/>
      <c r="Z252" s="2920"/>
      <c r="AB252" s="2006"/>
      <c r="AC252" s="2006"/>
      <c r="AD252" s="2006"/>
      <c r="AE252" s="2006"/>
      <c r="AF252" s="2006"/>
      <c r="AG252" s="2006"/>
      <c r="AH252" s="2006"/>
      <c r="AI252" s="2006"/>
      <c r="AJ252" s="2006"/>
      <c r="AK252" s="2006"/>
      <c r="AL252" s="2006"/>
      <c r="AM252" s="2006"/>
      <c r="AN252" s="2006"/>
      <c r="AO252" s="2006"/>
      <c r="AP252" s="2006"/>
      <c r="AQ252" s="2006"/>
      <c r="AR252" s="2006"/>
      <c r="AS252" s="2006"/>
      <c r="AT252" s="2006"/>
      <c r="AU252" s="2006"/>
      <c r="AV252" s="2006"/>
      <c r="AW252" s="2006"/>
      <c r="AX252" s="2006"/>
      <c r="AY252" s="2006"/>
      <c r="AZ252" s="2006"/>
      <c r="BA252" s="2006"/>
      <c r="BB252" s="2006"/>
      <c r="BC252" s="2006"/>
    </row>
    <row r="253" spans="1:55" s="2006" customFormat="1">
      <c r="B253" s="2006" t="s">
        <v>699</v>
      </c>
      <c r="C253" s="2010" t="s">
        <v>1277</v>
      </c>
      <c r="D253" s="1538"/>
      <c r="E253" s="1538"/>
      <c r="F253" s="1538"/>
      <c r="G253" s="1538"/>
      <c r="H253" s="1538">
        <v>222591.6</v>
      </c>
      <c r="I253" s="1538"/>
      <c r="J253" s="1538">
        <v>260000</v>
      </c>
      <c r="K253" s="1538">
        <v>260000</v>
      </c>
      <c r="L253" s="1538"/>
      <c r="M253" s="1538"/>
      <c r="N253" s="1538"/>
      <c r="O253" s="1538"/>
      <c r="P253" s="1538"/>
      <c r="Q253" s="1538"/>
      <c r="R253" s="1538"/>
      <c r="S253" s="1538"/>
      <c r="T253" s="1538"/>
      <c r="U253" s="1538"/>
      <c r="V253" s="1538"/>
      <c r="W253" s="2002"/>
      <c r="X253" s="2920"/>
      <c r="Y253" s="2920"/>
      <c r="Z253" s="2920"/>
    </row>
    <row r="254" spans="1:55" s="2006" customFormat="1">
      <c r="B254" s="2006" t="s">
        <v>719</v>
      </c>
      <c r="C254" s="2005" t="s">
        <v>121</v>
      </c>
      <c r="D254" s="1538"/>
      <c r="E254" s="1538"/>
      <c r="F254" s="1538"/>
      <c r="G254" s="1538"/>
      <c r="H254" s="1538">
        <v>5.0000000000000001E-3</v>
      </c>
      <c r="I254" s="1538"/>
      <c r="J254" s="1538">
        <v>5.0000000000000001E-3</v>
      </c>
      <c r="K254" s="1538">
        <v>5.0000000000000001E-3</v>
      </c>
      <c r="L254" s="1538"/>
      <c r="M254" s="1538"/>
      <c r="N254" s="1538"/>
      <c r="O254" s="1538"/>
      <c r="P254" s="1538"/>
      <c r="Q254" s="1538"/>
      <c r="R254" s="1538"/>
      <c r="S254" s="1538"/>
      <c r="T254" s="1538"/>
      <c r="U254" s="1538"/>
      <c r="V254" s="1538"/>
      <c r="W254" s="2002"/>
      <c r="X254" s="2920"/>
      <c r="Y254" s="2920"/>
      <c r="Z254" s="2920"/>
    </row>
    <row r="255" spans="1:55" s="2006" customFormat="1">
      <c r="B255" s="2011" t="s">
        <v>757</v>
      </c>
      <c r="C255" s="2005" t="s">
        <v>1256</v>
      </c>
      <c r="D255" s="1538"/>
      <c r="E255" s="1538"/>
      <c r="F255" s="1538"/>
      <c r="G255" s="1538"/>
      <c r="H255" s="1538"/>
      <c r="I255" s="1538"/>
      <c r="J255" s="1538"/>
      <c r="K255" s="1538"/>
      <c r="L255" s="1538"/>
      <c r="M255" s="1538"/>
      <c r="N255" s="1538"/>
      <c r="O255" s="1538"/>
      <c r="P255" s="1538"/>
      <c r="Q255" s="1538"/>
      <c r="R255" s="1538"/>
      <c r="S255" s="1538"/>
      <c r="T255" s="1538"/>
      <c r="U255" s="1538"/>
      <c r="V255" s="1538"/>
      <c r="W255" s="2002"/>
      <c r="X255" s="2920"/>
      <c r="Y255" s="2920"/>
      <c r="Z255" s="2920"/>
    </row>
    <row r="256" spans="1:55" s="2006" customFormat="1">
      <c r="B256" s="2012" t="s">
        <v>758</v>
      </c>
      <c r="C256" s="2005" t="s">
        <v>1257</v>
      </c>
      <c r="D256" s="1538"/>
      <c r="E256" s="1538"/>
      <c r="F256" s="1538"/>
      <c r="G256" s="1538"/>
      <c r="H256" s="1538"/>
      <c r="I256" s="1538"/>
      <c r="J256" s="1538"/>
      <c r="K256" s="1538"/>
      <c r="L256" s="1538"/>
      <c r="M256" s="1538"/>
      <c r="N256" s="1538"/>
      <c r="O256" s="1538"/>
      <c r="P256" s="1538"/>
      <c r="Q256" s="1538"/>
      <c r="R256" s="1538"/>
      <c r="S256" s="1538"/>
      <c r="T256" s="1538"/>
      <c r="U256" s="1538"/>
      <c r="V256" s="1538"/>
      <c r="W256" s="2002"/>
      <c r="X256" s="2920"/>
      <c r="Y256" s="2920"/>
      <c r="Z256" s="2920"/>
    </row>
    <row r="257" spans="2:26" s="2006" customFormat="1">
      <c r="B257" s="2012"/>
      <c r="C257" s="2005" t="s">
        <v>463</v>
      </c>
      <c r="D257" s="1538"/>
      <c r="E257" s="1538"/>
      <c r="F257" s="1538"/>
      <c r="G257" s="1538"/>
      <c r="H257" s="1538"/>
      <c r="I257" s="1538"/>
      <c r="J257" s="1538"/>
      <c r="K257" s="1538"/>
      <c r="L257" s="1538"/>
      <c r="M257" s="1538"/>
      <c r="N257" s="1538"/>
      <c r="O257" s="1538"/>
      <c r="P257" s="1538"/>
      <c r="Q257" s="1538"/>
      <c r="R257" s="1538"/>
      <c r="S257" s="1538"/>
      <c r="T257" s="1538"/>
      <c r="U257" s="1538"/>
      <c r="V257" s="1538"/>
      <c r="W257" s="2002"/>
      <c r="X257" s="2920"/>
      <c r="Y257" s="2920"/>
      <c r="Z257" s="2920"/>
    </row>
    <row r="258" spans="2:26" s="2006" customFormat="1">
      <c r="B258" s="2011" t="s">
        <v>759</v>
      </c>
      <c r="C258" s="2005" t="s">
        <v>678</v>
      </c>
      <c r="D258" s="1538"/>
      <c r="E258" s="1538"/>
      <c r="F258" s="1538"/>
      <c r="G258" s="1538"/>
      <c r="H258" s="1538"/>
      <c r="I258" s="1538"/>
      <c r="J258" s="1538"/>
      <c r="K258" s="1538"/>
      <c r="L258" s="1538"/>
      <c r="M258" s="1538"/>
      <c r="N258" s="1538"/>
      <c r="O258" s="1538"/>
      <c r="P258" s="1538"/>
      <c r="Q258" s="1538"/>
      <c r="R258" s="1538"/>
      <c r="S258" s="1538"/>
      <c r="T258" s="1538"/>
      <c r="U258" s="1538"/>
      <c r="V258" s="1538"/>
      <c r="W258" s="2002"/>
      <c r="X258" s="2920"/>
      <c r="Y258" s="2920"/>
      <c r="Z258" s="2920"/>
    </row>
    <row r="259" spans="2:26" s="2006" customFormat="1">
      <c r="B259" s="2012" t="s">
        <v>760</v>
      </c>
      <c r="C259" s="2005" t="s">
        <v>679</v>
      </c>
      <c r="D259" s="1538"/>
      <c r="E259" s="1538"/>
      <c r="F259" s="1538"/>
      <c r="G259" s="1538"/>
      <c r="H259" s="1538"/>
      <c r="I259" s="1538"/>
      <c r="J259" s="1538"/>
      <c r="K259" s="1538"/>
      <c r="L259" s="1538"/>
      <c r="M259" s="1538"/>
      <c r="N259" s="1538"/>
      <c r="O259" s="1538"/>
      <c r="P259" s="1538"/>
      <c r="Q259" s="1538"/>
      <c r="R259" s="1538"/>
      <c r="S259" s="1538"/>
      <c r="T259" s="1538"/>
      <c r="U259" s="1538"/>
      <c r="V259" s="1538"/>
      <c r="W259" s="2002"/>
      <c r="X259" s="2920"/>
      <c r="Y259" s="2920"/>
      <c r="Z259" s="2920"/>
    </row>
    <row r="260" spans="2:26" s="2006" customFormat="1">
      <c r="B260" s="2012"/>
      <c r="C260" s="2005" t="s">
        <v>463</v>
      </c>
      <c r="D260" s="1538"/>
      <c r="E260" s="1538"/>
      <c r="F260" s="1538"/>
      <c r="G260" s="1538"/>
      <c r="H260" s="1538"/>
      <c r="I260" s="1538"/>
      <c r="J260" s="1538"/>
      <c r="K260" s="1538"/>
      <c r="L260" s="1538"/>
      <c r="M260" s="1538"/>
      <c r="N260" s="1538"/>
      <c r="O260" s="1538"/>
      <c r="P260" s="1538"/>
      <c r="Q260" s="1538"/>
      <c r="R260" s="1538"/>
      <c r="S260" s="1538"/>
      <c r="T260" s="1538"/>
      <c r="U260" s="1538"/>
      <c r="V260" s="1538"/>
      <c r="W260" s="2002"/>
      <c r="X260" s="2920"/>
      <c r="Y260" s="2920"/>
      <c r="Z260" s="2920"/>
    </row>
    <row r="261" spans="2:26" s="2006" customFormat="1">
      <c r="B261" s="2006" t="s">
        <v>761</v>
      </c>
      <c r="C261" s="2005" t="s">
        <v>469</v>
      </c>
      <c r="D261" s="1538"/>
      <c r="E261" s="1538"/>
      <c r="F261" s="1538"/>
      <c r="G261" s="1538"/>
      <c r="H261" s="1538"/>
      <c r="I261" s="1538"/>
      <c r="J261" s="1538"/>
      <c r="K261" s="1538"/>
      <c r="L261" s="1538"/>
      <c r="M261" s="1538"/>
      <c r="N261" s="1538"/>
      <c r="O261" s="1538"/>
      <c r="P261" s="1538"/>
      <c r="Q261" s="1538"/>
      <c r="R261" s="1538"/>
      <c r="S261" s="1538"/>
      <c r="T261" s="1538"/>
      <c r="U261" s="1538"/>
      <c r="V261" s="1538"/>
      <c r="W261" s="2002"/>
      <c r="X261" s="2920"/>
      <c r="Y261" s="2920"/>
      <c r="Z261" s="2920"/>
    </row>
    <row r="262" spans="2:26" s="2006" customFormat="1">
      <c r="B262" s="2006" t="s">
        <v>762</v>
      </c>
      <c r="C262" s="2005" t="s">
        <v>470</v>
      </c>
      <c r="D262" s="1538"/>
      <c r="E262" s="1538"/>
      <c r="F262" s="1538"/>
      <c r="G262" s="1538"/>
      <c r="H262" s="1538"/>
      <c r="I262" s="1538"/>
      <c r="J262" s="1538"/>
      <c r="K262" s="1538"/>
      <c r="L262" s="1538"/>
      <c r="M262" s="1538"/>
      <c r="N262" s="1538"/>
      <c r="O262" s="1538"/>
      <c r="P262" s="1538"/>
      <c r="Q262" s="1538"/>
      <c r="R262" s="1538"/>
      <c r="S262" s="1538"/>
      <c r="T262" s="1538"/>
      <c r="U262" s="1538"/>
      <c r="V262" s="1538"/>
      <c r="W262" s="2002"/>
      <c r="X262" s="2920"/>
      <c r="Y262" s="2920"/>
      <c r="Z262" s="2920"/>
    </row>
    <row r="263" spans="2:26" s="2006" customFormat="1">
      <c r="B263" s="2013" t="s">
        <v>764</v>
      </c>
      <c r="C263" s="2005" t="s">
        <v>472</v>
      </c>
      <c r="D263" s="1538"/>
      <c r="E263" s="1538"/>
      <c r="F263" s="1538"/>
      <c r="G263" s="1538"/>
      <c r="H263" s="1538"/>
      <c r="I263" s="1538"/>
      <c r="J263" s="1538"/>
      <c r="K263" s="1538"/>
      <c r="L263" s="1538"/>
      <c r="M263" s="1538"/>
      <c r="N263" s="1538"/>
      <c r="O263" s="1538"/>
      <c r="P263" s="1538"/>
      <c r="Q263" s="1538"/>
      <c r="R263" s="1538"/>
      <c r="S263" s="1538"/>
      <c r="T263" s="1538"/>
      <c r="U263" s="1538"/>
      <c r="V263" s="1538"/>
      <c r="W263" s="2002"/>
      <c r="X263" s="2920"/>
      <c r="Y263" s="2920"/>
      <c r="Z263" s="2920"/>
    </row>
    <row r="264" spans="2:26" s="2006" customFormat="1">
      <c r="B264" s="2013" t="s">
        <v>765</v>
      </c>
      <c r="C264" s="2005" t="s">
        <v>473</v>
      </c>
      <c r="D264" s="1538"/>
      <c r="E264" s="1538"/>
      <c r="F264" s="1538"/>
      <c r="G264" s="1538"/>
      <c r="H264" s="1538"/>
      <c r="I264" s="1538"/>
      <c r="J264" s="1538"/>
      <c r="K264" s="1538"/>
      <c r="L264" s="1538"/>
      <c r="M264" s="1538"/>
      <c r="N264" s="1538"/>
      <c r="O264" s="1538"/>
      <c r="P264" s="1538"/>
      <c r="Q264" s="1538"/>
      <c r="R264" s="1538"/>
      <c r="S264" s="1538"/>
      <c r="T264" s="1538"/>
      <c r="U264" s="1538"/>
      <c r="V264" s="1538"/>
      <c r="W264" s="2002"/>
      <c r="X264" s="2920"/>
      <c r="Y264" s="2920"/>
      <c r="Z264" s="2920"/>
    </row>
    <row r="265" spans="2:26" s="2006" customFormat="1">
      <c r="B265" s="2011" t="s">
        <v>766</v>
      </c>
      <c r="C265" s="2005" t="s">
        <v>467</v>
      </c>
      <c r="D265" s="1538"/>
      <c r="E265" s="1538"/>
      <c r="F265" s="1538"/>
      <c r="G265" s="1538"/>
      <c r="H265" s="1538"/>
      <c r="I265" s="1538"/>
      <c r="J265" s="1538"/>
      <c r="K265" s="1538"/>
      <c r="L265" s="1538"/>
      <c r="M265" s="1538"/>
      <c r="N265" s="1538"/>
      <c r="O265" s="1538"/>
      <c r="P265" s="1538"/>
      <c r="Q265" s="1538"/>
      <c r="R265" s="1538"/>
      <c r="S265" s="1538"/>
      <c r="T265" s="1538"/>
      <c r="U265" s="1538"/>
      <c r="V265" s="1538"/>
      <c r="W265" s="2002"/>
      <c r="X265" s="2920"/>
      <c r="Y265" s="2920"/>
      <c r="Z265" s="2920"/>
    </row>
    <row r="266" spans="2:26" s="2006" customFormat="1">
      <c r="B266" s="2014" t="s">
        <v>767</v>
      </c>
      <c r="C266" s="2005" t="s">
        <v>466</v>
      </c>
      <c r="D266" s="1538"/>
      <c r="E266" s="1538"/>
      <c r="F266" s="1538"/>
      <c r="G266" s="1538"/>
      <c r="H266" s="1538"/>
      <c r="I266" s="1538"/>
      <c r="J266" s="1538"/>
      <c r="K266" s="1538"/>
      <c r="L266" s="1538"/>
      <c r="M266" s="1538"/>
      <c r="N266" s="1538"/>
      <c r="O266" s="1538"/>
      <c r="P266" s="1538"/>
      <c r="Q266" s="1538"/>
      <c r="R266" s="1538"/>
      <c r="S266" s="1538"/>
      <c r="T266" s="1538"/>
      <c r="U266" s="1538"/>
      <c r="V266" s="1538"/>
      <c r="W266" s="2002"/>
      <c r="X266" s="2920"/>
      <c r="Y266" s="2920"/>
      <c r="Z266" s="2920"/>
    </row>
    <row r="267" spans="2:26" s="2006" customFormat="1">
      <c r="B267" s="2015" t="s">
        <v>768</v>
      </c>
      <c r="C267" s="2005" t="s">
        <v>463</v>
      </c>
      <c r="D267" s="1538"/>
      <c r="E267" s="1538"/>
      <c r="F267" s="1538"/>
      <c r="G267" s="1538"/>
      <c r="H267" s="1538"/>
      <c r="I267" s="1538"/>
      <c r="J267" s="1538"/>
      <c r="K267" s="1538"/>
      <c r="L267" s="1538"/>
      <c r="M267" s="1538"/>
      <c r="N267" s="1538"/>
      <c r="O267" s="1538"/>
      <c r="P267" s="1538"/>
      <c r="Q267" s="1538"/>
      <c r="R267" s="1538"/>
      <c r="S267" s="1538"/>
      <c r="T267" s="1538"/>
      <c r="U267" s="1538"/>
      <c r="V267" s="1538"/>
      <c r="W267" s="2002"/>
      <c r="X267" s="2920"/>
      <c r="Y267" s="2920"/>
      <c r="Z267" s="2920"/>
    </row>
    <row r="268" spans="2:26" s="2006" customFormat="1">
      <c r="B268" s="2014" t="s">
        <v>769</v>
      </c>
      <c r="C268" s="2005" t="s">
        <v>464</v>
      </c>
      <c r="D268" s="1538"/>
      <c r="E268" s="1538"/>
      <c r="F268" s="1538"/>
      <c r="G268" s="1538"/>
      <c r="H268" s="1538">
        <v>48</v>
      </c>
      <c r="I268" s="1538"/>
      <c r="J268" s="1538"/>
      <c r="K268" s="1538"/>
      <c r="L268" s="1538"/>
      <c r="M268" s="1538"/>
      <c r="N268" s="1538"/>
      <c r="O268" s="1538"/>
      <c r="P268" s="1538"/>
      <c r="Q268" s="1538"/>
      <c r="R268" s="1538"/>
      <c r="S268" s="1538"/>
      <c r="T268" s="1538"/>
      <c r="U268" s="1538"/>
      <c r="V268" s="1538"/>
      <c r="W268" s="2002"/>
      <c r="X268" s="2920"/>
      <c r="Y268" s="2920"/>
      <c r="Z268" s="2920"/>
    </row>
    <row r="269" spans="2:26" s="2006" customFormat="1">
      <c r="B269" s="2012" t="s">
        <v>722</v>
      </c>
      <c r="C269" s="2005" t="s">
        <v>1041</v>
      </c>
      <c r="D269" s="1538"/>
      <c r="E269" s="1538"/>
      <c r="F269" s="1538"/>
      <c r="G269" s="1538"/>
      <c r="H269" s="1538"/>
      <c r="I269" s="1538"/>
      <c r="J269" s="1538">
        <v>25000</v>
      </c>
      <c r="K269" s="1538">
        <v>25000</v>
      </c>
      <c r="L269" s="1538"/>
      <c r="M269" s="1538"/>
      <c r="N269" s="1538"/>
      <c r="O269" s="1538"/>
      <c r="P269" s="1538"/>
      <c r="Q269" s="1538"/>
      <c r="R269" s="1538"/>
      <c r="S269" s="1538"/>
      <c r="T269" s="1538"/>
      <c r="U269" s="1538"/>
      <c r="V269" s="1538"/>
      <c r="W269" s="2002"/>
      <c r="X269" s="2920"/>
      <c r="Y269" s="2920"/>
      <c r="Z269" s="2920"/>
    </row>
    <row r="270" spans="2:26" s="2006" customFormat="1">
      <c r="B270" s="2016" t="s">
        <v>779</v>
      </c>
      <c r="C270" s="2010" t="s">
        <v>1044</v>
      </c>
      <c r="D270" s="1538"/>
      <c r="E270" s="1538"/>
      <c r="F270" s="1538"/>
      <c r="G270" s="1538"/>
      <c r="H270" s="1538">
        <v>0</v>
      </c>
      <c r="I270" s="1538"/>
      <c r="J270" s="1538">
        <v>0</v>
      </c>
      <c r="K270" s="1538">
        <v>0</v>
      </c>
      <c r="L270" s="1538"/>
      <c r="M270" s="1538"/>
      <c r="N270" s="1538"/>
      <c r="O270" s="1538"/>
      <c r="P270" s="1538"/>
      <c r="Q270" s="1538"/>
      <c r="R270" s="1538"/>
      <c r="S270" s="1538"/>
      <c r="T270" s="1538"/>
      <c r="U270" s="1538"/>
      <c r="V270" s="1538"/>
      <c r="W270" s="2002"/>
      <c r="X270" s="2920"/>
      <c r="Y270" s="2920"/>
      <c r="Z270" s="2920"/>
    </row>
    <row r="271" spans="2:26" s="2006" customFormat="1">
      <c r="B271" s="2004" t="s">
        <v>784</v>
      </c>
      <c r="C271" s="2010" t="s">
        <v>1045</v>
      </c>
      <c r="D271" s="1538"/>
      <c r="E271" s="1538"/>
      <c r="F271" s="1538"/>
      <c r="G271" s="1538"/>
      <c r="H271" s="1538">
        <v>0</v>
      </c>
      <c r="I271" s="1538"/>
      <c r="J271" s="1538">
        <v>0</v>
      </c>
      <c r="K271" s="1538">
        <v>0</v>
      </c>
      <c r="L271" s="1538"/>
      <c r="M271" s="1538"/>
      <c r="N271" s="1538"/>
      <c r="O271" s="1538"/>
      <c r="P271" s="1538"/>
      <c r="Q271" s="1538"/>
      <c r="R271" s="1538"/>
      <c r="S271" s="1538"/>
      <c r="T271" s="1538"/>
      <c r="U271" s="1538"/>
      <c r="V271" s="1538"/>
      <c r="W271" s="2002"/>
      <c r="X271" s="2920"/>
      <c r="Y271" s="2920"/>
      <c r="Z271" s="2920"/>
    </row>
    <row r="272" spans="2:26" s="2006" customFormat="1">
      <c r="C272" s="2010"/>
      <c r="D272" s="1538"/>
      <c r="E272" s="1538"/>
      <c r="F272" s="1538"/>
      <c r="G272" s="1538"/>
      <c r="H272" s="1538"/>
      <c r="I272" s="1538"/>
      <c r="J272" s="1538"/>
      <c r="K272" s="1538"/>
      <c r="L272" s="1538"/>
      <c r="M272" s="1538"/>
      <c r="N272" s="1538"/>
      <c r="O272" s="1538"/>
      <c r="P272" s="1538"/>
      <c r="Q272" s="1538"/>
      <c r="R272" s="1538"/>
      <c r="S272" s="1538"/>
      <c r="T272" s="1538"/>
      <c r="U272" s="1538"/>
      <c r="V272" s="1538"/>
      <c r="W272" s="2002"/>
      <c r="X272" s="2920"/>
      <c r="Y272" s="2920"/>
      <c r="Z272" s="2920"/>
    </row>
    <row r="273" spans="2:26" s="2006" customFormat="1">
      <c r="C273" s="2017" t="s">
        <v>1225</v>
      </c>
      <c r="D273" s="1538"/>
      <c r="E273" s="1538"/>
      <c r="F273" s="1538"/>
      <c r="G273" s="1538"/>
      <c r="H273" s="1538"/>
      <c r="I273" s="1538"/>
      <c r="J273" s="1538"/>
      <c r="K273" s="1538"/>
      <c r="L273" s="1538"/>
      <c r="M273" s="1538"/>
      <c r="N273" s="1538"/>
      <c r="O273" s="1538"/>
      <c r="P273" s="1538"/>
      <c r="Q273" s="1538"/>
      <c r="R273" s="1538"/>
      <c r="S273" s="1538"/>
      <c r="T273" s="1538"/>
      <c r="U273" s="1538"/>
      <c r="V273" s="1538"/>
      <c r="W273" s="2002"/>
      <c r="X273" s="2920"/>
      <c r="Y273" s="2920"/>
      <c r="Z273" s="2920"/>
    </row>
    <row r="274" spans="2:26" s="2006" customFormat="1">
      <c r="C274" s="2010" t="s">
        <v>1250</v>
      </c>
      <c r="D274" s="1538"/>
      <c r="E274" s="1538"/>
      <c r="F274" s="1538"/>
      <c r="G274" s="1538"/>
      <c r="H274" s="1538"/>
      <c r="I274" s="1538"/>
      <c r="J274" s="1538"/>
      <c r="K274" s="1538"/>
      <c r="L274" s="1538"/>
      <c r="M274" s="1538"/>
      <c r="N274" s="1538"/>
      <c r="O274" s="1538"/>
      <c r="P274" s="1538"/>
      <c r="Q274" s="1538"/>
      <c r="R274" s="1538"/>
      <c r="S274" s="1538"/>
      <c r="T274" s="1538"/>
      <c r="U274" s="1538"/>
      <c r="V274" s="1538"/>
      <c r="W274" s="2002"/>
      <c r="X274" s="2920"/>
      <c r="Y274" s="2920"/>
      <c r="Z274" s="2920"/>
    </row>
    <row r="275" spans="2:26" s="2006" customFormat="1">
      <c r="C275" s="2010" t="s">
        <v>1251</v>
      </c>
      <c r="D275" s="1538"/>
      <c r="E275" s="1538"/>
      <c r="F275" s="1538"/>
      <c r="G275" s="1538"/>
      <c r="H275" s="1538"/>
      <c r="I275" s="1538"/>
      <c r="J275" s="1538"/>
      <c r="K275" s="1538"/>
      <c r="L275" s="1538"/>
      <c r="M275" s="1538"/>
      <c r="N275" s="1538"/>
      <c r="O275" s="1538"/>
      <c r="P275" s="1538"/>
      <c r="Q275" s="1538"/>
      <c r="R275" s="1538"/>
      <c r="S275" s="1538"/>
      <c r="T275" s="1538"/>
      <c r="U275" s="1538"/>
      <c r="V275" s="1538"/>
      <c r="W275" s="2002"/>
      <c r="X275" s="2920"/>
      <c r="Y275" s="2920"/>
      <c r="Z275" s="2920"/>
    </row>
    <row r="276" spans="2:26" s="2006" customFormat="1">
      <c r="C276" s="2010" t="s">
        <v>1252</v>
      </c>
      <c r="D276" s="1538"/>
      <c r="E276" s="1538"/>
      <c r="F276" s="1538"/>
      <c r="G276" s="1538"/>
      <c r="H276" s="1538"/>
      <c r="I276" s="1538"/>
      <c r="J276" s="1538"/>
      <c r="K276" s="1538"/>
      <c r="L276" s="1538"/>
      <c r="M276" s="1538"/>
      <c r="N276" s="1538"/>
      <c r="O276" s="1538"/>
      <c r="P276" s="1538"/>
      <c r="Q276" s="1538"/>
      <c r="R276" s="1538"/>
      <c r="S276" s="1538"/>
      <c r="T276" s="1538"/>
      <c r="U276" s="1538"/>
      <c r="V276" s="1538"/>
      <c r="W276" s="2002"/>
      <c r="X276" s="2920"/>
      <c r="Y276" s="2920"/>
      <c r="Z276" s="2920"/>
    </row>
    <row r="277" spans="2:26" s="2006" customFormat="1">
      <c r="C277" s="2010" t="s">
        <v>1253</v>
      </c>
      <c r="D277" s="1538"/>
      <c r="E277" s="1538"/>
      <c r="F277" s="1538"/>
      <c r="G277" s="1538"/>
      <c r="H277" s="1538"/>
      <c r="I277" s="1538"/>
      <c r="J277" s="1538"/>
      <c r="K277" s="1538"/>
      <c r="L277" s="1538"/>
      <c r="M277" s="1538"/>
      <c r="N277" s="1538"/>
      <c r="O277" s="1538"/>
      <c r="P277" s="1538"/>
      <c r="Q277" s="1538"/>
      <c r="R277" s="1538"/>
      <c r="S277" s="1538"/>
      <c r="T277" s="1538"/>
      <c r="U277" s="1538"/>
      <c r="V277" s="1538"/>
      <c r="W277" s="2002"/>
      <c r="X277" s="2920"/>
      <c r="Y277" s="2920"/>
      <c r="Z277" s="2920"/>
    </row>
    <row r="278" spans="2:26" s="2006" customFormat="1">
      <c r="C278" s="2010" t="s">
        <v>1254</v>
      </c>
      <c r="D278" s="1538"/>
      <c r="E278" s="1538"/>
      <c r="F278" s="1538"/>
      <c r="G278" s="1538"/>
      <c r="H278" s="1538"/>
      <c r="I278" s="1538"/>
      <c r="J278" s="1538"/>
      <c r="K278" s="1538"/>
      <c r="L278" s="1538"/>
      <c r="M278" s="1538"/>
      <c r="N278" s="1538"/>
      <c r="O278" s="1538"/>
      <c r="P278" s="1538"/>
      <c r="Q278" s="1538"/>
      <c r="R278" s="1538"/>
      <c r="S278" s="1538"/>
      <c r="T278" s="1538"/>
      <c r="U278" s="1538"/>
      <c r="V278" s="1538"/>
      <c r="W278" s="2002"/>
      <c r="X278" s="2920"/>
      <c r="Y278" s="2920"/>
      <c r="Z278" s="2920"/>
    </row>
    <row r="279" spans="2:26" s="2006" customFormat="1">
      <c r="C279" s="2010" t="s">
        <v>1255</v>
      </c>
      <c r="D279" s="1538"/>
      <c r="E279" s="1538"/>
      <c r="F279" s="1538"/>
      <c r="G279" s="1538"/>
      <c r="H279" s="1538"/>
      <c r="I279" s="1538"/>
      <c r="J279" s="1538"/>
      <c r="K279" s="1538"/>
      <c r="L279" s="1538"/>
      <c r="M279" s="1538"/>
      <c r="N279" s="1538"/>
      <c r="O279" s="1538"/>
      <c r="P279" s="1538"/>
      <c r="Q279" s="1538"/>
      <c r="R279" s="1538"/>
      <c r="S279" s="1538"/>
      <c r="T279" s="1538"/>
      <c r="U279" s="1538"/>
      <c r="V279" s="1538"/>
      <c r="W279" s="2002"/>
      <c r="X279" s="2920"/>
      <c r="Y279" s="2920"/>
      <c r="Z279" s="2920"/>
    </row>
    <row r="280" spans="2:26" s="2006" customFormat="1">
      <c r="C280" s="2010" t="s">
        <v>458</v>
      </c>
      <c r="D280" s="1538"/>
      <c r="E280" s="1538"/>
      <c r="F280" s="1538"/>
      <c r="G280" s="1538"/>
      <c r="H280" s="1538"/>
      <c r="I280" s="1538"/>
      <c r="J280" s="1538"/>
      <c r="K280" s="1538"/>
      <c r="L280" s="1538"/>
      <c r="M280" s="1538"/>
      <c r="N280" s="1538"/>
      <c r="O280" s="1538"/>
      <c r="P280" s="1538"/>
      <c r="Q280" s="1538"/>
      <c r="R280" s="1538"/>
      <c r="S280" s="1538"/>
      <c r="T280" s="1538"/>
      <c r="U280" s="1538"/>
      <c r="V280" s="1538"/>
      <c r="W280" s="2002"/>
      <c r="X280" s="2920"/>
      <c r="Y280" s="2920"/>
      <c r="Z280" s="2920"/>
    </row>
    <row r="281" spans="2:26" s="2006" customFormat="1">
      <c r="C281" s="2010" t="s">
        <v>1258</v>
      </c>
      <c r="D281" s="1538"/>
      <c r="E281" s="1538"/>
      <c r="F281" s="1538"/>
      <c r="G281" s="1538"/>
      <c r="H281" s="1538"/>
      <c r="I281" s="1538"/>
      <c r="J281" s="1538"/>
      <c r="K281" s="1538"/>
      <c r="L281" s="1538"/>
      <c r="M281" s="1538"/>
      <c r="N281" s="1538"/>
      <c r="O281" s="1538"/>
      <c r="P281" s="1538"/>
      <c r="Q281" s="1538"/>
      <c r="R281" s="1538"/>
      <c r="S281" s="1538"/>
      <c r="T281" s="1538"/>
      <c r="U281" s="1538"/>
      <c r="V281" s="1538"/>
      <c r="W281" s="2002"/>
      <c r="X281" s="2920"/>
      <c r="Y281" s="2920"/>
      <c r="Z281" s="2920"/>
    </row>
    <row r="282" spans="2:26" s="2006" customFormat="1">
      <c r="C282" s="2010" t="s">
        <v>951</v>
      </c>
      <c r="D282" s="1538"/>
      <c r="E282" s="1538"/>
      <c r="F282" s="1538"/>
      <c r="G282" s="1538"/>
      <c r="H282" s="1538"/>
      <c r="I282" s="1538"/>
      <c r="J282" s="1538"/>
      <c r="K282" s="1538"/>
      <c r="L282" s="1538"/>
      <c r="M282" s="1538"/>
      <c r="N282" s="1538"/>
      <c r="O282" s="1538"/>
      <c r="P282" s="1538"/>
      <c r="Q282" s="1538"/>
      <c r="R282" s="1538"/>
      <c r="S282" s="1538"/>
      <c r="T282" s="1538"/>
      <c r="U282" s="1538"/>
      <c r="V282" s="1538"/>
      <c r="W282" s="2002"/>
      <c r="X282" s="2920"/>
      <c r="Y282" s="2920"/>
      <c r="Z282" s="2920"/>
    </row>
    <row r="283" spans="2:26" s="2006" customFormat="1">
      <c r="C283" s="2010" t="s">
        <v>1259</v>
      </c>
      <c r="D283" s="1538"/>
      <c r="E283" s="1538"/>
      <c r="F283" s="1538"/>
      <c r="G283" s="1538"/>
      <c r="H283" s="1538"/>
      <c r="I283" s="1538"/>
      <c r="J283" s="1538"/>
      <c r="K283" s="1538"/>
      <c r="L283" s="1538"/>
      <c r="M283" s="1538"/>
      <c r="N283" s="1538"/>
      <c r="O283" s="1538"/>
      <c r="P283" s="1538"/>
      <c r="Q283" s="1538"/>
      <c r="R283" s="1538"/>
      <c r="S283" s="1538"/>
      <c r="T283" s="1538"/>
      <c r="U283" s="1538"/>
      <c r="V283" s="1538"/>
      <c r="W283" s="2002"/>
      <c r="X283" s="2920"/>
      <c r="Y283" s="2920"/>
      <c r="Z283" s="2920"/>
    </row>
    <row r="284" spans="2:26" s="2018" customFormat="1">
      <c r="C284" s="2010"/>
      <c r="D284" s="1711"/>
      <c r="E284" s="1711"/>
      <c r="F284" s="1711"/>
      <c r="G284" s="1711"/>
      <c r="H284" s="1711"/>
      <c r="I284" s="1711"/>
      <c r="J284" s="1711"/>
      <c r="K284" s="1711"/>
      <c r="L284" s="1711"/>
      <c r="M284" s="1711"/>
      <c r="N284" s="1711"/>
      <c r="O284" s="1711"/>
      <c r="P284" s="1711"/>
      <c r="Q284" s="1711"/>
      <c r="R284" s="1711"/>
      <c r="S284" s="1711"/>
      <c r="T284" s="1711"/>
      <c r="U284" s="1538"/>
      <c r="V284" s="1538"/>
      <c r="W284" s="2002"/>
      <c r="X284" s="2920"/>
      <c r="Y284" s="2919"/>
      <c r="Z284" s="2919"/>
    </row>
    <row r="285" spans="2:26" s="2006" customFormat="1">
      <c r="C285" s="2020" t="s">
        <v>1158</v>
      </c>
      <c r="D285" s="1538"/>
      <c r="E285" s="1538"/>
      <c r="F285" s="1538"/>
      <c r="G285" s="1538"/>
      <c r="H285" s="1538"/>
      <c r="I285" s="1538"/>
      <c r="J285" s="1538"/>
      <c r="K285" s="1538"/>
      <c r="L285" s="1538"/>
      <c r="M285" s="1538"/>
      <c r="N285" s="1538"/>
      <c r="O285" s="1538"/>
      <c r="P285" s="1538"/>
      <c r="Q285" s="1538"/>
      <c r="R285" s="1538"/>
      <c r="S285" s="1538"/>
      <c r="T285" s="1538"/>
      <c r="U285" s="1538"/>
      <c r="V285" s="1538"/>
      <c r="W285" s="2002"/>
      <c r="X285" s="2920"/>
      <c r="Y285" s="2920"/>
      <c r="Z285" s="2920"/>
    </row>
    <row r="286" spans="2:26" s="2006" customFormat="1">
      <c r="B286" s="2006" t="s">
        <v>1159</v>
      </c>
      <c r="C286" s="2005" t="s">
        <v>1341</v>
      </c>
      <c r="D286" s="1538"/>
      <c r="E286" s="1538"/>
      <c r="F286" s="1538"/>
      <c r="G286" s="1538"/>
      <c r="H286" s="1538"/>
      <c r="I286" s="1538"/>
      <c r="J286" s="1538"/>
      <c r="K286" s="1538"/>
      <c r="L286" s="1538"/>
      <c r="M286" s="1538"/>
      <c r="N286" s="1538"/>
      <c r="O286" s="1538"/>
      <c r="P286" s="1538"/>
      <c r="Q286" s="1538"/>
      <c r="R286" s="1538"/>
      <c r="S286" s="1538"/>
      <c r="T286" s="1538"/>
      <c r="U286" s="1711"/>
      <c r="V286" s="1711"/>
      <c r="W286" s="2019"/>
      <c r="X286" s="2919"/>
      <c r="Y286" s="2920"/>
      <c r="Z286" s="2920"/>
    </row>
    <row r="287" spans="2:26" s="2006" customFormat="1">
      <c r="B287" s="2006" t="s">
        <v>1160</v>
      </c>
      <c r="C287" s="2005" t="s">
        <v>1342</v>
      </c>
      <c r="D287" s="1538"/>
      <c r="E287" s="1538"/>
      <c r="F287" s="1538"/>
      <c r="G287" s="1538"/>
      <c r="H287" s="1538"/>
      <c r="I287" s="1538"/>
      <c r="J287" s="1538"/>
      <c r="K287" s="1538"/>
      <c r="L287" s="1538"/>
      <c r="M287" s="1538"/>
      <c r="N287" s="1538"/>
      <c r="O287" s="1538"/>
      <c r="P287" s="1538"/>
      <c r="Q287" s="1538"/>
      <c r="R287" s="1538"/>
      <c r="S287" s="1538"/>
      <c r="T287" s="1538"/>
      <c r="U287" s="1711"/>
      <c r="V287" s="1711"/>
      <c r="W287" s="2019"/>
      <c r="X287" s="2919"/>
      <c r="Y287" s="2920"/>
      <c r="Z287" s="2920"/>
    </row>
    <row r="288" spans="2:26" s="2006" customFormat="1">
      <c r="B288" s="2006" t="s">
        <v>1161</v>
      </c>
      <c r="C288" s="2005" t="s">
        <v>1343</v>
      </c>
      <c r="D288" s="1538"/>
      <c r="E288" s="1538"/>
      <c r="F288" s="1538"/>
      <c r="G288" s="1538"/>
      <c r="H288" s="1538"/>
      <c r="I288" s="1538"/>
      <c r="J288" s="1538"/>
      <c r="K288" s="1538"/>
      <c r="L288" s="1538"/>
      <c r="M288" s="1538"/>
      <c r="N288" s="1538"/>
      <c r="O288" s="1538"/>
      <c r="P288" s="1538"/>
      <c r="Q288" s="1538"/>
      <c r="R288" s="1538"/>
      <c r="S288" s="1538"/>
      <c r="T288" s="1538"/>
      <c r="U288" s="1711"/>
      <c r="V288" s="1711"/>
      <c r="W288" s="2019"/>
      <c r="X288" s="2919"/>
      <c r="Y288" s="2920"/>
      <c r="Z288" s="2920"/>
    </row>
    <row r="289" spans="2:26" s="2006" customFormat="1">
      <c r="B289" s="2006" t="s">
        <v>1162</v>
      </c>
      <c r="C289" s="2005" t="s">
        <v>1344</v>
      </c>
      <c r="D289" s="1538"/>
      <c r="E289" s="1538"/>
      <c r="F289" s="1538"/>
      <c r="G289" s="1538"/>
      <c r="H289" s="1538"/>
      <c r="I289" s="1538"/>
      <c r="J289" s="1538"/>
      <c r="K289" s="1538"/>
      <c r="L289" s="1538"/>
      <c r="M289" s="1538"/>
      <c r="N289" s="1538"/>
      <c r="O289" s="1538"/>
      <c r="P289" s="1538"/>
      <c r="Q289" s="1538"/>
      <c r="R289" s="1538"/>
      <c r="S289" s="1538"/>
      <c r="T289" s="1538"/>
      <c r="U289" s="1711"/>
      <c r="V289" s="1711"/>
      <c r="W289" s="2019"/>
      <c r="X289" s="2919"/>
      <c r="Y289" s="2920"/>
      <c r="Z289" s="2920"/>
    </row>
    <row r="290" spans="2:26" s="2006" customFormat="1">
      <c r="B290" s="2006" t="s">
        <v>1163</v>
      </c>
      <c r="C290" s="2005" t="s">
        <v>294</v>
      </c>
      <c r="D290" s="1538"/>
      <c r="E290" s="1538"/>
      <c r="F290" s="1538"/>
      <c r="G290" s="1538"/>
      <c r="H290" s="1538"/>
      <c r="I290" s="1538"/>
      <c r="J290" s="1538"/>
      <c r="K290" s="1538"/>
      <c r="L290" s="1538"/>
      <c r="M290" s="1538"/>
      <c r="N290" s="1538"/>
      <c r="O290" s="1538"/>
      <c r="P290" s="1538"/>
      <c r="Q290" s="1538"/>
      <c r="R290" s="1538"/>
      <c r="S290" s="1538"/>
      <c r="T290" s="1538"/>
      <c r="U290" s="1711"/>
      <c r="V290" s="1711"/>
      <c r="W290" s="2019"/>
      <c r="X290" s="2919"/>
      <c r="Y290" s="2920"/>
      <c r="Z290" s="2920"/>
    </row>
    <row r="291" spans="2:26" s="2006" customFormat="1">
      <c r="B291" s="2006" t="s">
        <v>1164</v>
      </c>
      <c r="C291" s="2005" t="s">
        <v>295</v>
      </c>
      <c r="D291" s="1538"/>
      <c r="E291" s="1538"/>
      <c r="F291" s="1538"/>
      <c r="G291" s="1538"/>
      <c r="H291" s="1538"/>
      <c r="I291" s="1538"/>
      <c r="J291" s="1538"/>
      <c r="K291" s="1538"/>
      <c r="L291" s="1538"/>
      <c r="M291" s="1538"/>
      <c r="N291" s="1538"/>
      <c r="O291" s="1538"/>
      <c r="P291" s="1538"/>
      <c r="Q291" s="1538"/>
      <c r="R291" s="1538"/>
      <c r="S291" s="1538"/>
      <c r="T291" s="1538"/>
      <c r="U291" s="1711"/>
      <c r="V291" s="1711"/>
      <c r="W291" s="2019"/>
      <c r="X291" s="2919"/>
      <c r="Y291" s="2920"/>
      <c r="Z291" s="2920"/>
    </row>
    <row r="292" spans="2:26" s="2006" customFormat="1">
      <c r="B292" s="2006" t="s">
        <v>1165</v>
      </c>
      <c r="C292" s="2005" t="s">
        <v>296</v>
      </c>
      <c r="D292" s="1538"/>
      <c r="E292" s="1538"/>
      <c r="F292" s="1538"/>
      <c r="G292" s="1538"/>
      <c r="H292" s="1538"/>
      <c r="I292" s="1538"/>
      <c r="J292" s="1538"/>
      <c r="K292" s="1538"/>
      <c r="L292" s="1538"/>
      <c r="M292" s="1538"/>
      <c r="N292" s="1538"/>
      <c r="O292" s="1538"/>
      <c r="P292" s="1538"/>
      <c r="Q292" s="1538"/>
      <c r="R292" s="1538"/>
      <c r="S292" s="1538"/>
      <c r="T292" s="1538"/>
      <c r="U292" s="1711"/>
      <c r="V292" s="1711"/>
      <c r="W292" s="2019"/>
      <c r="X292" s="2919"/>
      <c r="Y292" s="2920"/>
      <c r="Z292" s="2920"/>
    </row>
    <row r="293" spans="2:26" s="2006" customFormat="1">
      <c r="B293" s="2006" t="s">
        <v>1166</v>
      </c>
      <c r="C293" s="2005" t="s">
        <v>387</v>
      </c>
      <c r="D293" s="1538"/>
      <c r="E293" s="1538"/>
      <c r="F293" s="1538"/>
      <c r="G293" s="1538"/>
      <c r="H293" s="1538"/>
      <c r="I293" s="1538"/>
      <c r="J293" s="1538"/>
      <c r="K293" s="1538"/>
      <c r="L293" s="1538"/>
      <c r="M293" s="1538"/>
      <c r="N293" s="1538"/>
      <c r="O293" s="1538"/>
      <c r="P293" s="1538"/>
      <c r="Q293" s="1538"/>
      <c r="R293" s="1538"/>
      <c r="S293" s="1538"/>
      <c r="T293" s="1538"/>
      <c r="U293" s="1711"/>
      <c r="V293" s="1711"/>
      <c r="W293" s="2019"/>
      <c r="X293" s="2919"/>
      <c r="Y293" s="2920"/>
      <c r="Z293" s="2920"/>
    </row>
    <row r="294" spans="2:26" s="2006" customFormat="1">
      <c r="B294" s="2006" t="s">
        <v>1167</v>
      </c>
      <c r="C294" s="2005" t="s">
        <v>375</v>
      </c>
      <c r="D294" s="1538"/>
      <c r="E294" s="1538"/>
      <c r="F294" s="1538"/>
      <c r="G294" s="1538"/>
      <c r="H294" s="1538"/>
      <c r="I294" s="1538"/>
      <c r="J294" s="1538"/>
      <c r="K294" s="1538"/>
      <c r="L294" s="1538"/>
      <c r="M294" s="1538"/>
      <c r="N294" s="1538"/>
      <c r="O294" s="1538"/>
      <c r="P294" s="1538"/>
      <c r="Q294" s="1538"/>
      <c r="R294" s="1538"/>
      <c r="S294" s="1538"/>
      <c r="T294" s="1538"/>
      <c r="U294" s="1711"/>
      <c r="V294" s="1711"/>
      <c r="W294" s="2019"/>
      <c r="X294" s="2919"/>
      <c r="Y294" s="2920"/>
      <c r="Z294" s="2920"/>
    </row>
    <row r="295" spans="2:26" s="2006" customFormat="1">
      <c r="C295" s="2020" t="s">
        <v>1158</v>
      </c>
      <c r="D295" s="1538"/>
      <c r="E295" s="1538"/>
      <c r="F295" s="1538"/>
      <c r="G295" s="1538"/>
      <c r="H295" s="1538"/>
      <c r="I295" s="1538"/>
      <c r="J295" s="1538"/>
      <c r="K295" s="1538"/>
      <c r="L295" s="1538"/>
      <c r="M295" s="1538"/>
      <c r="N295" s="1538"/>
      <c r="O295" s="1538"/>
      <c r="P295" s="1538"/>
      <c r="Q295" s="1538"/>
      <c r="R295" s="1538"/>
      <c r="S295" s="1538"/>
      <c r="T295" s="1538"/>
      <c r="U295" s="1711"/>
      <c r="V295" s="1711"/>
      <c r="W295" s="2019"/>
      <c r="X295" s="2919"/>
      <c r="Y295" s="2920"/>
      <c r="Z295" s="2920"/>
    </row>
    <row r="296" spans="2:26" s="2006" customFormat="1">
      <c r="B296" s="2006" t="s">
        <v>1168</v>
      </c>
      <c r="C296" s="2005" t="s">
        <v>1341</v>
      </c>
      <c r="D296" s="1538"/>
      <c r="E296" s="1538"/>
      <c r="F296" s="1538"/>
      <c r="G296" s="1538"/>
      <c r="H296" s="1538"/>
      <c r="I296" s="1538"/>
      <c r="J296" s="1538"/>
      <c r="K296" s="1538"/>
      <c r="L296" s="1538"/>
      <c r="M296" s="1538"/>
      <c r="N296" s="1538"/>
      <c r="O296" s="1538"/>
      <c r="P296" s="1538"/>
      <c r="Q296" s="1538"/>
      <c r="R296" s="1538"/>
      <c r="S296" s="1538"/>
      <c r="T296" s="1538"/>
      <c r="U296" s="1711"/>
      <c r="V296" s="1711"/>
      <c r="W296" s="2019"/>
      <c r="X296" s="2919"/>
      <c r="Y296" s="2920"/>
      <c r="Z296" s="2920"/>
    </row>
    <row r="297" spans="2:26" s="2006" customFormat="1">
      <c r="B297" s="2006" t="s">
        <v>1169</v>
      </c>
      <c r="C297" s="2005" t="s">
        <v>1342</v>
      </c>
      <c r="D297" s="1538"/>
      <c r="E297" s="1538"/>
      <c r="F297" s="1538"/>
      <c r="G297" s="1538"/>
      <c r="H297" s="1538"/>
      <c r="I297" s="1538"/>
      <c r="J297" s="1538"/>
      <c r="K297" s="1538"/>
      <c r="L297" s="1538"/>
      <c r="M297" s="1538"/>
      <c r="N297" s="1538"/>
      <c r="O297" s="1538"/>
      <c r="P297" s="1538"/>
      <c r="Q297" s="1538"/>
      <c r="R297" s="1538"/>
      <c r="S297" s="1538"/>
      <c r="T297" s="1538"/>
      <c r="U297" s="1711"/>
      <c r="V297" s="1711"/>
      <c r="W297" s="2019"/>
      <c r="X297" s="2919"/>
      <c r="Y297" s="2920"/>
      <c r="Z297" s="2920"/>
    </row>
    <row r="298" spans="2:26" s="2006" customFormat="1">
      <c r="B298" s="2006" t="s">
        <v>1170</v>
      </c>
      <c r="C298" s="2005" t="s">
        <v>1343</v>
      </c>
      <c r="D298" s="1538"/>
      <c r="E298" s="1538"/>
      <c r="F298" s="1538"/>
      <c r="G298" s="1538"/>
      <c r="H298" s="1538"/>
      <c r="I298" s="1538"/>
      <c r="J298" s="1538"/>
      <c r="K298" s="1538"/>
      <c r="L298" s="1538"/>
      <c r="M298" s="1538"/>
      <c r="N298" s="1538"/>
      <c r="O298" s="1538"/>
      <c r="P298" s="1538"/>
      <c r="Q298" s="1538"/>
      <c r="R298" s="1538"/>
      <c r="S298" s="1538"/>
      <c r="T298" s="1538"/>
      <c r="U298" s="1711"/>
      <c r="V298" s="1711"/>
      <c r="W298" s="2019"/>
      <c r="X298" s="2919"/>
      <c r="Y298" s="2920"/>
      <c r="Z298" s="2920"/>
    </row>
    <row r="299" spans="2:26" s="2006" customFormat="1">
      <c r="B299" s="2006" t="s">
        <v>1171</v>
      </c>
      <c r="C299" s="2005" t="s">
        <v>1344</v>
      </c>
      <c r="D299" s="1538"/>
      <c r="E299" s="1538"/>
      <c r="F299" s="1538"/>
      <c r="G299" s="1538"/>
      <c r="H299" s="1538"/>
      <c r="I299" s="1538"/>
      <c r="J299" s="1538"/>
      <c r="K299" s="1538"/>
      <c r="L299" s="1538"/>
      <c r="M299" s="1538"/>
      <c r="N299" s="1538"/>
      <c r="O299" s="1538"/>
      <c r="P299" s="1538"/>
      <c r="Q299" s="1538"/>
      <c r="R299" s="1538"/>
      <c r="S299" s="1538"/>
      <c r="T299" s="1538"/>
      <c r="U299" s="1711"/>
      <c r="V299" s="1711"/>
      <c r="W299" s="2019"/>
      <c r="X299" s="2919"/>
      <c r="Y299" s="2920"/>
      <c r="Z299" s="2920"/>
    </row>
    <row r="300" spans="2:26" s="2006" customFormat="1">
      <c r="B300" s="2006" t="s">
        <v>1172</v>
      </c>
      <c r="C300" s="2005" t="s">
        <v>294</v>
      </c>
      <c r="D300" s="1538"/>
      <c r="E300" s="1538"/>
      <c r="F300" s="1538"/>
      <c r="G300" s="1538"/>
      <c r="H300" s="1538"/>
      <c r="I300" s="1538"/>
      <c r="J300" s="1538"/>
      <c r="K300" s="1538"/>
      <c r="L300" s="1538"/>
      <c r="M300" s="1538"/>
      <c r="N300" s="1538"/>
      <c r="O300" s="1538"/>
      <c r="P300" s="1538"/>
      <c r="Q300" s="1538"/>
      <c r="R300" s="1538"/>
      <c r="S300" s="1538"/>
      <c r="T300" s="1538"/>
      <c r="U300" s="1711"/>
      <c r="V300" s="1711"/>
      <c r="W300" s="2019"/>
      <c r="X300" s="2919"/>
      <c r="Y300" s="2920"/>
      <c r="Z300" s="2920"/>
    </row>
    <row r="301" spans="2:26" s="2006" customFormat="1">
      <c r="B301" s="2006" t="s">
        <v>1173</v>
      </c>
      <c r="C301" s="2005" t="s">
        <v>295</v>
      </c>
      <c r="D301" s="1538"/>
      <c r="E301" s="1538"/>
      <c r="F301" s="1538"/>
      <c r="G301" s="1538"/>
      <c r="H301" s="1538"/>
      <c r="I301" s="1538"/>
      <c r="J301" s="1538"/>
      <c r="K301" s="1538"/>
      <c r="L301" s="1538"/>
      <c r="M301" s="1538"/>
      <c r="N301" s="1538"/>
      <c r="O301" s="1538"/>
      <c r="P301" s="1538"/>
      <c r="Q301" s="1538"/>
      <c r="R301" s="1538"/>
      <c r="S301" s="1538"/>
      <c r="T301" s="1538"/>
      <c r="U301" s="1711"/>
      <c r="V301" s="1711"/>
      <c r="W301" s="2019"/>
      <c r="X301" s="2919"/>
      <c r="Y301" s="2920"/>
      <c r="Z301" s="2920"/>
    </row>
    <row r="302" spans="2:26" s="2006" customFormat="1">
      <c r="B302" s="2006" t="s">
        <v>1174</v>
      </c>
      <c r="C302" s="2005" t="s">
        <v>296</v>
      </c>
      <c r="D302" s="1538"/>
      <c r="E302" s="1538"/>
      <c r="F302" s="1538"/>
      <c r="G302" s="1538"/>
      <c r="H302" s="1538"/>
      <c r="I302" s="1538"/>
      <c r="J302" s="1538"/>
      <c r="K302" s="1538"/>
      <c r="L302" s="1538"/>
      <c r="M302" s="1538"/>
      <c r="N302" s="1538"/>
      <c r="O302" s="1538"/>
      <c r="P302" s="1538"/>
      <c r="Q302" s="1538"/>
      <c r="R302" s="1538"/>
      <c r="S302" s="1538"/>
      <c r="T302" s="1538"/>
      <c r="U302" s="1711"/>
      <c r="V302" s="1711"/>
      <c r="W302" s="2019"/>
      <c r="X302" s="2919"/>
      <c r="Y302" s="2920"/>
      <c r="Z302" s="2920"/>
    </row>
    <row r="303" spans="2:26" s="2006" customFormat="1">
      <c r="B303" s="2006" t="s">
        <v>1175</v>
      </c>
      <c r="C303" s="2005" t="s">
        <v>387</v>
      </c>
      <c r="D303" s="1538"/>
      <c r="E303" s="1538"/>
      <c r="F303" s="1538"/>
      <c r="G303" s="1538"/>
      <c r="H303" s="1538"/>
      <c r="I303" s="1538"/>
      <c r="J303" s="1538"/>
      <c r="K303" s="1538"/>
      <c r="L303" s="1538"/>
      <c r="M303" s="1538"/>
      <c r="N303" s="1538"/>
      <c r="O303" s="1538"/>
      <c r="P303" s="1538"/>
      <c r="Q303" s="1538"/>
      <c r="R303" s="1538"/>
      <c r="S303" s="1538"/>
      <c r="T303" s="1538"/>
      <c r="U303" s="1711"/>
      <c r="V303" s="1711"/>
      <c r="W303" s="2019"/>
      <c r="X303" s="2919"/>
      <c r="Y303" s="2920"/>
      <c r="Z303" s="2920"/>
    </row>
    <row r="304" spans="2:26" s="2006" customFormat="1">
      <c r="B304" s="2006" t="s">
        <v>1176</v>
      </c>
      <c r="C304" s="2005" t="s">
        <v>375</v>
      </c>
      <c r="D304" s="1538"/>
      <c r="E304" s="1538"/>
      <c r="F304" s="1538"/>
      <c r="G304" s="1538"/>
      <c r="H304" s="1538"/>
      <c r="I304" s="1538"/>
      <c r="J304" s="1538"/>
      <c r="K304" s="1538"/>
      <c r="L304" s="1538"/>
      <c r="M304" s="1538"/>
      <c r="N304" s="1538"/>
      <c r="O304" s="1538"/>
      <c r="P304" s="1538"/>
      <c r="Q304" s="1538"/>
      <c r="R304" s="1538"/>
      <c r="S304" s="1538"/>
      <c r="T304" s="1538"/>
      <c r="U304" s="1711"/>
      <c r="V304" s="1711"/>
      <c r="W304" s="2019"/>
      <c r="X304" s="2919"/>
      <c r="Y304" s="2920"/>
      <c r="Z304" s="2920"/>
    </row>
    <row r="305" spans="2:26" s="2006" customFormat="1">
      <c r="B305" s="2012" t="s">
        <v>721</v>
      </c>
      <c r="C305" s="2005" t="s">
        <v>417</v>
      </c>
      <c r="D305" s="1585">
        <v>197</v>
      </c>
      <c r="E305" s="1585">
        <v>197</v>
      </c>
      <c r="F305" s="1585">
        <v>197</v>
      </c>
      <c r="G305" s="1585">
        <v>197</v>
      </c>
      <c r="H305" s="1585">
        <v>197</v>
      </c>
      <c r="I305" s="1538"/>
      <c r="J305" s="1585">
        <v>250000</v>
      </c>
      <c r="K305" s="1585">
        <v>12000</v>
      </c>
      <c r="L305" s="1585"/>
      <c r="M305" s="1585"/>
      <c r="N305" s="1585"/>
      <c r="O305" s="1585"/>
      <c r="P305" s="1585"/>
      <c r="Q305" s="1585"/>
      <c r="R305" s="1585"/>
      <c r="S305" s="1585"/>
      <c r="T305" s="1585"/>
      <c r="U305" s="1711"/>
      <c r="V305" s="1711"/>
      <c r="W305" s="2019"/>
      <c r="X305" s="2919"/>
      <c r="Y305" s="2932"/>
      <c r="Z305" s="2932"/>
    </row>
    <row r="306" spans="2:26" s="2006" customFormat="1">
      <c r="B306" s="2022" t="s">
        <v>723</v>
      </c>
      <c r="C306" s="2010" t="s">
        <v>164</v>
      </c>
      <c r="D306" s="1538">
        <v>9.1418999999999997</v>
      </c>
      <c r="E306" s="1538">
        <v>9.1418999999999997</v>
      </c>
      <c r="F306" s="1538">
        <v>9.1418999999999997</v>
      </c>
      <c r="G306" s="1538">
        <v>1.2058</v>
      </c>
      <c r="H306" s="1538">
        <v>1.2034</v>
      </c>
      <c r="I306" s="1538"/>
      <c r="J306" s="1538">
        <v>0</v>
      </c>
      <c r="K306" s="1538"/>
      <c r="L306" s="1538"/>
      <c r="M306" s="1538"/>
      <c r="N306" s="1538"/>
      <c r="O306" s="1538"/>
      <c r="P306" s="1538"/>
      <c r="Q306" s="1538"/>
      <c r="R306" s="1538"/>
      <c r="S306" s="1538"/>
      <c r="T306" s="1538"/>
      <c r="U306" s="1711"/>
      <c r="V306" s="1711"/>
      <c r="W306" s="2019"/>
      <c r="X306" s="2919"/>
      <c r="Y306" s="2920"/>
      <c r="Z306" s="2920"/>
    </row>
    <row r="307" spans="2:26">
      <c r="C307" s="1543"/>
      <c r="D307" s="1711"/>
      <c r="E307" s="1711"/>
      <c r="F307" s="1711"/>
      <c r="G307" s="1711"/>
      <c r="H307" s="1711"/>
      <c r="I307" s="1711"/>
      <c r="J307" s="1711"/>
      <c r="K307" s="1711"/>
      <c r="L307" s="1711"/>
      <c r="M307" s="1711"/>
      <c r="N307" s="1711"/>
      <c r="O307" s="1711"/>
      <c r="P307" s="1711"/>
      <c r="Q307" s="1711"/>
      <c r="R307" s="1711"/>
      <c r="S307" s="1711"/>
      <c r="T307" s="1711"/>
      <c r="U307" s="1711"/>
      <c r="V307" s="1711"/>
    </row>
    <row r="308" spans="2:26">
      <c r="D308" s="1711"/>
      <c r="E308" s="1711"/>
      <c r="F308" s="1711"/>
      <c r="G308" s="1711"/>
      <c r="H308" s="1711"/>
      <c r="I308" s="1711"/>
      <c r="J308" s="1711"/>
      <c r="K308" s="1711"/>
      <c r="L308" s="1711"/>
      <c r="M308" s="1711"/>
      <c r="N308" s="1711"/>
      <c r="O308" s="1711"/>
      <c r="P308" s="1711"/>
      <c r="Q308" s="1711"/>
      <c r="R308" s="1711"/>
      <c r="S308" s="1711"/>
      <c r="T308" s="1711"/>
      <c r="U308" s="1711"/>
      <c r="V308" s="1711"/>
    </row>
    <row r="309" spans="2:26">
      <c r="D309" s="1711"/>
      <c r="E309" s="1711"/>
      <c r="F309" s="1711"/>
      <c r="G309" s="1711"/>
      <c r="H309" s="1711"/>
      <c r="I309" s="1711"/>
      <c r="J309" s="1711"/>
      <c r="K309" s="1711"/>
      <c r="L309" s="1711"/>
      <c r="M309" s="1711"/>
      <c r="N309" s="1711"/>
      <c r="O309" s="1711"/>
      <c r="P309" s="1711"/>
      <c r="Q309" s="1711"/>
      <c r="R309" s="1711"/>
      <c r="S309" s="1711"/>
      <c r="T309" s="1711"/>
      <c r="U309" s="1711"/>
      <c r="V309" s="1711"/>
    </row>
    <row r="310" spans="2:26">
      <c r="D310" s="1711"/>
      <c r="E310" s="1711"/>
      <c r="F310" s="1711"/>
      <c r="G310" s="1711"/>
      <c r="H310" s="1711"/>
      <c r="I310" s="1711"/>
      <c r="J310" s="1711"/>
      <c r="K310" s="1711"/>
      <c r="L310" s="1711"/>
      <c r="M310" s="1711"/>
      <c r="N310" s="1711"/>
      <c r="O310" s="1711"/>
      <c r="P310" s="1711"/>
      <c r="Q310" s="1711"/>
      <c r="R310" s="1711"/>
      <c r="S310" s="1711"/>
      <c r="T310" s="1711"/>
      <c r="U310" s="1711"/>
      <c r="V310" s="1711"/>
    </row>
    <row r="311" spans="2:26">
      <c r="D311" s="1711"/>
      <c r="E311" s="1711"/>
      <c r="F311" s="1711"/>
      <c r="G311" s="1711"/>
      <c r="H311" s="1711"/>
      <c r="I311" s="1711"/>
      <c r="J311" s="1711"/>
      <c r="K311" s="1711"/>
      <c r="L311" s="1711"/>
      <c r="M311" s="1711"/>
      <c r="N311" s="1711"/>
      <c r="O311" s="1711"/>
      <c r="P311" s="1711"/>
      <c r="Q311" s="1711"/>
      <c r="R311" s="1711"/>
      <c r="S311" s="1711"/>
      <c r="T311" s="1711"/>
      <c r="U311" s="1711"/>
      <c r="V311" s="1711"/>
    </row>
    <row r="312" spans="2:26">
      <c r="D312" s="1711"/>
      <c r="E312" s="1711"/>
      <c r="F312" s="1711"/>
      <c r="G312" s="1711"/>
      <c r="H312" s="1711"/>
      <c r="I312" s="1711"/>
      <c r="J312" s="1711"/>
      <c r="K312" s="1711"/>
      <c r="L312" s="1711"/>
      <c r="M312" s="1711"/>
      <c r="N312" s="1711"/>
      <c r="O312" s="1711"/>
      <c r="P312" s="1711"/>
      <c r="Q312" s="1711"/>
      <c r="R312" s="1711"/>
      <c r="S312" s="1711"/>
      <c r="T312" s="1711"/>
      <c r="U312" s="1711"/>
      <c r="V312" s="1711"/>
    </row>
    <row r="313" spans="2:26">
      <c r="D313" s="1711"/>
      <c r="E313" s="1711"/>
      <c r="F313" s="1711"/>
      <c r="G313" s="1711"/>
      <c r="H313" s="1711"/>
      <c r="I313" s="1711"/>
      <c r="J313" s="1711"/>
      <c r="K313" s="1711"/>
      <c r="L313" s="1711"/>
      <c r="M313" s="1711"/>
      <c r="N313" s="1711"/>
      <c r="O313" s="1711"/>
      <c r="P313" s="1711"/>
      <c r="Q313" s="1711"/>
      <c r="R313" s="1711"/>
      <c r="S313" s="1711"/>
      <c r="T313" s="1711"/>
      <c r="U313" s="1711"/>
      <c r="V313" s="1711"/>
    </row>
    <row r="314" spans="2:26">
      <c r="D314" s="1711"/>
      <c r="E314" s="1711"/>
      <c r="F314" s="1711"/>
      <c r="G314" s="1711"/>
      <c r="H314" s="1711"/>
      <c r="I314" s="1711"/>
      <c r="J314" s="1711"/>
      <c r="K314" s="1711"/>
      <c r="L314" s="1711"/>
      <c r="M314" s="1711"/>
      <c r="N314" s="1711"/>
      <c r="O314" s="1711"/>
      <c r="P314" s="1711"/>
      <c r="Q314" s="1711"/>
      <c r="R314" s="1711"/>
      <c r="S314" s="1711"/>
      <c r="T314" s="1711"/>
      <c r="U314" s="1711"/>
      <c r="V314" s="1711"/>
    </row>
    <row r="315" spans="2:26">
      <c r="D315" s="1711"/>
      <c r="E315" s="1711"/>
      <c r="F315" s="1711"/>
      <c r="G315" s="1711"/>
      <c r="H315" s="1711"/>
      <c r="I315" s="1711"/>
      <c r="J315" s="1711"/>
      <c r="K315" s="1711"/>
      <c r="L315" s="1711"/>
      <c r="M315" s="1711"/>
      <c r="N315" s="1711"/>
      <c r="O315" s="1711"/>
      <c r="P315" s="1711"/>
      <c r="Q315" s="1711"/>
      <c r="R315" s="1711"/>
      <c r="S315" s="1711"/>
      <c r="T315" s="1711"/>
      <c r="U315" s="1711"/>
      <c r="V315" s="1711"/>
    </row>
    <row r="316" spans="2:26">
      <c r="D316" s="1711"/>
      <c r="E316" s="1711"/>
      <c r="F316" s="1711"/>
      <c r="G316" s="1711"/>
      <c r="H316" s="1711"/>
      <c r="I316" s="1711"/>
      <c r="J316" s="1711"/>
      <c r="K316" s="1711"/>
      <c r="L316" s="1711"/>
      <c r="M316" s="1711"/>
      <c r="N316" s="1711"/>
      <c r="O316" s="1711"/>
      <c r="P316" s="1711"/>
      <c r="Q316" s="1711"/>
      <c r="R316" s="1711"/>
      <c r="S316" s="1711"/>
      <c r="T316" s="1711"/>
      <c r="U316" s="1711"/>
      <c r="V316" s="1711"/>
    </row>
    <row r="317" spans="2:26">
      <c r="D317" s="1711"/>
      <c r="E317" s="1711"/>
      <c r="F317" s="1711"/>
      <c r="G317" s="1711"/>
      <c r="H317" s="1711"/>
      <c r="I317" s="1711"/>
      <c r="J317" s="1711"/>
      <c r="K317" s="1711"/>
      <c r="L317" s="1711"/>
      <c r="M317" s="1711"/>
      <c r="N317" s="1711"/>
      <c r="O317" s="1711"/>
      <c r="P317" s="1711"/>
      <c r="Q317" s="1711"/>
      <c r="R317" s="1711"/>
      <c r="S317" s="1711"/>
      <c r="T317" s="1711"/>
      <c r="U317" s="1711"/>
      <c r="V317" s="1711"/>
    </row>
    <row r="318" spans="2:26">
      <c r="D318" s="1711"/>
      <c r="E318" s="1711"/>
      <c r="F318" s="1711"/>
      <c r="G318" s="1711"/>
      <c r="H318" s="1711"/>
      <c r="I318" s="1711"/>
      <c r="J318" s="1711"/>
      <c r="K318" s="1711"/>
      <c r="L318" s="1711"/>
      <c r="M318" s="1711"/>
      <c r="N318" s="1711"/>
      <c r="O318" s="1711"/>
      <c r="P318" s="1711"/>
      <c r="Q318" s="1711"/>
      <c r="R318" s="1711"/>
      <c r="S318" s="1711"/>
      <c r="T318" s="1711"/>
      <c r="U318" s="1711"/>
      <c r="V318" s="1711"/>
    </row>
    <row r="319" spans="2:26">
      <c r="D319" s="1711"/>
      <c r="E319" s="1711"/>
      <c r="F319" s="1711"/>
      <c r="G319" s="1711"/>
      <c r="H319" s="1711"/>
      <c r="I319" s="1711"/>
      <c r="J319" s="1711"/>
      <c r="K319" s="1711"/>
      <c r="L319" s="1711"/>
      <c r="M319" s="1711"/>
      <c r="N319" s="1711"/>
      <c r="O319" s="1711"/>
      <c r="P319" s="1711"/>
      <c r="Q319" s="1711"/>
      <c r="R319" s="1711"/>
      <c r="S319" s="1711"/>
      <c r="T319" s="1711"/>
      <c r="U319" s="1711"/>
      <c r="V319" s="1711"/>
    </row>
    <row r="320" spans="2:26">
      <c r="D320" s="1711"/>
      <c r="E320" s="1711"/>
      <c r="F320" s="1711"/>
      <c r="G320" s="1711"/>
      <c r="H320" s="1711"/>
      <c r="I320" s="1711"/>
      <c r="J320" s="1711"/>
      <c r="K320" s="1711"/>
      <c r="L320" s="1711"/>
      <c r="M320" s="1711"/>
      <c r="N320" s="1711"/>
      <c r="O320" s="1711"/>
      <c r="P320" s="1711"/>
      <c r="Q320" s="1711"/>
      <c r="R320" s="1711"/>
      <c r="S320" s="1711"/>
      <c r="T320" s="1711"/>
      <c r="U320" s="1711"/>
      <c r="V320" s="1711"/>
    </row>
    <row r="321" spans="4:22">
      <c r="D321" s="1711"/>
      <c r="E321" s="1711"/>
      <c r="F321" s="1711"/>
      <c r="G321" s="1711"/>
      <c r="H321" s="1711"/>
      <c r="I321" s="1711"/>
      <c r="J321" s="1711"/>
      <c r="K321" s="1711"/>
      <c r="L321" s="1711"/>
      <c r="M321" s="1711"/>
      <c r="N321" s="1711"/>
      <c r="O321" s="1711"/>
      <c r="P321" s="1711"/>
      <c r="Q321" s="1711"/>
      <c r="R321" s="1711"/>
      <c r="S321" s="1711"/>
      <c r="T321" s="1711"/>
      <c r="U321" s="1711"/>
      <c r="V321" s="1711"/>
    </row>
    <row r="322" spans="4:22">
      <c r="D322" s="1711"/>
      <c r="E322" s="1711"/>
      <c r="F322" s="1711"/>
      <c r="G322" s="1711"/>
      <c r="H322" s="1711"/>
      <c r="I322" s="1711"/>
      <c r="J322" s="1711"/>
      <c r="K322" s="1711"/>
      <c r="L322" s="1711"/>
      <c r="M322" s="1711"/>
      <c r="N322" s="1711"/>
      <c r="O322" s="1711"/>
      <c r="P322" s="1711"/>
      <c r="Q322" s="1711"/>
      <c r="R322" s="1711"/>
      <c r="S322" s="1711"/>
      <c r="T322" s="1711"/>
      <c r="U322" s="1711"/>
      <c r="V322" s="1711"/>
    </row>
    <row r="323" spans="4:22">
      <c r="D323" s="1711"/>
      <c r="E323" s="1711"/>
      <c r="F323" s="1711"/>
      <c r="G323" s="1711"/>
      <c r="H323" s="1711"/>
      <c r="I323" s="1711"/>
      <c r="J323" s="1711"/>
      <c r="K323" s="1711"/>
      <c r="L323" s="1711"/>
      <c r="M323" s="1711"/>
      <c r="N323" s="1711"/>
      <c r="O323" s="1711"/>
      <c r="P323" s="1711"/>
      <c r="Q323" s="1711"/>
      <c r="R323" s="1711"/>
      <c r="S323" s="1711"/>
      <c r="T323" s="1711"/>
      <c r="U323" s="1711"/>
      <c r="V323" s="1711"/>
    </row>
    <row r="324" spans="4:22">
      <c r="D324" s="1711"/>
      <c r="E324" s="1711"/>
      <c r="F324" s="1711"/>
      <c r="G324" s="1711"/>
      <c r="H324" s="1711"/>
      <c r="I324" s="1711"/>
      <c r="J324" s="1711"/>
      <c r="K324" s="1711"/>
      <c r="L324" s="1711"/>
      <c r="M324" s="1711"/>
      <c r="N324" s="1711"/>
      <c r="O324" s="1711"/>
      <c r="P324" s="1711"/>
      <c r="Q324" s="1711"/>
      <c r="R324" s="1711"/>
      <c r="S324" s="1711"/>
      <c r="T324" s="1711"/>
      <c r="U324" s="1711"/>
      <c r="V324" s="1711"/>
    </row>
    <row r="325" spans="4:22">
      <c r="D325" s="1711"/>
      <c r="E325" s="1711"/>
      <c r="F325" s="1711"/>
      <c r="G325" s="1711"/>
      <c r="H325" s="1711"/>
      <c r="I325" s="1711"/>
      <c r="J325" s="1711"/>
      <c r="K325" s="1711"/>
      <c r="L325" s="1711"/>
      <c r="M325" s="1711"/>
      <c r="N325" s="1711"/>
      <c r="O325" s="1711"/>
      <c r="P325" s="1711"/>
      <c r="Q325" s="1711"/>
      <c r="R325" s="1711"/>
      <c r="S325" s="1711"/>
      <c r="T325" s="1711"/>
      <c r="U325" s="1711"/>
      <c r="V325" s="1711"/>
    </row>
    <row r="326" spans="4:22">
      <c r="D326" s="1711"/>
      <c r="E326" s="1711"/>
      <c r="F326" s="1711"/>
      <c r="G326" s="1711"/>
      <c r="H326" s="1711"/>
      <c r="I326" s="1711"/>
      <c r="J326" s="1711"/>
      <c r="K326" s="1711"/>
      <c r="L326" s="1711"/>
      <c r="M326" s="1711"/>
      <c r="N326" s="1711"/>
      <c r="O326" s="1711"/>
      <c r="P326" s="1711"/>
      <c r="Q326" s="1711"/>
      <c r="R326" s="1711"/>
      <c r="S326" s="1711"/>
      <c r="T326" s="1711"/>
      <c r="U326" s="1711"/>
      <c r="V326" s="1711"/>
    </row>
    <row r="327" spans="4:22">
      <c r="D327" s="1711"/>
      <c r="E327" s="1711"/>
      <c r="F327" s="1711"/>
      <c r="G327" s="1711"/>
      <c r="H327" s="1711"/>
      <c r="I327" s="1711"/>
      <c r="J327" s="1711"/>
      <c r="K327" s="1711"/>
      <c r="L327" s="1711"/>
      <c r="M327" s="1711"/>
      <c r="N327" s="1711"/>
      <c r="O327" s="1711"/>
      <c r="P327" s="1711"/>
      <c r="Q327" s="1711"/>
      <c r="R327" s="1711"/>
      <c r="S327" s="1711"/>
      <c r="T327" s="1711"/>
      <c r="U327" s="1711"/>
      <c r="V327" s="1711"/>
    </row>
    <row r="328" spans="4:22">
      <c r="D328" s="1711"/>
      <c r="E328" s="1711"/>
      <c r="F328" s="1711"/>
      <c r="G328" s="1711"/>
      <c r="H328" s="1711"/>
      <c r="I328" s="1711"/>
      <c r="J328" s="1711"/>
      <c r="K328" s="1711"/>
      <c r="L328" s="1711"/>
      <c r="M328" s="1711"/>
      <c r="N328" s="1711"/>
      <c r="O328" s="1711"/>
      <c r="P328" s="1711"/>
      <c r="Q328" s="1711"/>
      <c r="R328" s="1711"/>
      <c r="S328" s="1711"/>
      <c r="T328" s="1711"/>
      <c r="U328" s="1711"/>
      <c r="V328" s="1711"/>
    </row>
    <row r="329" spans="4:22">
      <c r="D329" s="1711"/>
      <c r="E329" s="1711"/>
      <c r="F329" s="1711"/>
      <c r="G329" s="1711"/>
      <c r="H329" s="1711"/>
      <c r="I329" s="1711"/>
      <c r="J329" s="1711"/>
      <c r="K329" s="1711"/>
      <c r="L329" s="1711"/>
      <c r="M329" s="1711"/>
      <c r="N329" s="1711"/>
      <c r="O329" s="1711"/>
      <c r="P329" s="1711"/>
      <c r="Q329" s="1711"/>
      <c r="R329" s="1711"/>
      <c r="S329" s="1711"/>
      <c r="T329" s="1711"/>
      <c r="U329" s="1711"/>
      <c r="V329" s="1711"/>
    </row>
    <row r="330" spans="4:22">
      <c r="D330" s="1711"/>
      <c r="E330" s="1711"/>
      <c r="F330" s="1711"/>
      <c r="G330" s="1711"/>
      <c r="H330" s="1711"/>
      <c r="I330" s="1711"/>
      <c r="J330" s="1711"/>
      <c r="K330" s="1711"/>
      <c r="L330" s="1711"/>
      <c r="M330" s="1711"/>
      <c r="N330" s="1711"/>
      <c r="O330" s="1711"/>
      <c r="P330" s="1711"/>
      <c r="Q330" s="1711"/>
      <c r="R330" s="1711"/>
      <c r="S330" s="1711"/>
      <c r="T330" s="1711"/>
      <c r="U330" s="1711"/>
      <c r="V330" s="1711"/>
    </row>
    <row r="331" spans="4:22">
      <c r="D331" s="1711"/>
      <c r="E331" s="1711"/>
      <c r="F331" s="1711"/>
      <c r="G331" s="1711"/>
      <c r="H331" s="1711"/>
      <c r="I331" s="1711"/>
      <c r="J331" s="1711"/>
      <c r="K331" s="1711"/>
      <c r="L331" s="1711"/>
      <c r="M331" s="1711"/>
      <c r="N331" s="1711"/>
      <c r="O331" s="1711"/>
      <c r="P331" s="1711"/>
      <c r="Q331" s="1711"/>
      <c r="R331" s="1711"/>
      <c r="S331" s="1711"/>
      <c r="T331" s="1711"/>
      <c r="U331" s="1711"/>
      <c r="V331" s="1711"/>
    </row>
    <row r="332" spans="4:22">
      <c r="D332" s="1711"/>
      <c r="E332" s="1711"/>
      <c r="F332" s="1711"/>
      <c r="G332" s="1711"/>
      <c r="H332" s="1711"/>
      <c r="I332" s="1711"/>
      <c r="J332" s="1711"/>
      <c r="K332" s="1711"/>
      <c r="L332" s="1711"/>
      <c r="M332" s="1711"/>
      <c r="N332" s="1711"/>
      <c r="O332" s="1711"/>
      <c r="P332" s="1711"/>
      <c r="Q332" s="1711"/>
      <c r="R332" s="1711"/>
      <c r="S332" s="1711"/>
      <c r="T332" s="1711"/>
      <c r="U332" s="1711"/>
      <c r="V332" s="1711"/>
    </row>
    <row r="333" spans="4:22">
      <c r="D333" s="1711"/>
      <c r="E333" s="1711"/>
      <c r="F333" s="1711"/>
      <c r="G333" s="1711"/>
      <c r="H333" s="1711"/>
      <c r="I333" s="1711"/>
      <c r="J333" s="1711"/>
      <c r="K333" s="1711"/>
      <c r="L333" s="1711"/>
      <c r="M333" s="1711"/>
      <c r="N333" s="1711"/>
      <c r="O333" s="1711"/>
      <c r="P333" s="1711"/>
      <c r="Q333" s="1711"/>
      <c r="R333" s="1711"/>
      <c r="S333" s="1711"/>
      <c r="T333" s="1711"/>
      <c r="U333" s="1711"/>
      <c r="V333" s="1711"/>
    </row>
    <row r="334" spans="4:22">
      <c r="D334" s="1711"/>
      <c r="E334" s="1711"/>
      <c r="F334" s="1711"/>
      <c r="G334" s="1711"/>
      <c r="H334" s="1711"/>
      <c r="I334" s="1711"/>
      <c r="J334" s="1711"/>
      <c r="K334" s="1711"/>
      <c r="L334" s="1711"/>
      <c r="M334" s="1711"/>
      <c r="N334" s="1711"/>
      <c r="O334" s="1711"/>
      <c r="P334" s="1711"/>
      <c r="Q334" s="1711"/>
      <c r="R334" s="1711"/>
      <c r="S334" s="1711"/>
      <c r="T334" s="1711"/>
      <c r="U334" s="1711"/>
      <c r="V334" s="1711"/>
    </row>
    <row r="335" spans="4:22">
      <c r="D335" s="1711"/>
      <c r="E335" s="1711"/>
      <c r="F335" s="1711"/>
      <c r="G335" s="1711"/>
      <c r="H335" s="1711"/>
      <c r="I335" s="1711"/>
      <c r="J335" s="1711"/>
      <c r="K335" s="1711"/>
      <c r="L335" s="1711"/>
      <c r="M335" s="1711"/>
      <c r="N335" s="1711"/>
      <c r="O335" s="1711"/>
      <c r="P335" s="1711"/>
      <c r="Q335" s="1711"/>
      <c r="R335" s="1711"/>
      <c r="S335" s="1711"/>
      <c r="T335" s="1711"/>
      <c r="U335" s="1711"/>
      <c r="V335" s="1711"/>
    </row>
    <row r="336" spans="4:22">
      <c r="D336" s="1711"/>
      <c r="E336" s="1711"/>
      <c r="F336" s="1711"/>
      <c r="G336" s="1711"/>
      <c r="H336" s="1711"/>
      <c r="I336" s="1711"/>
      <c r="J336" s="1711"/>
      <c r="K336" s="1711"/>
      <c r="L336" s="1711"/>
      <c r="M336" s="1711"/>
      <c r="N336" s="1711"/>
      <c r="O336" s="1711"/>
      <c r="P336" s="1711"/>
      <c r="Q336" s="1711"/>
      <c r="R336" s="1711"/>
      <c r="S336" s="1711"/>
      <c r="T336" s="1711"/>
      <c r="U336" s="1711"/>
      <c r="V336" s="1711"/>
    </row>
    <row r="337" spans="4:22">
      <c r="D337" s="1711"/>
      <c r="E337" s="1711"/>
      <c r="F337" s="1711"/>
      <c r="G337" s="1711"/>
      <c r="H337" s="1711"/>
      <c r="I337" s="1711"/>
      <c r="J337" s="1711"/>
      <c r="K337" s="1711"/>
      <c r="L337" s="1711"/>
      <c r="M337" s="1711"/>
      <c r="N337" s="1711"/>
      <c r="O337" s="1711"/>
      <c r="P337" s="1711"/>
      <c r="Q337" s="1711"/>
      <c r="R337" s="1711"/>
      <c r="S337" s="1711"/>
      <c r="T337" s="1711"/>
      <c r="U337" s="1711"/>
      <c r="V337" s="1711"/>
    </row>
    <row r="338" spans="4:22">
      <c r="D338" s="1711"/>
      <c r="E338" s="1711"/>
      <c r="F338" s="1711"/>
      <c r="G338" s="1711"/>
      <c r="H338" s="1711"/>
      <c r="I338" s="1711"/>
      <c r="J338" s="1711"/>
      <c r="K338" s="1711"/>
      <c r="L338" s="1711"/>
      <c r="M338" s="1711"/>
      <c r="N338" s="1711"/>
      <c r="O338" s="1711"/>
      <c r="P338" s="1711"/>
      <c r="Q338" s="1711"/>
      <c r="R338" s="1711"/>
      <c r="S338" s="1711"/>
      <c r="T338" s="1711"/>
      <c r="U338" s="1711"/>
      <c r="V338" s="1711"/>
    </row>
    <row r="339" spans="4:22">
      <c r="D339" s="1711"/>
      <c r="E339" s="1711"/>
      <c r="F339" s="1711"/>
      <c r="G339" s="1711"/>
      <c r="H339" s="1711"/>
      <c r="I339" s="1711"/>
      <c r="J339" s="1711"/>
      <c r="K339" s="1711"/>
      <c r="L339" s="1711"/>
      <c r="M339" s="1711"/>
      <c r="N339" s="1711"/>
      <c r="O339" s="1711"/>
      <c r="P339" s="1711"/>
      <c r="Q339" s="1711"/>
      <c r="R339" s="1711"/>
      <c r="S339" s="1711"/>
      <c r="T339" s="1711"/>
      <c r="U339" s="1711"/>
      <c r="V339" s="1711"/>
    </row>
    <row r="340" spans="4:22">
      <c r="U340" s="1521"/>
      <c r="V340" s="1521"/>
    </row>
    <row r="341" spans="4:22">
      <c r="U341" s="1521"/>
      <c r="V341" s="1521"/>
    </row>
    <row r="342" spans="4:22">
      <c r="U342" s="1521"/>
      <c r="V342" s="1521"/>
    </row>
    <row r="343" spans="4:22">
      <c r="U343" s="1521"/>
      <c r="V343" s="1521"/>
    </row>
    <row r="344" spans="4:22">
      <c r="U344" s="1521"/>
      <c r="V344" s="1521"/>
    </row>
    <row r="345" spans="4:22">
      <c r="U345" s="1521"/>
      <c r="V345" s="1521"/>
    </row>
    <row r="346" spans="4:22">
      <c r="U346" s="1521"/>
      <c r="V346" s="1521"/>
    </row>
    <row r="347" spans="4:22">
      <c r="U347" s="1521"/>
      <c r="V347" s="1521"/>
    </row>
    <row r="348" spans="4:22">
      <c r="U348" s="1521"/>
      <c r="V348" s="1521"/>
    </row>
    <row r="349" spans="4:22">
      <c r="U349" s="1521"/>
      <c r="V349" s="1521"/>
    </row>
    <row r="350" spans="4:22">
      <c r="U350" s="1521"/>
      <c r="V350" s="1521"/>
    </row>
    <row r="351" spans="4:22">
      <c r="U351" s="1521"/>
      <c r="V351" s="1521"/>
    </row>
    <row r="352" spans="4:22">
      <c r="U352" s="1521"/>
      <c r="V352" s="1521"/>
    </row>
    <row r="353" spans="21:22">
      <c r="U353" s="1521"/>
      <c r="V353" s="1521"/>
    </row>
    <row r="354" spans="21:22">
      <c r="U354" s="1521"/>
      <c r="V354" s="1521"/>
    </row>
    <row r="355" spans="21:22">
      <c r="U355" s="1521"/>
      <c r="V355" s="1521"/>
    </row>
    <row r="356" spans="21:22">
      <c r="U356" s="1521"/>
      <c r="V356" s="1521"/>
    </row>
    <row r="357" spans="21:22">
      <c r="U357" s="1521"/>
      <c r="V357" s="1521"/>
    </row>
    <row r="358" spans="21:22">
      <c r="U358" s="1521"/>
      <c r="V358" s="1521"/>
    </row>
    <row r="359" spans="21:22">
      <c r="U359" s="1521"/>
      <c r="V359" s="1521"/>
    </row>
    <row r="360" spans="21:22">
      <c r="U360" s="1521"/>
      <c r="V360" s="1521"/>
    </row>
    <row r="361" spans="21:22">
      <c r="U361" s="1521"/>
      <c r="V361" s="1521"/>
    </row>
    <row r="362" spans="21:22">
      <c r="U362" s="1521"/>
      <c r="V362" s="1521"/>
    </row>
    <row r="363" spans="21:22">
      <c r="U363" s="1521"/>
      <c r="V363" s="1521"/>
    </row>
    <row r="364" spans="21:22">
      <c r="U364" s="1521"/>
      <c r="V364" s="1521"/>
    </row>
    <row r="365" spans="21:22">
      <c r="U365" s="1521"/>
      <c r="V365" s="1521"/>
    </row>
    <row r="366" spans="21:22">
      <c r="U366" s="1521"/>
      <c r="V366" s="1521"/>
    </row>
    <row r="367" spans="21:22">
      <c r="U367" s="1521"/>
      <c r="V367" s="1521"/>
    </row>
    <row r="368" spans="21:22">
      <c r="U368" s="1521"/>
      <c r="V368" s="1521"/>
    </row>
    <row r="369" spans="21:22">
      <c r="U369" s="1521"/>
      <c r="V369" s="1521"/>
    </row>
    <row r="370" spans="21:22">
      <c r="U370" s="1521"/>
      <c r="V370" s="1521"/>
    </row>
    <row r="371" spans="21:22">
      <c r="U371" s="1521"/>
      <c r="V371" s="1521"/>
    </row>
    <row r="372" spans="21:22">
      <c r="U372" s="1521"/>
      <c r="V372" s="1521"/>
    </row>
    <row r="373" spans="21:22">
      <c r="U373" s="1521"/>
      <c r="V373" s="1521"/>
    </row>
    <row r="374" spans="21:22">
      <c r="U374" s="1521"/>
      <c r="V374" s="1521"/>
    </row>
    <row r="375" spans="21:22">
      <c r="U375" s="1521"/>
      <c r="V375" s="1521"/>
    </row>
    <row r="376" spans="21:22">
      <c r="U376" s="1521"/>
      <c r="V376" s="1521"/>
    </row>
    <row r="377" spans="21:22">
      <c r="U377" s="1521"/>
      <c r="V377" s="1521"/>
    </row>
    <row r="378" spans="21:22">
      <c r="U378" s="1521"/>
      <c r="V378" s="1521"/>
    </row>
    <row r="379" spans="21:22">
      <c r="U379" s="1521"/>
      <c r="V379" s="1521"/>
    </row>
    <row r="380" spans="21:22">
      <c r="U380" s="1521"/>
      <c r="V380" s="1521"/>
    </row>
    <row r="381" spans="21:22">
      <c r="U381" s="1521"/>
      <c r="V381" s="1521"/>
    </row>
    <row r="382" spans="21:22">
      <c r="U382" s="1521"/>
      <c r="V382" s="1521"/>
    </row>
    <row r="383" spans="21:22">
      <c r="U383" s="1521"/>
      <c r="V383" s="1521"/>
    </row>
    <row r="384" spans="21:22">
      <c r="U384" s="1521"/>
      <c r="V384" s="1521"/>
    </row>
    <row r="385" spans="21:22">
      <c r="U385" s="1521"/>
      <c r="V385" s="1521"/>
    </row>
    <row r="386" spans="21:22">
      <c r="U386" s="1521"/>
      <c r="V386" s="1521"/>
    </row>
    <row r="387" spans="21:22">
      <c r="U387" s="1521"/>
      <c r="V387" s="1521"/>
    </row>
    <row r="388" spans="21:22">
      <c r="U388" s="1521"/>
      <c r="V388" s="1521"/>
    </row>
    <row r="389" spans="21:22">
      <c r="U389" s="1521"/>
      <c r="V389" s="1521"/>
    </row>
    <row r="390" spans="21:22">
      <c r="U390" s="1521"/>
      <c r="V390" s="1521"/>
    </row>
    <row r="391" spans="21:22">
      <c r="U391" s="1521"/>
      <c r="V391" s="1521"/>
    </row>
    <row r="392" spans="21:22">
      <c r="U392" s="1521"/>
      <c r="V392" s="1521"/>
    </row>
    <row r="393" spans="21:22">
      <c r="U393" s="1521"/>
      <c r="V393" s="1521"/>
    </row>
    <row r="394" spans="21:22">
      <c r="U394" s="1521"/>
      <c r="V394" s="1521"/>
    </row>
    <row r="395" spans="21:22">
      <c r="U395" s="1521"/>
      <c r="V395" s="1521"/>
    </row>
    <row r="396" spans="21:22">
      <c r="U396" s="1521"/>
      <c r="V396" s="1521"/>
    </row>
    <row r="397" spans="21:22">
      <c r="U397" s="1521"/>
      <c r="V397" s="1521"/>
    </row>
    <row r="398" spans="21:22">
      <c r="U398" s="1521"/>
      <c r="V398" s="1521"/>
    </row>
    <row r="399" spans="21:22">
      <c r="U399" s="1521"/>
      <c r="V399" s="1521"/>
    </row>
    <row r="400" spans="21:22">
      <c r="U400" s="1521"/>
      <c r="V400" s="1521"/>
    </row>
    <row r="401" spans="21:22">
      <c r="U401" s="1521"/>
      <c r="V401" s="1521"/>
    </row>
    <row r="402" spans="21:22">
      <c r="U402" s="1521"/>
      <c r="V402" s="1521"/>
    </row>
    <row r="403" spans="21:22">
      <c r="U403" s="1521"/>
      <c r="V403" s="1521"/>
    </row>
    <row r="404" spans="21:22">
      <c r="U404" s="1521"/>
      <c r="V404" s="1521"/>
    </row>
    <row r="405" spans="21:22">
      <c r="U405" s="1521"/>
      <c r="V405" s="1521"/>
    </row>
    <row r="406" spans="21:22">
      <c r="U406" s="1521"/>
      <c r="V406" s="1521"/>
    </row>
    <row r="407" spans="21:22">
      <c r="U407" s="1521"/>
      <c r="V407" s="1521"/>
    </row>
    <row r="408" spans="21:22">
      <c r="U408" s="1521"/>
      <c r="V408" s="1521"/>
    </row>
    <row r="409" spans="21:22">
      <c r="U409" s="1521"/>
      <c r="V409" s="1521"/>
    </row>
    <row r="410" spans="21:22">
      <c r="U410" s="1521"/>
      <c r="V410" s="1521"/>
    </row>
    <row r="411" spans="21:22">
      <c r="U411" s="1521"/>
      <c r="V411" s="1521"/>
    </row>
    <row r="412" spans="21:22">
      <c r="U412" s="1521"/>
      <c r="V412" s="1521"/>
    </row>
    <row r="413" spans="21:22">
      <c r="U413" s="1521"/>
      <c r="V413" s="1521"/>
    </row>
    <row r="414" spans="21:22">
      <c r="U414" s="1521"/>
      <c r="V414" s="1521"/>
    </row>
    <row r="415" spans="21:22">
      <c r="U415" s="1521"/>
      <c r="V415" s="1521"/>
    </row>
    <row r="416" spans="21:22">
      <c r="U416" s="1521"/>
      <c r="V416" s="1521"/>
    </row>
    <row r="417" spans="21:22">
      <c r="U417" s="1521"/>
      <c r="V417" s="1521"/>
    </row>
    <row r="418" spans="21:22">
      <c r="U418" s="1521"/>
      <c r="V418" s="1521"/>
    </row>
    <row r="419" spans="21:22">
      <c r="U419" s="1521"/>
      <c r="V419" s="1521"/>
    </row>
    <row r="420" spans="21:22">
      <c r="U420" s="1521"/>
      <c r="V420" s="1521"/>
    </row>
    <row r="421" spans="21:22">
      <c r="U421" s="1521"/>
      <c r="V421" s="1521"/>
    </row>
    <row r="422" spans="21:22">
      <c r="U422" s="1521"/>
      <c r="V422" s="1521"/>
    </row>
    <row r="423" spans="21:22">
      <c r="U423" s="1521"/>
      <c r="V423" s="1521"/>
    </row>
    <row r="424" spans="21:22">
      <c r="U424" s="1521"/>
      <c r="V424" s="1521"/>
    </row>
    <row r="425" spans="21:22">
      <c r="U425" s="1521"/>
      <c r="V425" s="1521"/>
    </row>
    <row r="426" spans="21:22">
      <c r="U426" s="1521"/>
      <c r="V426" s="1521"/>
    </row>
    <row r="427" spans="21:22">
      <c r="U427" s="1521"/>
      <c r="V427" s="1521"/>
    </row>
    <row r="428" spans="21:22">
      <c r="U428" s="1521"/>
      <c r="V428" s="1521"/>
    </row>
    <row r="429" spans="21:22">
      <c r="U429" s="1521"/>
      <c r="V429" s="1521"/>
    </row>
    <row r="430" spans="21:22">
      <c r="U430" s="1521"/>
      <c r="V430" s="1521"/>
    </row>
    <row r="431" spans="21:22">
      <c r="U431" s="1521"/>
      <c r="V431" s="1521"/>
    </row>
    <row r="432" spans="21:22">
      <c r="U432" s="1521"/>
      <c r="V432" s="1521"/>
    </row>
    <row r="433" spans="21:22">
      <c r="U433" s="1521"/>
      <c r="V433" s="1521"/>
    </row>
    <row r="434" spans="21:22">
      <c r="U434" s="1521"/>
      <c r="V434" s="1521"/>
    </row>
    <row r="435" spans="21:22">
      <c r="U435" s="1521"/>
      <c r="V435" s="1521"/>
    </row>
    <row r="436" spans="21:22">
      <c r="U436" s="1521"/>
      <c r="V436" s="1521"/>
    </row>
    <row r="437" spans="21:22">
      <c r="U437" s="1521"/>
      <c r="V437" s="1521"/>
    </row>
    <row r="438" spans="21:22">
      <c r="U438" s="1521"/>
      <c r="V438" s="1521"/>
    </row>
    <row r="439" spans="21:22">
      <c r="U439" s="1521"/>
      <c r="V439" s="1521"/>
    </row>
    <row r="440" spans="21:22">
      <c r="U440" s="1521"/>
      <c r="V440" s="1521"/>
    </row>
    <row r="441" spans="21:22">
      <c r="U441" s="1521"/>
      <c r="V441" s="1521"/>
    </row>
    <row r="442" spans="21:22">
      <c r="U442" s="1521"/>
      <c r="V442" s="1521"/>
    </row>
    <row r="443" spans="21:22">
      <c r="U443" s="1521"/>
      <c r="V443" s="1521"/>
    </row>
    <row r="444" spans="21:22">
      <c r="U444" s="1521"/>
      <c r="V444" s="1521"/>
    </row>
    <row r="445" spans="21:22">
      <c r="U445" s="1521"/>
      <c r="V445" s="1521"/>
    </row>
    <row r="446" spans="21:22">
      <c r="U446" s="1521"/>
      <c r="V446" s="1521"/>
    </row>
    <row r="447" spans="21:22">
      <c r="U447" s="1521"/>
      <c r="V447" s="1521"/>
    </row>
    <row r="448" spans="21:22">
      <c r="U448" s="1521"/>
      <c r="V448" s="1521"/>
    </row>
    <row r="449" spans="21:22">
      <c r="U449" s="1521"/>
      <c r="V449" s="1521"/>
    </row>
    <row r="450" spans="21:22">
      <c r="U450" s="1521"/>
      <c r="V450" s="1521"/>
    </row>
    <row r="451" spans="21:22">
      <c r="U451" s="1521"/>
      <c r="V451" s="1521"/>
    </row>
    <row r="452" spans="21:22">
      <c r="U452" s="1521"/>
      <c r="V452" s="1521"/>
    </row>
    <row r="453" spans="21:22">
      <c r="U453" s="1521"/>
      <c r="V453" s="1521"/>
    </row>
    <row r="454" spans="21:22">
      <c r="U454" s="1521"/>
      <c r="V454" s="1521"/>
    </row>
    <row r="455" spans="21:22">
      <c r="U455" s="1521"/>
      <c r="V455" s="1521"/>
    </row>
    <row r="456" spans="21:22">
      <c r="U456" s="1521"/>
      <c r="V456" s="1521"/>
    </row>
    <row r="457" spans="21:22">
      <c r="U457" s="1521"/>
      <c r="V457" s="1521"/>
    </row>
    <row r="458" spans="21:22">
      <c r="U458" s="1521"/>
      <c r="V458" s="1521"/>
    </row>
    <row r="459" spans="21:22">
      <c r="U459" s="1521"/>
      <c r="V459" s="1521"/>
    </row>
    <row r="460" spans="21:22">
      <c r="U460" s="1521"/>
      <c r="V460" s="1521"/>
    </row>
    <row r="461" spans="21:22">
      <c r="U461" s="1521"/>
      <c r="V461" s="1521"/>
    </row>
    <row r="462" spans="21:22">
      <c r="U462" s="1521"/>
      <c r="V462" s="1521"/>
    </row>
    <row r="463" spans="21:22">
      <c r="U463" s="1521"/>
      <c r="V463" s="1521"/>
    </row>
    <row r="464" spans="21:22">
      <c r="U464" s="1521"/>
      <c r="V464" s="1521"/>
    </row>
    <row r="465" spans="21:22">
      <c r="U465" s="1521"/>
      <c r="V465" s="1521"/>
    </row>
    <row r="466" spans="21:22">
      <c r="U466" s="1521"/>
      <c r="V466" s="1521"/>
    </row>
    <row r="467" spans="21:22">
      <c r="U467" s="1521"/>
      <c r="V467" s="1521"/>
    </row>
    <row r="468" spans="21:22">
      <c r="U468" s="1521"/>
      <c r="V468" s="1521"/>
    </row>
    <row r="469" spans="21:22">
      <c r="U469" s="1521"/>
      <c r="V469" s="1521"/>
    </row>
    <row r="470" spans="21:22">
      <c r="U470" s="1521"/>
      <c r="V470" s="1521"/>
    </row>
    <row r="471" spans="21:22">
      <c r="U471" s="1521"/>
      <c r="V471" s="1521"/>
    </row>
    <row r="472" spans="21:22">
      <c r="U472" s="1521"/>
      <c r="V472" s="1521"/>
    </row>
    <row r="473" spans="21:22">
      <c r="U473" s="1521"/>
      <c r="V473" s="1521"/>
    </row>
    <row r="474" spans="21:22">
      <c r="U474" s="1521"/>
      <c r="V474" s="1521"/>
    </row>
    <row r="475" spans="21:22">
      <c r="U475" s="1521"/>
      <c r="V475" s="1521"/>
    </row>
    <row r="476" spans="21:22">
      <c r="U476" s="1521"/>
      <c r="V476" s="1521"/>
    </row>
    <row r="477" spans="21:22">
      <c r="U477" s="1521"/>
      <c r="V477" s="1521"/>
    </row>
    <row r="478" spans="21:22">
      <c r="U478" s="1521"/>
      <c r="V478" s="1521"/>
    </row>
    <row r="479" spans="21:22">
      <c r="U479" s="1521"/>
      <c r="V479" s="1521"/>
    </row>
    <row r="480" spans="21:22">
      <c r="U480" s="1521"/>
      <c r="V480" s="1521"/>
    </row>
    <row r="481" spans="21:22">
      <c r="U481" s="1521"/>
      <c r="V481" s="1521"/>
    </row>
    <row r="482" spans="21:22">
      <c r="U482" s="1521"/>
      <c r="V482" s="1521"/>
    </row>
    <row r="483" spans="21:22">
      <c r="U483" s="1521"/>
      <c r="V483" s="1521"/>
    </row>
    <row r="484" spans="21:22">
      <c r="U484" s="1521"/>
      <c r="V484" s="1521"/>
    </row>
    <row r="485" spans="21:22">
      <c r="U485" s="1521"/>
      <c r="V485" s="1521"/>
    </row>
    <row r="486" spans="21:22">
      <c r="U486" s="1521"/>
      <c r="V486" s="1521"/>
    </row>
    <row r="487" spans="21:22">
      <c r="U487" s="1521"/>
      <c r="V487" s="1521"/>
    </row>
    <row r="488" spans="21:22">
      <c r="U488" s="1521"/>
      <c r="V488" s="1521"/>
    </row>
    <row r="489" spans="21:22">
      <c r="U489" s="1521"/>
      <c r="V489" s="1521"/>
    </row>
    <row r="490" spans="21:22">
      <c r="U490" s="1521"/>
      <c r="V490" s="1521"/>
    </row>
    <row r="491" spans="21:22">
      <c r="U491" s="1521"/>
      <c r="V491" s="1521"/>
    </row>
    <row r="492" spans="21:22">
      <c r="U492" s="1521"/>
      <c r="V492" s="1521"/>
    </row>
    <row r="493" spans="21:22">
      <c r="U493" s="1521"/>
      <c r="V493" s="1521"/>
    </row>
    <row r="494" spans="21:22">
      <c r="U494" s="1521"/>
      <c r="V494" s="1521"/>
    </row>
    <row r="495" spans="21:22">
      <c r="U495" s="1521"/>
      <c r="V495" s="1521"/>
    </row>
    <row r="496" spans="21:22">
      <c r="U496" s="1521"/>
      <c r="V496" s="1521"/>
    </row>
    <row r="497" spans="21:22">
      <c r="U497" s="1521"/>
      <c r="V497" s="1521"/>
    </row>
    <row r="498" spans="21:22">
      <c r="U498" s="1521"/>
      <c r="V498" s="1521"/>
    </row>
    <row r="499" spans="21:22">
      <c r="U499" s="1521"/>
      <c r="V499" s="1521"/>
    </row>
    <row r="500" spans="21:22">
      <c r="U500" s="1521"/>
      <c r="V500" s="1521"/>
    </row>
    <row r="501" spans="21:22">
      <c r="U501" s="1521"/>
      <c r="V501" s="1521"/>
    </row>
    <row r="502" spans="21:22">
      <c r="U502" s="1521"/>
      <c r="V502" s="1521"/>
    </row>
    <row r="503" spans="21:22">
      <c r="U503" s="1521"/>
      <c r="V503" s="1521"/>
    </row>
    <row r="504" spans="21:22">
      <c r="U504" s="1521"/>
      <c r="V504" s="1521"/>
    </row>
    <row r="505" spans="21:22">
      <c r="U505" s="1521"/>
      <c r="V505" s="1521"/>
    </row>
    <row r="506" spans="21:22">
      <c r="U506" s="1521"/>
      <c r="V506" s="1521"/>
    </row>
    <row r="507" spans="21:22">
      <c r="U507" s="1521"/>
      <c r="V507" s="1521"/>
    </row>
    <row r="508" spans="21:22">
      <c r="U508" s="1521"/>
      <c r="V508" s="1521"/>
    </row>
    <row r="509" spans="21:22">
      <c r="U509" s="1521"/>
      <c r="V509" s="1521"/>
    </row>
    <row r="510" spans="21:22">
      <c r="U510" s="1521"/>
      <c r="V510" s="1521"/>
    </row>
    <row r="511" spans="21:22">
      <c r="U511" s="1521"/>
      <c r="V511" s="1521"/>
    </row>
    <row r="512" spans="21:22">
      <c r="U512" s="1521"/>
      <c r="V512" s="1521"/>
    </row>
    <row r="513" spans="21:22">
      <c r="U513" s="1521"/>
      <c r="V513" s="1521"/>
    </row>
    <row r="514" spans="21:22">
      <c r="U514" s="1521"/>
      <c r="V514" s="1521"/>
    </row>
    <row r="515" spans="21:22">
      <c r="U515" s="1521"/>
      <c r="V515" s="1521"/>
    </row>
    <row r="516" spans="21:22">
      <c r="U516" s="1521"/>
      <c r="V516" s="1521"/>
    </row>
    <row r="517" spans="21:22">
      <c r="U517" s="1521"/>
      <c r="V517" s="1521"/>
    </row>
    <row r="518" spans="21:22">
      <c r="U518" s="1521"/>
      <c r="V518" s="1521"/>
    </row>
    <row r="519" spans="21:22">
      <c r="U519" s="1521"/>
      <c r="V519" s="1521"/>
    </row>
    <row r="520" spans="21:22">
      <c r="U520" s="1521"/>
      <c r="V520" s="1521"/>
    </row>
    <row r="521" spans="21:22">
      <c r="U521" s="1521"/>
      <c r="V521" s="1521"/>
    </row>
    <row r="522" spans="21:22">
      <c r="U522" s="1521"/>
      <c r="V522" s="1521"/>
    </row>
    <row r="523" spans="21:22">
      <c r="U523" s="1521"/>
      <c r="V523" s="1521"/>
    </row>
    <row r="524" spans="21:22">
      <c r="U524" s="1521"/>
      <c r="V524" s="1521"/>
    </row>
    <row r="525" spans="21:22">
      <c r="U525" s="1521"/>
      <c r="V525" s="1521"/>
    </row>
    <row r="526" spans="21:22">
      <c r="U526" s="1521"/>
      <c r="V526" s="1521"/>
    </row>
    <row r="527" spans="21:22">
      <c r="U527" s="1521"/>
      <c r="V527" s="1521"/>
    </row>
    <row r="528" spans="21:22">
      <c r="U528" s="1521"/>
      <c r="V528" s="1521"/>
    </row>
    <row r="529" spans="21:22">
      <c r="U529" s="1521"/>
      <c r="V529" s="1521"/>
    </row>
    <row r="530" spans="21:22">
      <c r="U530" s="1521"/>
      <c r="V530" s="1521"/>
    </row>
    <row r="531" spans="21:22">
      <c r="U531" s="1521"/>
      <c r="V531" s="1521"/>
    </row>
    <row r="532" spans="21:22">
      <c r="U532" s="1521"/>
      <c r="V532" s="1521"/>
    </row>
    <row r="533" spans="21:22">
      <c r="U533" s="1521"/>
      <c r="V533" s="1521"/>
    </row>
    <row r="534" spans="21:22">
      <c r="U534" s="1521"/>
      <c r="V534" s="1521"/>
    </row>
    <row r="535" spans="21:22">
      <c r="U535" s="1521"/>
      <c r="V535" s="1521"/>
    </row>
    <row r="536" spans="21:22">
      <c r="U536" s="1521"/>
      <c r="V536" s="1521"/>
    </row>
    <row r="537" spans="21:22">
      <c r="U537" s="1521"/>
      <c r="V537" s="1521"/>
    </row>
    <row r="538" spans="21:22">
      <c r="U538" s="1521"/>
      <c r="V538" s="1521"/>
    </row>
    <row r="539" spans="21:22">
      <c r="U539" s="1521"/>
      <c r="V539" s="1521"/>
    </row>
    <row r="540" spans="21:22">
      <c r="U540" s="1521"/>
      <c r="V540" s="1521"/>
    </row>
    <row r="541" spans="21:22">
      <c r="U541" s="1521"/>
      <c r="V541" s="1521"/>
    </row>
    <row r="542" spans="21:22">
      <c r="U542" s="1521"/>
      <c r="V542" s="1521"/>
    </row>
    <row r="543" spans="21:22">
      <c r="U543" s="1521"/>
      <c r="V543" s="1521"/>
    </row>
    <row r="544" spans="21:22">
      <c r="U544" s="1521"/>
      <c r="V544" s="1521"/>
    </row>
    <row r="545" spans="21:22">
      <c r="U545" s="1521"/>
      <c r="V545" s="1521"/>
    </row>
    <row r="546" spans="21:22">
      <c r="U546" s="1521"/>
      <c r="V546" s="1521"/>
    </row>
    <row r="547" spans="21:22">
      <c r="U547" s="1521"/>
      <c r="V547" s="1521"/>
    </row>
    <row r="548" spans="21:22">
      <c r="U548" s="1521"/>
      <c r="V548" s="1521"/>
    </row>
    <row r="549" spans="21:22">
      <c r="U549" s="1521"/>
      <c r="V549" s="1521"/>
    </row>
    <row r="550" spans="21:22">
      <c r="U550" s="1521"/>
      <c r="V550" s="1521"/>
    </row>
    <row r="551" spans="21:22">
      <c r="U551" s="1521"/>
      <c r="V551" s="1521"/>
    </row>
    <row r="552" spans="21:22">
      <c r="U552" s="1521"/>
      <c r="V552" s="1521"/>
    </row>
    <row r="553" spans="21:22">
      <c r="U553" s="1521"/>
      <c r="V553" s="1521"/>
    </row>
    <row r="554" spans="21:22">
      <c r="U554" s="1521"/>
      <c r="V554" s="1521"/>
    </row>
    <row r="555" spans="21:22">
      <c r="U555" s="1521"/>
      <c r="V555" s="1521"/>
    </row>
    <row r="556" spans="21:22">
      <c r="U556" s="1521"/>
      <c r="V556" s="1521"/>
    </row>
    <row r="557" spans="21:22">
      <c r="U557" s="1521"/>
      <c r="V557" s="1521"/>
    </row>
    <row r="558" spans="21:22">
      <c r="U558" s="1521"/>
      <c r="V558" s="1521"/>
    </row>
    <row r="559" spans="21:22">
      <c r="U559" s="1521"/>
      <c r="V559" s="1521"/>
    </row>
    <row r="560" spans="21:22">
      <c r="U560" s="1521"/>
      <c r="V560" s="1521"/>
    </row>
    <row r="561" spans="21:22">
      <c r="U561" s="1521"/>
      <c r="V561" s="1521"/>
    </row>
    <row r="562" spans="21:22">
      <c r="U562" s="1521"/>
      <c r="V562" s="1521"/>
    </row>
    <row r="563" spans="21:22">
      <c r="U563" s="1521"/>
      <c r="V563" s="1521"/>
    </row>
    <row r="564" spans="21:22">
      <c r="U564" s="1521"/>
      <c r="V564" s="1521"/>
    </row>
    <row r="565" spans="21:22">
      <c r="U565" s="1521"/>
      <c r="V565" s="1521"/>
    </row>
    <row r="566" spans="21:22">
      <c r="U566" s="1521"/>
      <c r="V566" s="1521"/>
    </row>
    <row r="567" spans="21:22">
      <c r="U567" s="1521"/>
      <c r="V567" s="1521"/>
    </row>
    <row r="568" spans="21:22">
      <c r="U568" s="1521"/>
      <c r="V568" s="1521"/>
    </row>
    <row r="569" spans="21:22">
      <c r="U569" s="1521"/>
      <c r="V569" s="1521"/>
    </row>
    <row r="570" spans="21:22">
      <c r="U570" s="1521"/>
      <c r="V570" s="1521"/>
    </row>
    <row r="571" spans="21:22">
      <c r="U571" s="1521"/>
      <c r="V571" s="1521"/>
    </row>
    <row r="572" spans="21:22">
      <c r="U572" s="1521"/>
      <c r="V572" s="1521"/>
    </row>
    <row r="573" spans="21:22">
      <c r="U573" s="1521"/>
      <c r="V573" s="1521"/>
    </row>
    <row r="574" spans="21:22">
      <c r="U574" s="1521"/>
      <c r="V574" s="1521"/>
    </row>
    <row r="575" spans="21:22">
      <c r="U575" s="1521"/>
      <c r="V575" s="1521"/>
    </row>
    <row r="576" spans="21:22">
      <c r="U576" s="1521"/>
      <c r="V576" s="1521"/>
    </row>
    <row r="577" spans="21:22">
      <c r="U577" s="1521"/>
      <c r="V577" s="1521"/>
    </row>
    <row r="578" spans="21:22">
      <c r="U578" s="1521"/>
      <c r="V578" s="1521"/>
    </row>
    <row r="579" spans="21:22">
      <c r="U579" s="1521"/>
      <c r="V579" s="1521"/>
    </row>
    <row r="580" spans="21:22">
      <c r="U580" s="1521"/>
      <c r="V580" s="1521"/>
    </row>
    <row r="581" spans="21:22">
      <c r="U581" s="1521"/>
      <c r="V581" s="1521"/>
    </row>
    <row r="582" spans="21:22">
      <c r="U582" s="1521"/>
      <c r="V582" s="1521"/>
    </row>
    <row r="583" spans="21:22">
      <c r="U583" s="1521"/>
      <c r="V583" s="1521"/>
    </row>
    <row r="584" spans="21:22">
      <c r="U584" s="1521"/>
      <c r="V584" s="1521"/>
    </row>
    <row r="585" spans="21:22">
      <c r="U585" s="1521"/>
      <c r="V585" s="1521"/>
    </row>
    <row r="586" spans="21:22">
      <c r="U586" s="1521"/>
      <c r="V586" s="1521"/>
    </row>
    <row r="587" spans="21:22">
      <c r="U587" s="1521"/>
      <c r="V587" s="1521"/>
    </row>
    <row r="588" spans="21:22">
      <c r="U588" s="1521"/>
      <c r="V588" s="1521"/>
    </row>
    <row r="589" spans="21:22">
      <c r="U589" s="1521"/>
      <c r="V589" s="1521"/>
    </row>
  </sheetData>
  <phoneticPr fontId="0" type="noConversion"/>
  <pageMargins left="0.75" right="0.75" top="1" bottom="1" header="0.5" footer="0.5"/>
  <pageSetup orientation="portrait" horizontalDpi="4294967293"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33CCFF"/>
  </sheetPr>
  <dimension ref="A1:DT589"/>
  <sheetViews>
    <sheetView zoomScale="90" zoomScaleNormal="90" workbookViewId="0">
      <pane xSplit="3" ySplit="2" topLeftCell="H3" activePane="bottomRight" state="frozen"/>
      <selection activeCell="J116" sqref="J116"/>
      <selection pane="topRight" activeCell="J116" sqref="J116"/>
      <selection pane="bottomLeft" activeCell="J116" sqref="J116"/>
      <selection pane="bottomRight" activeCell="I3" sqref="I3"/>
    </sheetView>
  </sheetViews>
  <sheetFormatPr defaultColWidth="9.140625" defaultRowHeight="12.75"/>
  <cols>
    <col min="1" max="1" width="26.140625" style="1521" customWidth="1"/>
    <col min="2" max="2" width="10.42578125" style="1521" hidden="1" customWidth="1"/>
    <col min="3" max="3" width="30.7109375" style="1522" customWidth="1"/>
    <col min="4" max="4" width="14.85546875" style="1523" customWidth="1"/>
    <col min="5" max="5" width="16" style="1523" customWidth="1"/>
    <col min="6" max="6" width="17.140625" style="1523" customWidth="1"/>
    <col min="7" max="7" width="21.85546875" style="1523" customWidth="1"/>
    <col min="8" max="8" width="20.85546875" style="1523" customWidth="1"/>
    <col min="9" max="9" width="16.28515625" style="1521" customWidth="1"/>
    <col min="10" max="10" width="13.85546875" style="1521" customWidth="1"/>
    <col min="11" max="11" width="14.42578125" style="1521" customWidth="1"/>
    <col min="12" max="12" width="13.85546875" style="1521" customWidth="1"/>
    <col min="13" max="13" width="15.42578125" style="1521" customWidth="1"/>
    <col min="14" max="14" width="14.42578125" style="1521" customWidth="1"/>
    <col min="15" max="16" width="15.28515625" style="1521" customWidth="1"/>
    <col min="17" max="17" width="13.7109375" style="1521" customWidth="1"/>
    <col min="18" max="18" width="13.85546875" style="1521" customWidth="1"/>
    <col min="19" max="19" width="13.7109375" style="1521" customWidth="1"/>
    <col min="20" max="20" width="13.85546875" style="1521" customWidth="1"/>
    <col min="21" max="21" width="14.42578125" style="1524" customWidth="1"/>
    <col min="22" max="22" width="15.7109375" style="1524" customWidth="1"/>
    <col min="23" max="23" width="45.42578125" style="1524" customWidth="1"/>
    <col min="24" max="26" width="17.5703125" style="2919" customWidth="1"/>
    <col min="28" max="28" width="11.140625" style="1521" customWidth="1"/>
    <col min="29" max="163" width="9.5703125" style="1521" customWidth="1"/>
    <col min="164" max="16384" width="9.140625" style="1521"/>
  </cols>
  <sheetData>
    <row r="1" spans="1:124" ht="15">
      <c r="A1" s="1520" t="s">
        <v>416</v>
      </c>
      <c r="I1" s="1524"/>
      <c r="J1" s="1524"/>
      <c r="K1" s="1524"/>
      <c r="L1" s="1524"/>
      <c r="M1" s="1524"/>
      <c r="N1" s="1524"/>
      <c r="O1" s="1524"/>
      <c r="P1" s="1524"/>
      <c r="Q1" s="1524"/>
      <c r="R1" s="1524"/>
      <c r="S1" s="1524"/>
      <c r="T1" s="1524"/>
    </row>
    <row r="2" spans="1:124" s="1530" customFormat="1" ht="70.5" customHeight="1">
      <c r="A2" s="1525" t="s">
        <v>1396</v>
      </c>
      <c r="B2" s="1526" t="s">
        <v>952</v>
      </c>
      <c r="C2" s="1527" t="s">
        <v>1397</v>
      </c>
      <c r="D2" s="1528" t="str">
        <f>("Generation Turbine"&amp;" "&amp;TEXT(D7,"0.0")&amp;" MW")</f>
        <v>Generation Turbine 49.9 MW</v>
      </c>
      <c r="E2" s="1528" t="str">
        <f>("Generation Turbine"&amp;" "&amp;TEXT(E7,"0")&amp;" MW")</f>
        <v>Generation Turbine 100 MW</v>
      </c>
      <c r="F2" s="1528" t="str">
        <f>("Generation Turbine - Advanced"&amp;" "&amp;TEXT(F7,"0")&amp;" MW")</f>
        <v>Generation Turbine - Advanced 200 MW</v>
      </c>
      <c r="G2" s="1528" t="str">
        <f>("Combined Cycle - 2 CTs No Duct Firing"&amp;" "&amp;TEXT(G7,"0")&amp;" MW")</f>
        <v>Combined Cycle - 2 CTs No Duct Firing 500 MW</v>
      </c>
      <c r="H2" s="1528" t="str">
        <f>("Combined Cycle - 2 CTs With Duct Firing"&amp;" "&amp;TEXT(H7,"0")&amp;" MW")</f>
        <v>Combined Cycle - 2 CTs With Duct Firing 550 MW</v>
      </c>
      <c r="I2" s="3014" t="str">
        <f>("Biomass Fluidized Bed Boiler"&amp;" "&amp;TEXT(I7,0)&amp;" MW")</f>
        <v>Biomass Fluidized Bed Boiler 50 MW</v>
      </c>
      <c r="J2" s="3011" t="str">
        <f>("Geothermal  Binary"&amp;" "&amp;TEXT(J7,0)&amp;" MW")</f>
        <v>Geothermal  Binary 30 MW</v>
      </c>
      <c r="K2" s="3011" t="str">
        <f>("Geothermal  Flash"&amp;" "&amp;TEXT(K7,0)&amp;" MW")</f>
        <v>Geothermal  Flash 30 MW</v>
      </c>
      <c r="L2" s="3013" t="str">
        <f>("Solar Parabolic Trough W/O Storage"&amp;" "&amp;TEXT(L7,0)&amp;" MW")</f>
        <v>Solar Parabolic Trough W/O Storage 250 MW</v>
      </c>
      <c r="M2" s="3013" t="str">
        <f>("Solar Parabolic Trough With Storage"&amp;" "&amp;TEXT(M7,0)&amp;" MW")</f>
        <v>Solar Parabolic Trough With Storage 250 MW</v>
      </c>
      <c r="N2" s="3013" t="str">
        <f>("Solar Power Tower W/O Storage"&amp;" "&amp;TEXT(N7,0)&amp;" MW")</f>
        <v>Solar Power Tower W/O Storage 100 MW</v>
      </c>
      <c r="O2" s="3013" t="str">
        <f>("Solar Power Tower With Storage"&amp;" "&amp;TEXT(O7,0)&amp;" MW 6 HRs")</f>
        <v>Solar Power Tower With Storage 100 MW 6 HRs</v>
      </c>
      <c r="P2" s="3013" t="str">
        <f>("Solar Power Tower With Storage"&amp;" "&amp;TEXT(P7,0)&amp;" MW 11 HRs")</f>
        <v>Solar Power Tower With Storage 100 MW 11 HRs</v>
      </c>
      <c r="Q2" s="3013" t="str">
        <f>("Solar Photovoltaic (Thin-Film)"&amp;" "&amp;TEXT(Q7,0)&amp;" MW")</f>
        <v>Solar Photovoltaic (Thin-Film) 100 MW</v>
      </c>
      <c r="R2" s="3013" t="str">
        <f>("Solar Photovoltaic (Single Axis)"&amp;" "&amp;TEXT(R7,0)&amp;" MW")</f>
        <v>Solar Photovoltaic (Single Axis) 100 MW</v>
      </c>
      <c r="S2" s="3013" t="str">
        <f>("Solar Photovoltaic (Thin-Film)"&amp;" "&amp;TEXT(S7,0)&amp;" MW")</f>
        <v>Solar Photovoltaic (Thin-Film) 20 MW</v>
      </c>
      <c r="T2" s="3013" t="str">
        <f>("Solar Photovoltaic (Single Axis)"&amp;" "&amp;TEXT(T7,0)&amp;" MW")</f>
        <v>Solar Photovoltaic (Single Axis) 20 MW</v>
      </c>
      <c r="U2" s="3010" t="str">
        <f>("Wind - Class 3"&amp;" "&amp;TEXT(U7,0)&amp;" MW")</f>
        <v>Wind - Class 3 100 MW</v>
      </c>
      <c r="V2" s="3010" t="str">
        <f>("Wind - Class 4"&amp;" "&amp;TEXT(V7,0)&amp;" MW")</f>
        <v>Wind - Class 4 100 MW</v>
      </c>
      <c r="W2" s="1529"/>
      <c r="X2" s="4236"/>
      <c r="Y2" s="4236"/>
      <c r="Z2" s="4236"/>
    </row>
    <row r="3" spans="1:124" s="1532" customFormat="1" ht="51.75" customHeight="1">
      <c r="A3" s="1531" t="s">
        <v>297</v>
      </c>
      <c r="B3" s="1532" t="s">
        <v>680</v>
      </c>
      <c r="C3" s="1533" t="s">
        <v>1152</v>
      </c>
      <c r="D3" s="3252" t="s">
        <v>1909</v>
      </c>
      <c r="E3" s="3252" t="s">
        <v>1910</v>
      </c>
      <c r="F3" s="3252" t="s">
        <v>1911</v>
      </c>
      <c r="G3" s="3252" t="s">
        <v>1912</v>
      </c>
      <c r="H3" s="3252" t="s">
        <v>1913</v>
      </c>
      <c r="I3" s="3252" t="s">
        <v>1713</v>
      </c>
      <c r="J3" s="3252" t="s">
        <v>1782</v>
      </c>
      <c r="K3" s="3252" t="s">
        <v>1782</v>
      </c>
      <c r="L3" s="3253" t="s">
        <v>1784</v>
      </c>
      <c r="M3" s="3253" t="s">
        <v>1783</v>
      </c>
      <c r="N3" s="3253" t="s">
        <v>1783</v>
      </c>
      <c r="O3" s="3253" t="s">
        <v>1882</v>
      </c>
      <c r="P3" s="3253" t="s">
        <v>1882</v>
      </c>
      <c r="Q3" s="3255" t="s">
        <v>2053</v>
      </c>
      <c r="R3" s="3252" t="s">
        <v>2054</v>
      </c>
      <c r="S3" s="3255" t="s">
        <v>2053</v>
      </c>
      <c r="T3" s="3252" t="s">
        <v>2054</v>
      </c>
      <c r="U3" s="3252" t="s">
        <v>2052</v>
      </c>
      <c r="V3" s="3252" t="s">
        <v>2052</v>
      </c>
      <c r="W3" s="1534"/>
      <c r="X3" s="3256"/>
      <c r="Y3" s="3256"/>
      <c r="Z3" s="3256"/>
    </row>
    <row r="4" spans="1:124" s="1536" customFormat="1" ht="13.7" customHeight="1">
      <c r="A4" s="1535" t="s">
        <v>1077</v>
      </c>
      <c r="C4" s="1537" t="s">
        <v>962</v>
      </c>
      <c r="D4" s="3012">
        <v>2011</v>
      </c>
      <c r="E4" s="3012">
        <v>2011</v>
      </c>
      <c r="F4" s="3012">
        <v>2011</v>
      </c>
      <c r="G4" s="3012">
        <v>2011</v>
      </c>
      <c r="H4" s="3012">
        <v>2011</v>
      </c>
      <c r="I4" s="2778">
        <v>2011</v>
      </c>
      <c r="J4" s="2778">
        <v>2011</v>
      </c>
      <c r="K4" s="2778">
        <v>2011</v>
      </c>
      <c r="L4" s="2778">
        <v>2011</v>
      </c>
      <c r="M4" s="2778">
        <v>2011</v>
      </c>
      <c r="N4" s="2778">
        <v>2011</v>
      </c>
      <c r="O4" s="2778">
        <v>2011</v>
      </c>
      <c r="P4" s="2778">
        <v>2011</v>
      </c>
      <c r="Q4" s="2778">
        <v>2011</v>
      </c>
      <c r="R4" s="2778">
        <v>2011</v>
      </c>
      <c r="S4" s="2778">
        <v>2011</v>
      </c>
      <c r="T4" s="2778">
        <v>2011</v>
      </c>
      <c r="U4" s="2778">
        <v>2011</v>
      </c>
      <c r="V4" s="2778">
        <v>2011</v>
      </c>
      <c r="W4" s="1538"/>
      <c r="X4" s="2920"/>
      <c r="Y4" s="2920"/>
      <c r="Z4" s="2920"/>
    </row>
    <row r="5" spans="1:124" s="1536" customFormat="1" ht="13.7" customHeight="1">
      <c r="A5" s="1540" t="s">
        <v>1140</v>
      </c>
      <c r="B5" s="1541"/>
      <c r="C5" s="1542" t="s">
        <v>157</v>
      </c>
      <c r="D5" s="1537" t="s">
        <v>165</v>
      </c>
      <c r="E5" s="1537" t="s">
        <v>165</v>
      </c>
      <c r="F5" s="1537" t="s">
        <v>165</v>
      </c>
      <c r="G5" s="1537" t="s">
        <v>165</v>
      </c>
      <c r="H5" s="1537" t="s">
        <v>165</v>
      </c>
      <c r="I5" s="2776" t="s">
        <v>282</v>
      </c>
      <c r="J5" s="2779" t="s">
        <v>551</v>
      </c>
      <c r="K5" s="2779" t="s">
        <v>551</v>
      </c>
      <c r="L5" s="3012" t="s">
        <v>132</v>
      </c>
      <c r="M5" s="3012" t="s">
        <v>132</v>
      </c>
      <c r="N5" s="3012" t="s">
        <v>132</v>
      </c>
      <c r="O5" s="3012" t="s">
        <v>132</v>
      </c>
      <c r="P5" s="3012" t="s">
        <v>132</v>
      </c>
      <c r="Q5" s="3012" t="s">
        <v>132</v>
      </c>
      <c r="R5" s="3012" t="s">
        <v>132</v>
      </c>
      <c r="S5" s="3012" t="s">
        <v>132</v>
      </c>
      <c r="T5" s="3012" t="s">
        <v>132</v>
      </c>
      <c r="U5" s="3006" t="s">
        <v>131</v>
      </c>
      <c r="V5" s="3006" t="s">
        <v>131</v>
      </c>
      <c r="W5" s="1537"/>
      <c r="X5" s="2921"/>
      <c r="Y5" s="2921"/>
      <c r="Z5" s="2921"/>
    </row>
    <row r="6" spans="1:124" s="1536" customFormat="1" ht="15">
      <c r="A6" s="4203"/>
      <c r="B6" s="1538"/>
      <c r="C6" s="1608" t="s">
        <v>1282</v>
      </c>
      <c r="D6" s="4107"/>
      <c r="E6" s="4107"/>
      <c r="F6" s="4107"/>
      <c r="G6" s="4107"/>
      <c r="H6" s="4107"/>
      <c r="I6" s="1538"/>
      <c r="J6" s="1538"/>
      <c r="K6" s="1538"/>
      <c r="L6" s="1538"/>
      <c r="M6" s="1538"/>
      <c r="N6" s="1538"/>
      <c r="O6" s="1538"/>
      <c r="P6" s="1538"/>
      <c r="Q6" s="1538"/>
      <c r="R6" s="1538"/>
      <c r="S6" s="1538"/>
      <c r="T6" s="1538"/>
      <c r="U6" s="1285"/>
      <c r="V6" s="1285"/>
      <c r="W6" s="1538"/>
      <c r="X6" s="2920"/>
      <c r="Y6" s="2920"/>
      <c r="Z6" s="2920"/>
    </row>
    <row r="7" spans="1:124" s="1536" customFormat="1" ht="15">
      <c r="A7" s="1545" t="s">
        <v>797</v>
      </c>
      <c r="B7" s="1546" t="s">
        <v>681</v>
      </c>
      <c r="C7" s="1548" t="s">
        <v>419</v>
      </c>
      <c r="D7" s="1538">
        <v>49.9</v>
      </c>
      <c r="E7" s="1538">
        <v>100</v>
      </c>
      <c r="F7" s="1538">
        <v>200</v>
      </c>
      <c r="G7" s="1538">
        <v>500</v>
      </c>
      <c r="H7" s="1538">
        <f>ROUND(G7/(1-0.091),0)</f>
        <v>550</v>
      </c>
      <c r="I7" s="4169">
        <v>50</v>
      </c>
      <c r="J7" s="4169">
        <v>30</v>
      </c>
      <c r="K7" s="4169">
        <v>30</v>
      </c>
      <c r="L7" s="4169">
        <v>250</v>
      </c>
      <c r="M7" s="4169">
        <v>250</v>
      </c>
      <c r="N7" s="1285">
        <v>100</v>
      </c>
      <c r="O7" s="1285">
        <v>100</v>
      </c>
      <c r="P7" s="1285">
        <v>100</v>
      </c>
      <c r="Q7" s="1285">
        <v>100</v>
      </c>
      <c r="R7" s="1285">
        <v>100</v>
      </c>
      <c r="S7" s="1285">
        <v>20</v>
      </c>
      <c r="T7" s="1285">
        <v>20</v>
      </c>
      <c r="U7" s="1285">
        <v>100</v>
      </c>
      <c r="V7" s="1285">
        <v>100</v>
      </c>
      <c r="W7" s="1538"/>
      <c r="X7" s="2920"/>
      <c r="Y7" s="2920"/>
      <c r="Z7" s="2920"/>
    </row>
    <row r="8" spans="1:124" s="1551" customFormat="1" ht="15">
      <c r="A8" s="1545" t="s">
        <v>1375</v>
      </c>
      <c r="B8" s="1546" t="s">
        <v>682</v>
      </c>
      <c r="C8" s="1548" t="s">
        <v>1374</v>
      </c>
      <c r="D8" s="1549">
        <v>2.3E-2</v>
      </c>
      <c r="E8" s="1549">
        <v>2.3E-2</v>
      </c>
      <c r="F8" s="1549">
        <v>2.3E-2</v>
      </c>
      <c r="G8" s="1586">
        <v>0.02</v>
      </c>
      <c r="H8" s="1586">
        <v>0.02</v>
      </c>
      <c r="I8" s="4170">
        <v>0.02</v>
      </c>
      <c r="J8" s="4170">
        <v>8.5000000000000006E-2</v>
      </c>
      <c r="K8" s="4170">
        <v>0.14000000000000001</v>
      </c>
      <c r="L8" s="4170">
        <v>0.09</v>
      </c>
      <c r="M8" s="4170">
        <v>0.09</v>
      </c>
      <c r="N8" s="4170">
        <v>7.0000000000000007E-2</v>
      </c>
      <c r="O8" s="4170">
        <v>0.1</v>
      </c>
      <c r="P8" s="4170">
        <v>0.1</v>
      </c>
      <c r="Q8" s="4171">
        <v>0.01</v>
      </c>
      <c r="R8" s="4171">
        <v>0.02</v>
      </c>
      <c r="S8" s="4171">
        <v>0.01</v>
      </c>
      <c r="T8" s="4171">
        <v>0.02</v>
      </c>
      <c r="U8" s="4171">
        <v>0.01</v>
      </c>
      <c r="V8" s="4171">
        <v>0.01</v>
      </c>
      <c r="W8" s="1549"/>
      <c r="X8" s="2922"/>
      <c r="Y8" s="2922"/>
      <c r="Z8" s="2922"/>
      <c r="AB8" s="1550"/>
      <c r="AC8" s="1550"/>
      <c r="AD8" s="1550"/>
      <c r="AE8" s="1550"/>
      <c r="AF8" s="1550"/>
      <c r="AG8" s="1550"/>
      <c r="AH8" s="1550"/>
      <c r="AI8" s="1550"/>
      <c r="AJ8" s="1550"/>
      <c r="AK8" s="1550"/>
      <c r="AL8" s="1550"/>
      <c r="AM8" s="1550"/>
      <c r="AN8" s="1550"/>
      <c r="AO8" s="1550"/>
      <c r="AP8" s="1550"/>
      <c r="AQ8" s="1550"/>
      <c r="AR8" s="1550"/>
      <c r="AS8" s="1550"/>
      <c r="AT8" s="1550"/>
      <c r="AU8" s="1550"/>
      <c r="AV8" s="1550"/>
      <c r="AW8" s="1550"/>
      <c r="AX8" s="1550"/>
      <c r="AY8" s="1550"/>
      <c r="AZ8" s="1550"/>
      <c r="BA8" s="1550"/>
      <c r="BB8" s="1550"/>
      <c r="BC8" s="1550"/>
      <c r="BD8" s="1550"/>
      <c r="BE8" s="1550"/>
      <c r="BF8" s="1550"/>
      <c r="BG8" s="1550"/>
      <c r="BH8" s="1550"/>
      <c r="BI8" s="1550"/>
      <c r="BJ8" s="1550"/>
      <c r="BK8" s="1550"/>
      <c r="BL8" s="1550"/>
      <c r="BM8" s="1550"/>
      <c r="BN8" s="1550"/>
      <c r="BO8" s="1550"/>
      <c r="BP8" s="1550"/>
      <c r="BQ8" s="1550"/>
      <c r="BR8" s="1550"/>
      <c r="BS8" s="1550"/>
      <c r="BT8" s="1550"/>
      <c r="BU8" s="1550"/>
      <c r="BV8" s="1550"/>
      <c r="BW8" s="1550"/>
      <c r="BX8" s="1550"/>
      <c r="BY8" s="1550"/>
      <c r="BZ8" s="1550"/>
      <c r="CA8" s="1550"/>
      <c r="CB8" s="1550"/>
      <c r="CC8" s="1550"/>
      <c r="CD8" s="1550"/>
      <c r="CE8" s="1550"/>
      <c r="CF8" s="1550"/>
      <c r="CG8" s="1550"/>
      <c r="CH8" s="1550"/>
      <c r="CI8" s="1550"/>
      <c r="CJ8" s="1550"/>
      <c r="CK8" s="1550"/>
      <c r="CL8" s="1550"/>
      <c r="CM8" s="1550"/>
      <c r="CN8" s="1550"/>
      <c r="CO8" s="1550"/>
      <c r="CP8" s="1550"/>
      <c r="CQ8" s="1550"/>
      <c r="CR8" s="1550"/>
      <c r="CS8" s="1550"/>
      <c r="CT8" s="1550"/>
      <c r="CU8" s="1550"/>
      <c r="CV8" s="1550"/>
      <c r="CW8" s="1550"/>
      <c r="CX8" s="1550"/>
      <c r="CY8" s="1550"/>
      <c r="CZ8" s="1550"/>
      <c r="DA8" s="1550"/>
      <c r="DB8" s="1550"/>
      <c r="DC8" s="1550"/>
      <c r="DD8" s="1550"/>
      <c r="DE8" s="1550"/>
      <c r="DF8" s="1550"/>
      <c r="DG8" s="1550"/>
      <c r="DH8" s="1550"/>
      <c r="DI8" s="1550"/>
      <c r="DJ8" s="1550"/>
      <c r="DK8" s="1550"/>
      <c r="DL8" s="1550"/>
      <c r="DM8" s="1550"/>
      <c r="DN8" s="1550"/>
      <c r="DO8" s="1550"/>
      <c r="DP8" s="1550"/>
      <c r="DQ8" s="1550"/>
      <c r="DR8" s="1550"/>
      <c r="DS8" s="1550"/>
      <c r="DT8" s="1550"/>
    </row>
    <row r="9" spans="1:124" s="1536" customFormat="1" ht="15.75">
      <c r="A9" s="1545" t="s">
        <v>798</v>
      </c>
      <c r="B9" s="1552" t="s">
        <v>685</v>
      </c>
      <c r="C9" s="1548" t="s">
        <v>96</v>
      </c>
      <c r="D9" s="4172">
        <f>IF(OwnerType="POU",0.044%,IF(OwnerType="IOU",0.011%,0.0275%))</f>
        <v>2.7500000000000002E-4</v>
      </c>
      <c r="E9" s="4172">
        <f>IF(OwnerType="POU",0.044%,IF(OwnerType="IOU",0.011%,0.0275%))</f>
        <v>2.7500000000000002E-4</v>
      </c>
      <c r="F9" s="4172">
        <f>IF(OwnerType="POU",0.066%,IF(OwnerType="IOU",0.016%,0.042%))</f>
        <v>4.2000000000000002E-4</v>
      </c>
      <c r="G9" s="4173">
        <v>1.08E-3</v>
      </c>
      <c r="H9" s="4173">
        <v>1.08E-3</v>
      </c>
      <c r="I9" s="4170">
        <v>0</v>
      </c>
      <c r="J9" s="4170">
        <v>0</v>
      </c>
      <c r="K9" s="4170">
        <v>0</v>
      </c>
      <c r="L9" s="4170">
        <v>2.5000000000000001E-3</v>
      </c>
      <c r="M9" s="4170">
        <v>2.5000000000000001E-3</v>
      </c>
      <c r="N9" s="4170">
        <v>2.5000000000000001E-3</v>
      </c>
      <c r="O9" s="4170">
        <v>2.5000000000000001E-3</v>
      </c>
      <c r="P9" s="4170">
        <v>2.5000000000000001E-3</v>
      </c>
      <c r="Q9" s="4170">
        <v>2.5000000000000001E-3</v>
      </c>
      <c r="R9" s="4171">
        <v>2.5000000000000001E-3</v>
      </c>
      <c r="S9" s="4170">
        <v>2.5000000000000001E-3</v>
      </c>
      <c r="T9" s="4171">
        <v>2.5000000000000001E-3</v>
      </c>
      <c r="U9" s="4168">
        <v>0</v>
      </c>
      <c r="V9" s="4168">
        <v>0</v>
      </c>
      <c r="W9" s="1553"/>
      <c r="X9" s="2923"/>
      <c r="Y9" s="2923"/>
      <c r="Z9" s="2923"/>
      <c r="AB9" s="1556"/>
    </row>
    <row r="10" spans="1:124" s="1536" customFormat="1">
      <c r="A10" s="2983" t="s">
        <v>1776</v>
      </c>
      <c r="B10" s="2984"/>
      <c r="C10" s="2985" t="s">
        <v>1769</v>
      </c>
      <c r="D10" s="1575">
        <v>0.2</v>
      </c>
      <c r="E10" s="1575">
        <v>0.2</v>
      </c>
      <c r="F10" s="1575">
        <v>0.2</v>
      </c>
      <c r="G10" s="1575">
        <v>0.2</v>
      </c>
      <c r="H10" s="1575">
        <v>0.2</v>
      </c>
      <c r="I10" s="4174">
        <v>0.25</v>
      </c>
      <c r="J10" s="4174">
        <v>0.25</v>
      </c>
      <c r="K10" s="4174">
        <v>0.25</v>
      </c>
      <c r="L10" s="4174">
        <v>0.15</v>
      </c>
      <c r="M10" s="4174">
        <v>0.15</v>
      </c>
      <c r="N10" s="4174">
        <v>0.15</v>
      </c>
      <c r="O10" s="4174">
        <v>0.15</v>
      </c>
      <c r="P10" s="4174">
        <v>0.15</v>
      </c>
      <c r="Q10" s="4111">
        <v>0.15</v>
      </c>
      <c r="R10" s="4111">
        <v>0.15</v>
      </c>
      <c r="S10" s="4111">
        <v>0.15</v>
      </c>
      <c r="T10" s="4111">
        <v>0.15</v>
      </c>
      <c r="U10" s="4111">
        <v>0.15</v>
      </c>
      <c r="V10" s="4111">
        <v>0.15</v>
      </c>
      <c r="W10" s="1553"/>
      <c r="X10" s="2923"/>
      <c r="Y10" s="2923"/>
      <c r="Z10" s="2923"/>
      <c r="AB10" s="1556"/>
    </row>
    <row r="11" spans="1:124" s="1536" customFormat="1" ht="15">
      <c r="A11" s="2983" t="s">
        <v>1775</v>
      </c>
      <c r="B11" s="2984"/>
      <c r="C11" s="2985" t="s">
        <v>1878</v>
      </c>
      <c r="D11" s="1549">
        <v>2.5999999999999999E-2</v>
      </c>
      <c r="E11" s="1549">
        <v>2.5999999999999999E-2</v>
      </c>
      <c r="F11" s="1549">
        <v>2.5999999999999999E-2</v>
      </c>
      <c r="G11" s="1549">
        <v>2.5999999999999999E-2</v>
      </c>
      <c r="H11" s="1549">
        <v>2.5999999999999999E-2</v>
      </c>
      <c r="I11" s="4175">
        <v>3.0800000000000001E-2</v>
      </c>
      <c r="J11" s="4175">
        <v>3.0800000000000001E-2</v>
      </c>
      <c r="K11" s="4175">
        <v>3.0800000000000001E-2</v>
      </c>
      <c r="L11" s="4175">
        <v>2.5499999999999998E-2</v>
      </c>
      <c r="M11" s="4175">
        <v>2.5499999999999998E-2</v>
      </c>
      <c r="N11" s="4175">
        <v>2.5499999999999998E-2</v>
      </c>
      <c r="O11" s="4175">
        <v>2.5499999999999998E-2</v>
      </c>
      <c r="P11" s="4175">
        <v>2.5499999999999998E-2</v>
      </c>
      <c r="Q11" s="4110">
        <v>2.5499999999999998E-2</v>
      </c>
      <c r="R11" s="4171">
        <v>2.5499999999999998E-2</v>
      </c>
      <c r="S11" s="4110">
        <v>2.5499999999999998E-2</v>
      </c>
      <c r="T11" s="4171">
        <v>2.5499999999999998E-2</v>
      </c>
      <c r="U11" s="4110">
        <v>2.5499999999999998E-2</v>
      </c>
      <c r="V11" s="4110">
        <v>2.5499999999999998E-2</v>
      </c>
      <c r="W11" s="1553"/>
      <c r="X11" s="2923"/>
      <c r="Y11" s="2923"/>
      <c r="Z11" s="2923"/>
      <c r="AB11" s="1556"/>
    </row>
    <row r="12" spans="1:124" s="1536" customFormat="1" ht="15">
      <c r="A12" s="2983" t="s">
        <v>1774</v>
      </c>
      <c r="B12" s="2984"/>
      <c r="C12" s="2985" t="s">
        <v>1770</v>
      </c>
      <c r="D12" s="2995">
        <v>1.35</v>
      </c>
      <c r="E12" s="2995">
        <v>1.35</v>
      </c>
      <c r="F12" s="2995">
        <v>1.35</v>
      </c>
      <c r="G12" s="2995">
        <v>1.35</v>
      </c>
      <c r="H12" s="2995">
        <v>1.35</v>
      </c>
      <c r="I12" s="4176">
        <v>1.65</v>
      </c>
      <c r="J12" s="4176">
        <v>1.7</v>
      </c>
      <c r="K12" s="4176">
        <v>1.7</v>
      </c>
      <c r="L12" s="4176">
        <v>1.24</v>
      </c>
      <c r="M12" s="4176">
        <v>1.24</v>
      </c>
      <c r="N12" s="4176">
        <v>1.24</v>
      </c>
      <c r="O12" s="4176">
        <v>1.24</v>
      </c>
      <c r="P12" s="4176">
        <v>1.24</v>
      </c>
      <c r="Q12" s="4177">
        <v>1.24</v>
      </c>
      <c r="R12" s="4178">
        <v>1.24</v>
      </c>
      <c r="S12" s="4177">
        <v>1.24</v>
      </c>
      <c r="T12" s="4178">
        <v>1.24</v>
      </c>
      <c r="U12" s="4177">
        <v>1.24</v>
      </c>
      <c r="V12" s="4177">
        <v>1.24</v>
      </c>
      <c r="W12" s="1553"/>
      <c r="X12" s="2923"/>
      <c r="Y12" s="2923"/>
      <c r="Z12" s="2923"/>
      <c r="AB12" s="1556"/>
    </row>
    <row r="13" spans="1:124" s="1536" customFormat="1" ht="15">
      <c r="A13" s="2983" t="s">
        <v>1773</v>
      </c>
      <c r="B13" s="2984"/>
      <c r="C13" s="2985" t="s">
        <v>1771</v>
      </c>
      <c r="D13" s="2995">
        <v>1.35</v>
      </c>
      <c r="E13" s="2995">
        <v>1.35</v>
      </c>
      <c r="F13" s="2995">
        <v>1.35</v>
      </c>
      <c r="G13" s="2995">
        <v>1.35</v>
      </c>
      <c r="H13" s="2995">
        <v>1.35</v>
      </c>
      <c r="I13" s="4176">
        <v>1.65</v>
      </c>
      <c r="J13" s="4176">
        <v>1.7</v>
      </c>
      <c r="K13" s="4176">
        <v>1.7</v>
      </c>
      <c r="L13" s="4176">
        <v>1.24</v>
      </c>
      <c r="M13" s="4176">
        <v>1.24</v>
      </c>
      <c r="N13" s="4176">
        <v>1.24</v>
      </c>
      <c r="O13" s="4176">
        <v>1.24</v>
      </c>
      <c r="P13" s="4176">
        <v>1.24</v>
      </c>
      <c r="Q13" s="4177">
        <v>1.24</v>
      </c>
      <c r="R13" s="4178">
        <v>1.24</v>
      </c>
      <c r="S13" s="4177">
        <v>1.24</v>
      </c>
      <c r="T13" s="4178">
        <v>1.24</v>
      </c>
      <c r="U13" s="4177">
        <v>1.24</v>
      </c>
      <c r="V13" s="4177">
        <v>1.24</v>
      </c>
      <c r="W13" s="1553"/>
      <c r="X13" s="2923"/>
      <c r="Y13" s="2923"/>
      <c r="Z13" s="2923"/>
      <c r="AB13" s="1556"/>
    </row>
    <row r="14" spans="1:124" s="1536" customFormat="1">
      <c r="A14" s="2989" t="s">
        <v>799</v>
      </c>
      <c r="B14" s="2990" t="s">
        <v>686</v>
      </c>
      <c r="C14" s="2991" t="s">
        <v>1772</v>
      </c>
      <c r="D14" s="1538">
        <v>20</v>
      </c>
      <c r="E14" s="1538">
        <v>20</v>
      </c>
      <c r="F14" s="1538">
        <v>20</v>
      </c>
      <c r="G14" s="1538">
        <v>20</v>
      </c>
      <c r="H14" s="1538">
        <v>20</v>
      </c>
      <c r="I14" s="1922">
        <f>I15-5</f>
        <v>25</v>
      </c>
      <c r="J14" s="1922">
        <f t="shared" ref="J14:V14" si="0">J15-5</f>
        <v>25</v>
      </c>
      <c r="K14" s="1922">
        <f t="shared" si="0"/>
        <v>25</v>
      </c>
      <c r="L14" s="1922">
        <f t="shared" si="0"/>
        <v>25</v>
      </c>
      <c r="M14" s="1922">
        <f t="shared" si="0"/>
        <v>25</v>
      </c>
      <c r="N14" s="1922">
        <f t="shared" si="0"/>
        <v>25</v>
      </c>
      <c r="O14" s="1922">
        <f t="shared" si="0"/>
        <v>25</v>
      </c>
      <c r="P14" s="1922">
        <f t="shared" si="0"/>
        <v>25</v>
      </c>
      <c r="Q14" s="1922">
        <f t="shared" si="0"/>
        <v>25</v>
      </c>
      <c r="R14" s="1922">
        <f t="shared" si="0"/>
        <v>25</v>
      </c>
      <c r="S14" s="1922">
        <f t="shared" si="0"/>
        <v>25</v>
      </c>
      <c r="T14" s="1922">
        <f t="shared" si="0"/>
        <v>25</v>
      </c>
      <c r="U14" s="1922">
        <f t="shared" si="0"/>
        <v>25</v>
      </c>
      <c r="V14" s="1922">
        <f t="shared" si="0"/>
        <v>25</v>
      </c>
      <c r="W14" s="1538"/>
      <c r="X14" s="2920"/>
      <c r="Y14" s="2920"/>
      <c r="Z14" s="2920"/>
      <c r="AB14" s="1556"/>
    </row>
    <row r="15" spans="1:124" s="1536" customFormat="1">
      <c r="A15" s="2989" t="s">
        <v>800</v>
      </c>
      <c r="B15" s="2990" t="s">
        <v>687</v>
      </c>
      <c r="C15" s="2991" t="s">
        <v>115</v>
      </c>
      <c r="D15" s="1538">
        <v>30</v>
      </c>
      <c r="E15" s="1538">
        <v>30</v>
      </c>
      <c r="F15" s="1538">
        <v>30</v>
      </c>
      <c r="G15" s="1538">
        <v>30</v>
      </c>
      <c r="H15" s="1538">
        <v>30</v>
      </c>
      <c r="I15" s="1538">
        <v>30</v>
      </c>
      <c r="J15" s="1538">
        <v>30</v>
      </c>
      <c r="K15" s="1538">
        <v>30</v>
      </c>
      <c r="L15" s="1538">
        <v>30</v>
      </c>
      <c r="M15" s="1538">
        <v>30</v>
      </c>
      <c r="N15" s="1538">
        <v>30</v>
      </c>
      <c r="O15" s="1538">
        <v>30</v>
      </c>
      <c r="P15" s="1538">
        <v>30</v>
      </c>
      <c r="Q15" s="1538">
        <v>30</v>
      </c>
      <c r="R15" s="1538">
        <v>30</v>
      </c>
      <c r="S15" s="1538">
        <v>30</v>
      </c>
      <c r="T15" s="1538">
        <v>30</v>
      </c>
      <c r="U15" s="1538">
        <v>30</v>
      </c>
      <c r="V15" s="1538">
        <v>30</v>
      </c>
      <c r="W15" s="1538"/>
      <c r="X15" s="2920"/>
      <c r="Y15" s="2920"/>
      <c r="Z15" s="2920"/>
      <c r="AB15" s="1556"/>
    </row>
    <row r="16" spans="1:124" s="1536" customFormat="1">
      <c r="A16" s="2989" t="s">
        <v>801</v>
      </c>
      <c r="B16" s="2990" t="s">
        <v>688</v>
      </c>
      <c r="C16" s="2991" t="s">
        <v>1287</v>
      </c>
      <c r="D16" s="1538">
        <v>20</v>
      </c>
      <c r="E16" s="1538">
        <v>20</v>
      </c>
      <c r="F16" s="1538">
        <v>20</v>
      </c>
      <c r="G16" s="1538">
        <v>20</v>
      </c>
      <c r="H16" s="1538">
        <v>20</v>
      </c>
      <c r="I16" s="1538">
        <v>5</v>
      </c>
      <c r="J16" s="1538">
        <v>5</v>
      </c>
      <c r="K16" s="1538">
        <v>5</v>
      </c>
      <c r="L16" s="1538">
        <v>5</v>
      </c>
      <c r="M16" s="1538">
        <v>5</v>
      </c>
      <c r="N16" s="1538">
        <v>5</v>
      </c>
      <c r="O16" s="1538">
        <v>5</v>
      </c>
      <c r="P16" s="1538">
        <v>5</v>
      </c>
      <c r="Q16" s="1538">
        <v>5</v>
      </c>
      <c r="R16" s="1538">
        <v>5</v>
      </c>
      <c r="S16" s="1538">
        <v>5</v>
      </c>
      <c r="T16" s="1538">
        <v>5</v>
      </c>
      <c r="U16" s="1538">
        <v>5</v>
      </c>
      <c r="V16" s="1538">
        <v>5</v>
      </c>
      <c r="W16" s="1538"/>
      <c r="X16" s="2920"/>
      <c r="Y16" s="2920"/>
      <c r="Z16" s="2920"/>
      <c r="AB16" s="1556"/>
    </row>
    <row r="17" spans="1:28" s="1536" customFormat="1">
      <c r="A17" s="2989" t="s">
        <v>802</v>
      </c>
      <c r="B17" s="2990" t="s">
        <v>689</v>
      </c>
      <c r="C17" s="2991" t="s">
        <v>1288</v>
      </c>
      <c r="D17" s="1538">
        <v>20</v>
      </c>
      <c r="E17" s="1538">
        <v>20</v>
      </c>
      <c r="F17" s="1538">
        <v>20</v>
      </c>
      <c r="G17" s="1538">
        <f>G16</f>
        <v>20</v>
      </c>
      <c r="H17" s="1538">
        <f>H16</f>
        <v>20</v>
      </c>
      <c r="I17" s="1538">
        <v>20</v>
      </c>
      <c r="J17" s="1538">
        <v>20</v>
      </c>
      <c r="K17" s="1538">
        <v>20</v>
      </c>
      <c r="L17" s="1538">
        <v>20</v>
      </c>
      <c r="M17" s="1538">
        <v>20</v>
      </c>
      <c r="N17" s="1538">
        <v>20</v>
      </c>
      <c r="O17" s="1538">
        <v>20</v>
      </c>
      <c r="P17" s="1538">
        <v>20</v>
      </c>
      <c r="Q17" s="1538">
        <v>20</v>
      </c>
      <c r="R17" s="1538">
        <v>20</v>
      </c>
      <c r="S17" s="1538">
        <v>20</v>
      </c>
      <c r="T17" s="1538">
        <v>20</v>
      </c>
      <c r="U17" s="1538">
        <v>30</v>
      </c>
      <c r="V17" s="1538">
        <v>30</v>
      </c>
      <c r="W17" s="1538"/>
      <c r="X17" s="2920"/>
      <c r="Y17" s="2920"/>
      <c r="Z17" s="2920"/>
      <c r="AB17" s="1556"/>
    </row>
    <row r="18" spans="1:28" s="1536" customFormat="1">
      <c r="A18" s="1535"/>
      <c r="C18" s="1560" t="s">
        <v>1284</v>
      </c>
      <c r="D18" s="1538"/>
      <c r="E18" s="1538"/>
      <c r="F18" s="1538"/>
      <c r="G18" s="1538"/>
      <c r="H18" s="1922"/>
      <c r="I18" s="1538"/>
      <c r="J18" s="1538"/>
      <c r="K18" s="1538"/>
      <c r="L18" s="1538"/>
      <c r="M18" s="1538"/>
      <c r="N18" s="1538"/>
      <c r="O18" s="1538"/>
      <c r="P18" s="1538"/>
      <c r="Q18" s="1538"/>
      <c r="R18" s="1538"/>
      <c r="S18" s="1538"/>
      <c r="T18" s="1538"/>
      <c r="U18" s="1538"/>
      <c r="V18" s="1538"/>
      <c r="W18" s="1538"/>
      <c r="X18" s="2920"/>
      <c r="Y18" s="2920"/>
      <c r="Z18" s="2920"/>
    </row>
    <row r="19" spans="1:28" s="1536" customFormat="1" ht="15">
      <c r="A19" s="1562" t="s">
        <v>391</v>
      </c>
      <c r="B19" s="1541" t="s">
        <v>690</v>
      </c>
      <c r="C19" s="1563" t="s">
        <v>1271</v>
      </c>
      <c r="D19" s="1538">
        <v>9980</v>
      </c>
      <c r="E19" s="1538">
        <v>9980</v>
      </c>
      <c r="F19" s="1538">
        <v>9600</v>
      </c>
      <c r="G19" s="1538">
        <v>7030</v>
      </c>
      <c r="H19" s="1538">
        <f>G19</f>
        <v>7030</v>
      </c>
      <c r="I19" s="4179">
        <v>13500</v>
      </c>
      <c r="J19" s="4180">
        <v>34120</v>
      </c>
      <c r="K19" s="4180">
        <v>34120</v>
      </c>
      <c r="L19" s="1538"/>
      <c r="M19" s="1538"/>
      <c r="N19" s="1538"/>
      <c r="O19" s="1538"/>
      <c r="P19" s="1538"/>
      <c r="Q19" s="1538"/>
      <c r="R19" s="1538"/>
      <c r="S19" s="1538"/>
      <c r="T19" s="1538"/>
      <c r="U19" s="1538"/>
      <c r="V19" s="1538"/>
      <c r="W19" s="1538"/>
      <c r="X19" s="2920"/>
      <c r="Y19" s="2920"/>
      <c r="Z19" s="2920"/>
    </row>
    <row r="20" spans="1:28" s="1536" customFormat="1">
      <c r="A20" s="1540" t="s">
        <v>803</v>
      </c>
      <c r="B20" s="1541" t="s">
        <v>691</v>
      </c>
      <c r="C20" s="1563" t="s">
        <v>1369</v>
      </c>
      <c r="D20" s="1538">
        <f t="shared" ref="D20:H20" si="1">2.8*D7</f>
        <v>139.72</v>
      </c>
      <c r="E20" s="1538">
        <f t="shared" si="1"/>
        <v>280</v>
      </c>
      <c r="F20" s="1538">
        <f t="shared" si="1"/>
        <v>560</v>
      </c>
      <c r="G20" s="1538">
        <f t="shared" si="1"/>
        <v>1400</v>
      </c>
      <c r="H20" s="1538">
        <f t="shared" si="1"/>
        <v>1540</v>
      </c>
      <c r="I20" s="1538"/>
      <c r="J20" s="1538"/>
      <c r="K20" s="1538"/>
      <c r="L20" s="1538"/>
      <c r="M20" s="1538"/>
      <c r="N20" s="1538"/>
      <c r="O20" s="1538"/>
      <c r="P20" s="1538"/>
      <c r="Q20" s="1538"/>
      <c r="R20" s="1538"/>
      <c r="S20" s="1538"/>
      <c r="T20" s="1538"/>
      <c r="U20" s="1538"/>
      <c r="V20" s="1538"/>
      <c r="W20" s="1538"/>
      <c r="X20" s="2920"/>
      <c r="Y20" s="2920"/>
      <c r="Z20" s="2920"/>
    </row>
    <row r="21" spans="1:28" s="1565" customFormat="1">
      <c r="A21" s="1540" t="s">
        <v>804</v>
      </c>
      <c r="B21" s="1564" t="s">
        <v>692</v>
      </c>
      <c r="C21" s="1563" t="s">
        <v>1371</v>
      </c>
      <c r="D21" s="1538">
        <v>120</v>
      </c>
      <c r="E21" s="1538">
        <v>120</v>
      </c>
      <c r="F21" s="1538">
        <v>120</v>
      </c>
      <c r="G21" s="1538">
        <v>25</v>
      </c>
      <c r="H21" s="1538">
        <v>25</v>
      </c>
      <c r="I21" s="1538"/>
      <c r="J21" s="1538"/>
      <c r="K21" s="1538"/>
      <c r="L21" s="1538"/>
      <c r="M21" s="1538"/>
      <c r="N21" s="1538"/>
      <c r="O21" s="1538"/>
      <c r="P21" s="1538"/>
      <c r="Q21" s="1538"/>
      <c r="R21" s="1538"/>
      <c r="S21" s="1538"/>
      <c r="T21" s="1538"/>
      <c r="U21" s="1538"/>
      <c r="V21" s="1538"/>
      <c r="W21" s="1538"/>
      <c r="X21" s="2920"/>
      <c r="Y21" s="2920"/>
      <c r="Z21" s="2920"/>
    </row>
    <row r="22" spans="1:28" s="1565" customFormat="1" ht="15.75">
      <c r="A22" s="1540" t="s">
        <v>1008</v>
      </c>
      <c r="B22" s="1564"/>
      <c r="C22" s="1563" t="s">
        <v>1331</v>
      </c>
      <c r="D22" s="4172">
        <f>IF(OwnerType="POU",0.044%,IF(OwnerType="IOU",0.011%,0.0275%))</f>
        <v>2.7500000000000002E-4</v>
      </c>
      <c r="E22" s="4172">
        <f>IF(OwnerType="POU",0.044%,IF(OwnerType="IOU",0.011%,0.0275%))</f>
        <v>2.7500000000000002E-4</v>
      </c>
      <c r="F22" s="4172">
        <f>IF(OwnerType="POU",0.066%,IF(OwnerType="IOU",0.016%,0.042%))</f>
        <v>4.2000000000000002E-4</v>
      </c>
      <c r="G22" s="4173">
        <v>1.08E-3</v>
      </c>
      <c r="H22" s="4173">
        <v>1.08E-3</v>
      </c>
      <c r="I22" s="1553">
        <v>1E-3</v>
      </c>
      <c r="J22" s="4170">
        <v>0</v>
      </c>
      <c r="K22" s="4170">
        <v>0</v>
      </c>
      <c r="L22" s="1568"/>
      <c r="M22" s="1568"/>
      <c r="N22" s="1568"/>
      <c r="O22" s="1568"/>
      <c r="P22" s="1568"/>
      <c r="Q22" s="1568"/>
      <c r="R22" s="1568"/>
      <c r="S22" s="1568"/>
      <c r="T22" s="1568"/>
      <c r="U22" s="1568"/>
      <c r="V22" s="1568"/>
      <c r="W22" s="1568"/>
      <c r="X22" s="2925"/>
      <c r="Y22" s="2925"/>
      <c r="Z22" s="2925"/>
    </row>
    <row r="23" spans="1:28" s="1565" customFormat="1">
      <c r="A23" s="1535"/>
      <c r="B23" s="1536"/>
      <c r="C23" s="1560" t="s">
        <v>1291</v>
      </c>
      <c r="D23" s="1538"/>
      <c r="E23" s="1538"/>
      <c r="F23" s="1538"/>
      <c r="G23" s="1538"/>
      <c r="H23" s="1538"/>
      <c r="I23" s="1538"/>
      <c r="J23" s="1538"/>
      <c r="K23" s="1538"/>
      <c r="L23" s="1538"/>
      <c r="M23" s="1538"/>
      <c r="N23" s="1538"/>
      <c r="O23" s="1538"/>
      <c r="P23" s="1538"/>
      <c r="Q23" s="1538"/>
      <c r="R23" s="1538"/>
      <c r="S23" s="1538"/>
      <c r="T23" s="1538"/>
      <c r="U23" s="1538"/>
      <c r="V23" s="1538"/>
      <c r="W23" s="1538"/>
      <c r="X23" s="2920"/>
      <c r="Y23" s="2920"/>
      <c r="Z23" s="2920"/>
    </row>
    <row r="24" spans="1:28" s="1565" customFormat="1">
      <c r="A24" s="1569"/>
      <c r="B24" s="1570"/>
      <c r="C24" s="1547" t="s">
        <v>123</v>
      </c>
      <c r="D24" s="1538"/>
      <c r="E24" s="1538"/>
      <c r="F24" s="1538"/>
      <c r="G24" s="1538"/>
      <c r="H24" s="1538"/>
      <c r="I24" s="1538"/>
      <c r="J24" s="1538"/>
      <c r="K24" s="1538"/>
      <c r="L24" s="1538"/>
      <c r="M24" s="1538"/>
      <c r="N24" s="1538"/>
      <c r="O24" s="1538"/>
      <c r="P24" s="1538"/>
      <c r="Q24" s="1538"/>
      <c r="R24" s="1538"/>
      <c r="S24" s="1538"/>
      <c r="T24" s="1538"/>
      <c r="U24" s="1538"/>
      <c r="V24" s="1538"/>
      <c r="W24" s="1538"/>
      <c r="X24" s="2920"/>
      <c r="Y24" s="2920"/>
      <c r="Z24" s="2920"/>
    </row>
    <row r="25" spans="1:28" s="1565" customFormat="1" ht="15">
      <c r="A25" s="1569" t="s">
        <v>805</v>
      </c>
      <c r="B25" s="1571" t="s">
        <v>693</v>
      </c>
      <c r="C25" s="1572" t="s">
        <v>423</v>
      </c>
      <c r="D25" s="1586">
        <v>1</v>
      </c>
      <c r="E25" s="1586">
        <v>1</v>
      </c>
      <c r="F25" s="1586">
        <v>1</v>
      </c>
      <c r="G25" s="1575">
        <v>1</v>
      </c>
      <c r="H25" s="1575">
        <v>1</v>
      </c>
      <c r="I25" s="4181">
        <v>0.8</v>
      </c>
      <c r="J25" s="4181">
        <v>0.30355478294405669</v>
      </c>
      <c r="K25" s="4181">
        <v>0.33732401611048579</v>
      </c>
      <c r="L25" s="4181">
        <v>0.67</v>
      </c>
      <c r="M25" s="4181">
        <v>0.67</v>
      </c>
      <c r="N25" s="4181">
        <v>0.67</v>
      </c>
      <c r="O25" s="4181">
        <v>0.67</v>
      </c>
      <c r="P25" s="4181">
        <v>0.67</v>
      </c>
      <c r="Q25" s="4181">
        <v>1</v>
      </c>
      <c r="R25" s="4181">
        <v>1</v>
      </c>
      <c r="S25" s="4181">
        <v>1</v>
      </c>
      <c r="T25" s="4181">
        <v>1</v>
      </c>
      <c r="U25" s="4181">
        <v>1</v>
      </c>
      <c r="V25" s="4181">
        <v>1</v>
      </c>
      <c r="W25" s="1923"/>
      <c r="X25" s="2926"/>
      <c r="Y25" s="2927"/>
      <c r="Z25" s="2927"/>
    </row>
    <row r="26" spans="1:28" s="1565" customFormat="1" ht="15">
      <c r="A26" s="1569" t="s">
        <v>806</v>
      </c>
      <c r="B26" s="1571" t="s">
        <v>694</v>
      </c>
      <c r="C26" s="1572" t="s">
        <v>252</v>
      </c>
      <c r="D26" s="1586">
        <v>0</v>
      </c>
      <c r="E26" s="1586">
        <v>0</v>
      </c>
      <c r="F26" s="1586">
        <v>0</v>
      </c>
      <c r="G26" s="1575">
        <v>0</v>
      </c>
      <c r="H26" s="1575">
        <v>0</v>
      </c>
      <c r="I26" s="4181">
        <v>0.2</v>
      </c>
      <c r="J26" s="4181">
        <v>0.33347098152899657</v>
      </c>
      <c r="K26" s="4181">
        <v>0.41983271792257726</v>
      </c>
      <c r="L26" s="4181">
        <v>0.33</v>
      </c>
      <c r="M26" s="4181">
        <v>0.33</v>
      </c>
      <c r="N26" s="4181">
        <v>0.33</v>
      </c>
      <c r="O26" s="4181">
        <v>0.33</v>
      </c>
      <c r="P26" s="4181">
        <v>0.33</v>
      </c>
      <c r="Q26" s="4181">
        <v>0</v>
      </c>
      <c r="R26" s="4181">
        <v>0</v>
      </c>
      <c r="S26" s="4181">
        <v>0</v>
      </c>
      <c r="T26" s="4181">
        <v>0</v>
      </c>
      <c r="U26" s="4181">
        <v>0</v>
      </c>
      <c r="V26" s="4181">
        <v>0</v>
      </c>
      <c r="W26" s="1923"/>
      <c r="X26" s="2926"/>
      <c r="Y26" s="2927"/>
      <c r="Z26" s="2927"/>
    </row>
    <row r="27" spans="1:28" s="1565" customFormat="1" ht="15">
      <c r="A27" s="1569" t="s">
        <v>807</v>
      </c>
      <c r="B27" s="1571" t="s">
        <v>695</v>
      </c>
      <c r="C27" s="1572" t="s">
        <v>253</v>
      </c>
      <c r="D27" s="1575">
        <v>0</v>
      </c>
      <c r="E27" s="1575">
        <v>0</v>
      </c>
      <c r="F27" s="1575">
        <v>0</v>
      </c>
      <c r="G27" s="1575">
        <v>0</v>
      </c>
      <c r="H27" s="1575">
        <v>0</v>
      </c>
      <c r="I27" s="1575">
        <v>0</v>
      </c>
      <c r="J27" s="4181">
        <v>0.27709923413883658</v>
      </c>
      <c r="K27" s="4181">
        <v>0.18799092760792455</v>
      </c>
      <c r="L27" s="4181">
        <v>0</v>
      </c>
      <c r="M27" s="4181">
        <v>0</v>
      </c>
      <c r="N27" s="4181">
        <v>0</v>
      </c>
      <c r="O27" s="4181">
        <v>0</v>
      </c>
      <c r="P27" s="4181">
        <v>0</v>
      </c>
      <c r="Q27" s="4181">
        <v>0</v>
      </c>
      <c r="R27" s="4181">
        <v>0</v>
      </c>
      <c r="S27" s="4181">
        <v>0</v>
      </c>
      <c r="T27" s="4181">
        <v>0</v>
      </c>
      <c r="U27" s="4181">
        <v>0</v>
      </c>
      <c r="V27" s="4181">
        <v>0</v>
      </c>
      <c r="W27" s="1575"/>
      <c r="X27" s="2927"/>
      <c r="Y27" s="2927"/>
      <c r="Z27" s="2927"/>
    </row>
    <row r="28" spans="1:28" s="1565" customFormat="1" ht="15">
      <c r="A28" s="1569" t="s">
        <v>808</v>
      </c>
      <c r="B28" s="1571" t="s">
        <v>696</v>
      </c>
      <c r="C28" s="1572" t="s">
        <v>254</v>
      </c>
      <c r="D28" s="1575">
        <v>0</v>
      </c>
      <c r="E28" s="1575">
        <v>0</v>
      </c>
      <c r="F28" s="1575">
        <v>0</v>
      </c>
      <c r="G28" s="1575">
        <v>0</v>
      </c>
      <c r="H28" s="1575">
        <v>0</v>
      </c>
      <c r="I28" s="1575">
        <v>0</v>
      </c>
      <c r="J28" s="4181">
        <v>8.5875001388110161E-2</v>
      </c>
      <c r="K28" s="4181">
        <v>5.4852338359012431E-2</v>
      </c>
      <c r="L28" s="4181">
        <v>0</v>
      </c>
      <c r="M28" s="4181">
        <v>0</v>
      </c>
      <c r="N28" s="4181">
        <v>0</v>
      </c>
      <c r="O28" s="4181">
        <v>0</v>
      </c>
      <c r="P28" s="4181">
        <v>0</v>
      </c>
      <c r="Q28" s="4181">
        <v>0</v>
      </c>
      <c r="R28" s="4181">
        <v>0</v>
      </c>
      <c r="S28" s="4181">
        <v>0</v>
      </c>
      <c r="T28" s="4181">
        <v>0</v>
      </c>
      <c r="U28" s="4181">
        <v>0</v>
      </c>
      <c r="V28" s="4181">
        <v>0</v>
      </c>
      <c r="W28" s="1575"/>
      <c r="X28" s="2927"/>
      <c r="Y28" s="2927"/>
      <c r="Z28" s="2927"/>
    </row>
    <row r="29" spans="1:28" s="1565" customFormat="1" ht="15">
      <c r="A29" s="1569" t="s">
        <v>809</v>
      </c>
      <c r="B29" s="1571" t="s">
        <v>697</v>
      </c>
      <c r="C29" s="1572" t="s">
        <v>255</v>
      </c>
      <c r="D29" s="1575">
        <v>0</v>
      </c>
      <c r="E29" s="1575">
        <v>0</v>
      </c>
      <c r="F29" s="1575">
        <v>0</v>
      </c>
      <c r="G29" s="1575">
        <v>0</v>
      </c>
      <c r="H29" s="1575">
        <v>0</v>
      </c>
      <c r="I29" s="1575">
        <v>0</v>
      </c>
      <c r="J29" s="4181">
        <v>0</v>
      </c>
      <c r="K29" s="4181">
        <v>0</v>
      </c>
      <c r="L29" s="4181">
        <v>0</v>
      </c>
      <c r="M29" s="4181">
        <v>0</v>
      </c>
      <c r="N29" s="4181">
        <v>0</v>
      </c>
      <c r="O29" s="4181">
        <v>0</v>
      </c>
      <c r="P29" s="4181">
        <v>0</v>
      </c>
      <c r="Q29" s="4181">
        <v>0</v>
      </c>
      <c r="R29" s="4181">
        <v>0</v>
      </c>
      <c r="S29" s="4181">
        <v>0</v>
      </c>
      <c r="T29" s="4181">
        <v>0</v>
      </c>
      <c r="U29" s="4181">
        <v>0</v>
      </c>
      <c r="V29" s="4181">
        <v>0</v>
      </c>
      <c r="W29" s="1575"/>
      <c r="X29" s="2927"/>
      <c r="Y29" s="2927"/>
      <c r="Z29" s="2927"/>
    </row>
    <row r="30" spans="1:28" s="1565" customFormat="1" ht="15">
      <c r="A30" s="1569" t="s">
        <v>609</v>
      </c>
      <c r="B30" s="1571" t="s">
        <v>697</v>
      </c>
      <c r="C30" s="1572" t="s">
        <v>256</v>
      </c>
      <c r="D30" s="1575">
        <v>0</v>
      </c>
      <c r="E30" s="1575">
        <v>0</v>
      </c>
      <c r="F30" s="1575">
        <v>0</v>
      </c>
      <c r="G30" s="1575">
        <v>0</v>
      </c>
      <c r="H30" s="1575">
        <v>0</v>
      </c>
      <c r="I30" s="1575">
        <v>0</v>
      </c>
      <c r="J30" s="4181">
        <v>0</v>
      </c>
      <c r="K30" s="4181">
        <v>0</v>
      </c>
      <c r="L30" s="4181">
        <v>0</v>
      </c>
      <c r="M30" s="4181">
        <v>0</v>
      </c>
      <c r="N30" s="4181">
        <v>0</v>
      </c>
      <c r="O30" s="4181">
        <v>0</v>
      </c>
      <c r="P30" s="4181">
        <v>0</v>
      </c>
      <c r="Q30" s="4181">
        <v>0</v>
      </c>
      <c r="R30" s="4181">
        <v>0</v>
      </c>
      <c r="S30" s="4181">
        <v>0</v>
      </c>
      <c r="T30" s="4181">
        <v>0</v>
      </c>
      <c r="U30" s="4181">
        <v>0</v>
      </c>
      <c r="V30" s="4181">
        <v>0</v>
      </c>
      <c r="W30" s="1575"/>
      <c r="X30" s="2927"/>
      <c r="Y30" s="2927"/>
      <c r="Z30" s="2927"/>
    </row>
    <row r="31" spans="1:28" s="1565" customFormat="1">
      <c r="A31" s="1569"/>
      <c r="B31" s="1570"/>
      <c r="C31" s="1547" t="s">
        <v>123</v>
      </c>
      <c r="D31" s="1568">
        <f t="shared" ref="D31:H31" si="2">SUM(D25:D30)</f>
        <v>1</v>
      </c>
      <c r="E31" s="1568">
        <f t="shared" si="2"/>
        <v>1</v>
      </c>
      <c r="F31" s="1568">
        <f t="shared" si="2"/>
        <v>1</v>
      </c>
      <c r="G31" s="1568">
        <f t="shared" si="2"/>
        <v>1</v>
      </c>
      <c r="H31" s="1568">
        <f t="shared" si="2"/>
        <v>1</v>
      </c>
      <c r="I31" s="1568">
        <f t="shared" ref="I31:O31" si="3">SUM(I25:I30)</f>
        <v>1</v>
      </c>
      <c r="J31" s="1568">
        <f t="shared" si="3"/>
        <v>1</v>
      </c>
      <c r="K31" s="1568">
        <f>SUM(K25:K30)</f>
        <v>1</v>
      </c>
      <c r="L31" s="1568">
        <f t="shared" si="3"/>
        <v>1</v>
      </c>
      <c r="M31" s="1568">
        <f t="shared" si="3"/>
        <v>1</v>
      </c>
      <c r="N31" s="1568">
        <f t="shared" si="3"/>
        <v>1</v>
      </c>
      <c r="O31" s="1568">
        <f t="shared" si="3"/>
        <v>1</v>
      </c>
      <c r="P31" s="1568">
        <f>SUM(P25:P30)</f>
        <v>1</v>
      </c>
      <c r="Q31" s="1568">
        <f t="shared" ref="Q31:V31" si="4">SUM(Q25:Q30)</f>
        <v>1</v>
      </c>
      <c r="R31" s="1568">
        <f t="shared" si="4"/>
        <v>1</v>
      </c>
      <c r="S31" s="1568">
        <f>SUM(S25:S30)</f>
        <v>1</v>
      </c>
      <c r="T31" s="1568">
        <f>SUM(T25:T30)</f>
        <v>1</v>
      </c>
      <c r="U31" s="1568">
        <f t="shared" si="4"/>
        <v>1</v>
      </c>
      <c r="V31" s="1568">
        <f t="shared" si="4"/>
        <v>1</v>
      </c>
      <c r="W31" s="1568"/>
      <c r="X31" s="2925"/>
      <c r="Y31" s="2925"/>
      <c r="Z31" s="2925"/>
    </row>
    <row r="32" spans="1:28" s="1583" customFormat="1" ht="15">
      <c r="A32" s="1576" t="s">
        <v>1190</v>
      </c>
      <c r="B32" s="1577" t="s">
        <v>693</v>
      </c>
      <c r="C32" s="1578" t="s">
        <v>1332</v>
      </c>
      <c r="D32" s="1579">
        <v>4</v>
      </c>
      <c r="E32" s="1579">
        <v>4</v>
      </c>
      <c r="F32" s="1579">
        <v>12</v>
      </c>
      <c r="G32" s="1579">
        <v>12</v>
      </c>
      <c r="H32" s="1579">
        <v>12</v>
      </c>
      <c r="I32" s="4182">
        <v>12</v>
      </c>
      <c r="J32" s="4182">
        <v>12</v>
      </c>
      <c r="K32" s="4182">
        <v>12</v>
      </c>
      <c r="L32" s="4182">
        <v>12</v>
      </c>
      <c r="M32" s="4182">
        <v>12</v>
      </c>
      <c r="N32" s="4182">
        <v>12</v>
      </c>
      <c r="O32" s="4182">
        <v>12</v>
      </c>
      <c r="P32" s="4182">
        <v>12</v>
      </c>
      <c r="Q32" s="1285">
        <v>12</v>
      </c>
      <c r="R32" s="1285">
        <v>12</v>
      </c>
      <c r="S32" s="1285">
        <v>12</v>
      </c>
      <c r="T32" s="1285">
        <v>12</v>
      </c>
      <c r="U32" s="1285">
        <v>12</v>
      </c>
      <c r="V32" s="1285">
        <v>12</v>
      </c>
      <c r="W32" s="1579"/>
      <c r="X32" s="2928"/>
      <c r="Y32" s="2928"/>
      <c r="Z32" s="2928"/>
    </row>
    <row r="33" spans="1:39" s="1583" customFormat="1" ht="15">
      <c r="A33" s="1576" t="s">
        <v>1191</v>
      </c>
      <c r="B33" s="1577" t="s">
        <v>694</v>
      </c>
      <c r="C33" s="1578" t="s">
        <v>1333</v>
      </c>
      <c r="D33" s="1579">
        <v>0</v>
      </c>
      <c r="E33" s="1579">
        <v>0</v>
      </c>
      <c r="F33" s="1579">
        <v>0</v>
      </c>
      <c r="G33" s="1579">
        <v>8</v>
      </c>
      <c r="H33" s="1579">
        <v>8</v>
      </c>
      <c r="I33" s="4182">
        <v>6</v>
      </c>
      <c r="J33" s="4182">
        <v>12</v>
      </c>
      <c r="K33" s="4182">
        <v>12</v>
      </c>
      <c r="L33" s="4182">
        <v>6</v>
      </c>
      <c r="M33" s="4182">
        <v>6</v>
      </c>
      <c r="N33" s="4182">
        <v>6</v>
      </c>
      <c r="O33" s="4182">
        <v>6</v>
      </c>
      <c r="P33" s="4182">
        <v>6</v>
      </c>
      <c r="Q33" s="1285">
        <v>0</v>
      </c>
      <c r="R33" s="1285">
        <v>0</v>
      </c>
      <c r="S33" s="1285">
        <v>0</v>
      </c>
      <c r="T33" s="1285">
        <v>0</v>
      </c>
      <c r="U33" s="1285">
        <v>0</v>
      </c>
      <c r="V33" s="1285">
        <v>0</v>
      </c>
      <c r="W33" s="1579"/>
      <c r="X33" s="2928"/>
      <c r="Y33" s="2928"/>
      <c r="Z33" s="2928"/>
    </row>
    <row r="34" spans="1:39" s="1583" customFormat="1" ht="15">
      <c r="A34" s="1576" t="s">
        <v>1192</v>
      </c>
      <c r="B34" s="1577" t="s">
        <v>695</v>
      </c>
      <c r="C34" s="1578" t="s">
        <v>1334</v>
      </c>
      <c r="D34" s="1579">
        <v>0</v>
      </c>
      <c r="E34" s="1579">
        <v>0</v>
      </c>
      <c r="F34" s="1579">
        <v>0</v>
      </c>
      <c r="G34" s="1579">
        <v>0</v>
      </c>
      <c r="H34" s="1579">
        <v>0</v>
      </c>
      <c r="I34" s="4182">
        <v>0</v>
      </c>
      <c r="J34" s="4182">
        <v>12</v>
      </c>
      <c r="K34" s="4182">
        <v>12</v>
      </c>
      <c r="L34" s="4182">
        <v>0</v>
      </c>
      <c r="M34" s="4182">
        <v>0</v>
      </c>
      <c r="N34" s="4182">
        <v>0</v>
      </c>
      <c r="O34" s="4182">
        <v>0</v>
      </c>
      <c r="P34" s="4182">
        <v>0</v>
      </c>
      <c r="Q34" s="1285">
        <v>0</v>
      </c>
      <c r="R34" s="1285">
        <v>0</v>
      </c>
      <c r="S34" s="1285">
        <v>0</v>
      </c>
      <c r="T34" s="1285">
        <v>0</v>
      </c>
      <c r="U34" s="1285">
        <v>0</v>
      </c>
      <c r="V34" s="1285">
        <v>0</v>
      </c>
      <c r="W34" s="1579"/>
      <c r="X34" s="2928"/>
      <c r="Y34" s="2928"/>
      <c r="Z34" s="2928"/>
    </row>
    <row r="35" spans="1:39" s="1583" customFormat="1" ht="15">
      <c r="A35" s="1576" t="s">
        <v>1193</v>
      </c>
      <c r="B35" s="1577" t="s">
        <v>696</v>
      </c>
      <c r="C35" s="1578" t="s">
        <v>1335</v>
      </c>
      <c r="D35" s="1579">
        <v>0</v>
      </c>
      <c r="E35" s="1579">
        <v>0</v>
      </c>
      <c r="F35" s="1579">
        <v>0</v>
      </c>
      <c r="G35" s="1579">
        <v>0</v>
      </c>
      <c r="H35" s="1579">
        <v>0</v>
      </c>
      <c r="I35" s="4182">
        <v>0</v>
      </c>
      <c r="J35" s="4182">
        <v>12</v>
      </c>
      <c r="K35" s="4182">
        <v>12</v>
      </c>
      <c r="L35" s="4182">
        <v>0</v>
      </c>
      <c r="M35" s="4182">
        <v>0</v>
      </c>
      <c r="N35" s="4182">
        <v>0</v>
      </c>
      <c r="O35" s="4182">
        <v>0</v>
      </c>
      <c r="P35" s="4182">
        <v>0</v>
      </c>
      <c r="Q35" s="1285">
        <v>0</v>
      </c>
      <c r="R35" s="1285">
        <v>0</v>
      </c>
      <c r="S35" s="1285">
        <v>0</v>
      </c>
      <c r="T35" s="1285">
        <v>0</v>
      </c>
      <c r="U35" s="1285">
        <v>0</v>
      </c>
      <c r="V35" s="1285">
        <v>0</v>
      </c>
      <c r="W35" s="1579"/>
      <c r="X35" s="2928"/>
      <c r="Y35" s="2928"/>
      <c r="Z35" s="2928"/>
    </row>
    <row r="36" spans="1:39" s="1583" customFormat="1" ht="15">
      <c r="A36" s="1576" t="s">
        <v>1194</v>
      </c>
      <c r="B36" s="1577" t="s">
        <v>697</v>
      </c>
      <c r="C36" s="1578" t="s">
        <v>1336</v>
      </c>
      <c r="D36" s="1579">
        <v>0</v>
      </c>
      <c r="E36" s="1579">
        <v>0</v>
      </c>
      <c r="F36" s="1579">
        <v>0</v>
      </c>
      <c r="G36" s="1579">
        <v>0</v>
      </c>
      <c r="H36" s="1579">
        <v>0</v>
      </c>
      <c r="I36" s="4182">
        <v>0</v>
      </c>
      <c r="J36" s="4182">
        <v>0</v>
      </c>
      <c r="K36" s="4182">
        <v>0</v>
      </c>
      <c r="L36" s="4182">
        <v>0</v>
      </c>
      <c r="M36" s="4182">
        <v>0</v>
      </c>
      <c r="N36" s="4182">
        <v>0</v>
      </c>
      <c r="O36" s="4182">
        <v>0</v>
      </c>
      <c r="P36" s="4182">
        <v>0</v>
      </c>
      <c r="Q36" s="1285">
        <v>0</v>
      </c>
      <c r="R36" s="1285">
        <v>0</v>
      </c>
      <c r="S36" s="1285">
        <v>0</v>
      </c>
      <c r="T36" s="1285">
        <v>0</v>
      </c>
      <c r="U36" s="1285">
        <v>0</v>
      </c>
      <c r="V36" s="1285">
        <v>0</v>
      </c>
      <c r="W36" s="1579"/>
      <c r="X36" s="2928"/>
      <c r="Y36" s="2928"/>
      <c r="Z36" s="2928"/>
    </row>
    <row r="37" spans="1:39" s="1583" customFormat="1" ht="15">
      <c r="A37" s="1576" t="s">
        <v>608</v>
      </c>
      <c r="B37" s="1577" t="s">
        <v>697</v>
      </c>
      <c r="C37" s="1578" t="s">
        <v>251</v>
      </c>
      <c r="D37" s="1579">
        <v>0</v>
      </c>
      <c r="E37" s="1579">
        <v>0</v>
      </c>
      <c r="F37" s="1579">
        <v>0</v>
      </c>
      <c r="G37" s="1579">
        <v>0</v>
      </c>
      <c r="H37" s="1579">
        <v>0</v>
      </c>
      <c r="I37" s="4182">
        <v>0</v>
      </c>
      <c r="J37" s="4182">
        <v>0</v>
      </c>
      <c r="K37" s="4182">
        <v>0</v>
      </c>
      <c r="L37" s="4182">
        <v>0</v>
      </c>
      <c r="M37" s="4182">
        <v>0</v>
      </c>
      <c r="N37" s="4182">
        <v>0</v>
      </c>
      <c r="O37" s="4182">
        <v>0</v>
      </c>
      <c r="P37" s="4182">
        <v>0</v>
      </c>
      <c r="Q37" s="1285">
        <v>0</v>
      </c>
      <c r="R37" s="1285">
        <v>0</v>
      </c>
      <c r="S37" s="1285">
        <v>0</v>
      </c>
      <c r="T37" s="1285">
        <v>0</v>
      </c>
      <c r="U37" s="1285">
        <v>0</v>
      </c>
      <c r="V37" s="1285">
        <v>0</v>
      </c>
      <c r="W37" s="1579"/>
      <c r="X37" s="2928"/>
      <c r="Y37" s="2928"/>
      <c r="Z37" s="2928"/>
    </row>
    <row r="38" spans="1:39" s="1583" customFormat="1">
      <c r="A38" s="1584"/>
      <c r="B38" s="1585"/>
      <c r="C38" s="1560" t="s">
        <v>1290</v>
      </c>
      <c r="D38" s="1579"/>
      <c r="E38" s="1579"/>
      <c r="F38" s="1579"/>
      <c r="G38" s="1579"/>
      <c r="H38" s="1579"/>
      <c r="I38" s="1579"/>
      <c r="J38" s="1579"/>
      <c r="K38" s="1579"/>
      <c r="L38" s="1579"/>
      <c r="M38" s="1579"/>
      <c r="N38" s="1579"/>
      <c r="O38" s="1579"/>
      <c r="P38" s="1579"/>
      <c r="Q38" s="1579"/>
      <c r="R38" s="1579"/>
      <c r="S38" s="1579"/>
      <c r="T38" s="1579"/>
      <c r="U38" s="1579"/>
      <c r="V38" s="1579"/>
      <c r="W38" s="1579"/>
      <c r="X38" s="2928"/>
      <c r="Y38" s="2928"/>
      <c r="Z38" s="2928"/>
    </row>
    <row r="39" spans="1:39" s="1593" customFormat="1">
      <c r="A39" s="914"/>
      <c r="B39" s="914" t="s">
        <v>698</v>
      </c>
      <c r="C39" s="918" t="s">
        <v>1890</v>
      </c>
      <c r="D39" s="1596">
        <f t="shared" ref="D39:U39" si="5">(D40/D41)/((1-D45)*(1-D46))</f>
        <v>7.6193601061102567E-2</v>
      </c>
      <c r="E39" s="1596">
        <f t="shared" si="5"/>
        <v>7.5413697458819123E-2</v>
      </c>
      <c r="F39" s="1596">
        <f t="shared" si="5"/>
        <v>0.11312054618822869</v>
      </c>
      <c r="G39" s="1596">
        <f t="shared" si="5"/>
        <v>0.77279039416750928</v>
      </c>
      <c r="H39" s="1596">
        <f t="shared" si="5"/>
        <v>0.77279039416750928</v>
      </c>
      <c r="I39" s="1596">
        <f t="shared" si="5"/>
        <v>0.85</v>
      </c>
      <c r="J39" s="1596">
        <f t="shared" si="5"/>
        <v>0.9911940236217186</v>
      </c>
      <c r="K39" s="1596">
        <f t="shared" si="5"/>
        <v>0.9911940236217186</v>
      </c>
      <c r="L39" s="1596">
        <f t="shared" si="5"/>
        <v>0.34462269756387404</v>
      </c>
      <c r="M39" s="1596">
        <f t="shared" si="5"/>
        <v>0.53475935828877008</v>
      </c>
      <c r="N39" s="1596">
        <f t="shared" si="5"/>
        <v>0.38027332144979203</v>
      </c>
      <c r="O39" s="1596">
        <f t="shared" si="5"/>
        <v>0.57278669043374919</v>
      </c>
      <c r="P39" s="1596">
        <f t="shared" si="5"/>
        <v>0.73677956030897207</v>
      </c>
      <c r="Q39" s="1596">
        <f t="shared" si="5"/>
        <v>0.33106710020691699</v>
      </c>
      <c r="R39" s="1596">
        <f t="shared" si="5"/>
        <v>0.36653857522908662</v>
      </c>
      <c r="S39" s="1596">
        <f t="shared" si="5"/>
        <v>0.33106710020691699</v>
      </c>
      <c r="T39" s="1596">
        <f t="shared" si="5"/>
        <v>0.36653857522908662</v>
      </c>
      <c r="U39" s="1596">
        <f t="shared" si="5"/>
        <v>0.30303030303030304</v>
      </c>
      <c r="V39" s="1596">
        <f>(V40/V41)/((1-V45)*(1-V46))</f>
        <v>0.28282828282828287</v>
      </c>
      <c r="W39" s="1568"/>
      <c r="X39" s="2929"/>
      <c r="Y39" s="2929"/>
      <c r="Z39" s="2929"/>
      <c r="AB39" s="1592"/>
      <c r="AC39" s="1592"/>
      <c r="AD39" s="1592"/>
      <c r="AE39" s="1592"/>
      <c r="AF39" s="1592"/>
      <c r="AG39" s="1592"/>
      <c r="AH39" s="1592"/>
      <c r="AI39" s="1592"/>
      <c r="AJ39" s="1592"/>
      <c r="AK39" s="1592"/>
      <c r="AL39" s="1592"/>
      <c r="AM39" s="1592"/>
    </row>
    <row r="40" spans="1:39" s="1565" customFormat="1" ht="15.75">
      <c r="A40" s="1594" t="s">
        <v>1888</v>
      </c>
      <c r="B40" s="1595"/>
      <c r="C40" s="3260" t="s">
        <v>1889</v>
      </c>
      <c r="D40" s="1586">
        <f>IF(OwnerType="POU",14%,IF(OwnerType="IOU",1%,7%))</f>
        <v>7.0000000000000007E-2</v>
      </c>
      <c r="E40" s="1586">
        <f>IF(OwnerType="POU",14%,IF(OwnerType="IOU",1%,7%))</f>
        <v>7.0000000000000007E-2</v>
      </c>
      <c r="F40" s="1586">
        <f>1.5*E40</f>
        <v>0.10500000000000001</v>
      </c>
      <c r="G40" s="4183">
        <v>0.71</v>
      </c>
      <c r="H40" s="4183">
        <v>0.71</v>
      </c>
      <c r="I40" s="4183">
        <v>0.85</v>
      </c>
      <c r="J40" s="4170">
        <v>0.95</v>
      </c>
      <c r="K40" s="4170">
        <v>0.95</v>
      </c>
      <c r="L40" s="4183">
        <v>0.28999999999999998</v>
      </c>
      <c r="M40" s="4183">
        <v>0.45</v>
      </c>
      <c r="N40" s="4183">
        <v>0.32</v>
      </c>
      <c r="O40" s="4183">
        <v>0.48199999999999998</v>
      </c>
      <c r="P40" s="4183">
        <v>0.62</v>
      </c>
      <c r="Q40" s="4184">
        <v>0.28000000000000003</v>
      </c>
      <c r="R40" s="4184">
        <v>0.31</v>
      </c>
      <c r="S40" s="4184">
        <v>0.28000000000000003</v>
      </c>
      <c r="T40" s="4184">
        <v>0.31</v>
      </c>
      <c r="U40" s="4184">
        <v>0.3</v>
      </c>
      <c r="V40" s="4184">
        <v>0.28000000000000003</v>
      </c>
      <c r="W40" s="1596"/>
      <c r="X40" s="2930"/>
      <c r="Y40" s="2930"/>
      <c r="Z40" s="2930"/>
      <c r="AB40" s="1591"/>
      <c r="AC40" s="1566"/>
      <c r="AD40" s="1566"/>
      <c r="AE40" s="1566"/>
      <c r="AF40" s="1566"/>
      <c r="AG40" s="1566"/>
      <c r="AH40" s="1566"/>
      <c r="AI40" s="1566"/>
      <c r="AJ40" s="1566"/>
      <c r="AK40" s="1566"/>
      <c r="AL40" s="1566"/>
      <c r="AM40" s="1566"/>
    </row>
    <row r="41" spans="1:39" s="1601" customFormat="1">
      <c r="A41" s="1597" t="s">
        <v>1012</v>
      </c>
      <c r="B41" s="1598" t="s">
        <v>684</v>
      </c>
      <c r="C41" s="1599" t="s">
        <v>971</v>
      </c>
      <c r="D41" s="1575">
        <v>1</v>
      </c>
      <c r="E41" s="1575">
        <v>1</v>
      </c>
      <c r="F41" s="1575">
        <v>1</v>
      </c>
      <c r="G41" s="1575">
        <v>1</v>
      </c>
      <c r="H41" s="1575">
        <v>1</v>
      </c>
      <c r="I41" s="1738">
        <v>1</v>
      </c>
      <c r="J41" s="1586">
        <v>1</v>
      </c>
      <c r="K41" s="1586">
        <v>1</v>
      </c>
      <c r="L41" s="1596">
        <f>'PTA-Mid'!L41</f>
        <v>0.85</v>
      </c>
      <c r="M41" s="1596">
        <f>'PTA-Mid'!M41</f>
        <v>0.85</v>
      </c>
      <c r="N41" s="1596">
        <f>'PTA-Mid'!N41</f>
        <v>0.85</v>
      </c>
      <c r="O41" s="1596">
        <f>'PTA-Mid'!O41</f>
        <v>0.85</v>
      </c>
      <c r="P41" s="1596">
        <f>'PTA-Mid'!P41</f>
        <v>0.85</v>
      </c>
      <c r="Q41" s="1596">
        <f>'PTA-Mid'!Q41</f>
        <v>0.85</v>
      </c>
      <c r="R41" s="1596">
        <f>'PTA-Mid'!R41</f>
        <v>0.85</v>
      </c>
      <c r="S41" s="1596">
        <f>'PTA-Mid'!S41</f>
        <v>0.85</v>
      </c>
      <c r="T41" s="1596">
        <f>'PTA-Mid'!T41</f>
        <v>0.85</v>
      </c>
      <c r="U41" s="1596">
        <f>'PTA-Mid'!U41</f>
        <v>1</v>
      </c>
      <c r="V41" s="1596">
        <f>'PTA-Mid'!V41</f>
        <v>1</v>
      </c>
      <c r="W41" s="1738"/>
      <c r="X41" s="2931"/>
      <c r="Y41" s="2931"/>
      <c r="Z41" s="2931"/>
      <c r="AB41" s="1574"/>
      <c r="AC41" s="1574"/>
      <c r="AD41" s="1574"/>
      <c r="AE41" s="1574"/>
      <c r="AF41" s="1574"/>
      <c r="AG41" s="1574"/>
      <c r="AH41" s="1574"/>
      <c r="AI41" s="1574"/>
      <c r="AJ41" s="1574"/>
      <c r="AK41" s="1574"/>
      <c r="AL41" s="1574"/>
      <c r="AM41" s="1574"/>
    </row>
    <row r="42" spans="1:39" s="1565" customFormat="1">
      <c r="A42" s="1594" t="s">
        <v>810</v>
      </c>
      <c r="B42" s="1595"/>
      <c r="C42" s="1602" t="s">
        <v>1013</v>
      </c>
      <c r="D42" s="1538">
        <f t="shared" ref="D42:H42" si="6">D15</f>
        <v>30</v>
      </c>
      <c r="E42" s="1538">
        <f t="shared" si="6"/>
        <v>30</v>
      </c>
      <c r="F42" s="1538">
        <f t="shared" si="6"/>
        <v>30</v>
      </c>
      <c r="G42" s="1538">
        <f t="shared" si="6"/>
        <v>30</v>
      </c>
      <c r="H42" s="1538">
        <f t="shared" si="6"/>
        <v>30</v>
      </c>
      <c r="I42" s="1538">
        <v>20</v>
      </c>
      <c r="J42" s="1538">
        <v>30</v>
      </c>
      <c r="K42" s="1538">
        <v>30</v>
      </c>
      <c r="L42" s="1538">
        <v>20</v>
      </c>
      <c r="M42" s="1538">
        <v>20</v>
      </c>
      <c r="N42" s="1538">
        <v>20</v>
      </c>
      <c r="O42" s="1538">
        <v>20</v>
      </c>
      <c r="P42" s="1538">
        <v>20</v>
      </c>
      <c r="Q42" s="1538">
        <v>20</v>
      </c>
      <c r="R42" s="1538">
        <v>20</v>
      </c>
      <c r="S42" s="1538">
        <v>20</v>
      </c>
      <c r="T42" s="1538">
        <v>20</v>
      </c>
      <c r="U42" s="1538">
        <v>30</v>
      </c>
      <c r="V42" s="1538">
        <v>30</v>
      </c>
      <c r="W42" s="1538"/>
      <c r="X42" s="2920"/>
      <c r="Y42" s="2920"/>
      <c r="Z42" s="2920"/>
      <c r="AB42" s="1566"/>
      <c r="AC42" s="1566"/>
      <c r="AD42" s="1566"/>
      <c r="AE42" s="1566"/>
      <c r="AF42" s="1566"/>
      <c r="AG42" s="1566"/>
      <c r="AH42" s="1566"/>
      <c r="AI42" s="1566"/>
      <c r="AJ42" s="1566"/>
      <c r="AK42" s="1566"/>
      <c r="AL42" s="1566"/>
      <c r="AM42" s="1566"/>
    </row>
    <row r="43" spans="1:39" s="1565" customFormat="1">
      <c r="A43" s="1594" t="s">
        <v>811</v>
      </c>
      <c r="B43" s="1595" t="s">
        <v>700</v>
      </c>
      <c r="C43" s="1602" t="s">
        <v>100</v>
      </c>
      <c r="D43" s="1538">
        <v>876</v>
      </c>
      <c r="E43" s="1538">
        <v>876</v>
      </c>
      <c r="F43" s="1538">
        <v>876</v>
      </c>
      <c r="G43" s="1585">
        <v>14839.44</v>
      </c>
      <c r="H43" s="1585">
        <v>14839.44</v>
      </c>
      <c r="I43" s="1538">
        <v>0</v>
      </c>
      <c r="J43" s="1538">
        <v>0</v>
      </c>
      <c r="K43" s="1538">
        <v>0</v>
      </c>
      <c r="L43" s="1538"/>
      <c r="M43" s="1538"/>
      <c r="N43" s="1538"/>
      <c r="O43" s="1538"/>
      <c r="P43" s="1538"/>
      <c r="Q43" s="1538"/>
      <c r="R43" s="1538"/>
      <c r="S43" s="1538"/>
      <c r="T43" s="1538"/>
      <c r="U43" s="1585"/>
      <c r="V43" s="1585"/>
      <c r="W43" s="1585"/>
      <c r="X43" s="2932"/>
      <c r="Y43" s="2920"/>
      <c r="Z43" s="2920"/>
      <c r="AB43" s="1566"/>
      <c r="AC43" s="1566"/>
      <c r="AD43" s="1566"/>
      <c r="AE43" s="1566"/>
      <c r="AF43" s="1566"/>
      <c r="AG43" s="1566"/>
      <c r="AH43" s="1566"/>
      <c r="AI43" s="1566"/>
      <c r="AJ43" s="1566"/>
      <c r="AK43" s="1566"/>
      <c r="AL43" s="1566"/>
      <c r="AM43" s="1566"/>
    </row>
    <row r="44" spans="1:39" s="1565" customFormat="1">
      <c r="A44" s="1594" t="s">
        <v>1014</v>
      </c>
      <c r="B44" s="1595"/>
      <c r="C44" s="1605" t="s">
        <v>1016</v>
      </c>
      <c r="D44" s="1640"/>
      <c r="E44" s="1640"/>
      <c r="F44" s="1640"/>
      <c r="G44" s="1640"/>
      <c r="H44" s="1640"/>
      <c r="I44" s="1640"/>
      <c r="J44" s="1640"/>
      <c r="K44" s="1640"/>
      <c r="L44" s="1640"/>
      <c r="M44" s="1640"/>
      <c r="N44" s="1640"/>
      <c r="O44" s="1640"/>
      <c r="P44" s="1640"/>
      <c r="Q44" s="1640"/>
      <c r="R44" s="1640"/>
      <c r="S44" s="1640"/>
      <c r="T44" s="1640"/>
      <c r="U44" s="1640"/>
      <c r="V44" s="1640"/>
      <c r="W44" s="1538"/>
      <c r="X44" s="2920"/>
      <c r="Y44" s="2920"/>
      <c r="Z44" s="2920"/>
    </row>
    <row r="45" spans="1:39" s="1565" customFormat="1" ht="15">
      <c r="A45" s="1594" t="s">
        <v>1218</v>
      </c>
      <c r="B45" s="1595" t="s">
        <v>701</v>
      </c>
      <c r="C45" s="1605" t="s">
        <v>1296</v>
      </c>
      <c r="D45" s="1549">
        <v>2.7199999999999998E-2</v>
      </c>
      <c r="E45" s="1549">
        <v>3.1800000000000002E-2</v>
      </c>
      <c r="F45" s="1549">
        <v>3.1800000000000002E-2</v>
      </c>
      <c r="G45" s="1549">
        <v>6.0199999999999997E-2</v>
      </c>
      <c r="H45" s="1549">
        <v>6.0199999999999997E-2</v>
      </c>
      <c r="I45" s="4171">
        <v>0</v>
      </c>
      <c r="J45" s="4171">
        <v>0.02</v>
      </c>
      <c r="K45" s="4171">
        <v>0.02</v>
      </c>
      <c r="L45" s="4171">
        <v>0</v>
      </c>
      <c r="M45" s="4171">
        <v>0</v>
      </c>
      <c r="N45" s="4171">
        <v>0</v>
      </c>
      <c r="O45" s="4171">
        <v>0</v>
      </c>
      <c r="P45" s="4171">
        <v>0</v>
      </c>
      <c r="Q45" s="4171">
        <v>5.0000000000000001E-3</v>
      </c>
      <c r="R45" s="4171">
        <v>5.0000000000000001E-3</v>
      </c>
      <c r="S45" s="4171">
        <v>5.0000000000000001E-3</v>
      </c>
      <c r="T45" s="4171">
        <v>5.0000000000000001E-3</v>
      </c>
      <c r="U45" s="4171">
        <v>0</v>
      </c>
      <c r="V45" s="4171">
        <v>0</v>
      </c>
      <c r="W45" s="1549"/>
      <c r="X45" s="2922"/>
      <c r="Y45" s="2922"/>
      <c r="Z45" s="2922"/>
    </row>
    <row r="46" spans="1:39" s="1565" customFormat="1" ht="15">
      <c r="A46" s="1594" t="s">
        <v>973</v>
      </c>
      <c r="B46" s="1595" t="s">
        <v>702</v>
      </c>
      <c r="C46" s="1602" t="s">
        <v>1297</v>
      </c>
      <c r="D46" s="1549">
        <v>5.5599999999999997E-2</v>
      </c>
      <c r="E46" s="1549">
        <v>4.1300000000000003E-2</v>
      </c>
      <c r="F46" s="1549">
        <v>4.1300000000000003E-2</v>
      </c>
      <c r="G46" s="1549">
        <v>2.24E-2</v>
      </c>
      <c r="H46" s="1549">
        <v>2.24E-2</v>
      </c>
      <c r="I46" s="4171">
        <v>0</v>
      </c>
      <c r="J46" s="4171">
        <v>2.1999999999999999E-2</v>
      </c>
      <c r="K46" s="4171">
        <v>2.1999999999999999E-2</v>
      </c>
      <c r="L46" s="4171">
        <v>0.01</v>
      </c>
      <c r="M46" s="4171">
        <v>0.01</v>
      </c>
      <c r="N46" s="4171">
        <v>0.01</v>
      </c>
      <c r="O46" s="4171">
        <v>0.01</v>
      </c>
      <c r="P46" s="4171">
        <v>0.01</v>
      </c>
      <c r="Q46" s="4171">
        <v>0</v>
      </c>
      <c r="R46" s="4171">
        <v>0</v>
      </c>
      <c r="S46" s="4171">
        <v>0</v>
      </c>
      <c r="T46" s="4171">
        <v>0</v>
      </c>
      <c r="U46" s="4171">
        <v>0.01</v>
      </c>
      <c r="V46" s="4171">
        <v>0.01</v>
      </c>
      <c r="W46" s="1549"/>
      <c r="X46" s="2922"/>
      <c r="Y46" s="2922"/>
      <c r="Z46" s="2922"/>
    </row>
    <row r="47" spans="1:39" s="1565" customFormat="1">
      <c r="A47" s="1594"/>
      <c r="B47" s="1595"/>
      <c r="C47" s="1606" t="s">
        <v>403</v>
      </c>
      <c r="D47" s="1538"/>
      <c r="E47" s="1538"/>
      <c r="F47" s="1538"/>
      <c r="G47" s="1538"/>
      <c r="H47" s="1538"/>
      <c r="I47" s="1538"/>
      <c r="J47" s="1538"/>
      <c r="K47" s="1538"/>
      <c r="L47" s="1538"/>
      <c r="M47" s="1538"/>
      <c r="N47" s="1538"/>
      <c r="O47" s="1538"/>
      <c r="P47" s="1538"/>
      <c r="Q47" s="1538"/>
      <c r="R47" s="1538"/>
      <c r="S47" s="1538"/>
      <c r="T47" s="1538"/>
      <c r="U47" s="1538"/>
      <c r="V47" s="1538"/>
      <c r="W47" s="1538"/>
      <c r="X47" s="2920"/>
      <c r="Y47" s="2920"/>
      <c r="Z47" s="2920"/>
    </row>
    <row r="48" spans="1:39" s="1565" customFormat="1" ht="15">
      <c r="A48" s="1594" t="s">
        <v>412</v>
      </c>
      <c r="B48" s="1595"/>
      <c r="C48" s="1602" t="s">
        <v>410</v>
      </c>
      <c r="D48" s="1635">
        <f t="shared" ref="D48:H48" si="7">D74+(D51*D65+SUMPRODUCT(D52:D56,D66:D70)*D59)*D73/(D7*1000)</f>
        <v>9.4401678375055873</v>
      </c>
      <c r="E48" s="1635">
        <f t="shared" si="7"/>
        <v>9.1381611514016186</v>
      </c>
      <c r="F48" s="1635">
        <f t="shared" si="7"/>
        <v>8.4464392788426643</v>
      </c>
      <c r="G48" s="1635">
        <f t="shared" si="7"/>
        <v>13.039637814938477</v>
      </c>
      <c r="H48" s="1635">
        <f t="shared" si="7"/>
        <v>13.037435990304528</v>
      </c>
      <c r="I48" s="4185">
        <v>100.5</v>
      </c>
      <c r="J48" s="4185">
        <v>84.93</v>
      </c>
      <c r="K48" s="4185">
        <v>81.48</v>
      </c>
      <c r="L48" s="4186">
        <f>IF(StartYr&gt;2020,32.1, -0.000086864311*StartYr^3 + 0.538256898072*StartYr^2 - 1112.41154187985*StartYr + 766797.224106153-25)</f>
        <v>42.114937288220972</v>
      </c>
      <c r="M48" s="4186">
        <f>IF(StartYr&gt;2020,32.1, -0.000086864311*StartYr^3 + 0.538256898072*StartYr^2 - 1112.41154187985*StartYr + 766797.224106153-25)</f>
        <v>42.114937288220972</v>
      </c>
      <c r="N48" s="4186">
        <f>IF(StartYr&gt;2020,20.96,-0.0008503281*StartYr^3 + 5.1980707466*StartYr^2 - 10593.1510009525*StartYr + 7196751.31523416-20)</f>
        <v>39.40503191575408</v>
      </c>
      <c r="O48" s="4186">
        <f>IF(StartYr&gt;2020,33.11, -0.0000807982*StartYr^3 + 0.5006682652*StartYr^2 - 1034.7273928918*StartYr + 713248.705813719-20)</f>
        <v>42.661361298756674</v>
      </c>
      <c r="P48" s="4186">
        <f>IF(StartYr&gt;2020,33.11, -0.0000807982*StartYr^3 + 0.5006682652*StartYr^2 - 1034.7273928918*StartYr + 713248.705813719-20)</f>
        <v>42.661361298756674</v>
      </c>
      <c r="Q48" s="4186">
        <v>17</v>
      </c>
      <c r="R48" s="4186">
        <v>20</v>
      </c>
      <c r="S48" s="4186">
        <v>17</v>
      </c>
      <c r="T48" s="4186">
        <v>20</v>
      </c>
      <c r="U48" s="1285">
        <v>0</v>
      </c>
      <c r="V48" s="1285">
        <v>0</v>
      </c>
      <c r="W48" s="1538"/>
      <c r="X48" s="2920"/>
      <c r="Y48" s="2920"/>
      <c r="Z48" s="2920"/>
    </row>
    <row r="49" spans="1:26" s="1565" customFormat="1" ht="15">
      <c r="A49" s="1594" t="s">
        <v>413</v>
      </c>
      <c r="B49" s="1595"/>
      <c r="C49" s="1602" t="s">
        <v>411</v>
      </c>
      <c r="D49" s="4185">
        <v>0</v>
      </c>
      <c r="E49" s="4185">
        <v>0</v>
      </c>
      <c r="F49" s="4185">
        <v>0</v>
      </c>
      <c r="G49" s="4187">
        <v>0.17808202101724013</v>
      </c>
      <c r="H49" s="4187">
        <v>0.17808202101724013</v>
      </c>
      <c r="I49" s="4185">
        <v>5</v>
      </c>
      <c r="J49" s="1922">
        <v>0</v>
      </c>
      <c r="K49" s="1922">
        <v>0</v>
      </c>
      <c r="L49" s="4188">
        <v>0</v>
      </c>
      <c r="M49" s="4188">
        <v>0</v>
      </c>
      <c r="N49" s="4188">
        <v>0</v>
      </c>
      <c r="O49" s="4188">
        <v>0</v>
      </c>
      <c r="P49" s="4188">
        <v>0</v>
      </c>
      <c r="Q49" s="4188">
        <v>0</v>
      </c>
      <c r="R49" s="4188">
        <v>0</v>
      </c>
      <c r="S49" s="4188">
        <v>0</v>
      </c>
      <c r="T49" s="4188">
        <v>0</v>
      </c>
      <c r="U49" s="1285">
        <v>5</v>
      </c>
      <c r="V49" s="1285">
        <v>5</v>
      </c>
      <c r="W49" s="1665"/>
      <c r="X49" s="2920"/>
      <c r="Y49" s="2920"/>
      <c r="Z49" s="2920"/>
    </row>
    <row r="50" spans="1:26" s="1565" customFormat="1">
      <c r="A50" s="1535"/>
      <c r="B50" s="1536"/>
      <c r="C50" s="1608" t="s">
        <v>1337</v>
      </c>
      <c r="D50" s="1538"/>
      <c r="E50" s="1538"/>
      <c r="F50" s="1538"/>
      <c r="G50" s="1538"/>
      <c r="H50" s="1538"/>
      <c r="I50" s="1538"/>
      <c r="J50" s="1538"/>
      <c r="K50" s="1538"/>
      <c r="L50" s="1538"/>
      <c r="M50" s="1538"/>
      <c r="N50" s="1538"/>
      <c r="O50" s="1538"/>
      <c r="P50" s="1538"/>
      <c r="Q50" s="1538"/>
      <c r="R50" s="1538"/>
      <c r="S50" s="1538"/>
      <c r="T50" s="1538"/>
      <c r="U50" s="1538"/>
      <c r="V50" s="1538"/>
      <c r="W50" s="1538"/>
      <c r="X50" s="2920"/>
      <c r="Y50" s="2920"/>
      <c r="Z50" s="2920"/>
    </row>
    <row r="51" spans="1:26" s="1536" customFormat="1" ht="15">
      <c r="A51" s="922" t="s">
        <v>812</v>
      </c>
      <c r="B51" s="146" t="s">
        <v>703</v>
      </c>
      <c r="C51" s="2260" t="s">
        <v>1540</v>
      </c>
      <c r="D51" s="4185">
        <f>ROUND(0.118*(4.321*LN(D$7)-13.072),2)*0.333</f>
        <v>0.14985000000000001</v>
      </c>
      <c r="E51" s="4185">
        <f>ROUND(0.118*(4.321*LN(E$7)-13.072),2)*0.333</f>
        <v>0.26973000000000003</v>
      </c>
      <c r="F51" s="4185">
        <f>ROUND(0.118*(4.321*LN(F$7)-13.072),2)*0.333</f>
        <v>0.38628000000000001</v>
      </c>
      <c r="G51" s="4185">
        <f>ROUND(0.112*0.059*G$7,2)</f>
        <v>3.3</v>
      </c>
      <c r="H51" s="4185">
        <f>ROUND(0.112*0.059*H$7,2)</f>
        <v>3.63</v>
      </c>
      <c r="I51" s="1538"/>
      <c r="J51" s="1538"/>
      <c r="K51" s="1538"/>
      <c r="L51" s="1538"/>
      <c r="M51" s="1538"/>
      <c r="N51" s="1538"/>
      <c r="O51" s="1538"/>
      <c r="P51" s="1538"/>
      <c r="Q51" s="1538"/>
      <c r="R51" s="1538"/>
      <c r="S51" s="1538"/>
      <c r="T51" s="1538"/>
      <c r="U51" s="1538"/>
      <c r="V51" s="1538"/>
      <c r="W51" s="1538"/>
      <c r="X51" s="2920"/>
      <c r="Y51" s="2920"/>
      <c r="Z51" s="2920"/>
    </row>
    <row r="52" spans="1:26" s="1536" customFormat="1" ht="15">
      <c r="A52" s="922" t="s">
        <v>1536</v>
      </c>
      <c r="B52" s="146" t="s">
        <v>704</v>
      </c>
      <c r="C52" s="2260" t="s">
        <v>1541</v>
      </c>
      <c r="D52" s="4185">
        <f>ROUND(0.384*(4.321*LN(D$7)-13.072),2)*0.333</f>
        <v>0.48951</v>
      </c>
      <c r="E52" s="4185">
        <f>ROUND(0.384*(4.321*LN(E$7)-13.072),2)*0.333</f>
        <v>0.87246000000000012</v>
      </c>
      <c r="F52" s="4185">
        <f>ROUND(0.384*(4.321*LN(F$7)-13.072),2)*0.333</f>
        <v>1.2554100000000001</v>
      </c>
      <c r="G52" s="4185">
        <f>ROUND(0.506*0.059*G$7,2)</f>
        <v>14.93</v>
      </c>
      <c r="H52" s="4185">
        <f>ROUND(0.506*0.059*H$7,2)</f>
        <v>16.420000000000002</v>
      </c>
      <c r="I52" s="1538"/>
      <c r="J52" s="1538"/>
      <c r="K52" s="1538"/>
      <c r="L52" s="1538"/>
      <c r="M52" s="1538"/>
      <c r="N52" s="1538"/>
      <c r="O52" s="1538"/>
      <c r="P52" s="1538"/>
      <c r="Q52" s="1538"/>
      <c r="R52" s="1538"/>
      <c r="S52" s="1538"/>
      <c r="T52" s="1538"/>
      <c r="U52" s="1538"/>
      <c r="V52" s="1538"/>
      <c r="W52" s="1538"/>
      <c r="X52" s="2920"/>
      <c r="Y52" s="2920"/>
      <c r="Z52" s="2920"/>
    </row>
    <row r="53" spans="1:26" s="1536" customFormat="1" ht="15">
      <c r="A53" s="922" t="s">
        <v>1537</v>
      </c>
      <c r="B53" s="146" t="s">
        <v>705</v>
      </c>
      <c r="C53" s="2260" t="s">
        <v>1542</v>
      </c>
      <c r="D53" s="4185">
        <f>ROUND(0.207*(4.321*LN(D$7)-13.072),2)*0.333</f>
        <v>0.26307000000000003</v>
      </c>
      <c r="E53" s="4185">
        <f>ROUND(0.207*(4.321*LN(E$7)-13.072),2)*0.333</f>
        <v>0.46953</v>
      </c>
      <c r="F53" s="4185">
        <f>ROUND(0.207*(4.321*LN(F$7)-13.072),2)*0.333</f>
        <v>0.67598999999999998</v>
      </c>
      <c r="G53" s="4185">
        <f>ROUND(0.157*0.059*G$7,2)</f>
        <v>4.63</v>
      </c>
      <c r="H53" s="4185">
        <f>ROUND(0.157*0.059*H$7,2)</f>
        <v>5.09</v>
      </c>
      <c r="I53" s="1538"/>
      <c r="J53" s="1538"/>
      <c r="K53" s="1538"/>
      <c r="L53" s="1538"/>
      <c r="M53" s="1538"/>
      <c r="N53" s="1538"/>
      <c r="O53" s="1538"/>
      <c r="P53" s="1538"/>
      <c r="Q53" s="1538"/>
      <c r="R53" s="1538"/>
      <c r="S53" s="1538"/>
      <c r="T53" s="1538"/>
      <c r="U53" s="1538"/>
      <c r="V53" s="1538"/>
      <c r="W53" s="1538"/>
      <c r="X53" s="2920"/>
      <c r="Y53" s="2920"/>
      <c r="Z53" s="2920"/>
    </row>
    <row r="54" spans="1:26" s="1536" customFormat="1" ht="15">
      <c r="A54" s="922" t="s">
        <v>1545</v>
      </c>
      <c r="B54" s="146" t="s">
        <v>706</v>
      </c>
      <c r="C54" s="2260" t="s">
        <v>1539</v>
      </c>
      <c r="D54" s="4185">
        <f>ROUND(0.082*(4.321*LN(D$7)-13.072),2)*0.333</f>
        <v>0.10323</v>
      </c>
      <c r="E54" s="4185">
        <f>ROUND(0.082*(4.321*LN(E$7)-13.072),2)*0.333</f>
        <v>0.18648000000000003</v>
      </c>
      <c r="F54" s="4185">
        <f>ROUND(0.082*(4.321*LN(F$7)-13.072),2)*0.333</f>
        <v>0.26973000000000003</v>
      </c>
      <c r="G54" s="4185">
        <f>ROUND(0*0.059*G$7,2)</f>
        <v>0</v>
      </c>
      <c r="H54" s="4185">
        <f>ROUND(0*0.059*H$7,2)</f>
        <v>0</v>
      </c>
      <c r="I54" s="1538"/>
      <c r="J54" s="1538"/>
      <c r="K54" s="1538"/>
      <c r="L54" s="1538"/>
      <c r="M54" s="1538"/>
      <c r="N54" s="1538"/>
      <c r="O54" s="1538"/>
      <c r="P54" s="1538"/>
      <c r="Q54" s="1538"/>
      <c r="R54" s="1538"/>
      <c r="S54" s="1538"/>
      <c r="T54" s="1538"/>
      <c r="U54" s="1538"/>
      <c r="V54" s="1538"/>
      <c r="W54" s="1538"/>
      <c r="X54" s="2920"/>
      <c r="Y54" s="2920"/>
      <c r="Z54" s="2920"/>
    </row>
    <row r="55" spans="1:26" s="1536" customFormat="1" ht="15">
      <c r="A55" s="922" t="s">
        <v>813</v>
      </c>
      <c r="B55" s="146" t="s">
        <v>707</v>
      </c>
      <c r="C55" s="2260" t="s">
        <v>1543</v>
      </c>
      <c r="D55" s="4185">
        <f>ROUND(0.101*(4.321*LN(D$7)-13.072),2)*0.333</f>
        <v>0.12987000000000001</v>
      </c>
      <c r="E55" s="4185">
        <f>ROUND(0.101*(4.321*LN(E$7)-13.072),2)*0.333</f>
        <v>0.22977</v>
      </c>
      <c r="F55" s="4185">
        <f>ROUND(0.101*(4.321*LN(F$7)-13.072),2)*0.333</f>
        <v>0.32967000000000002</v>
      </c>
      <c r="G55" s="4185">
        <f>ROUND(0.118*0.059*G$7,2)</f>
        <v>3.48</v>
      </c>
      <c r="H55" s="4185">
        <f>ROUND(0.118*0.059*H$7,2)</f>
        <v>3.83</v>
      </c>
      <c r="I55" s="1538"/>
      <c r="J55" s="1538"/>
      <c r="K55" s="1538"/>
      <c r="L55" s="1538"/>
      <c r="M55" s="1538"/>
      <c r="N55" s="1538"/>
      <c r="O55" s="1538"/>
      <c r="P55" s="1538"/>
      <c r="Q55" s="1538"/>
      <c r="R55" s="1538"/>
      <c r="S55" s="1538"/>
      <c r="T55" s="1538"/>
      <c r="U55" s="1538"/>
      <c r="V55" s="1538"/>
      <c r="W55" s="1538"/>
      <c r="X55" s="2920"/>
      <c r="Y55" s="2920"/>
      <c r="Z55" s="2920"/>
    </row>
    <row r="56" spans="1:26" s="1536" customFormat="1" ht="15">
      <c r="A56" s="922" t="s">
        <v>1538</v>
      </c>
      <c r="B56" s="146"/>
      <c r="C56" s="2260" t="s">
        <v>1544</v>
      </c>
      <c r="D56" s="4185">
        <f>ROUND(0.109*(4.321*LN(D$7)-13.072),2)*0.333</f>
        <v>0.13986000000000001</v>
      </c>
      <c r="E56" s="4185">
        <f>ROUND(0.109*(4.321*LN(E$7)-13.072),2)*0.333</f>
        <v>0.24642</v>
      </c>
      <c r="F56" s="4185">
        <f>ROUND(0.109*(4.321*LN(F$7)-13.072),2)*0.333</f>
        <v>0.35631000000000002</v>
      </c>
      <c r="G56" s="4185">
        <f>ROUND(0.108*0.059*G$7,2)</f>
        <v>3.19</v>
      </c>
      <c r="H56" s="4185">
        <f>ROUND(0.108*0.059*H$7,2)</f>
        <v>3.5</v>
      </c>
      <c r="I56" s="1538"/>
      <c r="J56" s="1538"/>
      <c r="K56" s="1538"/>
      <c r="L56" s="1538"/>
      <c r="M56" s="1538"/>
      <c r="N56" s="1538"/>
      <c r="O56" s="1538"/>
      <c r="P56" s="1538"/>
      <c r="Q56" s="1538"/>
      <c r="R56" s="1538"/>
      <c r="S56" s="1538"/>
      <c r="T56" s="1538"/>
      <c r="U56" s="1538"/>
      <c r="V56" s="1538"/>
      <c r="W56" s="1538"/>
      <c r="X56" s="2920"/>
      <c r="Y56" s="2920"/>
      <c r="Z56" s="2920"/>
    </row>
    <row r="57" spans="1:26" s="1536" customFormat="1">
      <c r="A57" s="922"/>
      <c r="B57" s="146"/>
      <c r="C57" s="923" t="s">
        <v>1310</v>
      </c>
      <c r="D57" s="1924"/>
      <c r="E57" s="1538"/>
      <c r="F57" s="1538"/>
      <c r="G57" s="1538"/>
      <c r="H57" s="1538"/>
      <c r="I57" s="1538"/>
      <c r="J57" s="1538"/>
      <c r="K57" s="1538"/>
      <c r="L57" s="1538"/>
      <c r="M57" s="1538"/>
      <c r="N57" s="1538"/>
      <c r="O57" s="1538"/>
      <c r="P57" s="1538"/>
      <c r="Q57" s="1538"/>
      <c r="R57" s="1538"/>
      <c r="S57" s="1538"/>
      <c r="T57" s="1538"/>
      <c r="U57" s="1538"/>
      <c r="V57" s="1538"/>
      <c r="W57" s="1538"/>
      <c r="X57" s="2920"/>
      <c r="Y57" s="2920"/>
      <c r="Z57" s="2920"/>
    </row>
    <row r="58" spans="1:26" s="1538" customFormat="1">
      <c r="A58" s="924" t="s">
        <v>814</v>
      </c>
      <c r="B58" s="925" t="s">
        <v>708</v>
      </c>
      <c r="C58" s="2260" t="s">
        <v>1540</v>
      </c>
      <c r="X58" s="2920"/>
      <c r="Y58" s="2920"/>
      <c r="Z58" s="2920"/>
    </row>
    <row r="59" spans="1:26" s="1538" customFormat="1">
      <c r="A59" s="924" t="s">
        <v>1533</v>
      </c>
      <c r="B59" s="925" t="s">
        <v>709</v>
      </c>
      <c r="C59" s="2260" t="s">
        <v>1541</v>
      </c>
      <c r="D59" s="3293">
        <v>2080</v>
      </c>
      <c r="E59" s="3293">
        <v>2080</v>
      </c>
      <c r="F59" s="3293">
        <v>2080</v>
      </c>
      <c r="G59" s="3293">
        <v>2080</v>
      </c>
      <c r="H59" s="3293">
        <v>2080</v>
      </c>
      <c r="J59" s="1612"/>
      <c r="K59" s="1612"/>
      <c r="L59" s="1612"/>
      <c r="M59" s="1612"/>
      <c r="N59" s="1612"/>
      <c r="O59" s="1612"/>
      <c r="P59" s="1612"/>
      <c r="Q59" s="1612"/>
      <c r="R59" s="1612"/>
      <c r="S59" s="1612"/>
      <c r="T59" s="1612"/>
      <c r="X59" s="2920"/>
      <c r="Y59" s="2957"/>
      <c r="Z59" s="2957"/>
    </row>
    <row r="60" spans="1:26" s="1538" customFormat="1">
      <c r="A60" s="924" t="s">
        <v>1534</v>
      </c>
      <c r="B60" s="925" t="s">
        <v>710</v>
      </c>
      <c r="C60" s="2260" t="s">
        <v>1542</v>
      </c>
      <c r="D60" s="3293">
        <v>2080</v>
      </c>
      <c r="E60" s="3293">
        <v>2080</v>
      </c>
      <c r="F60" s="3293">
        <v>2080</v>
      </c>
      <c r="G60" s="3293">
        <v>2080</v>
      </c>
      <c r="H60" s="3293">
        <v>2080</v>
      </c>
      <c r="J60" s="1612"/>
      <c r="K60" s="1612"/>
      <c r="L60" s="1612"/>
      <c r="M60" s="1612"/>
      <c r="N60" s="1612"/>
      <c r="O60" s="1612"/>
      <c r="P60" s="1612"/>
      <c r="Q60" s="1612"/>
      <c r="R60" s="1612"/>
      <c r="S60" s="1612"/>
      <c r="T60" s="1612"/>
      <c r="X60" s="2920"/>
      <c r="Y60" s="2957"/>
      <c r="Z60" s="2957"/>
    </row>
    <row r="61" spans="1:26" s="1538" customFormat="1">
      <c r="A61" s="924" t="s">
        <v>1546</v>
      </c>
      <c r="B61" s="925" t="s">
        <v>711</v>
      </c>
      <c r="C61" s="2260" t="s">
        <v>1539</v>
      </c>
      <c r="D61" s="3293">
        <v>2080</v>
      </c>
      <c r="E61" s="3293">
        <v>2080</v>
      </c>
      <c r="F61" s="3293">
        <v>2080</v>
      </c>
      <c r="G61" s="3293">
        <v>2080</v>
      </c>
      <c r="H61" s="3293">
        <v>2080</v>
      </c>
      <c r="J61" s="1612"/>
      <c r="K61" s="1612"/>
      <c r="L61" s="1612"/>
      <c r="M61" s="1612"/>
      <c r="N61" s="1612"/>
      <c r="O61" s="1612"/>
      <c r="P61" s="1612"/>
      <c r="Q61" s="1612"/>
      <c r="R61" s="1612"/>
      <c r="S61" s="1612"/>
      <c r="T61" s="1612"/>
      <c r="X61" s="2920"/>
      <c r="Y61" s="2957"/>
      <c r="Z61" s="2957"/>
    </row>
    <row r="62" spans="1:26" s="1538" customFormat="1">
      <c r="A62" s="924" t="s">
        <v>815</v>
      </c>
      <c r="B62" s="925" t="s">
        <v>712</v>
      </c>
      <c r="C62" s="2260" t="s">
        <v>1543</v>
      </c>
      <c r="D62" s="3293">
        <v>2080</v>
      </c>
      <c r="E62" s="3293">
        <v>2080</v>
      </c>
      <c r="F62" s="3293">
        <v>2080</v>
      </c>
      <c r="G62" s="3293">
        <v>2080</v>
      </c>
      <c r="H62" s="3293">
        <v>2080</v>
      </c>
      <c r="J62" s="1612"/>
      <c r="K62" s="1612"/>
      <c r="L62" s="1612"/>
      <c r="M62" s="1612"/>
      <c r="N62" s="1612"/>
      <c r="O62" s="1612"/>
      <c r="P62" s="1612"/>
      <c r="Q62" s="1612"/>
      <c r="R62" s="1612"/>
      <c r="S62" s="1612"/>
      <c r="T62" s="1612"/>
      <c r="X62" s="2920"/>
      <c r="Y62" s="2957"/>
      <c r="Z62" s="2957"/>
    </row>
    <row r="63" spans="1:26" s="1538" customFormat="1">
      <c r="A63" s="924" t="s">
        <v>1535</v>
      </c>
      <c r="B63" s="925"/>
      <c r="C63" s="2260" t="s">
        <v>1544</v>
      </c>
      <c r="D63" s="3293">
        <v>2080</v>
      </c>
      <c r="E63" s="3293">
        <v>2080</v>
      </c>
      <c r="F63" s="3293">
        <v>2080</v>
      </c>
      <c r="G63" s="3293">
        <v>2080</v>
      </c>
      <c r="H63" s="3293">
        <v>2080</v>
      </c>
      <c r="J63" s="1612"/>
      <c r="K63" s="1612"/>
      <c r="L63" s="1612"/>
      <c r="M63" s="1612"/>
      <c r="N63" s="1612"/>
      <c r="O63" s="1612"/>
      <c r="P63" s="1612"/>
      <c r="Q63" s="1612"/>
      <c r="R63" s="1612"/>
      <c r="S63" s="1612"/>
      <c r="T63" s="1612"/>
      <c r="X63" s="2920"/>
      <c r="Y63" s="2957"/>
      <c r="Z63" s="2957"/>
    </row>
    <row r="64" spans="1:26" s="1538" customFormat="1">
      <c r="A64" s="1611"/>
      <c r="B64" s="1614"/>
      <c r="C64" s="1610" t="s">
        <v>424</v>
      </c>
      <c r="X64" s="2920"/>
      <c r="Y64" s="2920"/>
      <c r="Z64" s="2920"/>
    </row>
    <row r="65" spans="1:26" s="1538" customFormat="1" ht="15">
      <c r="A65" s="1611" t="s">
        <v>816</v>
      </c>
      <c r="B65" s="1615" t="s">
        <v>713</v>
      </c>
      <c r="C65" s="1609" t="s">
        <v>1303</v>
      </c>
      <c r="D65" s="4189">
        <v>118920</v>
      </c>
      <c r="E65" s="4189">
        <v>118920</v>
      </c>
      <c r="F65" s="4189">
        <v>118920</v>
      </c>
      <c r="G65" s="4189">
        <v>118920</v>
      </c>
      <c r="H65" s="4189">
        <v>118920</v>
      </c>
      <c r="I65" s="1617"/>
      <c r="J65" s="1616"/>
      <c r="K65" s="1616"/>
      <c r="L65" s="1616"/>
      <c r="M65" s="1616"/>
      <c r="N65" s="1616"/>
      <c r="O65" s="1616"/>
      <c r="P65" s="1616"/>
      <c r="Q65" s="1616"/>
      <c r="R65" s="1616"/>
      <c r="S65" s="1616"/>
      <c r="T65" s="1616"/>
      <c r="U65" s="1618"/>
      <c r="V65" s="1618"/>
      <c r="W65" s="1618"/>
      <c r="X65" s="2933"/>
      <c r="Y65" s="2958"/>
      <c r="Z65" s="2958"/>
    </row>
    <row r="66" spans="1:26" s="1538" customFormat="1" ht="15">
      <c r="A66" s="1611" t="s">
        <v>1530</v>
      </c>
      <c r="B66" s="1615" t="s">
        <v>714</v>
      </c>
      <c r="C66" s="2260" t="s">
        <v>1516</v>
      </c>
      <c r="D66" s="4190">
        <v>33.08</v>
      </c>
      <c r="E66" s="4190">
        <v>33.08</v>
      </c>
      <c r="F66" s="4190">
        <v>33.08</v>
      </c>
      <c r="G66" s="4190">
        <v>33.08</v>
      </c>
      <c r="H66" s="4190">
        <v>33.08</v>
      </c>
      <c r="I66" s="1617"/>
      <c r="J66" s="1622"/>
      <c r="K66" s="1622"/>
      <c r="L66" s="1622"/>
      <c r="M66" s="1622"/>
      <c r="N66" s="1622"/>
      <c r="O66" s="1622"/>
      <c r="P66" s="1622"/>
      <c r="Q66" s="1622"/>
      <c r="R66" s="1622"/>
      <c r="S66" s="1622"/>
      <c r="T66" s="1622"/>
      <c r="U66" s="1623"/>
      <c r="V66" s="1623"/>
      <c r="W66" s="1623"/>
      <c r="X66" s="2934"/>
      <c r="Y66" s="2959"/>
      <c r="Z66" s="2959"/>
    </row>
    <row r="67" spans="1:26" s="1538" customFormat="1" ht="15">
      <c r="A67" s="1611" t="s">
        <v>1529</v>
      </c>
      <c r="B67" s="1615" t="s">
        <v>715</v>
      </c>
      <c r="C67" s="2260" t="s">
        <v>1517</v>
      </c>
      <c r="D67" s="4190">
        <v>30.35</v>
      </c>
      <c r="E67" s="4190">
        <v>30.35</v>
      </c>
      <c r="F67" s="4190">
        <v>30.35</v>
      </c>
      <c r="G67" s="4190">
        <v>30.35</v>
      </c>
      <c r="H67" s="4190">
        <v>30.35</v>
      </c>
      <c r="I67" s="1617"/>
      <c r="J67" s="1622"/>
      <c r="K67" s="1622"/>
      <c r="L67" s="1622"/>
      <c r="M67" s="1622"/>
      <c r="N67" s="1622"/>
      <c r="O67" s="1622"/>
      <c r="P67" s="1622"/>
      <c r="Q67" s="1622"/>
      <c r="R67" s="1622"/>
      <c r="S67" s="1622"/>
      <c r="T67" s="1622"/>
      <c r="U67" s="1623"/>
      <c r="V67" s="1623"/>
      <c r="W67" s="1623"/>
      <c r="X67" s="2934"/>
      <c r="Y67" s="2959"/>
      <c r="Z67" s="2959"/>
    </row>
    <row r="68" spans="1:26" s="1538" customFormat="1" ht="15">
      <c r="A68" s="1611" t="s">
        <v>1531</v>
      </c>
      <c r="B68" s="1615" t="s">
        <v>716</v>
      </c>
      <c r="C68" s="2260" t="s">
        <v>1518</v>
      </c>
      <c r="D68" s="4190">
        <v>17.690000000000001</v>
      </c>
      <c r="E68" s="4190">
        <v>17.690000000000001</v>
      </c>
      <c r="F68" s="4190">
        <v>17.690000000000001</v>
      </c>
      <c r="G68" s="4190">
        <v>17.690000000000001</v>
      </c>
      <c r="H68" s="4190">
        <v>17.690000000000001</v>
      </c>
      <c r="I68" s="1617"/>
      <c r="J68" s="1622"/>
      <c r="K68" s="1622"/>
      <c r="L68" s="1622"/>
      <c r="M68" s="1622"/>
      <c r="N68" s="1622"/>
      <c r="O68" s="1622"/>
      <c r="P68" s="1622"/>
      <c r="Q68" s="1622"/>
      <c r="R68" s="1622"/>
      <c r="S68" s="1622"/>
      <c r="T68" s="1622"/>
      <c r="U68" s="1623"/>
      <c r="V68" s="1623"/>
      <c r="W68" s="1623"/>
      <c r="X68" s="2934"/>
      <c r="Y68" s="2959"/>
      <c r="Z68" s="2959"/>
    </row>
    <row r="69" spans="1:26" s="1538" customFormat="1" ht="15">
      <c r="A69" s="1611" t="s">
        <v>817</v>
      </c>
      <c r="B69" s="1615" t="s">
        <v>717</v>
      </c>
      <c r="C69" s="2260" t="s">
        <v>1519</v>
      </c>
      <c r="D69" s="4190">
        <v>21.36</v>
      </c>
      <c r="E69" s="4190">
        <v>21.36</v>
      </c>
      <c r="F69" s="4190">
        <v>21.36</v>
      </c>
      <c r="G69" s="4190">
        <v>21.36</v>
      </c>
      <c r="H69" s="4190">
        <v>21.36</v>
      </c>
      <c r="I69" s="1617"/>
      <c r="J69" s="1622"/>
      <c r="K69" s="1622"/>
      <c r="L69" s="1622"/>
      <c r="M69" s="1622"/>
      <c r="N69" s="1622"/>
      <c r="O69" s="1622"/>
      <c r="P69" s="1622"/>
      <c r="Q69" s="1622"/>
      <c r="R69" s="1622"/>
      <c r="S69" s="1622"/>
      <c r="T69" s="1622"/>
      <c r="U69" s="1623"/>
      <c r="V69" s="1623"/>
      <c r="W69" s="1623"/>
      <c r="X69" s="2934"/>
      <c r="Y69" s="2959"/>
      <c r="Z69" s="2959"/>
    </row>
    <row r="70" spans="1:26" s="1538" customFormat="1" ht="15">
      <c r="A70" s="1611" t="s">
        <v>1532</v>
      </c>
      <c r="B70" s="1615"/>
      <c r="C70" s="2260" t="s">
        <v>1520</v>
      </c>
      <c r="D70" s="4190">
        <v>23.19</v>
      </c>
      <c r="E70" s="4190">
        <v>23.19</v>
      </c>
      <c r="F70" s="4190">
        <v>23.19</v>
      </c>
      <c r="G70" s="4190">
        <v>23.19</v>
      </c>
      <c r="H70" s="4190">
        <v>23.19</v>
      </c>
      <c r="I70" s="1617"/>
      <c r="J70" s="1622"/>
      <c r="K70" s="1622"/>
      <c r="L70" s="1622"/>
      <c r="M70" s="1622"/>
      <c r="N70" s="1622"/>
      <c r="O70" s="1622"/>
      <c r="P70" s="1622"/>
      <c r="Q70" s="1622"/>
      <c r="R70" s="1622"/>
      <c r="S70" s="1622"/>
      <c r="T70" s="1622"/>
      <c r="U70" s="1623"/>
      <c r="V70" s="1623"/>
      <c r="W70" s="1623"/>
      <c r="X70" s="2934"/>
      <c r="Y70" s="2959"/>
      <c r="Z70" s="2959"/>
    </row>
    <row r="71" spans="1:26" s="1538" customFormat="1">
      <c r="A71" s="1611"/>
      <c r="B71" s="1614"/>
      <c r="C71" s="1626" t="s">
        <v>301</v>
      </c>
      <c r="X71" s="2920"/>
      <c r="Y71" s="2920"/>
      <c r="Z71" s="2920"/>
    </row>
    <row r="72" spans="1:26" s="1553" customFormat="1" ht="15">
      <c r="A72" s="1627" t="s">
        <v>819</v>
      </c>
      <c r="B72" s="1628" t="s">
        <v>718</v>
      </c>
      <c r="C72" s="1629" t="s">
        <v>1262</v>
      </c>
      <c r="D72" s="1549">
        <v>6.0000000000000001E-3</v>
      </c>
      <c r="E72" s="1549">
        <v>6.0000000000000001E-3</v>
      </c>
      <c r="F72" s="1549">
        <v>6.0000000000000001E-3</v>
      </c>
      <c r="G72" s="1549">
        <v>6.0000000000000001E-3</v>
      </c>
      <c r="H72" s="1549">
        <v>6.0000000000000001E-3</v>
      </c>
      <c r="I72" s="1549">
        <v>6.0000000000000001E-3</v>
      </c>
      <c r="J72" s="1549">
        <v>6.0000000000000001E-3</v>
      </c>
      <c r="K72" s="1549">
        <v>6.0000000000000001E-3</v>
      </c>
      <c r="L72" s="4171">
        <v>2.5000000000000001E-3</v>
      </c>
      <c r="M72" s="4171">
        <v>2.5000000000000001E-3</v>
      </c>
      <c r="N72" s="4171">
        <v>2.5000000000000001E-3</v>
      </c>
      <c r="O72" s="4171">
        <v>2.5000000000000001E-3</v>
      </c>
      <c r="P72" s="4171">
        <v>2.5000000000000001E-3</v>
      </c>
      <c r="Q72" s="4171">
        <v>2.5000000000000001E-3</v>
      </c>
      <c r="R72" s="4171">
        <v>2.5000000000000001E-3</v>
      </c>
      <c r="S72" s="4171">
        <v>2.5000000000000001E-3</v>
      </c>
      <c r="T72" s="4171">
        <v>2.5000000000000001E-3</v>
      </c>
      <c r="U72" s="1549">
        <v>6.0000000000000001E-3</v>
      </c>
      <c r="V72" s="1549">
        <v>6.0000000000000001E-3</v>
      </c>
      <c r="W72" s="1549"/>
      <c r="X72" s="2922"/>
      <c r="Y72" s="2922"/>
      <c r="Z72" s="2922"/>
    </row>
    <row r="73" spans="1:26" s="1538" customFormat="1">
      <c r="A73" s="1611" t="s">
        <v>820</v>
      </c>
      <c r="B73" s="1614" t="s">
        <v>720</v>
      </c>
      <c r="C73" s="1609" t="s">
        <v>1308</v>
      </c>
      <c r="D73" s="1630">
        <f>'Labor Table'!$B$15*'Labor Table'!$K$19</f>
        <v>1.6341451795044541</v>
      </c>
      <c r="E73" s="1630">
        <f>'Labor Table'!$B$15*'Labor Table'!$K$19</f>
        <v>1.6341451795044541</v>
      </c>
      <c r="F73" s="1630">
        <f>'Labor Table'!$B$15*'Labor Table'!$K$19</f>
        <v>1.6341451795044541</v>
      </c>
      <c r="G73" s="1630">
        <f>'Labor Table'!$B$15*'Labor Table'!$K$19</f>
        <v>1.6341451795044541</v>
      </c>
      <c r="H73" s="1630">
        <f>'Labor Table'!$B$15*'Labor Table'!$K$19</f>
        <v>1.6341451795044541</v>
      </c>
      <c r="J73" s="1630"/>
      <c r="K73" s="1630"/>
      <c r="L73" s="1630"/>
      <c r="M73" s="1630"/>
      <c r="N73" s="1630"/>
      <c r="O73" s="1630"/>
      <c r="P73" s="1630"/>
      <c r="Q73" s="1630"/>
      <c r="R73" s="1630"/>
      <c r="S73" s="1630"/>
      <c r="T73" s="1630"/>
      <c r="X73" s="2920"/>
      <c r="Y73" s="2936"/>
      <c r="Z73" s="2936"/>
    </row>
    <row r="74" spans="1:26" s="1635" customFormat="1" ht="15">
      <c r="A74" s="1632" t="s">
        <v>261</v>
      </c>
      <c r="B74" s="1633"/>
      <c r="C74" s="1634" t="s">
        <v>260</v>
      </c>
      <c r="D74" s="4191">
        <v>6.6754438136192675</v>
      </c>
      <c r="E74" s="4191">
        <v>6.6754438136192675</v>
      </c>
      <c r="F74" s="4191">
        <v>6.6754438136192675</v>
      </c>
      <c r="G74" s="4191">
        <v>6.4361202094917447</v>
      </c>
      <c r="H74" s="4191">
        <v>6.4361202094917447</v>
      </c>
      <c r="X74" s="2935"/>
      <c r="Y74" s="2935"/>
      <c r="Z74" s="2935"/>
    </row>
    <row r="75" spans="1:26" s="1536" customFormat="1" ht="15">
      <c r="A75" s="1535"/>
      <c r="C75" s="1608" t="s">
        <v>293</v>
      </c>
      <c r="D75" s="1285"/>
      <c r="E75" s="1285"/>
      <c r="F75" s="1285"/>
      <c r="G75" s="1285"/>
      <c r="H75" s="1285"/>
      <c r="I75" s="1538"/>
      <c r="J75" s="1538"/>
      <c r="K75" s="1538"/>
      <c r="L75" s="1538"/>
      <c r="M75" s="1538"/>
      <c r="N75" s="1538"/>
      <c r="O75" s="1538"/>
      <c r="P75" s="1538"/>
      <c r="Q75" s="1538"/>
      <c r="R75" s="1538"/>
      <c r="S75" s="1538"/>
      <c r="T75" s="1538"/>
      <c r="U75" s="1538"/>
      <c r="V75" s="1538"/>
      <c r="W75" s="1538"/>
      <c r="X75" s="2920"/>
      <c r="Y75" s="2920"/>
      <c r="Z75" s="2920"/>
    </row>
    <row r="76" spans="1:26" s="1536" customFormat="1" ht="15">
      <c r="A76" s="1594" t="s">
        <v>821</v>
      </c>
      <c r="B76" s="1637" t="s">
        <v>722</v>
      </c>
      <c r="C76" s="1605" t="s">
        <v>1040</v>
      </c>
      <c r="D76" s="4192">
        <v>8.6418792781580575E-5</v>
      </c>
      <c r="E76" s="4192">
        <v>8.6418792781580575E-5</v>
      </c>
      <c r="F76" s="4192">
        <v>8.6418792781580575E-5</v>
      </c>
      <c r="G76" s="4193">
        <v>6.7996576859049131E-4</v>
      </c>
      <c r="H76" s="4193">
        <v>6.7996576859049131E-4</v>
      </c>
      <c r="I76" s="1538"/>
      <c r="J76" s="1585"/>
      <c r="K76" s="1585"/>
      <c r="L76" s="1585"/>
      <c r="M76" s="1585"/>
      <c r="N76" s="1585"/>
      <c r="O76" s="1585"/>
      <c r="P76" s="1585"/>
      <c r="Q76" s="1585"/>
      <c r="R76" s="1585"/>
      <c r="S76" s="1585"/>
      <c r="T76" s="1585"/>
      <c r="U76" s="1630"/>
      <c r="V76" s="1630"/>
      <c r="W76" s="1630"/>
      <c r="X76" s="2936"/>
      <c r="Y76" s="2932"/>
      <c r="Z76" s="2932"/>
    </row>
    <row r="77" spans="1:26" s="1565" customFormat="1">
      <c r="A77" s="1638" t="s">
        <v>1042</v>
      </c>
      <c r="B77" s="1637"/>
      <c r="C77" s="1605" t="s">
        <v>1043</v>
      </c>
      <c r="D77" s="1538"/>
      <c r="E77" s="1538"/>
      <c r="F77" s="1538"/>
      <c r="G77" s="1538"/>
      <c r="H77" s="1538"/>
      <c r="I77" s="1538"/>
      <c r="J77" s="1538"/>
      <c r="K77" s="1538"/>
      <c r="L77" s="1538"/>
      <c r="M77" s="1538"/>
      <c r="N77" s="1538"/>
      <c r="O77" s="1538"/>
      <c r="P77" s="1538"/>
      <c r="Q77" s="1538"/>
      <c r="R77" s="1538"/>
      <c r="S77" s="1538"/>
      <c r="T77" s="1538"/>
      <c r="U77" s="1630"/>
      <c r="V77" s="1630"/>
      <c r="W77" s="1630"/>
      <c r="X77" s="2936"/>
      <c r="Y77" s="2920"/>
      <c r="Z77" s="2920"/>
    </row>
    <row r="78" spans="1:26" s="1565" customFormat="1">
      <c r="A78" s="2852"/>
      <c r="B78" s="2853"/>
      <c r="C78" s="2856" t="s">
        <v>1420</v>
      </c>
      <c r="D78" s="1538"/>
      <c r="E78" s="1538"/>
      <c r="F78" s="1538"/>
      <c r="G78" s="1538"/>
      <c r="H78" s="1538"/>
      <c r="I78" s="1538"/>
      <c r="J78" s="1538"/>
      <c r="K78" s="1538"/>
      <c r="L78" s="1538"/>
      <c r="M78" s="1538"/>
      <c r="N78" s="1538"/>
      <c r="O78" s="1538"/>
      <c r="P78" s="1538"/>
      <c r="Q78" s="1538"/>
      <c r="R78" s="1538"/>
      <c r="S78" s="1538"/>
      <c r="T78" s="1538"/>
      <c r="U78" s="1538"/>
      <c r="V78" s="1538"/>
      <c r="W78" s="1538"/>
      <c r="X78" s="2920"/>
      <c r="Y78" s="2920"/>
      <c r="Z78" s="2920"/>
    </row>
    <row r="79" spans="1:26" s="1565" customFormat="1">
      <c r="A79" s="2852" t="s">
        <v>1744</v>
      </c>
      <c r="B79" s="2853"/>
      <c r="C79" s="2854" t="s">
        <v>1745</v>
      </c>
      <c r="D79" s="2969">
        <f>Transmission!M41</f>
        <v>2.1761411094991761E-3</v>
      </c>
      <c r="E79" s="2969">
        <f>Transmission!N41</f>
        <v>3.2289228895001276E-3</v>
      </c>
      <c r="F79" s="2969">
        <f>Transmission!O41</f>
        <v>7.2480622706929093E-4</v>
      </c>
      <c r="G79" s="2969">
        <f>Transmission!P41</f>
        <v>3.0928090440411062E-4</v>
      </c>
      <c r="H79" s="2969">
        <f>Transmission!Q41</f>
        <v>3.0928090440411062E-4</v>
      </c>
      <c r="I79" s="2969">
        <f>Transmission!R41</f>
        <v>1.5701404240836235E-3</v>
      </c>
      <c r="J79" s="2969">
        <f>Transmission!S41</f>
        <v>3.140280848167247E-3</v>
      </c>
      <c r="K79" s="2969">
        <f>Transmission!T41</f>
        <v>3.140280848167247E-3</v>
      </c>
      <c r="L79" s="2969">
        <f>Transmission!U41</f>
        <v>7.2480622706929093E-4</v>
      </c>
      <c r="M79" s="2969">
        <f>Transmission!V41</f>
        <v>7.2480622706929093E-4</v>
      </c>
      <c r="N79" s="2969">
        <f>Transmission!W41</f>
        <v>3.2289228895001276E-3</v>
      </c>
      <c r="O79" s="2969">
        <f>Transmission!X41</f>
        <v>3.2289228895001276E-3</v>
      </c>
      <c r="P79" s="2969">
        <f>Transmission!Y41</f>
        <v>3.2289228895001276E-3</v>
      </c>
      <c r="Q79" s="2969">
        <f>Transmission!Z41</f>
        <v>3.2289228895001276E-3</v>
      </c>
      <c r="R79" s="2969">
        <f>Transmission!AA41</f>
        <v>3.2289228895001276E-3</v>
      </c>
      <c r="S79" s="2969">
        <f>Transmission!AB41</f>
        <v>4.5560328827255921E-3</v>
      </c>
      <c r="T79" s="2969">
        <f>Transmission!AC41</f>
        <v>4.5560328827255921E-3</v>
      </c>
      <c r="U79" s="2969">
        <f>Transmission!AD41</f>
        <v>3.2289228895001276E-3</v>
      </c>
      <c r="V79" s="2969">
        <f>Transmission!AE41</f>
        <v>3.2289228895001276E-3</v>
      </c>
      <c r="W79" s="1538"/>
      <c r="X79" s="2937"/>
      <c r="Y79" s="2937"/>
      <c r="Z79" s="2937"/>
    </row>
    <row r="80" spans="1:26" s="1566" customFormat="1">
      <c r="A80" s="2852"/>
      <c r="B80" s="2855"/>
      <c r="C80" s="2854"/>
      <c r="D80" s="1538"/>
      <c r="E80" s="1538"/>
      <c r="F80" s="1538"/>
      <c r="G80" s="1538"/>
      <c r="H80" s="1538"/>
      <c r="I80" s="2141"/>
      <c r="J80" s="2141"/>
      <c r="K80" s="2141"/>
      <c r="L80" s="2141"/>
      <c r="M80" s="2141"/>
      <c r="N80" s="2141"/>
      <c r="O80" s="2141"/>
      <c r="P80" s="2141"/>
      <c r="Q80" s="1553"/>
      <c r="R80" s="1553"/>
      <c r="S80" s="1553"/>
      <c r="T80" s="1553"/>
      <c r="U80" s="1553"/>
      <c r="V80" s="1553"/>
      <c r="W80" s="1538"/>
      <c r="X80" s="2938"/>
      <c r="Y80" s="2938"/>
      <c r="Z80" s="2938"/>
    </row>
    <row r="81" spans="1:28" s="1566" customFormat="1">
      <c r="A81" s="2852"/>
      <c r="B81" s="2855"/>
      <c r="C81" s="2854"/>
      <c r="D81" s="1635"/>
      <c r="E81" s="1635"/>
      <c r="F81" s="1635"/>
      <c r="G81" s="1635"/>
      <c r="H81" s="1635"/>
      <c r="I81" s="1635"/>
      <c r="J81" s="1635"/>
      <c r="K81" s="1635"/>
      <c r="L81" s="1635"/>
      <c r="M81" s="1635"/>
      <c r="N81" s="1635"/>
      <c r="O81" s="1635"/>
      <c r="P81" s="1635"/>
      <c r="Q81" s="2141"/>
      <c r="R81" s="2141"/>
      <c r="S81" s="2141"/>
      <c r="T81" s="2141"/>
      <c r="U81" s="2141"/>
      <c r="V81" s="2141"/>
      <c r="W81" s="1538"/>
      <c r="X81" s="2935"/>
      <c r="Y81" s="2935"/>
      <c r="Z81" s="2935"/>
    </row>
    <row r="82" spans="1:28" s="1566" customFormat="1">
      <c r="A82" s="2852"/>
      <c r="B82" s="2855"/>
      <c r="C82" s="2854"/>
      <c r="D82" s="1635"/>
      <c r="E82" s="1635"/>
      <c r="F82" s="1635"/>
      <c r="G82" s="1635"/>
      <c r="H82" s="1635"/>
      <c r="I82" s="1635"/>
      <c r="J82" s="1635"/>
      <c r="K82" s="1635"/>
      <c r="L82" s="1635"/>
      <c r="M82" s="1635"/>
      <c r="N82" s="1635"/>
      <c r="O82" s="1635"/>
      <c r="P82" s="1635"/>
      <c r="Q82" s="1635"/>
      <c r="R82" s="1635"/>
      <c r="S82" s="1635"/>
      <c r="T82" s="1635"/>
      <c r="U82" s="1635"/>
      <c r="V82" s="1635"/>
      <c r="W82" s="1538"/>
      <c r="X82" s="2935"/>
      <c r="Y82" s="2935"/>
      <c r="Z82" s="2935"/>
    </row>
    <row r="83" spans="1:28" s="1565" customFormat="1">
      <c r="A83" s="2852"/>
      <c r="B83" s="2855"/>
      <c r="C83" s="2854"/>
      <c r="D83" s="1538"/>
      <c r="E83" s="1538"/>
      <c r="F83" s="1538"/>
      <c r="G83" s="1538"/>
      <c r="H83" s="1538"/>
      <c r="I83" s="1538"/>
      <c r="J83" s="1538"/>
      <c r="K83" s="1538"/>
      <c r="L83" s="1538"/>
      <c r="M83" s="1538"/>
      <c r="N83" s="1538"/>
      <c r="O83" s="1538"/>
      <c r="P83" s="1538"/>
      <c r="Q83" s="1538"/>
      <c r="R83" s="1538"/>
      <c r="S83" s="1538"/>
      <c r="T83" s="1538"/>
      <c r="U83" s="1538"/>
      <c r="V83" s="1538"/>
      <c r="W83" s="1538"/>
      <c r="X83" s="2920"/>
      <c r="Y83" s="2920"/>
      <c r="Z83" s="2920"/>
      <c r="AB83" s="1566"/>
    </row>
    <row r="84" spans="1:28" s="1565" customFormat="1">
      <c r="A84" s="1535"/>
      <c r="B84" s="1536"/>
      <c r="C84" s="1560" t="s">
        <v>298</v>
      </c>
      <c r="D84" s="3832">
        <v>621.84635978620076</v>
      </c>
      <c r="E84" s="3832">
        <v>664.26201359381605</v>
      </c>
      <c r="F84" s="3832">
        <v>429.753883470152</v>
      </c>
      <c r="G84" s="3832">
        <v>699.16060447618997</v>
      </c>
      <c r="H84" s="4194">
        <v>671.58940402164444</v>
      </c>
      <c r="I84" s="3832">
        <v>3048.4875000000002</v>
      </c>
      <c r="J84" s="3832">
        <v>4015.4791666666665</v>
      </c>
      <c r="K84" s="3832">
        <v>3401.4791666666665</v>
      </c>
      <c r="L84" s="3832">
        <v>2852.0010988265276</v>
      </c>
      <c r="M84" s="3832">
        <v>4810.5419456511736</v>
      </c>
      <c r="N84" s="3832">
        <v>3379.2478881180286</v>
      </c>
      <c r="O84" s="3832">
        <v>4809.7374722026289</v>
      </c>
      <c r="P84" s="3832">
        <v>5681.643663631372</v>
      </c>
      <c r="Q84" s="3832"/>
      <c r="R84" s="3832"/>
      <c r="S84" s="3832"/>
      <c r="T84" s="3832"/>
      <c r="U84" s="4118">
        <v>1.1073383707442015</v>
      </c>
      <c r="V84" s="4118">
        <v>1.1073383707442015</v>
      </c>
      <c r="W84" s="1538"/>
      <c r="X84" s="2939"/>
      <c r="Y84" s="2920"/>
      <c r="Z84" s="2920"/>
      <c r="AB84" s="1566"/>
    </row>
    <row r="85" spans="1:28" s="1565" customFormat="1" ht="15.75">
      <c r="A85" s="1569"/>
      <c r="B85" s="1570"/>
      <c r="C85" s="1547" t="s">
        <v>1662</v>
      </c>
      <c r="D85" s="4195">
        <f>716.548263593816-Transmission!M46</f>
        <v>621.84635978620076</v>
      </c>
      <c r="E85" s="4195">
        <f>716.548263593816-Transmission!N46</f>
        <v>664.26201359381605</v>
      </c>
      <c r="F85" s="4195">
        <f>526.601383470152-Transmission!O46</f>
        <v>429.753883470152</v>
      </c>
      <c r="G85" s="4195">
        <f>1046.30615447619-0.6168131*G7-Transmission!P46</f>
        <v>699.16060447618997</v>
      </c>
      <c r="H85" s="4195">
        <f>1046.30615447619-0.6168131*H7-Transmission!Q46</f>
        <v>671.58940402164444</v>
      </c>
      <c r="I85" s="4195">
        <f>3143-Transmission!R46</f>
        <v>3048.4875000000002</v>
      </c>
      <c r="J85" s="4195">
        <f>4173-Transmission!S46</f>
        <v>4015.4791666666665</v>
      </c>
      <c r="K85" s="4195">
        <f>3559-Transmission!T46</f>
        <v>3401.4791666666665</v>
      </c>
      <c r="L85" s="4195">
        <f>(IF(StartYr=2011,3094,0.009903246*StartYr^3 - 58.2162024329*StartYr^2 + 113869.45026277*StartYr - 74095398.6064107))-Transmission!U46</f>
        <v>2774.5230988265275</v>
      </c>
      <c r="M85" s="4195">
        <f>IF(StartYr=2011,5220,0.0167050068*StartYr^3 - 98.2003334533*StartYr^2 + 192077.420351056*StartYr- 124985700.6542)-Transmission!V46</f>
        <v>4733.0639456511735</v>
      </c>
      <c r="N85" s="4195">
        <f>IF(StartYr=2011,3667,0.0117357817*StartYr^3 - 68.9887585055*StartYr^2 + 134940.303163573*StartYr - 87806303.8672671)-Transmission!W46</f>
        <v>3326.9616381180285</v>
      </c>
      <c r="O85" s="4195">
        <f>IF(StartYr=2011,5220,3.041764901*StartYr^2 - 12450.3327928589*StartYr + 12741584.2123769)-Transmission!X46</f>
        <v>4757.4512222026287</v>
      </c>
      <c r="P85" s="4195">
        <f>(IF(StartYr=2011,6731, 0.1017867466*StartYr^4 - 822.1833889837*StartYr^3 + 2490429.85745138*StartYr^2 - 3352697200.51756*StartYr + 1692554155514.87)/1.0927)-Transmission!Y46</f>
        <v>5629.3574136313719</v>
      </c>
      <c r="Q85" s="4195">
        <f>900+(2350*EXP(-0.13*(StartYr-2011)))</f>
        <v>2711.9712266383804</v>
      </c>
      <c r="R85" s="4195">
        <f>900+(2500*EXP(-0.05*(StartYr-2011)))</f>
        <v>3162.0935450898987</v>
      </c>
      <c r="S85" s="4195">
        <f>900+(2350*EXP(-0.13*(StartYr-2011)))</f>
        <v>2711.9712266383804</v>
      </c>
      <c r="T85" s="4195">
        <f>900+(2500*EXP(-0.05*(StartYr-2011)))</f>
        <v>3162.0935450898987</v>
      </c>
      <c r="U85" s="4195">
        <f>700+(800*EXP(-0.09*(StartYr-2011)))</f>
        <v>1368.2161691290175</v>
      </c>
      <c r="V85" s="4195">
        <f>650+(700*EXP(-0.09*(StartYr-2011)))</f>
        <v>1234.6891479878905</v>
      </c>
      <c r="W85" s="4196"/>
      <c r="X85" s="2956"/>
      <c r="Y85" s="2956"/>
      <c r="Z85" s="2956"/>
      <c r="AB85" s="1566"/>
    </row>
    <row r="86" spans="1:28" s="1647" customFormat="1">
      <c r="A86" s="1643" t="s">
        <v>865</v>
      </c>
      <c r="B86" s="1644" t="s">
        <v>724</v>
      </c>
      <c r="C86" s="1645" t="s">
        <v>660</v>
      </c>
      <c r="D86" s="1646">
        <f t="shared" ref="D86:U86" si="8">D85*D7*1000</f>
        <v>31030133.353331417</v>
      </c>
      <c r="E86" s="1646">
        <f t="shared" si="8"/>
        <v>66426201.359381609</v>
      </c>
      <c r="F86" s="1646">
        <f t="shared" si="8"/>
        <v>85950776.694030404</v>
      </c>
      <c r="G86" s="1646">
        <f t="shared" si="8"/>
        <v>349580302.23809499</v>
      </c>
      <c r="H86" s="1646">
        <f t="shared" si="8"/>
        <v>369374172.21190441</v>
      </c>
      <c r="I86" s="1646">
        <f t="shared" si="8"/>
        <v>152424375</v>
      </c>
      <c r="J86" s="1646">
        <f t="shared" si="8"/>
        <v>120464375</v>
      </c>
      <c r="K86" s="1646">
        <f t="shared" si="8"/>
        <v>102044375</v>
      </c>
      <c r="L86" s="1646">
        <f t="shared" si="8"/>
        <v>693630774.7066319</v>
      </c>
      <c r="M86" s="1646">
        <f t="shared" si="8"/>
        <v>1183265986.4127934</v>
      </c>
      <c r="N86" s="1646">
        <f t="shared" si="8"/>
        <v>332696163.81180286</v>
      </c>
      <c r="O86" s="1646">
        <f t="shared" si="8"/>
        <v>475745122.22026289</v>
      </c>
      <c r="P86" s="1646">
        <f t="shared" si="8"/>
        <v>562935741.36313713</v>
      </c>
      <c r="Q86" s="1646">
        <f t="shared" si="8"/>
        <v>271197122.66383803</v>
      </c>
      <c r="R86" s="1646">
        <f t="shared" si="8"/>
        <v>316209354.50898987</v>
      </c>
      <c r="S86" s="1646">
        <f t="shared" si="8"/>
        <v>54239424.532767601</v>
      </c>
      <c r="T86" s="1646">
        <f t="shared" si="8"/>
        <v>63241870.901797973</v>
      </c>
      <c r="U86" s="1646">
        <f t="shared" si="8"/>
        <v>136821616.91290176</v>
      </c>
      <c r="V86" s="1646">
        <f>V85*V7*1000</f>
        <v>123468914.79878904</v>
      </c>
      <c r="W86" s="4113"/>
      <c r="X86" s="2940"/>
      <c r="Y86" s="2940"/>
      <c r="Z86" s="2940"/>
      <c r="AB86" s="1646"/>
    </row>
    <row r="87" spans="1:28" s="1647" customFormat="1" ht="14.25">
      <c r="A87" s="1643" t="s">
        <v>866</v>
      </c>
      <c r="B87" s="1644" t="s">
        <v>725</v>
      </c>
      <c r="C87" s="1648" t="s">
        <v>661</v>
      </c>
      <c r="D87" s="1646"/>
      <c r="E87" s="1646"/>
      <c r="F87" s="1646"/>
      <c r="G87" s="1646"/>
      <c r="H87" s="1646"/>
      <c r="I87" s="1711"/>
      <c r="J87" s="1711"/>
      <c r="K87" s="1711"/>
      <c r="L87" s="1646"/>
      <c r="M87" s="1646"/>
      <c r="N87" s="1646"/>
      <c r="O87" s="3017"/>
      <c r="P87" s="3017"/>
      <c r="Q87" s="1646"/>
      <c r="R87" s="1646"/>
      <c r="S87" s="1646"/>
      <c r="T87" s="1646"/>
      <c r="U87" s="1646"/>
      <c r="V87" s="1646"/>
      <c r="W87" s="3130"/>
      <c r="X87" s="2940"/>
      <c r="Y87" s="2940"/>
      <c r="Z87" s="2940"/>
      <c r="AB87" s="1646"/>
    </row>
    <row r="88" spans="1:28" s="1649" customFormat="1">
      <c r="A88" s="1643" t="s">
        <v>867</v>
      </c>
      <c r="B88" s="1644" t="s">
        <v>726</v>
      </c>
      <c r="C88" s="1648" t="s">
        <v>662</v>
      </c>
      <c r="D88" s="1646"/>
      <c r="E88" s="1646"/>
      <c r="F88" s="1646"/>
      <c r="G88" s="1646"/>
      <c r="H88" s="1646"/>
      <c r="I88" s="4114"/>
      <c r="J88" s="1711"/>
      <c r="K88" s="1711"/>
      <c r="L88" s="1646"/>
      <c r="M88" s="1646"/>
      <c r="N88" s="1646"/>
      <c r="O88" s="1646"/>
      <c r="P88" s="1646"/>
      <c r="Q88" s="1646"/>
      <c r="R88" s="1646"/>
      <c r="S88" s="1646"/>
      <c r="T88" s="1646"/>
      <c r="U88" s="1646"/>
      <c r="V88" s="4112"/>
      <c r="W88" s="1646"/>
      <c r="X88" s="4259"/>
      <c r="Y88" s="2940"/>
      <c r="Z88" s="2940"/>
    </row>
    <row r="89" spans="1:28" s="1649" customFormat="1">
      <c r="A89" s="1643" t="s">
        <v>868</v>
      </c>
      <c r="B89" s="1644" t="s">
        <v>727</v>
      </c>
      <c r="C89" s="1648" t="s">
        <v>663</v>
      </c>
      <c r="D89" s="1646"/>
      <c r="E89" s="1646"/>
      <c r="F89" s="1646"/>
      <c r="G89" s="1646"/>
      <c r="H89" s="1646"/>
      <c r="I89" s="4114"/>
      <c r="J89" s="1646"/>
      <c r="K89" s="1646"/>
      <c r="L89" s="1646"/>
      <c r="M89" s="1646"/>
      <c r="N89" s="1646"/>
      <c r="O89" s="1646"/>
      <c r="P89" s="1646"/>
      <c r="Q89" s="1646"/>
      <c r="R89" s="1646"/>
      <c r="S89" s="1646"/>
      <c r="T89" s="1646"/>
      <c r="U89" s="1646"/>
      <c r="V89" s="1646"/>
      <c r="W89" s="1646"/>
      <c r="X89" s="2940"/>
      <c r="Y89" s="2940"/>
      <c r="Z89" s="2940"/>
    </row>
    <row r="90" spans="1:28" s="1649" customFormat="1">
      <c r="A90" s="1643" t="s">
        <v>869</v>
      </c>
      <c r="B90" s="1644" t="s">
        <v>728</v>
      </c>
      <c r="C90" s="1648" t="s">
        <v>664</v>
      </c>
      <c r="D90" s="1646"/>
      <c r="E90" s="1646"/>
      <c r="F90" s="1646"/>
      <c r="G90" s="1646"/>
      <c r="H90" s="1646"/>
      <c r="I90" s="4114"/>
      <c r="J90" s="1646"/>
      <c r="K90" s="1646"/>
      <c r="L90" s="1646"/>
      <c r="M90" s="1646"/>
      <c r="N90" s="1646"/>
      <c r="O90" s="4197"/>
      <c r="P90" s="4197"/>
      <c r="Q90" s="1646"/>
      <c r="R90" s="1646"/>
      <c r="S90" s="1646"/>
      <c r="T90" s="1646"/>
      <c r="U90" s="1646"/>
      <c r="V90" s="1646"/>
      <c r="W90" s="1646"/>
      <c r="X90" s="2940"/>
      <c r="Y90" s="2940"/>
      <c r="Z90" s="2940"/>
    </row>
    <row r="91" spans="1:28" s="1649" customFormat="1">
      <c r="A91" s="1643" t="s">
        <v>870</v>
      </c>
      <c r="B91" s="1644" t="s">
        <v>729</v>
      </c>
      <c r="C91" s="1648" t="s">
        <v>665</v>
      </c>
      <c r="D91" s="1646"/>
      <c r="E91" s="1646"/>
      <c r="F91" s="1646"/>
      <c r="G91" s="1646"/>
      <c r="H91" s="1646"/>
      <c r="I91" s="1646"/>
      <c r="J91" s="1646"/>
      <c r="K91" s="1646"/>
      <c r="L91" s="1646"/>
      <c r="M91" s="4108"/>
      <c r="N91" s="1646"/>
      <c r="O91" s="4108"/>
      <c r="P91" s="4108"/>
      <c r="Q91" s="1711"/>
      <c r="R91" s="1711"/>
      <c r="S91" s="1711"/>
      <c r="T91" s="1711"/>
      <c r="U91" s="1711"/>
      <c r="V91" s="1711"/>
      <c r="W91" s="1711"/>
      <c r="X91" s="2919"/>
      <c r="Y91" s="2940"/>
      <c r="Z91" s="4241"/>
    </row>
    <row r="92" spans="1:28" s="1649" customFormat="1">
      <c r="A92" s="1643" t="s">
        <v>871</v>
      </c>
      <c r="B92" s="1644" t="s">
        <v>730</v>
      </c>
      <c r="C92" s="1648" t="s">
        <v>666</v>
      </c>
      <c r="D92" s="1646"/>
      <c r="E92" s="1646"/>
      <c r="F92" s="1646"/>
      <c r="G92" s="1646"/>
      <c r="H92" s="1646"/>
      <c r="I92" s="1646"/>
      <c r="J92" s="1646"/>
      <c r="K92" s="1646"/>
      <c r="L92" s="1646"/>
      <c r="M92" s="1646"/>
      <c r="N92" s="1646"/>
      <c r="O92" s="1646"/>
      <c r="P92" s="1646"/>
      <c r="Q92" s="1646"/>
      <c r="R92" s="1646"/>
      <c r="S92" s="1646"/>
      <c r="T92" s="1646"/>
      <c r="U92" s="1646"/>
      <c r="V92" s="1646"/>
      <c r="W92" s="1646"/>
      <c r="X92" s="2940"/>
      <c r="Y92" s="2940"/>
      <c r="Z92" s="2940"/>
    </row>
    <row r="93" spans="1:28" s="1649" customFormat="1">
      <c r="A93" s="1651" t="s">
        <v>873</v>
      </c>
      <c r="B93" s="1644" t="s">
        <v>731</v>
      </c>
      <c r="C93" s="1648" t="s">
        <v>667</v>
      </c>
      <c r="D93" s="1646"/>
      <c r="E93" s="1646"/>
      <c r="F93" s="1646"/>
      <c r="G93" s="1646"/>
      <c r="H93" s="1646"/>
      <c r="I93" s="1646"/>
      <c r="J93" s="1646"/>
      <c r="K93" s="1646"/>
      <c r="L93" s="1646"/>
      <c r="M93" s="1646"/>
      <c r="N93" s="1646"/>
      <c r="O93" s="1646"/>
      <c r="P93" s="1646"/>
      <c r="Q93" s="1646"/>
      <c r="R93" s="1646"/>
      <c r="S93" s="1646"/>
      <c r="T93" s="1646"/>
      <c r="U93" s="1646"/>
      <c r="V93" s="1646"/>
      <c r="W93" s="1646"/>
      <c r="X93" s="2940"/>
      <c r="Y93" s="2940"/>
      <c r="Z93" s="2940"/>
    </row>
    <row r="94" spans="1:28" s="1649" customFormat="1">
      <c r="A94" s="1643" t="s">
        <v>874</v>
      </c>
      <c r="B94" s="1644" t="s">
        <v>732</v>
      </c>
      <c r="C94" s="1648" t="s">
        <v>668</v>
      </c>
      <c r="D94" s="1646"/>
      <c r="E94" s="1646"/>
      <c r="F94" s="1646"/>
      <c r="G94" s="1646"/>
      <c r="H94" s="1646"/>
      <c r="I94" s="1646"/>
      <c r="J94" s="1646"/>
      <c r="K94" s="1646"/>
      <c r="L94" s="1646"/>
      <c r="M94" s="1646"/>
      <c r="N94" s="1646"/>
      <c r="O94" s="1646"/>
      <c r="P94" s="1646"/>
      <c r="Q94" s="1646"/>
      <c r="R94" s="1646"/>
      <c r="S94" s="1646"/>
      <c r="T94" s="1646"/>
      <c r="U94" s="1646"/>
      <c r="V94" s="1646"/>
      <c r="W94" s="1646"/>
      <c r="X94" s="2940"/>
      <c r="Y94" s="2940"/>
      <c r="Z94" s="2940"/>
    </row>
    <row r="95" spans="1:28" s="1565" customFormat="1">
      <c r="A95" s="1569" t="s">
        <v>875</v>
      </c>
      <c r="B95" s="1570" t="s">
        <v>733</v>
      </c>
      <c r="C95" s="1652" t="s">
        <v>669</v>
      </c>
      <c r="D95" s="1538" t="s">
        <v>652</v>
      </c>
      <c r="E95" s="1538" t="s">
        <v>652</v>
      </c>
      <c r="F95" s="1538" t="s">
        <v>652</v>
      </c>
      <c r="G95" s="1538" t="s">
        <v>652</v>
      </c>
      <c r="H95" s="1538" t="s">
        <v>652</v>
      </c>
      <c r="I95" s="1538" t="s">
        <v>652</v>
      </c>
      <c r="J95" s="1538" t="s">
        <v>652</v>
      </c>
      <c r="K95" s="1538" t="s">
        <v>652</v>
      </c>
      <c r="L95" s="1538" t="s">
        <v>652</v>
      </c>
      <c r="M95" s="1538" t="s">
        <v>652</v>
      </c>
      <c r="N95" s="1538" t="s">
        <v>652</v>
      </c>
      <c r="O95" s="1538" t="s">
        <v>652</v>
      </c>
      <c r="P95" s="1538" t="s">
        <v>652</v>
      </c>
      <c r="Q95" s="1538" t="s">
        <v>652</v>
      </c>
      <c r="R95" s="1538" t="s">
        <v>652</v>
      </c>
      <c r="S95" s="1538" t="s">
        <v>652</v>
      </c>
      <c r="T95" s="1538" t="s">
        <v>652</v>
      </c>
      <c r="U95" s="1538" t="s">
        <v>652</v>
      </c>
      <c r="V95" s="1538" t="s">
        <v>652</v>
      </c>
      <c r="W95" s="1538"/>
      <c r="X95" s="2920"/>
      <c r="Y95" s="2920"/>
      <c r="Z95" s="2920"/>
    </row>
    <row r="96" spans="1:28" s="1565" customFormat="1">
      <c r="A96" s="1569" t="s">
        <v>876</v>
      </c>
      <c r="B96" s="1570" t="s">
        <v>734</v>
      </c>
      <c r="C96" s="1652" t="s">
        <v>670</v>
      </c>
      <c r="D96" s="1538"/>
      <c r="E96" s="1538"/>
      <c r="F96" s="1538"/>
      <c r="G96" s="1538"/>
      <c r="H96" s="1538"/>
      <c r="I96" s="1538"/>
      <c r="J96" s="1653"/>
      <c r="K96" s="1653"/>
      <c r="L96" s="1654"/>
      <c r="M96" s="1654"/>
      <c r="N96" s="1654"/>
      <c r="O96" s="1654"/>
      <c r="P96" s="1654"/>
      <c r="Q96" s="1653"/>
      <c r="R96" s="1653"/>
      <c r="S96" s="1653"/>
      <c r="T96" s="1653"/>
      <c r="U96" s="1653"/>
      <c r="V96" s="1653"/>
      <c r="W96" s="1653"/>
      <c r="X96" s="2941"/>
      <c r="Y96" s="2961"/>
      <c r="Z96" s="2961"/>
    </row>
    <row r="97" spans="1:29" s="1565" customFormat="1">
      <c r="A97" s="1569" t="s">
        <v>877</v>
      </c>
      <c r="B97" s="1570" t="s">
        <v>735</v>
      </c>
      <c r="C97" s="1652" t="s">
        <v>671</v>
      </c>
      <c r="D97" s="1538"/>
      <c r="E97" s="1538"/>
      <c r="F97" s="1538"/>
      <c r="G97" s="1538"/>
      <c r="H97" s="1538"/>
      <c r="I97" s="1538"/>
      <c r="J97" s="1538"/>
      <c r="K97" s="1538"/>
      <c r="L97" s="1654"/>
      <c r="M97" s="1654"/>
      <c r="N97" s="1654"/>
      <c r="O97" s="1654"/>
      <c r="P97" s="1654"/>
      <c r="Q97" s="1653"/>
      <c r="R97" s="1653"/>
      <c r="S97" s="1653"/>
      <c r="T97" s="1653"/>
      <c r="U97" s="1538"/>
      <c r="V97" s="1538"/>
      <c r="W97" s="1538"/>
      <c r="X97" s="2920"/>
      <c r="Y97" s="2961"/>
      <c r="Z97" s="2961"/>
    </row>
    <row r="98" spans="1:29" s="1565" customFormat="1">
      <c r="A98" s="1569" t="s">
        <v>878</v>
      </c>
      <c r="B98" s="1570" t="s">
        <v>736</v>
      </c>
      <c r="C98" s="1652" t="s">
        <v>672</v>
      </c>
      <c r="D98" s="1538"/>
      <c r="E98" s="1538"/>
      <c r="F98" s="1538"/>
      <c r="G98" s="1538"/>
      <c r="H98" s="1538"/>
      <c r="I98" s="1538"/>
      <c r="J98" s="1538"/>
      <c r="K98" s="1538"/>
      <c r="L98" s="1654"/>
      <c r="M98" s="1654"/>
      <c r="N98" s="1654"/>
      <c r="O98" s="1654"/>
      <c r="P98" s="1654"/>
      <c r="Q98" s="1653"/>
      <c r="R98" s="1653"/>
      <c r="S98" s="1653"/>
      <c r="T98" s="1653"/>
      <c r="U98" s="1538"/>
      <c r="V98" s="1538"/>
      <c r="W98" s="1538"/>
      <c r="X98" s="2920"/>
      <c r="Y98" s="2961"/>
      <c r="Z98" s="2961"/>
    </row>
    <row r="99" spans="1:29" s="1565" customFormat="1">
      <c r="A99" s="1569" t="s">
        <v>879</v>
      </c>
      <c r="B99" s="1570" t="s">
        <v>737</v>
      </c>
      <c r="C99" s="1652" t="s">
        <v>673</v>
      </c>
      <c r="D99" s="1538"/>
      <c r="E99" s="1538"/>
      <c r="F99" s="1538"/>
      <c r="G99" s="1538"/>
      <c r="H99" s="1538"/>
      <c r="I99" s="1538"/>
      <c r="J99" s="1538"/>
      <c r="K99" s="1538"/>
      <c r="L99" s="1654"/>
      <c r="M99" s="1654"/>
      <c r="N99" s="1654"/>
      <c r="O99" s="1654"/>
      <c r="P99" s="1654"/>
      <c r="Q99" s="1653"/>
      <c r="R99" s="1653"/>
      <c r="S99" s="1653"/>
      <c r="T99" s="1653"/>
      <c r="U99" s="1538"/>
      <c r="V99" s="1538"/>
      <c r="W99" s="1538"/>
      <c r="X99" s="2920"/>
      <c r="Y99" s="2961"/>
      <c r="Z99" s="2961"/>
    </row>
    <row r="100" spans="1:29" s="1565" customFormat="1">
      <c r="A100" s="1569" t="s">
        <v>880</v>
      </c>
      <c r="B100" s="1570" t="s">
        <v>738</v>
      </c>
      <c r="C100" s="1652" t="s">
        <v>674</v>
      </c>
      <c r="D100" s="1538"/>
      <c r="E100" s="1538"/>
      <c r="F100" s="1538"/>
      <c r="G100" s="1538"/>
      <c r="H100" s="1538"/>
      <c r="I100" s="1538"/>
      <c r="J100" s="1538"/>
      <c r="K100" s="1538"/>
      <c r="L100" s="1654"/>
      <c r="M100" s="1654"/>
      <c r="N100" s="1654"/>
      <c r="O100" s="1654"/>
      <c r="P100" s="1654"/>
      <c r="Q100" s="1653"/>
      <c r="R100" s="1653"/>
      <c r="S100" s="1653"/>
      <c r="T100" s="1653"/>
      <c r="U100" s="1538"/>
      <c r="V100" s="1538"/>
      <c r="W100" s="1538"/>
      <c r="X100" s="2920"/>
      <c r="Y100" s="2961"/>
      <c r="Z100" s="2961"/>
    </row>
    <row r="101" spans="1:29" s="1565" customFormat="1">
      <c r="A101" s="1569" t="s">
        <v>881</v>
      </c>
      <c r="B101" s="1570" t="s">
        <v>739</v>
      </c>
      <c r="C101" s="1652" t="s">
        <v>675</v>
      </c>
      <c r="D101" s="1538"/>
      <c r="E101" s="1538"/>
      <c r="F101" s="1538"/>
      <c r="G101" s="1538"/>
      <c r="H101" s="1538"/>
      <c r="I101" s="1538"/>
      <c r="J101" s="1538"/>
      <c r="K101" s="1538"/>
      <c r="L101" s="1538"/>
      <c r="M101" s="1538"/>
      <c r="N101" s="1538"/>
      <c r="O101" s="1538"/>
      <c r="P101" s="1538"/>
      <c r="Q101" s="1538"/>
      <c r="R101" s="1538"/>
      <c r="S101" s="1538"/>
      <c r="T101" s="1538"/>
      <c r="U101" s="1538"/>
      <c r="V101" s="1538"/>
      <c r="W101" s="1538"/>
      <c r="X101" s="2920"/>
      <c r="Y101" s="2920"/>
      <c r="Z101" s="2920"/>
    </row>
    <row r="102" spans="1:29" s="1565" customFormat="1">
      <c r="A102" s="1569" t="s">
        <v>882</v>
      </c>
      <c r="B102" s="1570" t="s">
        <v>740</v>
      </c>
      <c r="C102" s="1652" t="s">
        <v>676</v>
      </c>
      <c r="D102" s="1538" t="str">
        <f t="shared" ref="D102:H102" si="9">IF(Region="Bay Area","Bay Area location","")</f>
        <v/>
      </c>
      <c r="E102" s="1538" t="str">
        <f t="shared" si="9"/>
        <v/>
      </c>
      <c r="F102" s="1538" t="str">
        <f t="shared" si="9"/>
        <v/>
      </c>
      <c r="G102" s="1538" t="str">
        <f t="shared" si="9"/>
        <v/>
      </c>
      <c r="H102" s="1538" t="str">
        <f t="shared" si="9"/>
        <v/>
      </c>
      <c r="I102" s="1538"/>
      <c r="J102" s="1538"/>
      <c r="K102" s="1538"/>
      <c r="L102" s="1538"/>
      <c r="M102" s="1538"/>
      <c r="N102" s="1538"/>
      <c r="O102" s="1538"/>
      <c r="P102" s="1538"/>
      <c r="Q102" s="1538"/>
      <c r="R102" s="1538"/>
      <c r="S102" s="1538"/>
      <c r="T102" s="1538"/>
      <c r="U102" s="1538"/>
      <c r="V102" s="1538"/>
      <c r="W102" s="1538"/>
      <c r="X102" s="2920"/>
      <c r="Y102" s="2920"/>
      <c r="Z102" s="2920"/>
    </row>
    <row r="103" spans="1:29" s="1565" customFormat="1">
      <c r="A103" s="1569" t="s">
        <v>883</v>
      </c>
      <c r="B103" s="1570" t="s">
        <v>741</v>
      </c>
      <c r="C103" s="1652" t="s">
        <v>677</v>
      </c>
      <c r="D103" s="1538"/>
      <c r="E103" s="1538"/>
      <c r="F103" s="1538"/>
      <c r="G103" s="1538"/>
      <c r="H103" s="1538"/>
      <c r="I103" s="1538"/>
      <c r="J103" s="1538"/>
      <c r="K103" s="1538"/>
      <c r="L103" s="1538"/>
      <c r="M103" s="1538"/>
      <c r="N103" s="1538"/>
      <c r="O103" s="1538"/>
      <c r="P103" s="1538"/>
      <c r="Q103" s="1538"/>
      <c r="R103" s="1538"/>
      <c r="S103" s="1538"/>
      <c r="T103" s="1538"/>
      <c r="U103" s="1538"/>
      <c r="V103" s="1538"/>
      <c r="W103" s="1538"/>
      <c r="X103" s="2920"/>
      <c r="Y103" s="2920"/>
      <c r="Z103" s="2920"/>
    </row>
    <row r="104" spans="1:29" s="1659" customFormat="1">
      <c r="A104" s="1655"/>
      <c r="B104" s="1656"/>
      <c r="C104" s="1657" t="s">
        <v>1394</v>
      </c>
      <c r="D104" s="2969"/>
      <c r="E104" s="2969"/>
      <c r="F104" s="2969"/>
      <c r="G104" s="2969"/>
      <c r="H104" s="2969"/>
      <c r="I104" s="2969"/>
      <c r="J104" s="2969"/>
      <c r="K104" s="2969"/>
      <c r="L104" s="2969"/>
      <c r="M104" s="2969"/>
      <c r="N104" s="2969"/>
      <c r="O104" s="2969"/>
      <c r="P104" s="2969"/>
      <c r="Q104" s="2969"/>
      <c r="R104" s="2969"/>
      <c r="S104" s="2969"/>
      <c r="T104" s="2969"/>
      <c r="U104" s="2969"/>
      <c r="V104" s="2969"/>
      <c r="W104" s="2969"/>
      <c r="X104" s="4246"/>
      <c r="Y104" s="4246"/>
      <c r="Z104" s="4246"/>
    </row>
    <row r="105" spans="1:29" s="1659" customFormat="1">
      <c r="A105" s="1661" t="s">
        <v>1402</v>
      </c>
      <c r="B105" s="1655"/>
      <c r="C105" s="1662" t="s">
        <v>1401</v>
      </c>
      <c r="D105" s="2969"/>
      <c r="E105" s="2969"/>
      <c r="F105" s="2969"/>
      <c r="G105" s="2969"/>
      <c r="H105" s="2969"/>
      <c r="I105" s="2969"/>
      <c r="J105" s="2969"/>
      <c r="K105" s="2969"/>
      <c r="L105" s="2969"/>
      <c r="M105" s="2969"/>
      <c r="N105" s="2969"/>
      <c r="O105" s="2969"/>
      <c r="P105" s="2969"/>
      <c r="Q105" s="2969"/>
      <c r="R105" s="2969"/>
      <c r="S105" s="2969"/>
      <c r="T105" s="2969"/>
      <c r="U105" s="2969"/>
      <c r="V105" s="2969"/>
      <c r="W105" s="2969"/>
      <c r="X105" s="4246"/>
      <c r="Y105" s="4246"/>
      <c r="Z105" s="4246"/>
    </row>
    <row r="106" spans="1:29" s="1565" customFormat="1">
      <c r="A106" s="1569"/>
      <c r="B106" s="1570"/>
      <c r="C106" s="1547" t="s">
        <v>402</v>
      </c>
      <c r="D106" s="1538"/>
      <c r="E106" s="1538"/>
      <c r="F106" s="1538"/>
      <c r="G106" s="1538"/>
      <c r="H106" s="2969"/>
      <c r="I106" s="1538"/>
      <c r="J106" s="1538"/>
      <c r="K106" s="1538"/>
      <c r="L106" s="1538"/>
      <c r="M106" s="1538"/>
      <c r="N106" s="1538"/>
      <c r="O106" s="1538"/>
      <c r="P106" s="1538"/>
      <c r="Q106" s="1538"/>
      <c r="R106" s="1538"/>
      <c r="S106" s="1538"/>
      <c r="T106" s="1538"/>
      <c r="U106" s="1538"/>
      <c r="V106" s="1538"/>
      <c r="W106" s="1538"/>
      <c r="X106" s="2920"/>
      <c r="Y106" s="2920"/>
      <c r="Z106" s="2920"/>
    </row>
    <row r="107" spans="1:29" s="1565" customFormat="1">
      <c r="A107" s="1569"/>
      <c r="B107" s="1570"/>
      <c r="C107" s="1547" t="s">
        <v>437</v>
      </c>
      <c r="D107" s="1538"/>
      <c r="E107" s="1538"/>
      <c r="F107" s="1538"/>
      <c r="G107" s="1538"/>
      <c r="H107" s="1538"/>
      <c r="I107" s="1538"/>
      <c r="J107" s="1538"/>
      <c r="K107" s="1538"/>
      <c r="L107" s="1538"/>
      <c r="M107" s="1538"/>
      <c r="N107" s="1538"/>
      <c r="O107" s="1538"/>
      <c r="P107" s="1538"/>
      <c r="Q107" s="1538"/>
      <c r="R107" s="1538"/>
      <c r="S107" s="1538"/>
      <c r="T107" s="1538"/>
      <c r="U107" s="1538"/>
      <c r="V107" s="1538"/>
      <c r="W107" s="1538"/>
      <c r="X107" s="2920"/>
      <c r="Y107" s="2920"/>
      <c r="Z107" s="2920"/>
    </row>
    <row r="108" spans="1:29" s="1565" customFormat="1" ht="14.25">
      <c r="A108" s="1569" t="s">
        <v>823</v>
      </c>
      <c r="B108" s="1570" t="s">
        <v>742</v>
      </c>
      <c r="C108" s="1548" t="s">
        <v>438</v>
      </c>
      <c r="D108" s="1538"/>
      <c r="E108" s="1538"/>
      <c r="F108" s="1538"/>
      <c r="G108" s="1538"/>
      <c r="H108" s="1538"/>
      <c r="I108" s="1538"/>
      <c r="J108" s="1737"/>
      <c r="K108" s="1646"/>
      <c r="L108" s="1538"/>
      <c r="M108" s="1538"/>
      <c r="N108" s="1538"/>
      <c r="O108" s="1538"/>
      <c r="P108" s="1538"/>
      <c r="Q108" s="1538"/>
      <c r="R108" s="1538"/>
      <c r="S108" s="1538"/>
      <c r="T108" s="1538"/>
      <c r="U108" s="4121"/>
      <c r="V108" s="4121"/>
      <c r="W108" s="4121"/>
      <c r="X108" s="2942"/>
      <c r="Y108" s="2920"/>
      <c r="Z108" s="2920"/>
    </row>
    <row r="109" spans="1:29" s="1565" customFormat="1">
      <c r="A109" s="1569" t="s">
        <v>824</v>
      </c>
      <c r="B109" s="1570" t="s">
        <v>743</v>
      </c>
      <c r="C109" s="1548" t="s">
        <v>441</v>
      </c>
      <c r="D109" s="2969">
        <v>5.0000000000000001E-3</v>
      </c>
      <c r="E109" s="2969">
        <v>5.0000000000000001E-3</v>
      </c>
      <c r="F109" s="2969">
        <v>5.0000000000000001E-3</v>
      </c>
      <c r="G109" s="2969">
        <v>5.0000000000000001E-3</v>
      </c>
      <c r="H109" s="2969">
        <v>5.0000000000000001E-3</v>
      </c>
      <c r="I109" s="2969">
        <v>5.0000000000000001E-3</v>
      </c>
      <c r="J109" s="2969">
        <v>5.0000000000000001E-3</v>
      </c>
      <c r="K109" s="2969">
        <v>5.0000000000000001E-3</v>
      </c>
      <c r="L109" s="2969">
        <v>5.0000000000000001E-3</v>
      </c>
      <c r="M109" s="2969">
        <v>5.0000000000000001E-3</v>
      </c>
      <c r="N109" s="2969">
        <v>5.0000000000000001E-3</v>
      </c>
      <c r="O109" s="2969">
        <v>5.0000000000000001E-3</v>
      </c>
      <c r="P109" s="2969">
        <v>5.0000000000000001E-3</v>
      </c>
      <c r="Q109" s="2969">
        <v>5.0000000000000001E-3</v>
      </c>
      <c r="R109" s="2969">
        <v>5.0000000000000001E-3</v>
      </c>
      <c r="S109" s="2969">
        <v>5.0000000000000001E-3</v>
      </c>
      <c r="T109" s="2969">
        <v>5.0000000000000001E-3</v>
      </c>
      <c r="U109" s="2969">
        <v>5.0000000000000001E-3</v>
      </c>
      <c r="V109" s="2969">
        <v>5.0000000000000001E-3</v>
      </c>
      <c r="W109" s="1617"/>
      <c r="X109" s="2937"/>
      <c r="Y109" s="2937"/>
      <c r="Z109" s="2937"/>
    </row>
    <row r="110" spans="1:29" s="1565" customFormat="1">
      <c r="A110" s="1569" t="s">
        <v>825</v>
      </c>
      <c r="B110" s="1570" t="s">
        <v>744</v>
      </c>
      <c r="C110" s="1548" t="s">
        <v>439</v>
      </c>
      <c r="D110" s="1538"/>
      <c r="E110" s="1538"/>
      <c r="F110" s="1538"/>
      <c r="G110" s="1538"/>
      <c r="H110" s="1538"/>
      <c r="I110" s="1538"/>
      <c r="J110" s="1538"/>
      <c r="K110" s="1538"/>
      <c r="L110" s="1538"/>
      <c r="M110" s="1538"/>
      <c r="N110" s="1538"/>
      <c r="O110" s="1538"/>
      <c r="P110" s="1538"/>
      <c r="Q110" s="1538"/>
      <c r="R110" s="1538"/>
      <c r="S110" s="1538"/>
      <c r="T110" s="1538"/>
      <c r="U110" s="1538"/>
      <c r="V110" s="1538"/>
      <c r="W110" s="1538"/>
      <c r="X110" s="2920"/>
      <c r="Y110" s="2920"/>
      <c r="Z110" s="2920"/>
    </row>
    <row r="111" spans="1:29" s="2331" customFormat="1">
      <c r="A111" s="907" t="s">
        <v>1673</v>
      </c>
      <c r="B111" s="908"/>
      <c r="C111" s="905" t="s">
        <v>1669</v>
      </c>
      <c r="D111" s="2969">
        <v>5.0000000000000001E-3</v>
      </c>
      <c r="E111" s="2969">
        <v>5.0000000000000001E-3</v>
      </c>
      <c r="F111" s="2969">
        <v>5.0000000000000001E-3</v>
      </c>
      <c r="G111" s="2969">
        <v>5.0000000000000001E-3</v>
      </c>
      <c r="H111" s="2969">
        <v>5.0000000000000001E-3</v>
      </c>
      <c r="I111" s="2969">
        <v>5.0000000000000001E-3</v>
      </c>
      <c r="J111" s="2969">
        <v>5.0000000000000001E-3</v>
      </c>
      <c r="K111" s="2969">
        <v>5.0000000000000001E-3</v>
      </c>
      <c r="L111" s="2969">
        <v>5.0000000000000001E-3</v>
      </c>
      <c r="M111" s="2969">
        <v>5.0000000000000001E-3</v>
      </c>
      <c r="N111" s="2969">
        <v>5.0000000000000001E-3</v>
      </c>
      <c r="O111" s="2969">
        <v>5.0000000000000001E-3</v>
      </c>
      <c r="P111" s="2969">
        <v>5.0000000000000001E-3</v>
      </c>
      <c r="Q111" s="2969">
        <v>5.0000000000000001E-3</v>
      </c>
      <c r="R111" s="2969">
        <v>5.0000000000000001E-3</v>
      </c>
      <c r="S111" s="2969">
        <v>5.0000000000000001E-3</v>
      </c>
      <c r="T111" s="2969">
        <v>5.0000000000000001E-3</v>
      </c>
      <c r="U111" s="2969">
        <v>5.0000000000000001E-3</v>
      </c>
      <c r="V111" s="2969">
        <v>5.0000000000000001E-3</v>
      </c>
      <c r="W111" s="2335"/>
      <c r="X111" s="2937"/>
      <c r="Y111" s="2937"/>
      <c r="Z111" s="2937"/>
      <c r="AB111" s="2335"/>
      <c r="AC111" s="2335"/>
    </row>
    <row r="112" spans="1:29" s="1565" customFormat="1">
      <c r="A112" s="1569"/>
      <c r="B112" s="1570"/>
      <c r="C112" s="1547" t="s">
        <v>1324</v>
      </c>
      <c r="D112" s="1924">
        <f>(D114*D116)/D7/1000</f>
        <v>4.4889779559118246</v>
      </c>
      <c r="E112" s="1924">
        <f t="shared" ref="E112:V112" si="10">(E114*E116)/E7/1000</f>
        <v>2.2400000000000002</v>
      </c>
      <c r="F112" s="1924">
        <f t="shared" si="10"/>
        <v>1.1200000000000001</v>
      </c>
      <c r="G112" s="1924">
        <f t="shared" si="10"/>
        <v>1.25</v>
      </c>
      <c r="H112" s="1924">
        <f t="shared" si="10"/>
        <v>1.1363636363636362</v>
      </c>
      <c r="I112" s="1924">
        <f t="shared" si="10"/>
        <v>12.5</v>
      </c>
      <c r="J112" s="1924">
        <f t="shared" si="10"/>
        <v>30</v>
      </c>
      <c r="K112" s="1924">
        <f t="shared" si="10"/>
        <v>30</v>
      </c>
      <c r="L112" s="1924">
        <f t="shared" si="10"/>
        <v>7</v>
      </c>
      <c r="M112" s="1924">
        <f t="shared" si="10"/>
        <v>7</v>
      </c>
      <c r="N112" s="1924">
        <f t="shared" si="10"/>
        <v>7</v>
      </c>
      <c r="O112" s="1924">
        <f t="shared" si="10"/>
        <v>7</v>
      </c>
      <c r="P112" s="1924">
        <f t="shared" si="10"/>
        <v>7</v>
      </c>
      <c r="Q112" s="1924">
        <f t="shared" si="10"/>
        <v>7</v>
      </c>
      <c r="R112" s="1924">
        <f t="shared" si="10"/>
        <v>7</v>
      </c>
      <c r="S112" s="1924">
        <f t="shared" si="10"/>
        <v>7</v>
      </c>
      <c r="T112" s="1924">
        <f t="shared" si="10"/>
        <v>7</v>
      </c>
      <c r="U112" s="1924">
        <f t="shared" si="10"/>
        <v>40</v>
      </c>
      <c r="V112" s="1924">
        <f t="shared" si="10"/>
        <v>40</v>
      </c>
      <c r="W112" s="1538"/>
      <c r="X112" s="2920"/>
      <c r="Y112" s="2920"/>
      <c r="Z112" s="2920"/>
    </row>
    <row r="113" spans="1:26" s="1565" customFormat="1">
      <c r="A113" s="1569" t="s">
        <v>826</v>
      </c>
      <c r="B113" s="1570" t="s">
        <v>745</v>
      </c>
      <c r="C113" s="1652" t="s">
        <v>442</v>
      </c>
      <c r="D113" s="1538"/>
      <c r="E113" s="1538"/>
      <c r="F113" s="1538"/>
      <c r="G113" s="1538"/>
      <c r="H113" s="1538"/>
      <c r="I113" s="1538">
        <v>2.5</v>
      </c>
      <c r="J113" s="1665">
        <v>6</v>
      </c>
      <c r="K113" s="1665">
        <v>6</v>
      </c>
      <c r="L113" s="1665">
        <v>7</v>
      </c>
      <c r="M113" s="1665">
        <v>7</v>
      </c>
      <c r="N113" s="1665">
        <v>7</v>
      </c>
      <c r="O113" s="1665">
        <v>7</v>
      </c>
      <c r="P113" s="1665">
        <v>7</v>
      </c>
      <c r="Q113" s="1665">
        <v>7</v>
      </c>
      <c r="R113" s="1665">
        <v>7</v>
      </c>
      <c r="S113" s="1665">
        <v>7</v>
      </c>
      <c r="T113" s="1665">
        <v>7</v>
      </c>
      <c r="U113" s="1538">
        <v>40</v>
      </c>
      <c r="V113" s="1538">
        <v>40</v>
      </c>
      <c r="W113" s="1538"/>
      <c r="X113" s="2920"/>
      <c r="Y113" s="2920"/>
      <c r="Z113" s="2920"/>
    </row>
    <row r="114" spans="1:26" s="1565" customFormat="1">
      <c r="A114" s="1569" t="s">
        <v>827</v>
      </c>
      <c r="B114" s="1664" t="s">
        <v>746</v>
      </c>
      <c r="C114" s="1652" t="s">
        <v>329</v>
      </c>
      <c r="D114" s="1665">
        <v>8</v>
      </c>
      <c r="E114" s="1665">
        <v>8</v>
      </c>
      <c r="F114" s="1665">
        <v>8</v>
      </c>
      <c r="G114" s="1665">
        <v>25</v>
      </c>
      <c r="H114" s="1665">
        <v>25</v>
      </c>
      <c r="I114" s="1538">
        <f t="shared" ref="I114:V114" si="11">I113*I7</f>
        <v>125</v>
      </c>
      <c r="J114" s="1665">
        <f t="shared" si="11"/>
        <v>180</v>
      </c>
      <c r="K114" s="1665">
        <f t="shared" si="11"/>
        <v>180</v>
      </c>
      <c r="L114" s="1665">
        <f t="shared" si="11"/>
        <v>1750</v>
      </c>
      <c r="M114" s="1665">
        <f t="shared" si="11"/>
        <v>1750</v>
      </c>
      <c r="N114" s="1665">
        <f t="shared" si="11"/>
        <v>700</v>
      </c>
      <c r="O114" s="1665">
        <f t="shared" si="11"/>
        <v>700</v>
      </c>
      <c r="P114" s="1665">
        <f t="shared" si="11"/>
        <v>700</v>
      </c>
      <c r="Q114" s="1665">
        <f t="shared" si="11"/>
        <v>700</v>
      </c>
      <c r="R114" s="1665">
        <f t="shared" si="11"/>
        <v>700</v>
      </c>
      <c r="S114" s="1665">
        <f>S113*S7</f>
        <v>140</v>
      </c>
      <c r="T114" s="1665">
        <f>T113*T7</f>
        <v>140</v>
      </c>
      <c r="U114" s="1665">
        <f t="shared" si="11"/>
        <v>4000</v>
      </c>
      <c r="V114" s="1665">
        <f t="shared" si="11"/>
        <v>4000</v>
      </c>
      <c r="W114" s="1665"/>
      <c r="X114" s="2943"/>
      <c r="Y114" s="2943"/>
      <c r="Z114" s="2943"/>
    </row>
    <row r="115" spans="1:26" s="1565" customFormat="1">
      <c r="A115" s="1569" t="s">
        <v>831</v>
      </c>
      <c r="B115" s="1570" t="s">
        <v>747</v>
      </c>
      <c r="C115" s="1652" t="s">
        <v>460</v>
      </c>
      <c r="D115" s="1538"/>
      <c r="E115" s="1538"/>
      <c r="F115" s="1538"/>
      <c r="G115" s="1538"/>
      <c r="H115" s="1538"/>
      <c r="I115" s="1538"/>
      <c r="J115" s="1538"/>
      <c r="K115" s="1538"/>
      <c r="L115" s="1538"/>
      <c r="M115" s="1538"/>
      <c r="N115" s="1538"/>
      <c r="O115" s="1538"/>
      <c r="P115" s="1538"/>
      <c r="Q115" s="1538"/>
      <c r="R115" s="1538"/>
      <c r="S115" s="1538"/>
      <c r="T115" s="1538"/>
      <c r="U115" s="1538"/>
      <c r="V115" s="1538"/>
      <c r="W115" s="1538"/>
      <c r="X115" s="2920"/>
      <c r="Y115" s="2920"/>
      <c r="Z115" s="2920"/>
    </row>
    <row r="116" spans="1:26" s="1565" customFormat="1" ht="15">
      <c r="A116" s="1569" t="s">
        <v>832</v>
      </c>
      <c r="B116" s="1570" t="s">
        <v>748</v>
      </c>
      <c r="C116" s="1666" t="s">
        <v>330</v>
      </c>
      <c r="D116" s="4198">
        <v>28000</v>
      </c>
      <c r="E116" s="4198">
        <v>28000</v>
      </c>
      <c r="F116" s="4198">
        <v>28000</v>
      </c>
      <c r="G116" s="4198">
        <v>25000</v>
      </c>
      <c r="H116" s="4198">
        <v>25000</v>
      </c>
      <c r="I116" s="4122">
        <v>5000</v>
      </c>
      <c r="J116" s="4122">
        <v>5000</v>
      </c>
      <c r="K116" s="4122">
        <v>5000</v>
      </c>
      <c r="L116" s="4122">
        <v>1000</v>
      </c>
      <c r="M116" s="4122">
        <v>1000</v>
      </c>
      <c r="N116" s="4122">
        <v>1000</v>
      </c>
      <c r="O116" s="4122">
        <v>1000</v>
      </c>
      <c r="P116" s="4122">
        <v>1000</v>
      </c>
      <c r="Q116" s="4122">
        <v>1000</v>
      </c>
      <c r="R116" s="4122">
        <v>1000</v>
      </c>
      <c r="S116" s="4122">
        <v>1000</v>
      </c>
      <c r="T116" s="4122">
        <v>1000</v>
      </c>
      <c r="U116" s="4122">
        <v>1000</v>
      </c>
      <c r="V116" s="4122">
        <v>1000</v>
      </c>
      <c r="W116" s="1618"/>
      <c r="X116" s="2933"/>
      <c r="Y116" s="2933"/>
      <c r="Z116" s="2933"/>
    </row>
    <row r="117" spans="1:26" s="1565" customFormat="1" ht="14.25">
      <c r="A117" s="1569" t="s">
        <v>833</v>
      </c>
      <c r="B117" s="1669" t="s">
        <v>749</v>
      </c>
      <c r="C117" s="1666" t="s">
        <v>1325</v>
      </c>
      <c r="D117" s="4145"/>
      <c r="E117" s="4145"/>
      <c r="F117" s="4145"/>
      <c r="G117" s="4145"/>
      <c r="H117" s="4145"/>
      <c r="I117" s="1617"/>
      <c r="J117" s="1618"/>
      <c r="K117" s="1618"/>
      <c r="L117" s="1618"/>
      <c r="M117" s="1618"/>
      <c r="N117" s="1618"/>
      <c r="O117" s="1618"/>
      <c r="P117" s="1618"/>
      <c r="Q117" s="1618"/>
      <c r="R117" s="1618"/>
      <c r="S117" s="1618"/>
      <c r="T117" s="1618"/>
      <c r="U117" s="1618"/>
      <c r="V117" s="1618"/>
      <c r="W117" s="1618"/>
      <c r="X117" s="2933"/>
      <c r="Y117" s="2933"/>
      <c r="Z117" s="2933"/>
    </row>
    <row r="118" spans="1:26" s="1565" customFormat="1" ht="14.25">
      <c r="A118" s="1569"/>
      <c r="B118" s="1570"/>
      <c r="C118" s="1547" t="s">
        <v>1327</v>
      </c>
      <c r="D118" s="3004"/>
      <c r="E118" s="3004"/>
      <c r="F118" s="3004"/>
      <c r="G118" s="3004"/>
      <c r="H118" s="3004"/>
      <c r="I118" s="1538"/>
      <c r="J118" s="1538"/>
      <c r="K118" s="1538"/>
      <c r="L118" s="1538"/>
      <c r="M118" s="1538"/>
      <c r="N118" s="1538"/>
      <c r="O118" s="1538"/>
      <c r="P118" s="1538"/>
      <c r="Q118" s="1538"/>
      <c r="R118" s="1538"/>
      <c r="S118" s="1538"/>
      <c r="T118" s="1538"/>
      <c r="U118" s="1538"/>
      <c r="V118" s="1538"/>
      <c r="W118" s="1538"/>
      <c r="X118" s="2920"/>
      <c r="Y118" s="2920"/>
      <c r="Z118" s="2920"/>
    </row>
    <row r="119" spans="1:26" s="1565" customFormat="1" ht="14.25">
      <c r="A119" s="1569" t="s">
        <v>834</v>
      </c>
      <c r="B119" s="1570" t="s">
        <v>750</v>
      </c>
      <c r="C119" s="1548" t="s">
        <v>332</v>
      </c>
      <c r="D119" s="3004"/>
      <c r="E119" s="3004"/>
      <c r="F119" s="3004"/>
      <c r="G119" s="3004"/>
      <c r="H119" s="3004"/>
      <c r="I119" s="3476">
        <v>250000</v>
      </c>
      <c r="J119" s="3476">
        <v>300000</v>
      </c>
      <c r="K119" s="3476">
        <v>300000</v>
      </c>
      <c r="L119" s="3476"/>
      <c r="M119" s="3476"/>
      <c r="N119" s="3476"/>
      <c r="O119" s="3476"/>
      <c r="P119" s="3476"/>
      <c r="Q119" s="3833"/>
      <c r="R119" s="3833"/>
      <c r="S119" s="3833"/>
      <c r="T119" s="3833"/>
      <c r="U119" s="3833">
        <v>500000</v>
      </c>
      <c r="V119" s="3833">
        <v>500000</v>
      </c>
      <c r="W119" s="1538"/>
      <c r="X119" s="2920"/>
      <c r="Y119" s="2920"/>
      <c r="Z119" s="2920"/>
    </row>
    <row r="120" spans="1:26" s="1565" customFormat="1" ht="15">
      <c r="A120" s="1569" t="s">
        <v>835</v>
      </c>
      <c r="B120" s="1570" t="s">
        <v>751</v>
      </c>
      <c r="C120" s="1548" t="s">
        <v>1328</v>
      </c>
      <c r="D120" s="4198">
        <f>2.41*D7*1000</f>
        <v>120259</v>
      </c>
      <c r="E120" s="4198">
        <f>2.41*E7*1000</f>
        <v>241000</v>
      </c>
      <c r="F120" s="4198">
        <f>2.41*F7*1000</f>
        <v>482000</v>
      </c>
      <c r="G120" s="4198">
        <f>1.38*G7*1000</f>
        <v>690000</v>
      </c>
      <c r="H120" s="4198">
        <f>1.38*H7*1000</f>
        <v>758999.99999999988</v>
      </c>
      <c r="I120" s="1538"/>
      <c r="J120" s="1538"/>
      <c r="K120" s="1538"/>
      <c r="L120" s="1618">
        <f>4400*0.5*L114</f>
        <v>3850000</v>
      </c>
      <c r="M120" s="1618">
        <f t="shared" ref="M120:O120" si="12">4400*0.5*M114</f>
        <v>3850000</v>
      </c>
      <c r="N120" s="1618">
        <f t="shared" si="12"/>
        <v>1540000</v>
      </c>
      <c r="O120" s="1618">
        <f t="shared" si="12"/>
        <v>1540000</v>
      </c>
      <c r="P120" s="1618">
        <f>4400*0.5*P114</f>
        <v>1540000</v>
      </c>
      <c r="Q120" s="1618">
        <f t="shared" ref="Q120:R120" si="13">4400*0.5*Q114</f>
        <v>1540000</v>
      </c>
      <c r="R120" s="1618">
        <f t="shared" si="13"/>
        <v>1540000</v>
      </c>
      <c r="S120" s="1618">
        <f>4400*0.5*S114</f>
        <v>308000</v>
      </c>
      <c r="T120" s="1618">
        <f>4400*0.5*T114</f>
        <v>308000</v>
      </c>
      <c r="U120" s="1618"/>
      <c r="V120" s="1618"/>
      <c r="W120" s="1538"/>
      <c r="X120" s="2920"/>
      <c r="Y120" s="2920"/>
      <c r="Z120" s="2920"/>
    </row>
    <row r="121" spans="1:26" s="1565" customFormat="1">
      <c r="A121" s="1569"/>
      <c r="B121" s="1570"/>
      <c r="C121" s="1547" t="s">
        <v>1329</v>
      </c>
      <c r="D121" s="1538"/>
      <c r="E121" s="1538"/>
      <c r="F121" s="1538"/>
      <c r="G121" s="1538"/>
      <c r="H121" s="1538"/>
      <c r="I121" s="1538"/>
      <c r="J121" s="1538"/>
      <c r="K121" s="1538"/>
      <c r="L121" s="1538"/>
      <c r="M121" s="1538"/>
      <c r="N121" s="1538"/>
      <c r="O121" s="1538"/>
      <c r="P121" s="1538"/>
      <c r="Q121" s="1538"/>
      <c r="R121" s="1538"/>
      <c r="S121" s="1538"/>
      <c r="T121" s="1538"/>
      <c r="U121" s="1538"/>
      <c r="V121" s="1538"/>
      <c r="W121" s="1538"/>
      <c r="X121" s="2920"/>
      <c r="Y121" s="2920"/>
      <c r="Z121" s="2920"/>
    </row>
    <row r="122" spans="1:26" s="1565" customFormat="1" ht="14.25">
      <c r="A122" s="1545" t="s">
        <v>914</v>
      </c>
      <c r="B122" s="1669" t="s">
        <v>752</v>
      </c>
      <c r="C122" s="1548" t="s">
        <v>912</v>
      </c>
      <c r="D122" s="1640">
        <f>Transmission!M38*1000</f>
        <v>4725625</v>
      </c>
      <c r="E122" s="1640">
        <f>Transmission!N38*1000</f>
        <v>5228625</v>
      </c>
      <c r="F122" s="1640">
        <f>Transmission!O38*1000</f>
        <v>19369500</v>
      </c>
      <c r="G122" s="1640">
        <f>Transmission!P38*1000</f>
        <v>19369500</v>
      </c>
      <c r="H122" s="1640">
        <f>Transmission!Q38*1000</f>
        <v>19508250</v>
      </c>
      <c r="I122" s="1640">
        <f>Transmission!R38*1000</f>
        <v>4725625</v>
      </c>
      <c r="J122" s="1640">
        <f>Transmission!S38*1000</f>
        <v>4725625</v>
      </c>
      <c r="K122" s="1640">
        <f>Transmission!T38*1000</f>
        <v>4725625</v>
      </c>
      <c r="L122" s="1640">
        <f>Transmission!U38*1000</f>
        <v>19369500</v>
      </c>
      <c r="M122" s="1640">
        <f>Transmission!V38*1000</f>
        <v>19369500</v>
      </c>
      <c r="N122" s="1640">
        <f>Transmission!W38*1000</f>
        <v>5228625</v>
      </c>
      <c r="O122" s="1640">
        <f>Transmission!X38*1000</f>
        <v>5228625</v>
      </c>
      <c r="P122" s="1640">
        <f>Transmission!Y38*1000</f>
        <v>5228625</v>
      </c>
      <c r="Q122" s="1640">
        <f>Transmission!Z38*1000</f>
        <v>5228625</v>
      </c>
      <c r="R122" s="1640">
        <f>Transmission!AA38*1000</f>
        <v>5228625</v>
      </c>
      <c r="S122" s="1640">
        <f>Transmission!AB38*1000</f>
        <v>4725625</v>
      </c>
      <c r="T122" s="1640">
        <f>Transmission!AC38*1000</f>
        <v>4725625</v>
      </c>
      <c r="U122" s="1640">
        <f>Transmission!AD38*1000</f>
        <v>5228625</v>
      </c>
      <c r="V122" s="1640">
        <f>Transmission!AE38*1000</f>
        <v>5228625</v>
      </c>
      <c r="W122" s="1670"/>
      <c r="X122" s="2944"/>
      <c r="Y122" s="2920"/>
      <c r="Z122" s="2920"/>
    </row>
    <row r="123" spans="1:26" s="1565" customFormat="1">
      <c r="A123" s="1569" t="s">
        <v>917</v>
      </c>
      <c r="B123" s="1669" t="s">
        <v>753</v>
      </c>
      <c r="C123" s="1548" t="s">
        <v>915</v>
      </c>
      <c r="D123" s="1538"/>
      <c r="E123" s="1538"/>
      <c r="F123" s="1538"/>
      <c r="G123" s="1538"/>
      <c r="H123" s="1538"/>
      <c r="I123" s="1538"/>
      <c r="J123" s="1538"/>
      <c r="K123" s="1538"/>
      <c r="L123" s="1538"/>
      <c r="M123" s="1538"/>
      <c r="N123" s="1538"/>
      <c r="O123" s="1538"/>
      <c r="P123" s="1538"/>
      <c r="Q123" s="1538"/>
      <c r="R123" s="1538"/>
      <c r="S123" s="1538"/>
      <c r="T123" s="1538"/>
      <c r="U123" s="1538"/>
      <c r="V123" s="1538"/>
      <c r="W123" s="1538"/>
      <c r="X123" s="2920"/>
      <c r="Y123" s="2920"/>
      <c r="Z123" s="2920"/>
    </row>
    <row r="124" spans="1:26" s="1565" customFormat="1">
      <c r="A124" s="1569" t="s">
        <v>918</v>
      </c>
      <c r="B124" s="1570" t="s">
        <v>754</v>
      </c>
      <c r="C124" s="1548" t="s">
        <v>913</v>
      </c>
      <c r="D124" s="1538"/>
      <c r="E124" s="1538"/>
      <c r="F124" s="1538"/>
      <c r="G124" s="1538"/>
      <c r="H124" s="1538"/>
      <c r="I124" s="1538"/>
      <c r="J124" s="1538"/>
      <c r="K124" s="1538"/>
      <c r="L124" s="1538"/>
      <c r="M124" s="1538"/>
      <c r="N124" s="1538"/>
      <c r="O124" s="1538"/>
      <c r="P124" s="1538"/>
      <c r="Q124" s="1538"/>
      <c r="R124" s="1538"/>
      <c r="S124" s="1538"/>
      <c r="T124" s="1538"/>
      <c r="U124" s="1538"/>
      <c r="V124" s="1538"/>
      <c r="W124" s="1538"/>
      <c r="X124" s="2920"/>
      <c r="Y124" s="2920"/>
      <c r="Z124" s="2920"/>
    </row>
    <row r="125" spans="1:26" s="1565" customFormat="1">
      <c r="A125" s="1671"/>
      <c r="B125" s="1672" t="s">
        <v>756</v>
      </c>
      <c r="C125" s="1673"/>
      <c r="D125" s="1538"/>
      <c r="E125" s="1538"/>
      <c r="F125" s="1538"/>
      <c r="G125" s="1538"/>
      <c r="H125" s="1538"/>
      <c r="I125" s="1538"/>
      <c r="J125" s="1538"/>
      <c r="K125" s="1538"/>
      <c r="L125" s="1538"/>
      <c r="M125" s="1538"/>
      <c r="N125" s="1538"/>
      <c r="O125" s="1538"/>
      <c r="P125" s="1538"/>
      <c r="Q125" s="1538"/>
      <c r="R125" s="1538"/>
      <c r="S125" s="1538"/>
      <c r="T125" s="1538"/>
      <c r="U125" s="1538"/>
      <c r="V125" s="1538"/>
      <c r="W125" s="1538"/>
      <c r="X125" s="2920"/>
      <c r="Y125" s="2920"/>
      <c r="Z125" s="2920"/>
    </row>
    <row r="126" spans="1:26" s="1565" customFormat="1">
      <c r="A126" s="1535"/>
      <c r="B126" s="1536"/>
      <c r="C126" s="1560" t="s">
        <v>990</v>
      </c>
      <c r="D126" s="1538"/>
      <c r="E126" s="1538"/>
      <c r="F126" s="1538"/>
      <c r="G126" s="1538"/>
      <c r="H126" s="1538"/>
      <c r="I126" s="1538"/>
      <c r="J126" s="1538"/>
      <c r="K126" s="1538"/>
      <c r="L126" s="1538"/>
      <c r="M126" s="1538"/>
      <c r="N126" s="1538"/>
      <c r="O126" s="1538"/>
      <c r="P126" s="1538"/>
      <c r="Q126" s="1538"/>
      <c r="R126" s="1538"/>
      <c r="S126" s="1538"/>
      <c r="T126" s="1538"/>
      <c r="U126" s="1538"/>
      <c r="V126" s="1538"/>
      <c r="W126" s="1538"/>
      <c r="X126" s="2920"/>
      <c r="Y126" s="2920"/>
      <c r="Z126" s="2920"/>
    </row>
    <row r="127" spans="1:26" s="1565" customFormat="1">
      <c r="A127" s="1594"/>
      <c r="B127" s="1595"/>
      <c r="C127" s="1674" t="s">
        <v>461</v>
      </c>
      <c r="D127" s="1538"/>
      <c r="E127" s="1538"/>
      <c r="F127" s="1538"/>
      <c r="G127" s="1538"/>
      <c r="H127" s="1538"/>
      <c r="I127" s="1538"/>
      <c r="J127" s="1538"/>
      <c r="K127" s="1538"/>
      <c r="L127" s="1538"/>
      <c r="M127" s="1538"/>
      <c r="N127" s="1538"/>
      <c r="O127" s="1538"/>
      <c r="P127" s="1538"/>
      <c r="Q127" s="1538"/>
      <c r="R127" s="1538"/>
      <c r="S127" s="1538"/>
      <c r="T127" s="1538"/>
      <c r="U127" s="1538"/>
      <c r="V127" s="1538"/>
      <c r="W127" s="1538"/>
      <c r="X127" s="2920"/>
      <c r="Y127" s="2920"/>
      <c r="Z127" s="2920"/>
    </row>
    <row r="128" spans="1:26" s="1565" customFormat="1">
      <c r="A128" s="1594" t="s">
        <v>1219</v>
      </c>
      <c r="B128" s="1595"/>
      <c r="C128" s="1605" t="s">
        <v>1017</v>
      </c>
      <c r="D128" s="1538" t="s">
        <v>521</v>
      </c>
      <c r="E128" s="1538" t="s">
        <v>521</v>
      </c>
      <c r="F128" s="1538" t="s">
        <v>521</v>
      </c>
      <c r="G128" s="1538" t="s">
        <v>521</v>
      </c>
      <c r="H128" s="1538" t="s">
        <v>521</v>
      </c>
      <c r="I128" s="1538" t="s">
        <v>521</v>
      </c>
      <c r="J128" s="1538" t="s">
        <v>521</v>
      </c>
      <c r="K128" s="1538" t="s">
        <v>521</v>
      </c>
      <c r="L128" s="1538" t="s">
        <v>521</v>
      </c>
      <c r="M128" s="1538" t="s">
        <v>521</v>
      </c>
      <c r="N128" s="1538" t="s">
        <v>521</v>
      </c>
      <c r="O128" s="1538" t="s">
        <v>521</v>
      </c>
      <c r="P128" s="1538" t="s">
        <v>521</v>
      </c>
      <c r="Q128" s="1538" t="s">
        <v>521</v>
      </c>
      <c r="R128" s="1538" t="s">
        <v>521</v>
      </c>
      <c r="S128" s="1538" t="s">
        <v>521</v>
      </c>
      <c r="T128" s="1538" t="s">
        <v>521</v>
      </c>
      <c r="U128" s="1538" t="s">
        <v>521</v>
      </c>
      <c r="V128" s="1538" t="s">
        <v>521</v>
      </c>
      <c r="W128" s="1538"/>
      <c r="X128" s="2920"/>
      <c r="Y128" s="2920"/>
      <c r="Z128" s="2920"/>
    </row>
    <row r="129" spans="1:26" s="1565" customFormat="1">
      <c r="A129" s="1594" t="s">
        <v>1220</v>
      </c>
      <c r="B129" s="1595"/>
      <c r="C129" s="1605" t="s">
        <v>1031</v>
      </c>
      <c r="D129" s="1538"/>
      <c r="E129" s="1538"/>
      <c r="F129" s="1538"/>
      <c r="G129" s="1538"/>
      <c r="H129" s="1538"/>
      <c r="I129" s="1538"/>
      <c r="J129" s="1538"/>
      <c r="K129" s="1538"/>
      <c r="L129" s="1538"/>
      <c r="M129" s="1538"/>
      <c r="N129" s="1538"/>
      <c r="O129" s="1538"/>
      <c r="P129" s="1538"/>
      <c r="Q129" s="1538"/>
      <c r="R129" s="1538"/>
      <c r="S129" s="1538"/>
      <c r="T129" s="1538"/>
      <c r="U129" s="1538"/>
      <c r="V129" s="1538"/>
      <c r="W129" s="1538"/>
      <c r="X129" s="2920"/>
      <c r="Y129" s="2920"/>
      <c r="Z129" s="2920"/>
    </row>
    <row r="130" spans="1:26" s="1565" customFormat="1">
      <c r="A130" s="1594" t="s">
        <v>1221</v>
      </c>
      <c r="B130" s="1675" t="s">
        <v>763</v>
      </c>
      <c r="C130" s="1605" t="s">
        <v>471</v>
      </c>
      <c r="D130" s="1538"/>
      <c r="E130" s="1538"/>
      <c r="F130" s="1538"/>
      <c r="G130" s="1538"/>
      <c r="H130" s="1538"/>
      <c r="I130" s="1538"/>
      <c r="J130" s="1538"/>
      <c r="K130" s="1538"/>
      <c r="L130" s="1538"/>
      <c r="M130" s="1538"/>
      <c r="N130" s="1538"/>
      <c r="O130" s="1538"/>
      <c r="P130" s="1538"/>
      <c r="Q130" s="1538"/>
      <c r="R130" s="1538"/>
      <c r="S130" s="1538"/>
      <c r="T130" s="1538"/>
      <c r="U130" s="1538"/>
      <c r="V130" s="1538"/>
      <c r="W130" s="1538"/>
      <c r="X130" s="2920"/>
      <c r="Y130" s="2920"/>
      <c r="Z130" s="2920"/>
    </row>
    <row r="131" spans="1:26" s="1565" customFormat="1">
      <c r="A131" s="1594" t="s">
        <v>1222</v>
      </c>
      <c r="B131" s="1595"/>
      <c r="C131" s="1605" t="s">
        <v>1032</v>
      </c>
      <c r="D131" s="1538"/>
      <c r="E131" s="1538"/>
      <c r="F131" s="1538"/>
      <c r="G131" s="1538"/>
      <c r="H131" s="1538"/>
      <c r="I131" s="1617"/>
      <c r="J131" s="1617"/>
      <c r="K131" s="1617"/>
      <c r="L131" s="1538"/>
      <c r="M131" s="1538"/>
      <c r="N131" s="1538"/>
      <c r="O131" s="1538"/>
      <c r="P131" s="1538"/>
      <c r="Q131" s="1538"/>
      <c r="R131" s="1538"/>
      <c r="S131" s="1538"/>
      <c r="T131" s="1538"/>
      <c r="U131" s="1617"/>
      <c r="V131" s="1617"/>
      <c r="W131" s="1617"/>
      <c r="X131" s="4249"/>
      <c r="Y131" s="2920"/>
      <c r="Z131" s="2920"/>
    </row>
    <row r="132" spans="1:26" s="1565" customFormat="1">
      <c r="A132" s="1594" t="s">
        <v>1223</v>
      </c>
      <c r="B132" s="1595"/>
      <c r="C132" s="1605" t="s">
        <v>1033</v>
      </c>
      <c r="D132" s="1538"/>
      <c r="E132" s="1538"/>
      <c r="F132" s="1538"/>
      <c r="G132" s="1538"/>
      <c r="H132" s="1538"/>
      <c r="I132" s="1538"/>
      <c r="J132" s="1538"/>
      <c r="K132" s="1538"/>
      <c r="L132" s="1538"/>
      <c r="M132" s="1538"/>
      <c r="N132" s="1538"/>
      <c r="O132" s="1538"/>
      <c r="P132" s="1538"/>
      <c r="Q132" s="1538"/>
      <c r="R132" s="1538"/>
      <c r="S132" s="1538"/>
      <c r="T132" s="1538"/>
      <c r="U132" s="1538"/>
      <c r="V132" s="1538"/>
      <c r="W132" s="1538"/>
      <c r="X132" s="2920"/>
      <c r="Y132" s="2920"/>
      <c r="Z132" s="2920"/>
    </row>
    <row r="133" spans="1:26" s="1565" customFormat="1">
      <c r="A133" s="1594" t="s">
        <v>1224</v>
      </c>
      <c r="B133" s="1595"/>
      <c r="C133" s="1605" t="s">
        <v>1034</v>
      </c>
      <c r="D133" s="1646">
        <v>0</v>
      </c>
      <c r="E133" s="1646">
        <v>0</v>
      </c>
      <c r="F133" s="1646">
        <v>0</v>
      </c>
      <c r="G133" s="1646">
        <f>0.18*G7*8760*(1-G8)*G40</f>
        <v>548568.72</v>
      </c>
      <c r="H133" s="1646">
        <f>0.18*H7*8760*(1-H8)*H40</f>
        <v>603425.59199999995</v>
      </c>
      <c r="I133" s="2141">
        <v>0</v>
      </c>
      <c r="J133" s="2141">
        <v>0</v>
      </c>
      <c r="K133" s="2141">
        <v>0</v>
      </c>
      <c r="L133" s="2141">
        <v>0</v>
      </c>
      <c r="M133" s="2141">
        <v>0</v>
      </c>
      <c r="N133" s="2141">
        <v>0</v>
      </c>
      <c r="O133" s="2141">
        <v>0</v>
      </c>
      <c r="P133" s="2141">
        <v>0</v>
      </c>
      <c r="Q133" s="2141">
        <v>0</v>
      </c>
      <c r="R133" s="2141">
        <v>0</v>
      </c>
      <c r="S133" s="2141">
        <v>0</v>
      </c>
      <c r="T133" s="2141">
        <v>0</v>
      </c>
      <c r="U133" s="2141">
        <v>0</v>
      </c>
      <c r="V133" s="2141">
        <v>0</v>
      </c>
      <c r="W133" s="1538"/>
      <c r="X133" s="2920"/>
      <c r="Y133" s="2920"/>
      <c r="Z133" s="2920"/>
    </row>
    <row r="134" spans="1:26" s="1565" customFormat="1">
      <c r="A134" s="1594"/>
      <c r="B134" s="1595"/>
      <c r="C134" s="1674" t="s">
        <v>462</v>
      </c>
      <c r="D134" s="2335"/>
      <c r="E134" s="2335"/>
      <c r="F134" s="2335"/>
      <c r="G134" s="339"/>
      <c r="H134" s="2335"/>
      <c r="I134" s="1538"/>
      <c r="J134" s="1538"/>
      <c r="K134" s="1538"/>
      <c r="L134" s="1538"/>
      <c r="M134" s="1538"/>
      <c r="N134" s="1538"/>
      <c r="O134" s="1538"/>
      <c r="P134" s="1538"/>
      <c r="Q134" s="1538"/>
      <c r="R134" s="1538"/>
      <c r="S134" s="1538"/>
      <c r="T134" s="1538"/>
      <c r="U134" s="1538"/>
      <c r="V134" s="1538"/>
      <c r="W134" s="1538"/>
      <c r="X134" s="2920"/>
      <c r="Y134" s="2920"/>
      <c r="Z134" s="2920"/>
    </row>
    <row r="135" spans="1:26" s="1565" customFormat="1" ht="15">
      <c r="A135" s="1638" t="s">
        <v>906</v>
      </c>
      <c r="B135" s="1676"/>
      <c r="C135" s="1605" t="s">
        <v>884</v>
      </c>
      <c r="D135" s="4199">
        <f t="shared" ref="D135:H135" si="14">D$74*D7*1000</f>
        <v>333104.64629960142</v>
      </c>
      <c r="E135" s="4199">
        <f t="shared" si="14"/>
        <v>667544.38136192679</v>
      </c>
      <c r="F135" s="4199">
        <f t="shared" si="14"/>
        <v>1335088.7627238536</v>
      </c>
      <c r="G135" s="4199">
        <f t="shared" si="14"/>
        <v>3218060.1047458723</v>
      </c>
      <c r="H135" s="4199">
        <f t="shared" si="14"/>
        <v>3539866.1152204596</v>
      </c>
      <c r="I135" s="1538"/>
      <c r="J135" s="1677"/>
      <c r="K135" s="1677"/>
      <c r="L135" s="1538"/>
      <c r="M135" s="1538"/>
      <c r="N135" s="1538"/>
      <c r="O135" s="1538"/>
      <c r="P135" s="1538"/>
      <c r="Q135" s="1538"/>
      <c r="R135" s="1538"/>
      <c r="S135" s="1538"/>
      <c r="T135" s="1538"/>
      <c r="U135" s="1538"/>
      <c r="V135" s="1538"/>
      <c r="W135" s="1538"/>
      <c r="X135" s="2920"/>
      <c r="Y135" s="2920"/>
      <c r="Z135" s="2920"/>
    </row>
    <row r="136" spans="1:26" s="1565" customFormat="1">
      <c r="A136" s="1638" t="s">
        <v>920</v>
      </c>
      <c r="B136" s="1676"/>
      <c r="C136" s="1605" t="s">
        <v>885</v>
      </c>
      <c r="D136" s="2335"/>
      <c r="E136" s="2335"/>
      <c r="F136" s="2335"/>
      <c r="G136" s="1538"/>
      <c r="H136" s="1538"/>
      <c r="I136" s="1538"/>
      <c r="J136" s="1677"/>
      <c r="K136" s="1677"/>
      <c r="L136" s="1538"/>
      <c r="M136" s="1538"/>
      <c r="N136" s="1538"/>
      <c r="O136" s="1538"/>
      <c r="P136" s="1538"/>
      <c r="Q136" s="1538"/>
      <c r="R136" s="1538"/>
      <c r="S136" s="1538"/>
      <c r="T136" s="1538"/>
      <c r="U136" s="1538"/>
      <c r="V136" s="1538"/>
      <c r="W136" s="1538"/>
      <c r="X136" s="2920"/>
      <c r="Y136" s="2920"/>
      <c r="Z136" s="2920"/>
    </row>
    <row r="137" spans="1:26" s="1565" customFormat="1">
      <c r="A137" s="1638" t="s">
        <v>921</v>
      </c>
      <c r="B137" s="1676"/>
      <c r="C137" s="1605" t="s">
        <v>886</v>
      </c>
      <c r="D137" s="2335"/>
      <c r="E137" s="2335"/>
      <c r="F137" s="2335"/>
      <c r="G137" s="1538"/>
      <c r="H137" s="1538"/>
      <c r="I137" s="1538"/>
      <c r="J137" s="1677"/>
      <c r="K137" s="1677"/>
      <c r="L137" s="1538"/>
      <c r="M137" s="1538"/>
      <c r="N137" s="1538"/>
      <c r="O137" s="1538"/>
      <c r="P137" s="1538"/>
      <c r="Q137" s="1538"/>
      <c r="R137" s="1538"/>
      <c r="S137" s="1538"/>
      <c r="T137" s="1538"/>
      <c r="U137" s="1538"/>
      <c r="V137" s="1538"/>
      <c r="W137" s="1538"/>
      <c r="X137" s="2920"/>
      <c r="Y137" s="2920"/>
      <c r="Z137" s="2920"/>
    </row>
    <row r="138" spans="1:26" s="1565" customFormat="1">
      <c r="A138" s="1638" t="s">
        <v>922</v>
      </c>
      <c r="B138" s="1676"/>
      <c r="C138" s="1605" t="s">
        <v>887</v>
      </c>
      <c r="D138" s="2335"/>
      <c r="E138" s="2335"/>
      <c r="F138" s="2335"/>
      <c r="G138" s="1538"/>
      <c r="H138" s="1538"/>
      <c r="I138" s="1538"/>
      <c r="J138" s="1677"/>
      <c r="K138" s="1677"/>
      <c r="L138" s="1538"/>
      <c r="M138" s="1538"/>
      <c r="N138" s="1538"/>
      <c r="O138" s="1538"/>
      <c r="P138" s="1538"/>
      <c r="Q138" s="1538"/>
      <c r="R138" s="1538"/>
      <c r="S138" s="1538"/>
      <c r="T138" s="1538"/>
      <c r="U138" s="1538"/>
      <c r="V138" s="1538"/>
      <c r="W138" s="1538"/>
      <c r="X138" s="2920"/>
      <c r="Y138" s="2920"/>
      <c r="Z138" s="2920"/>
    </row>
    <row r="139" spans="1:26" s="1565" customFormat="1">
      <c r="A139" s="1638" t="s">
        <v>923</v>
      </c>
      <c r="B139" s="1676"/>
      <c r="C139" s="1605" t="s">
        <v>888</v>
      </c>
      <c r="D139" s="2335"/>
      <c r="E139" s="2335"/>
      <c r="F139" s="2335"/>
      <c r="G139" s="1538"/>
      <c r="H139" s="1538"/>
      <c r="I139" s="1538"/>
      <c r="J139" s="1677"/>
      <c r="K139" s="1677"/>
      <c r="L139" s="1538"/>
      <c r="M139" s="1538"/>
      <c r="N139" s="1538"/>
      <c r="O139" s="1538"/>
      <c r="P139" s="1538"/>
      <c r="Q139" s="1538"/>
      <c r="R139" s="1538"/>
      <c r="S139" s="1538"/>
      <c r="T139" s="1538"/>
      <c r="U139" s="1538"/>
      <c r="V139" s="1538"/>
      <c r="W139" s="1538"/>
      <c r="X139" s="2920"/>
      <c r="Y139" s="2920"/>
      <c r="Z139" s="2920"/>
    </row>
    <row r="140" spans="1:26" s="1565" customFormat="1">
      <c r="A140" s="1638" t="s">
        <v>924</v>
      </c>
      <c r="B140" s="1676"/>
      <c r="C140" s="1605" t="s">
        <v>891</v>
      </c>
      <c r="D140" s="2335"/>
      <c r="E140" s="2335"/>
      <c r="F140" s="2335"/>
      <c r="G140" s="1538"/>
      <c r="H140" s="1538"/>
      <c r="I140" s="1538"/>
      <c r="J140" s="1677"/>
      <c r="K140" s="1677"/>
      <c r="L140" s="1538"/>
      <c r="M140" s="1538"/>
      <c r="N140" s="1538"/>
      <c r="O140" s="1538"/>
      <c r="P140" s="1538"/>
      <c r="Q140" s="1538"/>
      <c r="R140" s="1538"/>
      <c r="S140" s="1538"/>
      <c r="T140" s="1538"/>
      <c r="U140" s="1538"/>
      <c r="V140" s="1538"/>
      <c r="W140" s="1538"/>
      <c r="X140" s="2920"/>
      <c r="Y140" s="2920"/>
      <c r="Z140" s="2920"/>
    </row>
    <row r="141" spans="1:26" s="1565" customFormat="1">
      <c r="A141" s="1638" t="s">
        <v>925</v>
      </c>
      <c r="B141" s="1676"/>
      <c r="C141" s="1605" t="s">
        <v>892</v>
      </c>
      <c r="D141" s="2335"/>
      <c r="E141" s="2335"/>
      <c r="F141" s="2335"/>
      <c r="G141" s="1538"/>
      <c r="H141" s="1538"/>
      <c r="I141" s="1538"/>
      <c r="J141" s="1677"/>
      <c r="K141" s="1538"/>
      <c r="L141" s="1538"/>
      <c r="M141" s="1538"/>
      <c r="N141" s="1538"/>
      <c r="O141" s="1538"/>
      <c r="P141" s="1538"/>
      <c r="Q141" s="1538"/>
      <c r="R141" s="1538"/>
      <c r="S141" s="1538"/>
      <c r="T141" s="1538"/>
      <c r="U141" s="1538"/>
      <c r="V141" s="1538"/>
      <c r="W141" s="1538"/>
      <c r="X141" s="2920"/>
      <c r="Y141" s="2920"/>
      <c r="Z141" s="2920"/>
    </row>
    <row r="142" spans="1:26" s="1565" customFormat="1">
      <c r="A142" s="1638" t="s">
        <v>926</v>
      </c>
      <c r="B142" s="1676"/>
      <c r="C142" s="1605" t="s">
        <v>893</v>
      </c>
      <c r="D142" s="2335"/>
      <c r="E142" s="2335"/>
      <c r="F142" s="2335"/>
      <c r="G142" s="1538"/>
      <c r="H142" s="1538"/>
      <c r="I142" s="1538"/>
      <c r="J142" s="1538"/>
      <c r="K142" s="1538"/>
      <c r="L142" s="1538"/>
      <c r="M142" s="1538"/>
      <c r="N142" s="1538"/>
      <c r="O142" s="1538"/>
      <c r="P142" s="1538"/>
      <c r="Q142" s="1538"/>
      <c r="R142" s="1538"/>
      <c r="S142" s="1538"/>
      <c r="T142" s="1538"/>
      <c r="U142" s="1538"/>
      <c r="V142" s="1538"/>
      <c r="W142" s="1538"/>
      <c r="X142" s="2920"/>
      <c r="Y142" s="2920"/>
      <c r="Z142" s="2920"/>
    </row>
    <row r="143" spans="1:26" s="1565" customFormat="1">
      <c r="A143" s="1638" t="s">
        <v>927</v>
      </c>
      <c r="B143" s="1676"/>
      <c r="C143" s="1605" t="s">
        <v>894</v>
      </c>
      <c r="D143" s="70" t="s">
        <v>1488</v>
      </c>
      <c r="E143" s="70" t="s">
        <v>1488</v>
      </c>
      <c r="F143" s="70" t="s">
        <v>1488</v>
      </c>
      <c r="G143" s="1537" t="s">
        <v>1908</v>
      </c>
      <c r="H143" s="1537" t="s">
        <v>1908</v>
      </c>
      <c r="I143" s="1538"/>
      <c r="J143" s="1537"/>
      <c r="K143" s="1537"/>
      <c r="L143" s="1538"/>
      <c r="M143" s="1538"/>
      <c r="N143" s="1538"/>
      <c r="O143" s="1538"/>
      <c r="P143" s="1538"/>
      <c r="Q143" s="1538"/>
      <c r="R143" s="1538"/>
      <c r="S143" s="1538"/>
      <c r="T143" s="1538"/>
      <c r="U143" s="1538"/>
      <c r="V143" s="1538"/>
      <c r="W143" s="1538"/>
      <c r="X143" s="2920"/>
      <c r="Y143" s="2920"/>
      <c r="Z143" s="2920"/>
    </row>
    <row r="144" spans="1:26" s="1565" customFormat="1">
      <c r="A144" s="1638" t="s">
        <v>928</v>
      </c>
      <c r="B144" s="1676"/>
      <c r="C144" s="1605" t="s">
        <v>896</v>
      </c>
      <c r="D144" s="1538"/>
      <c r="E144" s="1538"/>
      <c r="F144" s="1538"/>
      <c r="G144" s="1538"/>
      <c r="H144" s="1538"/>
      <c r="I144" s="1538"/>
      <c r="J144" s="1537"/>
      <c r="K144" s="1537"/>
      <c r="L144" s="1538"/>
      <c r="M144" s="1538"/>
      <c r="N144" s="1538"/>
      <c r="O144" s="1538"/>
      <c r="P144" s="1538"/>
      <c r="Q144" s="1538"/>
      <c r="R144" s="1538"/>
      <c r="S144" s="1538"/>
      <c r="T144" s="1538"/>
      <c r="U144" s="1538"/>
      <c r="V144" s="1538"/>
      <c r="W144" s="1538"/>
      <c r="X144" s="2920"/>
      <c r="Y144" s="2920"/>
      <c r="Z144" s="2920"/>
    </row>
    <row r="145" spans="1:26" s="1565" customFormat="1">
      <c r="A145" s="1638" t="s">
        <v>929</v>
      </c>
      <c r="B145" s="1676"/>
      <c r="C145" s="1605" t="s">
        <v>897</v>
      </c>
      <c r="D145" s="1538"/>
      <c r="E145" s="1538"/>
      <c r="F145" s="1538"/>
      <c r="G145" s="1538"/>
      <c r="H145" s="1538"/>
      <c r="I145" s="1538"/>
      <c r="J145" s="1537"/>
      <c r="K145" s="1537"/>
      <c r="L145" s="1538"/>
      <c r="M145" s="1538"/>
      <c r="N145" s="1538"/>
      <c r="O145" s="1538"/>
      <c r="P145" s="1538"/>
      <c r="Q145" s="1538"/>
      <c r="R145" s="1538"/>
      <c r="S145" s="1538"/>
      <c r="T145" s="1538"/>
      <c r="U145" s="1538"/>
      <c r="V145" s="1538"/>
      <c r="W145" s="1538"/>
      <c r="X145" s="2920"/>
      <c r="Y145" s="2920"/>
      <c r="Z145" s="2920"/>
    </row>
    <row r="146" spans="1:26" s="1565" customFormat="1">
      <c r="A146" s="1638" t="s">
        <v>930</v>
      </c>
      <c r="B146" s="1676"/>
      <c r="C146" s="1605" t="s">
        <v>898</v>
      </c>
      <c r="D146" s="1538"/>
      <c r="E146" s="1538"/>
      <c r="F146" s="1538"/>
      <c r="G146" s="1538"/>
      <c r="H146" s="1538"/>
      <c r="I146" s="1538"/>
      <c r="J146" s="1537"/>
      <c r="K146" s="1537"/>
      <c r="L146" s="1538"/>
      <c r="M146" s="1538"/>
      <c r="N146" s="1538"/>
      <c r="O146" s="1538"/>
      <c r="P146" s="1538"/>
      <c r="Q146" s="1538"/>
      <c r="R146" s="1538"/>
      <c r="S146" s="1538"/>
      <c r="T146" s="1538"/>
      <c r="U146" s="1538"/>
      <c r="V146" s="1538"/>
      <c r="W146" s="1538"/>
      <c r="X146" s="2920"/>
      <c r="Y146" s="2920"/>
      <c r="Z146" s="2920"/>
    </row>
    <row r="147" spans="1:26" s="1565" customFormat="1">
      <c r="A147" s="1638" t="s">
        <v>931</v>
      </c>
      <c r="B147" s="1676"/>
      <c r="C147" s="1605" t="s">
        <v>899</v>
      </c>
      <c r="D147" s="1538"/>
      <c r="E147" s="1538"/>
      <c r="F147" s="1538"/>
      <c r="G147" s="1538"/>
      <c r="H147" s="1538"/>
      <c r="I147" s="1538"/>
      <c r="J147" s="1537"/>
      <c r="K147" s="1537"/>
      <c r="L147" s="1538"/>
      <c r="M147" s="1538"/>
      <c r="N147" s="1538"/>
      <c r="O147" s="1538"/>
      <c r="P147" s="1538"/>
      <c r="Q147" s="1538"/>
      <c r="R147" s="1538"/>
      <c r="S147" s="1538"/>
      <c r="T147" s="1538"/>
      <c r="U147" s="1538"/>
      <c r="V147" s="1538"/>
      <c r="W147" s="1538"/>
      <c r="X147" s="2920"/>
      <c r="Y147" s="2920"/>
      <c r="Z147" s="2920"/>
    </row>
    <row r="148" spans="1:26" s="1565" customFormat="1">
      <c r="A148" s="1638" t="s">
        <v>932</v>
      </c>
      <c r="B148" s="1676"/>
      <c r="C148" s="1605" t="s">
        <v>902</v>
      </c>
      <c r="D148" s="1538"/>
      <c r="E148" s="1538"/>
      <c r="F148" s="1538"/>
      <c r="G148" s="1538"/>
      <c r="H148" s="1538"/>
      <c r="I148" s="1538"/>
      <c r="J148" s="1537"/>
      <c r="K148" s="1537"/>
      <c r="L148" s="1538"/>
      <c r="M148" s="1538"/>
      <c r="N148" s="1538"/>
      <c r="O148" s="1538"/>
      <c r="P148" s="1538"/>
      <c r="Q148" s="1538"/>
      <c r="R148" s="1538"/>
      <c r="S148" s="1538"/>
      <c r="T148" s="1538"/>
      <c r="U148" s="1538"/>
      <c r="V148" s="1538"/>
      <c r="W148" s="1538"/>
      <c r="X148" s="2920"/>
      <c r="Y148" s="2920"/>
      <c r="Z148" s="2920"/>
    </row>
    <row r="149" spans="1:26" s="1565" customFormat="1">
      <c r="A149" s="1638" t="s">
        <v>933</v>
      </c>
      <c r="B149" s="1676"/>
      <c r="C149" s="1605" t="s">
        <v>903</v>
      </c>
      <c r="D149" s="1538"/>
      <c r="E149" s="1538"/>
      <c r="F149" s="1538"/>
      <c r="G149" s="1538"/>
      <c r="H149" s="1538"/>
      <c r="I149" s="1538"/>
      <c r="J149" s="1537"/>
      <c r="K149" s="1538"/>
      <c r="L149" s="1538"/>
      <c r="M149" s="1538"/>
      <c r="N149" s="1538"/>
      <c r="O149" s="1538"/>
      <c r="P149" s="1538"/>
      <c r="Q149" s="1538"/>
      <c r="R149" s="1538"/>
      <c r="S149" s="1538"/>
      <c r="T149" s="1538"/>
      <c r="U149" s="1538"/>
      <c r="V149" s="1538"/>
      <c r="W149" s="1538"/>
      <c r="X149" s="2920"/>
      <c r="Y149" s="2920"/>
      <c r="Z149" s="2920"/>
    </row>
    <row r="150" spans="1:26" s="1565" customFormat="1">
      <c r="A150" s="1678"/>
      <c r="B150" s="1679"/>
      <c r="C150" s="1680"/>
      <c r="D150" s="1538"/>
      <c r="E150" s="1538"/>
      <c r="F150" s="1538"/>
      <c r="G150" s="1538"/>
      <c r="H150" s="1538"/>
      <c r="I150" s="1538"/>
      <c r="J150" s="1538"/>
      <c r="K150" s="1538"/>
      <c r="L150" s="1538"/>
      <c r="M150" s="1538"/>
      <c r="N150" s="1538"/>
      <c r="O150" s="1538"/>
      <c r="P150" s="1538"/>
      <c r="Q150" s="1538"/>
      <c r="R150" s="1538"/>
      <c r="S150" s="1538"/>
      <c r="T150" s="1538"/>
      <c r="U150" s="1538"/>
      <c r="V150" s="1538"/>
      <c r="W150" s="1538"/>
      <c r="X150" s="2920"/>
      <c r="Y150" s="2920"/>
      <c r="Z150" s="2920"/>
    </row>
    <row r="151" spans="1:26" s="1565" customFormat="1">
      <c r="A151" s="1594"/>
      <c r="B151" s="1595"/>
      <c r="C151" s="1674" t="s">
        <v>445</v>
      </c>
      <c r="D151" s="1538"/>
      <c r="E151" s="1538"/>
      <c r="F151" s="1538"/>
      <c r="G151" s="1538"/>
      <c r="H151" s="1538"/>
      <c r="I151" s="1538"/>
      <c r="J151" s="1538"/>
      <c r="K151" s="1538"/>
      <c r="L151" s="1538"/>
      <c r="M151" s="1538"/>
      <c r="N151" s="1538"/>
      <c r="O151" s="1538"/>
      <c r="P151" s="1538"/>
      <c r="Q151" s="1538"/>
      <c r="R151" s="1538"/>
      <c r="S151" s="1538"/>
      <c r="T151" s="1538"/>
      <c r="U151" s="1538"/>
      <c r="V151" s="1538"/>
      <c r="W151" s="1538"/>
      <c r="X151" s="2920"/>
      <c r="Y151" s="2920"/>
      <c r="Z151" s="2920"/>
    </row>
    <row r="152" spans="1:26" s="1565" customFormat="1">
      <c r="A152" s="1594" t="s">
        <v>934</v>
      </c>
      <c r="B152" s="1595"/>
      <c r="C152" s="1605" t="s">
        <v>445</v>
      </c>
      <c r="D152" s="1538"/>
      <c r="E152" s="1538"/>
      <c r="F152" s="1538"/>
      <c r="G152" s="1538"/>
      <c r="H152" s="1538"/>
      <c r="I152" s="1538"/>
      <c r="J152" s="1677"/>
      <c r="K152" s="1538"/>
      <c r="L152" s="1538"/>
      <c r="M152" s="1538"/>
      <c r="N152" s="1538"/>
      <c r="O152" s="1538"/>
      <c r="P152" s="1538"/>
      <c r="Q152" s="1538"/>
      <c r="R152" s="1538"/>
      <c r="S152" s="1538"/>
      <c r="T152" s="1538"/>
      <c r="U152" s="1538"/>
      <c r="V152" s="1538"/>
      <c r="W152" s="1538"/>
      <c r="X152" s="2920"/>
      <c r="Y152" s="2920"/>
      <c r="Z152" s="2920"/>
    </row>
    <row r="153" spans="1:26" s="1565" customFormat="1">
      <c r="A153" s="1594" t="s">
        <v>935</v>
      </c>
      <c r="B153" s="1595"/>
      <c r="C153" s="1605" t="s">
        <v>446</v>
      </c>
      <c r="D153" s="1538"/>
      <c r="E153" s="1538"/>
      <c r="F153" s="1538"/>
      <c r="G153" s="1538"/>
      <c r="H153" s="1538"/>
      <c r="I153" s="1538"/>
      <c r="J153" s="1677"/>
      <c r="K153" s="1677"/>
      <c r="L153" s="1538"/>
      <c r="M153" s="1538"/>
      <c r="N153" s="1538"/>
      <c r="O153" s="1538"/>
      <c r="P153" s="1538"/>
      <c r="Q153" s="1538"/>
      <c r="R153" s="1538"/>
      <c r="S153" s="1538"/>
      <c r="T153" s="1538"/>
      <c r="U153" s="1538"/>
      <c r="V153" s="1538"/>
      <c r="W153" s="1538"/>
      <c r="X153" s="2920"/>
      <c r="Y153" s="2920"/>
      <c r="Z153" s="2920"/>
    </row>
    <row r="154" spans="1:26" s="1565" customFormat="1">
      <c r="A154" s="1594" t="s">
        <v>936</v>
      </c>
      <c r="B154" s="1595"/>
      <c r="C154" s="1605" t="s">
        <v>447</v>
      </c>
      <c r="D154" s="1538"/>
      <c r="E154" s="1538"/>
      <c r="F154" s="1538"/>
      <c r="G154" s="1538"/>
      <c r="H154" s="1538"/>
      <c r="I154" s="1538"/>
      <c r="J154" s="1677"/>
      <c r="K154" s="1538"/>
      <c r="L154" s="1538"/>
      <c r="M154" s="1538"/>
      <c r="N154" s="1538"/>
      <c r="O154" s="1538"/>
      <c r="P154" s="1538"/>
      <c r="Q154" s="1538"/>
      <c r="R154" s="1538"/>
      <c r="S154" s="1538"/>
      <c r="T154" s="1538"/>
      <c r="U154" s="1538"/>
      <c r="V154" s="1538"/>
      <c r="W154" s="1538"/>
      <c r="X154" s="2920"/>
      <c r="Y154" s="2920"/>
      <c r="Z154" s="2920"/>
    </row>
    <row r="155" spans="1:26" s="1565" customFormat="1">
      <c r="A155" s="1594" t="s">
        <v>937</v>
      </c>
      <c r="B155" s="1595"/>
      <c r="C155" s="1605" t="s">
        <v>448</v>
      </c>
      <c r="D155" s="1538"/>
      <c r="E155" s="1538"/>
      <c r="F155" s="1538"/>
      <c r="G155" s="1538"/>
      <c r="H155" s="1538"/>
      <c r="I155" s="1538"/>
      <c r="J155" s="1677"/>
      <c r="K155" s="1677"/>
      <c r="L155" s="1538"/>
      <c r="M155" s="1538"/>
      <c r="N155" s="1538"/>
      <c r="O155" s="1538"/>
      <c r="P155" s="1538"/>
      <c r="Q155" s="1538"/>
      <c r="R155" s="1538"/>
      <c r="S155" s="1538"/>
      <c r="T155" s="1538"/>
      <c r="U155" s="1538"/>
      <c r="V155" s="1538"/>
      <c r="W155" s="1538"/>
      <c r="X155" s="2920"/>
      <c r="Y155" s="2920"/>
      <c r="Z155" s="2920"/>
    </row>
    <row r="156" spans="1:26" s="1565" customFormat="1">
      <c r="A156" s="1594" t="s">
        <v>938</v>
      </c>
      <c r="B156" s="1595"/>
      <c r="C156" s="1605" t="s">
        <v>449</v>
      </c>
      <c r="D156" s="1538"/>
      <c r="E156" s="1538"/>
      <c r="F156" s="1538"/>
      <c r="G156" s="1538"/>
      <c r="H156" s="1538"/>
      <c r="I156" s="1538"/>
      <c r="J156" s="1618"/>
      <c r="K156" s="1677"/>
      <c r="L156" s="1538"/>
      <c r="M156" s="1538"/>
      <c r="N156" s="1538"/>
      <c r="O156" s="1538"/>
      <c r="P156" s="1538"/>
      <c r="Q156" s="1538"/>
      <c r="R156" s="1538"/>
      <c r="S156" s="1538"/>
      <c r="T156" s="1538"/>
      <c r="U156" s="1538"/>
      <c r="V156" s="1538"/>
      <c r="W156" s="1538"/>
      <c r="X156" s="2920"/>
      <c r="Y156" s="2920"/>
      <c r="Z156" s="2920"/>
    </row>
    <row r="157" spans="1:26" s="1565" customFormat="1">
      <c r="A157" s="1681"/>
      <c r="B157" s="1682"/>
      <c r="C157" s="1683" t="s">
        <v>1302</v>
      </c>
      <c r="D157" s="1538"/>
      <c r="E157" s="1538"/>
      <c r="F157" s="1538"/>
      <c r="G157" s="1538"/>
      <c r="H157" s="1538"/>
      <c r="I157" s="1538"/>
      <c r="J157" s="1538"/>
      <c r="K157" s="1538"/>
      <c r="L157" s="1538"/>
      <c r="M157" s="1538"/>
      <c r="N157" s="1538"/>
      <c r="O157" s="1538"/>
      <c r="P157" s="1538"/>
      <c r="Q157" s="1538"/>
      <c r="R157" s="1538"/>
      <c r="S157" s="1538"/>
      <c r="T157" s="1538"/>
      <c r="U157" s="1538"/>
      <c r="V157" s="1538"/>
      <c r="W157" s="1538"/>
      <c r="X157" s="2920"/>
      <c r="Y157" s="2920"/>
      <c r="Z157" s="2920"/>
    </row>
    <row r="158" spans="1:26" s="1565" customFormat="1">
      <c r="A158" s="1681"/>
      <c r="B158" s="1682"/>
      <c r="C158" s="1683" t="s">
        <v>1301</v>
      </c>
      <c r="D158" s="1538"/>
      <c r="E158" s="1538"/>
      <c r="F158" s="1538"/>
      <c r="G158" s="1538"/>
      <c r="H158" s="1538"/>
      <c r="I158" s="1538"/>
      <c r="J158" s="1538"/>
      <c r="K158" s="1538"/>
      <c r="L158" s="1538"/>
      <c r="M158" s="1538"/>
      <c r="N158" s="1538"/>
      <c r="O158" s="1538"/>
      <c r="P158" s="1538"/>
      <c r="Q158" s="1538"/>
      <c r="R158" s="1538"/>
      <c r="S158" s="1538"/>
      <c r="T158" s="1538"/>
      <c r="U158" s="1538"/>
      <c r="V158" s="1538"/>
      <c r="W158" s="1538"/>
      <c r="X158" s="2920"/>
      <c r="Y158" s="2920"/>
      <c r="Z158" s="2920"/>
    </row>
    <row r="159" spans="1:26" s="1565" customFormat="1">
      <c r="A159" s="1681" t="s">
        <v>836</v>
      </c>
      <c r="B159" s="1684" t="s">
        <v>770</v>
      </c>
      <c r="C159" s="1685" t="s">
        <v>1318</v>
      </c>
      <c r="D159" s="1538"/>
      <c r="E159" s="1538"/>
      <c r="F159" s="1538"/>
      <c r="G159" s="1538"/>
      <c r="H159" s="1538"/>
      <c r="I159" s="1538"/>
      <c r="J159" s="1538"/>
      <c r="K159" s="1538"/>
      <c r="L159" s="1538"/>
      <c r="M159" s="1538"/>
      <c r="N159" s="1538"/>
      <c r="O159" s="1538"/>
      <c r="P159" s="1538"/>
      <c r="Q159" s="1538"/>
      <c r="R159" s="1538"/>
      <c r="S159" s="1538"/>
      <c r="T159" s="1538"/>
      <c r="U159" s="1538">
        <v>0</v>
      </c>
      <c r="V159" s="1538">
        <v>0</v>
      </c>
      <c r="W159" s="1538"/>
      <c r="X159" s="2920"/>
      <c r="Y159" s="2920"/>
      <c r="Z159" s="2920"/>
    </row>
    <row r="160" spans="1:26" s="1565" customFormat="1">
      <c r="A160" s="1681" t="s">
        <v>837</v>
      </c>
      <c r="B160" s="1686" t="s">
        <v>771</v>
      </c>
      <c r="C160" s="1685" t="s">
        <v>1316</v>
      </c>
      <c r="D160" s="1538"/>
      <c r="E160" s="1538"/>
      <c r="F160" s="1538"/>
      <c r="G160" s="1538"/>
      <c r="H160" s="1538"/>
      <c r="I160" s="1617"/>
      <c r="J160" s="1617"/>
      <c r="K160" s="1617"/>
      <c r="L160" s="1538"/>
      <c r="M160" s="1538"/>
      <c r="N160" s="1538"/>
      <c r="O160" s="1538"/>
      <c r="P160" s="1538"/>
      <c r="Q160" s="1538"/>
      <c r="R160" s="1538"/>
      <c r="S160" s="1538"/>
      <c r="T160" s="1538"/>
      <c r="U160" s="1617">
        <v>0</v>
      </c>
      <c r="V160" s="1617">
        <v>0</v>
      </c>
      <c r="W160" s="1617"/>
      <c r="X160" s="4249"/>
      <c r="Y160" s="2920"/>
      <c r="Z160" s="2920"/>
    </row>
    <row r="161" spans="1:26" s="1565" customFormat="1">
      <c r="A161" s="1681"/>
      <c r="B161" s="1682"/>
      <c r="C161" s="1683" t="s">
        <v>1323</v>
      </c>
      <c r="D161" s="1538"/>
      <c r="E161" s="1538"/>
      <c r="F161" s="1538"/>
      <c r="G161" s="1538"/>
      <c r="H161" s="1538"/>
      <c r="I161" s="1538"/>
      <c r="J161" s="1538"/>
      <c r="K161" s="1538"/>
      <c r="L161" s="1538"/>
      <c r="M161" s="1538"/>
      <c r="N161" s="1538"/>
      <c r="O161" s="1538"/>
      <c r="P161" s="1538"/>
      <c r="Q161" s="1538"/>
      <c r="R161" s="1538"/>
      <c r="S161" s="1538"/>
      <c r="T161" s="1538"/>
      <c r="U161" s="1538"/>
      <c r="V161" s="1538"/>
      <c r="W161" s="1538"/>
      <c r="X161" s="2920"/>
      <c r="Y161" s="2920"/>
      <c r="Z161" s="2920"/>
    </row>
    <row r="162" spans="1:26" s="1565" customFormat="1">
      <c r="A162" s="1681" t="s">
        <v>838</v>
      </c>
      <c r="B162" s="1686" t="s">
        <v>772</v>
      </c>
      <c r="C162" s="1685" t="s">
        <v>371</v>
      </c>
      <c r="D162" s="1585"/>
      <c r="E162" s="1585"/>
      <c r="F162" s="1585"/>
      <c r="G162" s="1585"/>
      <c r="H162" s="1585"/>
      <c r="I162" s="1617"/>
      <c r="J162" s="1585"/>
      <c r="K162" s="1585"/>
      <c r="L162" s="1585"/>
      <c r="M162" s="1585"/>
      <c r="N162" s="1585"/>
      <c r="O162" s="1585"/>
      <c r="P162" s="1585"/>
      <c r="Q162" s="1585"/>
      <c r="R162" s="1585"/>
      <c r="S162" s="1585"/>
      <c r="T162" s="1585"/>
      <c r="U162" s="1585">
        <v>0</v>
      </c>
      <c r="V162" s="1585">
        <v>0</v>
      </c>
      <c r="W162" s="1585"/>
      <c r="X162" s="2932"/>
      <c r="Y162" s="2932"/>
      <c r="Z162" s="2932"/>
    </row>
    <row r="163" spans="1:26" s="1565" customFormat="1">
      <c r="A163" s="1681" t="s">
        <v>839</v>
      </c>
      <c r="B163" s="1687" t="s">
        <v>773</v>
      </c>
      <c r="C163" s="1685" t="s">
        <v>1314</v>
      </c>
      <c r="D163" s="1585"/>
      <c r="E163" s="1585"/>
      <c r="F163" s="1585"/>
      <c r="G163" s="1585"/>
      <c r="H163" s="1585"/>
      <c r="I163" s="1538"/>
      <c r="J163" s="1585"/>
      <c r="K163" s="1585"/>
      <c r="L163" s="1585"/>
      <c r="M163" s="1585"/>
      <c r="N163" s="1585"/>
      <c r="O163" s="1585"/>
      <c r="P163" s="1585"/>
      <c r="Q163" s="1585"/>
      <c r="R163" s="1585"/>
      <c r="S163" s="1585"/>
      <c r="T163" s="1585"/>
      <c r="U163" s="1585">
        <v>0</v>
      </c>
      <c r="V163" s="1585">
        <v>0</v>
      </c>
      <c r="W163" s="1585"/>
      <c r="X163" s="2932"/>
      <c r="Y163" s="2932"/>
      <c r="Z163" s="2932"/>
    </row>
    <row r="164" spans="1:26" s="1565" customFormat="1">
      <c r="A164" s="1681" t="s">
        <v>840</v>
      </c>
      <c r="B164" s="1686" t="s">
        <v>774</v>
      </c>
      <c r="C164" s="1685" t="s">
        <v>372</v>
      </c>
      <c r="D164" s="1585"/>
      <c r="E164" s="1585"/>
      <c r="F164" s="1585"/>
      <c r="G164" s="1585"/>
      <c r="H164" s="1585"/>
      <c r="I164" s="1617"/>
      <c r="J164" s="1585"/>
      <c r="K164" s="1585"/>
      <c r="L164" s="1585"/>
      <c r="M164" s="1585"/>
      <c r="N164" s="1585"/>
      <c r="O164" s="1585"/>
      <c r="P164" s="1585"/>
      <c r="Q164" s="1585"/>
      <c r="R164" s="1585"/>
      <c r="S164" s="1585"/>
      <c r="T164" s="1585"/>
      <c r="U164" s="1585">
        <v>0</v>
      </c>
      <c r="V164" s="1585">
        <v>0</v>
      </c>
      <c r="W164" s="1585"/>
      <c r="X164" s="2932"/>
      <c r="Y164" s="2932"/>
      <c r="Z164" s="2932"/>
    </row>
    <row r="165" spans="1:26" s="1565" customFormat="1">
      <c r="A165" s="1681" t="s">
        <v>841</v>
      </c>
      <c r="B165" s="1687" t="s">
        <v>775</v>
      </c>
      <c r="C165" s="1685" t="s">
        <v>1315</v>
      </c>
      <c r="D165" s="1585"/>
      <c r="E165" s="1585"/>
      <c r="F165" s="1585"/>
      <c r="G165" s="1585"/>
      <c r="H165" s="1585"/>
      <c r="I165" s="1538"/>
      <c r="J165" s="1585"/>
      <c r="K165" s="1585"/>
      <c r="L165" s="1585"/>
      <c r="M165" s="1585"/>
      <c r="N165" s="1585"/>
      <c r="O165" s="1585"/>
      <c r="P165" s="1585"/>
      <c r="Q165" s="1585"/>
      <c r="R165" s="1585"/>
      <c r="S165" s="1585"/>
      <c r="T165" s="1585"/>
      <c r="U165" s="1585">
        <v>0</v>
      </c>
      <c r="V165" s="1585">
        <v>0</v>
      </c>
      <c r="W165" s="1585"/>
      <c r="X165" s="2932"/>
      <c r="Y165" s="2932"/>
      <c r="Z165" s="2932"/>
    </row>
    <row r="166" spans="1:26" s="1565" customFormat="1">
      <c r="A166" s="1681" t="s">
        <v>842</v>
      </c>
      <c r="B166" s="1687"/>
      <c r="C166" s="1685" t="s">
        <v>511</v>
      </c>
      <c r="D166" s="1538"/>
      <c r="E166" s="1538"/>
      <c r="F166" s="1538"/>
      <c r="G166" s="1538"/>
      <c r="H166" s="1538"/>
      <c r="I166" s="1538"/>
      <c r="J166" s="1538"/>
      <c r="K166" s="1538"/>
      <c r="L166" s="1538"/>
      <c r="M166" s="1538"/>
      <c r="N166" s="1538"/>
      <c r="O166" s="1538"/>
      <c r="P166" s="1538"/>
      <c r="Q166" s="1538"/>
      <c r="R166" s="1538"/>
      <c r="S166" s="1538"/>
      <c r="T166" s="1538"/>
      <c r="U166" s="1538"/>
      <c r="V166" s="1538"/>
      <c r="W166" s="1538"/>
      <c r="X166" s="2920"/>
      <c r="Y166" s="2920"/>
      <c r="Z166" s="2920"/>
    </row>
    <row r="167" spans="1:26" s="1565" customFormat="1">
      <c r="A167" s="1681" t="s">
        <v>843</v>
      </c>
      <c r="B167" s="1687"/>
      <c r="C167" s="1685" t="s">
        <v>512</v>
      </c>
      <c r="D167" s="1538"/>
      <c r="E167" s="1538"/>
      <c r="F167" s="1538"/>
      <c r="G167" s="1538"/>
      <c r="H167" s="1538"/>
      <c r="I167" s="1538"/>
      <c r="J167" s="1538"/>
      <c r="K167" s="1538"/>
      <c r="L167" s="1538"/>
      <c r="M167" s="1538"/>
      <c r="N167" s="1538"/>
      <c r="O167" s="1538"/>
      <c r="P167" s="1538"/>
      <c r="Q167" s="1538"/>
      <c r="R167" s="1538"/>
      <c r="S167" s="1538"/>
      <c r="T167" s="1538"/>
      <c r="U167" s="1538"/>
      <c r="V167" s="1538"/>
      <c r="W167" s="1538"/>
      <c r="X167" s="2920"/>
      <c r="Y167" s="2920"/>
      <c r="Z167" s="2920"/>
    </row>
    <row r="168" spans="1:26" s="1565" customFormat="1">
      <c r="A168" s="1681"/>
      <c r="B168" s="1682"/>
      <c r="C168" s="1683" t="s">
        <v>1275</v>
      </c>
      <c r="D168" s="1538"/>
      <c r="E168" s="1538"/>
      <c r="F168" s="1538"/>
      <c r="G168" s="1538"/>
      <c r="H168" s="1538"/>
      <c r="I168" s="1538"/>
      <c r="J168" s="1538"/>
      <c r="K168" s="1538"/>
      <c r="L168" s="1538"/>
      <c r="M168" s="1538"/>
      <c r="N168" s="1538"/>
      <c r="O168" s="1538"/>
      <c r="P168" s="1538"/>
      <c r="Q168" s="1538"/>
      <c r="R168" s="1538"/>
      <c r="S168" s="1538"/>
      <c r="T168" s="1538"/>
      <c r="U168" s="1538"/>
      <c r="V168" s="1538"/>
      <c r="W168" s="1538"/>
      <c r="X168" s="2920"/>
      <c r="Y168" s="2920"/>
      <c r="Z168" s="2920"/>
    </row>
    <row r="169" spans="1:26" s="1565" customFormat="1">
      <c r="A169" s="1681" t="s">
        <v>844</v>
      </c>
      <c r="B169" s="1688" t="s">
        <v>776</v>
      </c>
      <c r="C169" s="1685" t="s">
        <v>1321</v>
      </c>
      <c r="D169" s="1538"/>
      <c r="E169" s="1538"/>
      <c r="F169" s="1538"/>
      <c r="G169" s="1538"/>
      <c r="H169" s="1538"/>
      <c r="I169" s="1617"/>
      <c r="J169" s="1617"/>
      <c r="K169" s="1617"/>
      <c r="L169" s="1538"/>
      <c r="M169" s="1538"/>
      <c r="N169" s="1538"/>
      <c r="O169" s="1538"/>
      <c r="P169" s="1538"/>
      <c r="Q169" s="1538"/>
      <c r="R169" s="1538"/>
      <c r="S169" s="1538"/>
      <c r="T169" s="1538"/>
      <c r="U169" s="1617">
        <v>0</v>
      </c>
      <c r="V169" s="1617">
        <v>0</v>
      </c>
      <c r="W169" s="1617"/>
      <c r="X169" s="4249"/>
      <c r="Y169" s="2920"/>
      <c r="Z169" s="2920"/>
    </row>
    <row r="170" spans="1:26" s="1565" customFormat="1">
      <c r="A170" s="1535"/>
      <c r="B170" s="1536"/>
      <c r="C170" s="1560" t="s">
        <v>1350</v>
      </c>
      <c r="D170" s="1538"/>
      <c r="E170" s="1538"/>
      <c r="F170" s="1538"/>
      <c r="G170" s="1538"/>
      <c r="H170" s="1538"/>
      <c r="I170" s="1538"/>
      <c r="J170" s="1538"/>
      <c r="K170" s="1538"/>
      <c r="L170" s="1538"/>
      <c r="M170" s="1538"/>
      <c r="N170" s="1538"/>
      <c r="O170" s="1538"/>
      <c r="P170" s="1538"/>
      <c r="Q170" s="1538"/>
      <c r="R170" s="1538"/>
      <c r="S170" s="1538"/>
      <c r="T170" s="1538"/>
      <c r="U170" s="1538"/>
      <c r="V170" s="1538"/>
      <c r="W170" s="1538"/>
      <c r="X170" s="2920"/>
      <c r="Y170" s="2920"/>
      <c r="Z170" s="2920"/>
    </row>
    <row r="171" spans="1:26" s="1565" customFormat="1">
      <c r="A171" s="1689"/>
      <c r="B171" s="1690"/>
      <c r="C171" s="1691" t="s">
        <v>1361</v>
      </c>
      <c r="D171" s="1538"/>
      <c r="E171" s="1538"/>
      <c r="F171" s="1538"/>
      <c r="G171" s="1538"/>
      <c r="H171" s="1538"/>
      <c r="I171" s="1538"/>
      <c r="J171" s="1538"/>
      <c r="K171" s="1538"/>
      <c r="L171" s="1538"/>
      <c r="M171" s="1538"/>
      <c r="N171" s="1538"/>
      <c r="O171" s="1538"/>
      <c r="P171" s="1538"/>
      <c r="Q171" s="1538"/>
      <c r="R171" s="1538"/>
      <c r="S171" s="1538"/>
      <c r="T171" s="1538"/>
      <c r="U171" s="1538"/>
      <c r="V171" s="1538"/>
      <c r="W171" s="1538"/>
      <c r="X171" s="2920"/>
      <c r="Y171" s="2920"/>
      <c r="Z171" s="2920"/>
    </row>
    <row r="172" spans="1:26" s="1565" customFormat="1">
      <c r="A172" s="1689"/>
      <c r="B172" s="1690"/>
      <c r="C172" s="1691" t="s">
        <v>1340</v>
      </c>
      <c r="D172" s="1538"/>
      <c r="E172" s="1538"/>
      <c r="F172" s="1538"/>
      <c r="G172" s="1538"/>
      <c r="H172" s="1538"/>
      <c r="I172" s="1538"/>
      <c r="J172" s="1538"/>
      <c r="K172" s="1538"/>
      <c r="L172" s="1538"/>
      <c r="M172" s="1538"/>
      <c r="N172" s="1538"/>
      <c r="O172" s="1538"/>
      <c r="P172" s="1538"/>
      <c r="Q172" s="1538"/>
      <c r="R172" s="1538"/>
      <c r="S172" s="1538"/>
      <c r="T172" s="1538"/>
      <c r="U172" s="1538"/>
      <c r="V172" s="1538"/>
      <c r="W172" s="1538"/>
      <c r="X172" s="2920"/>
      <c r="Y172" s="2920"/>
      <c r="Z172" s="2920"/>
    </row>
    <row r="173" spans="1:26" s="1565" customFormat="1">
      <c r="A173" s="1689"/>
      <c r="B173" s="1690"/>
      <c r="C173" s="1692" t="s">
        <v>1359</v>
      </c>
      <c r="D173" s="1538"/>
      <c r="E173" s="1538"/>
      <c r="F173" s="1538"/>
      <c r="G173" s="1538"/>
      <c r="H173" s="1538"/>
      <c r="I173" s="1538"/>
      <c r="J173" s="1538"/>
      <c r="K173" s="1538"/>
      <c r="L173" s="1538"/>
      <c r="M173" s="1538"/>
      <c r="N173" s="1538"/>
      <c r="O173" s="1538"/>
      <c r="P173" s="1538"/>
      <c r="Q173" s="1538"/>
      <c r="R173" s="1538"/>
      <c r="S173" s="1538"/>
      <c r="T173" s="1538"/>
      <c r="U173" s="1538"/>
      <c r="V173" s="1538"/>
      <c r="W173" s="1538"/>
      <c r="X173" s="2920"/>
      <c r="Y173" s="2920"/>
      <c r="Z173" s="2920"/>
    </row>
    <row r="174" spans="1:26" s="1565" customFormat="1">
      <c r="A174" s="1689" t="s">
        <v>845</v>
      </c>
      <c r="B174" s="1693" t="s">
        <v>777</v>
      </c>
      <c r="C174" s="1694" t="s">
        <v>1351</v>
      </c>
      <c r="D174" s="1538"/>
      <c r="E174" s="1538"/>
      <c r="F174" s="1538"/>
      <c r="G174" s="1538"/>
      <c r="H174" s="1538"/>
      <c r="I174" s="1538"/>
      <c r="J174" s="1538"/>
      <c r="K174" s="1538"/>
      <c r="L174" s="1538"/>
      <c r="M174" s="1538"/>
      <c r="N174" s="1538"/>
      <c r="O174" s="1538"/>
      <c r="P174" s="1538"/>
      <c r="Q174" s="1538"/>
      <c r="R174" s="1538"/>
      <c r="S174" s="1538"/>
      <c r="T174" s="1538"/>
      <c r="U174" s="1538"/>
      <c r="V174" s="1538"/>
      <c r="W174" s="1538"/>
      <c r="X174" s="2920"/>
      <c r="Y174" s="2920"/>
      <c r="Z174" s="2920"/>
    </row>
    <row r="175" spans="1:26" s="1565" customFormat="1">
      <c r="A175" s="1689" t="s">
        <v>846</v>
      </c>
      <c r="B175" s="1693" t="s">
        <v>778</v>
      </c>
      <c r="C175" s="1694" t="s">
        <v>1353</v>
      </c>
      <c r="D175" s="1538"/>
      <c r="E175" s="1538"/>
      <c r="F175" s="1538"/>
      <c r="G175" s="1538"/>
      <c r="H175" s="1538"/>
      <c r="I175" s="1538"/>
      <c r="J175" s="1538"/>
      <c r="K175" s="1538"/>
      <c r="L175" s="1538"/>
      <c r="M175" s="1538"/>
      <c r="N175" s="1538"/>
      <c r="O175" s="1538"/>
      <c r="P175" s="1538"/>
      <c r="Q175" s="1538"/>
      <c r="R175" s="1538"/>
      <c r="S175" s="1538"/>
      <c r="T175" s="1538"/>
      <c r="U175" s="1538">
        <v>0</v>
      </c>
      <c r="V175" s="1538">
        <v>0</v>
      </c>
      <c r="W175" s="1538"/>
      <c r="X175" s="2920"/>
      <c r="Y175" s="2920"/>
      <c r="Z175" s="2920"/>
    </row>
    <row r="176" spans="1:26" s="1566" customFormat="1">
      <c r="A176" s="1695" t="s">
        <v>847</v>
      </c>
      <c r="B176" s="1696" t="s">
        <v>779</v>
      </c>
      <c r="C176" s="1692" t="s">
        <v>1356</v>
      </c>
      <c r="D176" s="1630"/>
      <c r="E176" s="1630"/>
      <c r="F176" s="1630"/>
      <c r="G176" s="1630"/>
      <c r="H176" s="1630"/>
      <c r="I176" s="1617"/>
      <c r="J176" s="1630"/>
      <c r="K176" s="1630"/>
      <c r="L176" s="1630"/>
      <c r="M176" s="1630"/>
      <c r="N176" s="1630"/>
      <c r="O176" s="1630"/>
      <c r="P176" s="1630"/>
      <c r="Q176" s="1630"/>
      <c r="R176" s="1630"/>
      <c r="S176" s="1630"/>
      <c r="T176" s="1630"/>
      <c r="U176" s="1630">
        <v>0</v>
      </c>
      <c r="V176" s="1630">
        <v>0</v>
      </c>
      <c r="W176" s="1630"/>
      <c r="X176" s="2936"/>
      <c r="Y176" s="2936"/>
      <c r="Z176" s="2936"/>
    </row>
    <row r="177" spans="1:26" s="1566" customFormat="1">
      <c r="A177" s="1695" t="s">
        <v>848</v>
      </c>
      <c r="B177" s="1697" t="s">
        <v>780</v>
      </c>
      <c r="C177" s="1692" t="s">
        <v>1352</v>
      </c>
      <c r="D177" s="1538"/>
      <c r="E177" s="1538"/>
      <c r="F177" s="1538"/>
      <c r="G177" s="1538"/>
      <c r="H177" s="1538"/>
      <c r="I177" s="1538"/>
      <c r="J177" s="1538"/>
      <c r="K177" s="1538"/>
      <c r="L177" s="1538"/>
      <c r="M177" s="1538"/>
      <c r="N177" s="1538"/>
      <c r="O177" s="1538"/>
      <c r="P177" s="1538"/>
      <c r="Q177" s="1538"/>
      <c r="R177" s="1538"/>
      <c r="S177" s="1538"/>
      <c r="T177" s="1538"/>
      <c r="U177" s="1538"/>
      <c r="V177" s="1538"/>
      <c r="W177" s="1538"/>
      <c r="X177" s="2920"/>
      <c r="Y177" s="2920"/>
      <c r="Z177" s="2920"/>
    </row>
    <row r="178" spans="1:26" s="1566" customFormat="1">
      <c r="A178" s="1695" t="s">
        <v>849</v>
      </c>
      <c r="B178" s="1696" t="s">
        <v>781</v>
      </c>
      <c r="C178" s="1692" t="s">
        <v>1357</v>
      </c>
      <c r="D178" s="1585"/>
      <c r="E178" s="1585"/>
      <c r="F178" s="1585"/>
      <c r="G178" s="1585"/>
      <c r="H178" s="1585"/>
      <c r="I178" s="1538"/>
      <c r="J178" s="1538"/>
      <c r="K178" s="1538"/>
      <c r="L178" s="1538"/>
      <c r="M178" s="1538"/>
      <c r="N178" s="1538"/>
      <c r="O178" s="1538"/>
      <c r="P178" s="1538"/>
      <c r="Q178" s="1538"/>
      <c r="R178" s="1538"/>
      <c r="S178" s="1538"/>
      <c r="T178" s="1538"/>
      <c r="U178" s="1538">
        <v>0</v>
      </c>
      <c r="V178" s="1538">
        <v>0</v>
      </c>
      <c r="W178" s="1538"/>
      <c r="X178" s="2920"/>
      <c r="Y178" s="2920"/>
      <c r="Z178" s="2920"/>
    </row>
    <row r="179" spans="1:26" s="1566" customFormat="1">
      <c r="A179" s="1695"/>
      <c r="B179" s="1698"/>
      <c r="C179" s="1699" t="s">
        <v>418</v>
      </c>
      <c r="D179" s="1538"/>
      <c r="E179" s="1538"/>
      <c r="F179" s="1538"/>
      <c r="G179" s="1538"/>
      <c r="H179" s="1538"/>
      <c r="I179" s="1538"/>
      <c r="J179" s="1538"/>
      <c r="K179" s="1538"/>
      <c r="L179" s="1538"/>
      <c r="M179" s="1538"/>
      <c r="N179" s="1538"/>
      <c r="O179" s="1538"/>
      <c r="P179" s="1538"/>
      <c r="Q179" s="1538"/>
      <c r="R179" s="1538"/>
      <c r="S179" s="1538"/>
      <c r="T179" s="1538"/>
      <c r="U179" s="1538"/>
      <c r="V179" s="1538"/>
      <c r="W179" s="1538"/>
      <c r="X179" s="2920"/>
      <c r="Y179" s="2920"/>
      <c r="Z179" s="2920"/>
    </row>
    <row r="180" spans="1:26" s="1566" customFormat="1">
      <c r="A180" s="1695"/>
      <c r="B180" s="1698"/>
      <c r="C180" s="1692" t="s">
        <v>1363</v>
      </c>
      <c r="D180" s="1538"/>
      <c r="E180" s="1538"/>
      <c r="F180" s="1538"/>
      <c r="G180" s="1538"/>
      <c r="H180" s="1538"/>
      <c r="I180" s="1538"/>
      <c r="J180" s="1538"/>
      <c r="K180" s="1538"/>
      <c r="L180" s="1538"/>
      <c r="M180" s="1538"/>
      <c r="N180" s="1538"/>
      <c r="O180" s="1538"/>
      <c r="P180" s="1538"/>
      <c r="Q180" s="1538"/>
      <c r="R180" s="1538"/>
      <c r="S180" s="1538"/>
      <c r="T180" s="1538"/>
      <c r="U180" s="1538"/>
      <c r="V180" s="1538"/>
      <c r="W180" s="1538"/>
      <c r="X180" s="2920"/>
      <c r="Y180" s="2920"/>
      <c r="Z180" s="2920"/>
    </row>
    <row r="181" spans="1:26" s="1566" customFormat="1">
      <c r="A181" s="1695" t="s">
        <v>850</v>
      </c>
      <c r="B181" s="1697" t="s">
        <v>782</v>
      </c>
      <c r="C181" s="1692" t="s">
        <v>1351</v>
      </c>
      <c r="D181" s="1538"/>
      <c r="E181" s="1538"/>
      <c r="F181" s="1538"/>
      <c r="G181" s="1538"/>
      <c r="H181" s="1538"/>
      <c r="I181" s="1538"/>
      <c r="J181" s="1538"/>
      <c r="K181" s="1538"/>
      <c r="L181" s="1538"/>
      <c r="M181" s="1538"/>
      <c r="N181" s="1538"/>
      <c r="O181" s="1538"/>
      <c r="P181" s="1538"/>
      <c r="Q181" s="1538"/>
      <c r="R181" s="1538"/>
      <c r="S181" s="1538"/>
      <c r="T181" s="1538"/>
      <c r="U181" s="1538"/>
      <c r="V181" s="1538"/>
      <c r="W181" s="1538"/>
      <c r="X181" s="2920"/>
      <c r="Y181" s="2920"/>
      <c r="Z181" s="2920"/>
    </row>
    <row r="182" spans="1:26" s="1566" customFormat="1">
      <c r="A182" s="1695" t="s">
        <v>851</v>
      </c>
      <c r="B182" s="1698" t="s">
        <v>783</v>
      </c>
      <c r="C182" s="1692" t="s">
        <v>1353</v>
      </c>
      <c r="D182" s="1538"/>
      <c r="E182" s="1538"/>
      <c r="F182" s="1538"/>
      <c r="G182" s="1538"/>
      <c r="H182" s="1538"/>
      <c r="I182" s="1538"/>
      <c r="J182" s="1538"/>
      <c r="K182" s="1538"/>
      <c r="L182" s="1538"/>
      <c r="M182" s="1538"/>
      <c r="N182" s="1538"/>
      <c r="O182" s="1538"/>
      <c r="P182" s="1538"/>
      <c r="Q182" s="1538"/>
      <c r="R182" s="1538"/>
      <c r="S182" s="1538"/>
      <c r="T182" s="1538"/>
      <c r="U182" s="1538">
        <v>0</v>
      </c>
      <c r="V182" s="1538">
        <v>0</v>
      </c>
      <c r="W182" s="1538"/>
      <c r="X182" s="2920"/>
      <c r="Y182" s="2920"/>
      <c r="Z182" s="2920"/>
    </row>
    <row r="183" spans="1:26" s="1566" customFormat="1">
      <c r="A183" s="1695" t="s">
        <v>852</v>
      </c>
      <c r="B183" s="1697" t="s">
        <v>784</v>
      </c>
      <c r="C183" s="1692" t="s">
        <v>1356</v>
      </c>
      <c r="D183" s="1630"/>
      <c r="E183" s="1630"/>
      <c r="F183" s="1630"/>
      <c r="G183" s="1630"/>
      <c r="H183" s="1630"/>
      <c r="I183" s="1617"/>
      <c r="J183" s="1630"/>
      <c r="K183" s="1630"/>
      <c r="L183" s="1630"/>
      <c r="M183" s="1630"/>
      <c r="N183" s="1630"/>
      <c r="O183" s="1630"/>
      <c r="P183" s="1630"/>
      <c r="Q183" s="1630"/>
      <c r="R183" s="1630"/>
      <c r="S183" s="1630"/>
      <c r="T183" s="1630"/>
      <c r="U183" s="1630">
        <v>0</v>
      </c>
      <c r="V183" s="1630">
        <v>0</v>
      </c>
      <c r="W183" s="1630"/>
      <c r="X183" s="2936"/>
      <c r="Y183" s="2936"/>
      <c r="Z183" s="2936"/>
    </row>
    <row r="184" spans="1:26" s="1566" customFormat="1">
      <c r="A184" s="1695" t="s">
        <v>853</v>
      </c>
      <c r="B184" s="1697" t="s">
        <v>785</v>
      </c>
      <c r="C184" s="1692" t="s">
        <v>1352</v>
      </c>
      <c r="D184" s="1538"/>
      <c r="E184" s="1538"/>
      <c r="F184" s="1538"/>
      <c r="G184" s="1538"/>
      <c r="H184" s="1538"/>
      <c r="I184" s="1538"/>
      <c r="J184" s="1538"/>
      <c r="K184" s="1538"/>
      <c r="L184" s="1538"/>
      <c r="M184" s="1538"/>
      <c r="N184" s="1538"/>
      <c r="O184" s="1538"/>
      <c r="P184" s="1538"/>
      <c r="Q184" s="1538"/>
      <c r="R184" s="1538"/>
      <c r="S184" s="1538"/>
      <c r="T184" s="1538"/>
      <c r="U184" s="1538"/>
      <c r="V184" s="1538"/>
      <c r="W184" s="1538"/>
      <c r="X184" s="2920"/>
      <c r="Y184" s="2920"/>
      <c r="Z184" s="2920"/>
    </row>
    <row r="185" spans="1:26" s="1566" customFormat="1">
      <c r="A185" s="1695" t="s">
        <v>854</v>
      </c>
      <c r="B185" s="1696" t="s">
        <v>786</v>
      </c>
      <c r="C185" s="1692" t="s">
        <v>1357</v>
      </c>
      <c r="D185" s="1585"/>
      <c r="E185" s="1585"/>
      <c r="F185" s="1585"/>
      <c r="G185" s="1585"/>
      <c r="H185" s="1585"/>
      <c r="I185" s="1538"/>
      <c r="J185" s="1538"/>
      <c r="K185" s="1538"/>
      <c r="L185" s="1538"/>
      <c r="M185" s="1538"/>
      <c r="N185" s="1538"/>
      <c r="O185" s="1538"/>
      <c r="P185" s="1538"/>
      <c r="Q185" s="1538"/>
      <c r="R185" s="1538"/>
      <c r="S185" s="1538"/>
      <c r="T185" s="1538"/>
      <c r="U185" s="1538">
        <v>0</v>
      </c>
      <c r="V185" s="1538">
        <v>0</v>
      </c>
      <c r="W185" s="1538"/>
      <c r="X185" s="2920"/>
      <c r="Y185" s="2920"/>
      <c r="Z185" s="2920"/>
    </row>
    <row r="186" spans="1:26" s="1565" customFormat="1">
      <c r="A186" s="1689"/>
      <c r="B186" s="1690"/>
      <c r="C186" s="1691" t="s">
        <v>1364</v>
      </c>
      <c r="D186" s="1538"/>
      <c r="E186" s="1538"/>
      <c r="F186" s="1538"/>
      <c r="G186" s="1538"/>
      <c r="H186" s="1538"/>
      <c r="I186" s="1538"/>
      <c r="J186" s="1538"/>
      <c r="K186" s="1538"/>
      <c r="L186" s="1538"/>
      <c r="M186" s="1538"/>
      <c r="N186" s="1538"/>
      <c r="O186" s="1538"/>
      <c r="P186" s="1538"/>
      <c r="Q186" s="1538"/>
      <c r="R186" s="1538"/>
      <c r="S186" s="1538"/>
      <c r="T186" s="1538"/>
      <c r="U186" s="1538"/>
      <c r="V186" s="1538"/>
      <c r="W186" s="1538"/>
      <c r="X186" s="2920"/>
      <c r="Y186" s="2920"/>
      <c r="Z186" s="2920"/>
    </row>
    <row r="187" spans="1:26" s="1565" customFormat="1">
      <c r="A187" s="1689"/>
      <c r="B187" s="1690"/>
      <c r="C187" s="1694" t="s">
        <v>1365</v>
      </c>
      <c r="D187" s="1538"/>
      <c r="E187" s="1538"/>
      <c r="F187" s="1538"/>
      <c r="G187" s="1538"/>
      <c r="H187" s="1538"/>
      <c r="I187" s="1538"/>
      <c r="J187" s="1538"/>
      <c r="K187" s="1538"/>
      <c r="L187" s="1538"/>
      <c r="M187" s="1538"/>
      <c r="N187" s="1538"/>
      <c r="O187" s="1538"/>
      <c r="P187" s="1538"/>
      <c r="Q187" s="1538"/>
      <c r="R187" s="1538"/>
      <c r="S187" s="1538"/>
      <c r="T187" s="1538"/>
      <c r="U187" s="1538"/>
      <c r="V187" s="1538"/>
      <c r="W187" s="1538"/>
      <c r="X187" s="2920"/>
      <c r="Y187" s="2920"/>
      <c r="Z187" s="2920"/>
    </row>
    <row r="188" spans="1:26" s="1565" customFormat="1">
      <c r="A188" s="1689" t="s">
        <v>855</v>
      </c>
      <c r="B188" s="1690" t="s">
        <v>787</v>
      </c>
      <c r="C188" s="1694" t="s">
        <v>119</v>
      </c>
      <c r="D188" s="1538"/>
      <c r="E188" s="1538"/>
      <c r="F188" s="1538"/>
      <c r="G188" s="1538"/>
      <c r="H188" s="1538"/>
      <c r="I188" s="1538"/>
      <c r="J188" s="1538"/>
      <c r="K188" s="1538"/>
      <c r="L188" s="1538"/>
      <c r="M188" s="1538"/>
      <c r="N188" s="1538"/>
      <c r="O188" s="1538"/>
      <c r="P188" s="1538"/>
      <c r="Q188" s="1538"/>
      <c r="R188" s="1538"/>
      <c r="S188" s="1538"/>
      <c r="T188" s="1538"/>
      <c r="U188" s="1538">
        <v>0</v>
      </c>
      <c r="V188" s="1538">
        <v>0</v>
      </c>
      <c r="W188" s="1538"/>
      <c r="X188" s="2920"/>
      <c r="Y188" s="2920"/>
      <c r="Z188" s="2920"/>
    </row>
    <row r="189" spans="1:26" s="1565" customFormat="1">
      <c r="A189" s="1689" t="s">
        <v>856</v>
      </c>
      <c r="B189" s="1693" t="s">
        <v>788</v>
      </c>
      <c r="C189" s="1694" t="s">
        <v>435</v>
      </c>
      <c r="D189" s="1538"/>
      <c r="E189" s="1538"/>
      <c r="F189" s="1538"/>
      <c r="G189" s="1538"/>
      <c r="H189" s="1538"/>
      <c r="I189" s="1538"/>
      <c r="J189" s="1538"/>
      <c r="K189" s="1538"/>
      <c r="L189" s="1538"/>
      <c r="M189" s="1538"/>
      <c r="N189" s="1538"/>
      <c r="O189" s="1538"/>
      <c r="P189" s="1538"/>
      <c r="Q189" s="1538"/>
      <c r="R189" s="1538"/>
      <c r="S189" s="1538"/>
      <c r="T189" s="1538"/>
      <c r="U189" s="1617">
        <v>0</v>
      </c>
      <c r="V189" s="1617">
        <v>0</v>
      </c>
      <c r="W189" s="1617"/>
      <c r="X189" s="4249"/>
      <c r="Y189" s="2920"/>
      <c r="Z189" s="2920"/>
    </row>
    <row r="190" spans="1:26" s="1565" customFormat="1">
      <c r="A190" s="1689" t="s">
        <v>857</v>
      </c>
      <c r="B190" s="1693" t="s">
        <v>789</v>
      </c>
      <c r="C190" s="1694" t="s">
        <v>436</v>
      </c>
      <c r="D190" s="1538"/>
      <c r="E190" s="1538"/>
      <c r="F190" s="1538"/>
      <c r="G190" s="1538"/>
      <c r="H190" s="1538"/>
      <c r="I190" s="1538"/>
      <c r="J190" s="1538"/>
      <c r="K190" s="1538"/>
      <c r="L190" s="1538"/>
      <c r="M190" s="1538"/>
      <c r="N190" s="1538"/>
      <c r="O190" s="1538"/>
      <c r="P190" s="1538"/>
      <c r="Q190" s="1538"/>
      <c r="R190" s="1538"/>
      <c r="S190" s="1538"/>
      <c r="T190" s="1538"/>
      <c r="U190" s="1617">
        <v>0</v>
      </c>
      <c r="V190" s="1617">
        <v>0</v>
      </c>
      <c r="W190" s="1617"/>
      <c r="X190" s="4249"/>
      <c r="Y190" s="2920"/>
      <c r="Z190" s="2920"/>
    </row>
    <row r="191" spans="1:26" s="1565" customFormat="1">
      <c r="A191" s="1689"/>
      <c r="B191" s="1690"/>
      <c r="C191" s="1694" t="s">
        <v>1368</v>
      </c>
      <c r="D191" s="1538"/>
      <c r="E191" s="1538"/>
      <c r="F191" s="1538"/>
      <c r="G191" s="1538"/>
      <c r="H191" s="1538"/>
      <c r="I191" s="1538"/>
      <c r="J191" s="1538"/>
      <c r="K191" s="1538"/>
      <c r="L191" s="1538"/>
      <c r="M191" s="1538"/>
      <c r="N191" s="1538"/>
      <c r="O191" s="1538"/>
      <c r="P191" s="1538"/>
      <c r="Q191" s="1538"/>
      <c r="R191" s="1538"/>
      <c r="S191" s="1538"/>
      <c r="T191" s="1538"/>
      <c r="U191" s="1538"/>
      <c r="V191" s="1538"/>
      <c r="W191" s="1538"/>
      <c r="X191" s="2920"/>
      <c r="Y191" s="2920"/>
      <c r="Z191" s="2920"/>
    </row>
    <row r="192" spans="1:26" s="1565" customFormat="1">
      <c r="A192" s="1689" t="s">
        <v>858</v>
      </c>
      <c r="B192" s="1690" t="s">
        <v>790</v>
      </c>
      <c r="C192" s="1694" t="s">
        <v>119</v>
      </c>
      <c r="D192" s="1538"/>
      <c r="E192" s="1538"/>
      <c r="F192" s="1538"/>
      <c r="G192" s="1538"/>
      <c r="H192" s="1538"/>
      <c r="I192" s="1538"/>
      <c r="J192" s="1538"/>
      <c r="K192" s="1538"/>
      <c r="L192" s="1538"/>
      <c r="M192" s="1538"/>
      <c r="N192" s="1538"/>
      <c r="O192" s="1538"/>
      <c r="P192" s="1538"/>
      <c r="Q192" s="1538"/>
      <c r="R192" s="1538"/>
      <c r="S192" s="1538"/>
      <c r="T192" s="1538"/>
      <c r="U192" s="1538">
        <v>0</v>
      </c>
      <c r="V192" s="1538">
        <v>0</v>
      </c>
      <c r="W192" s="1538"/>
      <c r="X192" s="2920"/>
      <c r="Y192" s="2920"/>
      <c r="Z192" s="2920"/>
    </row>
    <row r="193" spans="1:26" s="1565" customFormat="1">
      <c r="A193" s="1689" t="s">
        <v>859</v>
      </c>
      <c r="B193" s="1693" t="s">
        <v>791</v>
      </c>
      <c r="C193" s="1694" t="s">
        <v>435</v>
      </c>
      <c r="D193" s="1538"/>
      <c r="E193" s="1538"/>
      <c r="F193" s="1538"/>
      <c r="G193" s="1538"/>
      <c r="H193" s="1538"/>
      <c r="I193" s="1538"/>
      <c r="J193" s="1538"/>
      <c r="K193" s="1538"/>
      <c r="L193" s="1538"/>
      <c r="M193" s="1538"/>
      <c r="N193" s="1538"/>
      <c r="O193" s="1538"/>
      <c r="P193" s="1538"/>
      <c r="Q193" s="1538"/>
      <c r="R193" s="1538"/>
      <c r="S193" s="1538"/>
      <c r="T193" s="1538"/>
      <c r="U193" s="1617">
        <v>0</v>
      </c>
      <c r="V193" s="1617">
        <v>0</v>
      </c>
      <c r="W193" s="1617"/>
      <c r="X193" s="4249"/>
      <c r="Y193" s="2920"/>
      <c r="Z193" s="2920"/>
    </row>
    <row r="194" spans="1:26" s="1565" customFormat="1">
      <c r="A194" s="1689" t="s">
        <v>860</v>
      </c>
      <c r="B194" s="1693" t="s">
        <v>792</v>
      </c>
      <c r="C194" s="1694" t="s">
        <v>436</v>
      </c>
      <c r="D194" s="1538"/>
      <c r="E194" s="1538"/>
      <c r="F194" s="1538"/>
      <c r="G194" s="1538"/>
      <c r="H194" s="1538"/>
      <c r="I194" s="1538"/>
      <c r="J194" s="1538"/>
      <c r="K194" s="1538"/>
      <c r="L194" s="1538"/>
      <c r="M194" s="1538"/>
      <c r="N194" s="1538"/>
      <c r="O194" s="1538"/>
      <c r="P194" s="1538"/>
      <c r="Q194" s="1538"/>
      <c r="R194" s="1538"/>
      <c r="S194" s="1538"/>
      <c r="T194" s="1538"/>
      <c r="U194" s="1617">
        <v>0</v>
      </c>
      <c r="V194" s="1617">
        <v>0</v>
      </c>
      <c r="W194" s="1617"/>
      <c r="X194" s="4249"/>
      <c r="Y194" s="2920"/>
      <c r="Z194" s="2920"/>
    </row>
    <row r="195" spans="1:26" s="1565" customFormat="1">
      <c r="A195" s="1689"/>
      <c r="B195" s="1690"/>
      <c r="C195" s="1691" t="s">
        <v>111</v>
      </c>
      <c r="D195" s="1538"/>
      <c r="E195" s="1538"/>
      <c r="F195" s="1538"/>
      <c r="G195" s="1538"/>
      <c r="H195" s="1538"/>
      <c r="I195" s="1538"/>
      <c r="J195" s="1538"/>
      <c r="K195" s="1538"/>
      <c r="L195" s="1538"/>
      <c r="M195" s="1538"/>
      <c r="N195" s="1538"/>
      <c r="O195" s="1538"/>
      <c r="P195" s="1538"/>
      <c r="Q195" s="1538"/>
      <c r="R195" s="1538"/>
      <c r="S195" s="1538"/>
      <c r="T195" s="1538"/>
      <c r="U195" s="1538"/>
      <c r="V195" s="1538"/>
      <c r="W195" s="1538"/>
      <c r="X195" s="2920"/>
      <c r="Y195" s="2920"/>
      <c r="Z195" s="2920"/>
    </row>
    <row r="196" spans="1:26" s="1565" customFormat="1">
      <c r="A196" s="1689"/>
      <c r="B196" s="1690"/>
      <c r="C196" s="1691" t="s">
        <v>112</v>
      </c>
      <c r="D196" s="1538"/>
      <c r="E196" s="1538"/>
      <c r="F196" s="1538"/>
      <c r="G196" s="1538"/>
      <c r="H196" s="1538"/>
      <c r="I196" s="1538"/>
      <c r="J196" s="1538"/>
      <c r="K196" s="1538"/>
      <c r="L196" s="1538"/>
      <c r="M196" s="1538"/>
      <c r="N196" s="1538"/>
      <c r="O196" s="1538"/>
      <c r="P196" s="1538"/>
      <c r="Q196" s="1538"/>
      <c r="R196" s="1538"/>
      <c r="S196" s="1538"/>
      <c r="T196" s="1538"/>
      <c r="U196" s="1538"/>
      <c r="V196" s="1538"/>
      <c r="W196" s="1538"/>
      <c r="X196" s="2920"/>
      <c r="Y196" s="2920"/>
      <c r="Z196" s="2920"/>
    </row>
    <row r="197" spans="1:26" s="1565" customFormat="1">
      <c r="A197" s="1689" t="s">
        <v>861</v>
      </c>
      <c r="B197" s="1690" t="s">
        <v>793</v>
      </c>
      <c r="C197" s="1694" t="s">
        <v>425</v>
      </c>
      <c r="D197" s="1538"/>
      <c r="E197" s="1538"/>
      <c r="F197" s="1538"/>
      <c r="G197" s="1538"/>
      <c r="H197" s="1538"/>
      <c r="I197" s="1538"/>
      <c r="J197" s="1538"/>
      <c r="K197" s="1538"/>
      <c r="L197" s="1538"/>
      <c r="M197" s="1538"/>
      <c r="N197" s="1538"/>
      <c r="O197" s="1538"/>
      <c r="P197" s="1538"/>
      <c r="Q197" s="1538"/>
      <c r="R197" s="1538"/>
      <c r="S197" s="1538"/>
      <c r="T197" s="1538"/>
      <c r="U197" s="1538"/>
      <c r="V197" s="1538"/>
      <c r="W197" s="1538"/>
      <c r="X197" s="2920"/>
      <c r="Y197" s="2920"/>
      <c r="Z197" s="2920"/>
    </row>
    <row r="198" spans="1:26" s="1565" customFormat="1">
      <c r="A198" s="1689" t="s">
        <v>862</v>
      </c>
      <c r="B198" s="1690" t="s">
        <v>794</v>
      </c>
      <c r="C198" s="1694" t="s">
        <v>426</v>
      </c>
      <c r="D198" s="1538"/>
      <c r="E198" s="1538"/>
      <c r="F198" s="1538"/>
      <c r="G198" s="1538"/>
      <c r="H198" s="1538"/>
      <c r="I198" s="1538"/>
      <c r="J198" s="1538"/>
      <c r="K198" s="1538"/>
      <c r="L198" s="1538"/>
      <c r="M198" s="1538"/>
      <c r="N198" s="1538"/>
      <c r="O198" s="1538"/>
      <c r="P198" s="1538"/>
      <c r="Q198" s="1538"/>
      <c r="R198" s="1538"/>
      <c r="S198" s="1538"/>
      <c r="T198" s="1538"/>
      <c r="U198" s="1538"/>
      <c r="V198" s="1538"/>
      <c r="W198" s="1538"/>
      <c r="X198" s="2920"/>
      <c r="Y198" s="2920"/>
      <c r="Z198" s="2920"/>
    </row>
    <row r="199" spans="1:26" s="1565" customFormat="1">
      <c r="A199" s="1689" t="s">
        <v>863</v>
      </c>
      <c r="B199" s="1690" t="s">
        <v>795</v>
      </c>
      <c r="C199" s="1694" t="s">
        <v>427</v>
      </c>
      <c r="D199" s="1538"/>
      <c r="E199" s="1538"/>
      <c r="F199" s="1538"/>
      <c r="G199" s="1538"/>
      <c r="H199" s="1538"/>
      <c r="I199" s="1538"/>
      <c r="J199" s="1538"/>
      <c r="K199" s="1538"/>
      <c r="L199" s="1538"/>
      <c r="M199" s="1538"/>
      <c r="N199" s="1538"/>
      <c r="O199" s="1538"/>
      <c r="P199" s="1538"/>
      <c r="Q199" s="1538"/>
      <c r="R199" s="1538"/>
      <c r="S199" s="1538"/>
      <c r="T199" s="1538"/>
      <c r="U199" s="1538"/>
      <c r="V199" s="1538"/>
      <c r="W199" s="1538"/>
      <c r="X199" s="2920"/>
      <c r="Y199" s="2920"/>
      <c r="Z199" s="2920"/>
    </row>
    <row r="200" spans="1:26" s="1565" customFormat="1">
      <c r="A200" s="1689" t="s">
        <v>864</v>
      </c>
      <c r="B200" s="1690" t="s">
        <v>796</v>
      </c>
      <c r="C200" s="1694" t="s">
        <v>432</v>
      </c>
      <c r="D200" s="1538"/>
      <c r="E200" s="1538"/>
      <c r="F200" s="1538"/>
      <c r="G200" s="1538"/>
      <c r="H200" s="1538"/>
      <c r="I200" s="1538"/>
      <c r="J200" s="1538"/>
      <c r="K200" s="1538"/>
      <c r="L200" s="1538"/>
      <c r="M200" s="1538"/>
      <c r="N200" s="1538"/>
      <c r="O200" s="1538"/>
      <c r="P200" s="1538"/>
      <c r="Q200" s="1538"/>
      <c r="R200" s="1538"/>
      <c r="S200" s="1538"/>
      <c r="T200" s="1538"/>
      <c r="U200" s="1538"/>
      <c r="V200" s="1538"/>
      <c r="W200" s="1538"/>
      <c r="X200" s="2920"/>
      <c r="Y200" s="2920"/>
      <c r="Z200" s="2920"/>
    </row>
    <row r="201" spans="1:26" s="1565" customFormat="1">
      <c r="A201" s="1700"/>
      <c r="B201" s="1701"/>
      <c r="C201" s="1702" t="s">
        <v>1339</v>
      </c>
      <c r="D201" s="1538"/>
      <c r="E201" s="1538"/>
      <c r="F201" s="1538"/>
      <c r="G201" s="1538"/>
      <c r="H201" s="1538"/>
      <c r="I201" s="1538"/>
      <c r="J201" s="1538"/>
      <c r="K201" s="1538"/>
      <c r="L201" s="1538"/>
      <c r="M201" s="1538"/>
      <c r="N201" s="1538"/>
      <c r="O201" s="1538"/>
      <c r="P201" s="1538"/>
      <c r="Q201" s="1538"/>
      <c r="R201" s="1538"/>
      <c r="S201" s="1538"/>
      <c r="T201" s="1538"/>
      <c r="U201" s="1538"/>
      <c r="V201" s="1538"/>
      <c r="W201" s="1538"/>
      <c r="X201" s="2920"/>
      <c r="Y201" s="2920"/>
      <c r="Z201" s="2920"/>
    </row>
    <row r="202" spans="1:26" s="1565" customFormat="1">
      <c r="A202" s="1700"/>
      <c r="B202" s="1701"/>
      <c r="C202" s="1703" t="s">
        <v>1398</v>
      </c>
      <c r="D202" s="4109"/>
      <c r="E202" s="4109"/>
      <c r="F202" s="4109"/>
      <c r="G202" s="4109"/>
      <c r="H202" s="4109"/>
      <c r="I202" s="1538"/>
      <c r="J202" s="1538"/>
      <c r="K202" s="1538"/>
      <c r="L202" s="1538"/>
      <c r="M202" s="1538"/>
      <c r="N202" s="1538"/>
      <c r="O202" s="1538"/>
      <c r="P202" s="1538"/>
      <c r="Q202" s="1538"/>
      <c r="R202" s="1538"/>
      <c r="S202" s="1538"/>
      <c r="T202" s="1538"/>
      <c r="U202" s="1538"/>
      <c r="V202" s="1538"/>
      <c r="W202" s="1538"/>
      <c r="X202" s="2920"/>
      <c r="Y202" s="2920"/>
      <c r="Z202" s="2920"/>
    </row>
    <row r="203" spans="1:26" s="1706" customFormat="1">
      <c r="A203" s="1749" t="s">
        <v>939</v>
      </c>
      <c r="B203" s="1750"/>
      <c r="C203" s="1751" t="s">
        <v>1341</v>
      </c>
      <c r="D203" s="4124">
        <f>0.279*(3000/8760)/D$40</f>
        <v>1.3649706457925637</v>
      </c>
      <c r="E203" s="4124">
        <f>0.279*(3000/8760)/E$40</f>
        <v>1.3649706457925637</v>
      </c>
      <c r="F203" s="4124">
        <f>0.099*(3000/8760)/F$40</f>
        <v>0.32289628180039137</v>
      </c>
      <c r="G203" s="4124">
        <f>0.07*(7884/8760)/G$40</f>
        <v>8.8732394366197204E-2</v>
      </c>
      <c r="H203" s="4124">
        <f>0.076*(7884/8760)/H$40</f>
        <v>9.6338028169014087E-2</v>
      </c>
      <c r="I203" s="1752">
        <v>7.4999999999999997E-2</v>
      </c>
      <c r="J203" s="1752">
        <v>0</v>
      </c>
      <c r="K203" s="1752">
        <v>0.191</v>
      </c>
      <c r="L203" s="1752">
        <v>0</v>
      </c>
      <c r="M203" s="1752">
        <v>0</v>
      </c>
      <c r="N203" s="1752">
        <v>0</v>
      </c>
      <c r="O203" s="1752">
        <v>0</v>
      </c>
      <c r="P203" s="1752">
        <v>0</v>
      </c>
      <c r="Q203" s="1752">
        <v>0</v>
      </c>
      <c r="R203" s="1752">
        <v>0</v>
      </c>
      <c r="S203" s="1752">
        <v>0</v>
      </c>
      <c r="T203" s="1752">
        <v>0</v>
      </c>
      <c r="U203" s="1752">
        <v>0</v>
      </c>
      <c r="V203" s="1752">
        <v>0</v>
      </c>
      <c r="W203" s="1752"/>
      <c r="X203" s="2945"/>
      <c r="Y203" s="2945"/>
      <c r="Z203" s="2945"/>
    </row>
    <row r="204" spans="1:26" s="1706" customFormat="1" ht="15">
      <c r="A204" s="1749" t="s">
        <v>940</v>
      </c>
      <c r="B204" s="1750"/>
      <c r="C204" s="1751" t="s">
        <v>1342</v>
      </c>
      <c r="D204" s="4124">
        <f>0.054*(3000/8760)/D$40</f>
        <v>0.26418786692759294</v>
      </c>
      <c r="E204" s="4124">
        <f>0.054*(3000/8760)/E$40</f>
        <v>0.26418786692759294</v>
      </c>
      <c r="F204" s="4124">
        <f>0.031*(3000/8760)/F$40</f>
        <v>0.10110893672537508</v>
      </c>
      <c r="G204" s="4200">
        <f>0.024*(7884/8760)/G$40</f>
        <v>3.0422535211267608E-2</v>
      </c>
      <c r="H204" s="4200">
        <f>0.018*(7884/8760)/H$40</f>
        <v>2.2816901408450704E-2</v>
      </c>
      <c r="I204" s="1752">
        <v>1.2E-2</v>
      </c>
      <c r="J204" s="1705">
        <v>0</v>
      </c>
      <c r="K204" s="1705">
        <v>1.0999999999999999E-2</v>
      </c>
      <c r="L204" s="1705">
        <v>0</v>
      </c>
      <c r="M204" s="1705">
        <v>0</v>
      </c>
      <c r="N204" s="1705">
        <v>0</v>
      </c>
      <c r="O204" s="1705">
        <v>0</v>
      </c>
      <c r="P204" s="1705">
        <v>0</v>
      </c>
      <c r="Q204" s="1705">
        <v>0</v>
      </c>
      <c r="R204" s="1705">
        <v>0</v>
      </c>
      <c r="S204" s="1705">
        <v>0</v>
      </c>
      <c r="T204" s="1705">
        <v>0</v>
      </c>
      <c r="U204" s="1705">
        <v>0</v>
      </c>
      <c r="V204" s="1705">
        <v>0</v>
      </c>
      <c r="W204" s="1705"/>
      <c r="X204" s="2946"/>
      <c r="Y204" s="2946"/>
      <c r="Z204" s="2946"/>
    </row>
    <row r="205" spans="1:26" s="1706" customFormat="1" ht="15">
      <c r="A205" s="1749" t="s">
        <v>941</v>
      </c>
      <c r="B205" s="1750"/>
      <c r="C205" s="1751" t="s">
        <v>1343</v>
      </c>
      <c r="D205" s="4124">
        <f>0.368*(3000/8760)/D$40</f>
        <v>1.800391389432485</v>
      </c>
      <c r="E205" s="4124">
        <f>0.368*(3000/8760)/E$40</f>
        <v>1.800391389432485</v>
      </c>
      <c r="F205" s="4124">
        <f>0.19*(3000/8760)/F$40</f>
        <v>0.61969993476842777</v>
      </c>
      <c r="G205" s="4200">
        <f>0.208*(7884/8760)/G$40</f>
        <v>0.26366197183098594</v>
      </c>
      <c r="H205" s="4200">
        <f>0.315*(7884/8760)/H$40</f>
        <v>0.3992957746478874</v>
      </c>
      <c r="I205" s="1752">
        <v>0.105</v>
      </c>
      <c r="J205" s="1705">
        <v>0</v>
      </c>
      <c r="K205" s="1705">
        <v>5.8000000000000003E-2</v>
      </c>
      <c r="L205" s="1705">
        <v>0</v>
      </c>
      <c r="M205" s="1705">
        <v>0</v>
      </c>
      <c r="N205" s="1705">
        <v>0</v>
      </c>
      <c r="O205" s="1705">
        <v>0</v>
      </c>
      <c r="P205" s="1705">
        <v>0</v>
      </c>
      <c r="Q205" s="1705">
        <v>0</v>
      </c>
      <c r="R205" s="1705">
        <v>0</v>
      </c>
      <c r="S205" s="1705">
        <v>0</v>
      </c>
      <c r="T205" s="1705">
        <v>0</v>
      </c>
      <c r="U205" s="1705">
        <v>0</v>
      </c>
      <c r="V205" s="1705">
        <v>0</v>
      </c>
      <c r="W205" s="1705"/>
      <c r="X205" s="2946"/>
      <c r="Y205" s="2946"/>
      <c r="Z205" s="2946"/>
    </row>
    <row r="206" spans="1:26" s="1756" customFormat="1">
      <c r="A206" s="1753" t="s">
        <v>942</v>
      </c>
      <c r="B206" s="1754"/>
      <c r="C206" s="2768" t="s">
        <v>1711</v>
      </c>
      <c r="D206" s="4123">
        <f t="shared" ref="D206:H206" si="15">117.08*D19/1000</f>
        <v>1168.4584</v>
      </c>
      <c r="E206" s="4123">
        <f t="shared" si="15"/>
        <v>1168.4584</v>
      </c>
      <c r="F206" s="4123">
        <f t="shared" si="15"/>
        <v>1123.9680000000001</v>
      </c>
      <c r="G206" s="4123">
        <f t="shared" si="15"/>
        <v>823.07240000000002</v>
      </c>
      <c r="H206" s="4123">
        <f t="shared" si="15"/>
        <v>823.07240000000002</v>
      </c>
      <c r="I206" s="1912">
        <v>0</v>
      </c>
      <c r="J206" s="4123">
        <v>0</v>
      </c>
      <c r="K206" s="4123">
        <f>98.9</f>
        <v>98.9</v>
      </c>
      <c r="L206" s="1912">
        <v>0</v>
      </c>
      <c r="M206" s="1912">
        <v>0</v>
      </c>
      <c r="N206" s="1912">
        <v>0</v>
      </c>
      <c r="O206" s="1912">
        <v>0</v>
      </c>
      <c r="P206" s="1912">
        <v>0</v>
      </c>
      <c r="Q206" s="1755">
        <v>0</v>
      </c>
      <c r="R206" s="1755">
        <v>0</v>
      </c>
      <c r="S206" s="1755">
        <v>0</v>
      </c>
      <c r="T206" s="1755">
        <v>0</v>
      </c>
      <c r="U206" s="1755">
        <v>0</v>
      </c>
      <c r="V206" s="1755">
        <v>0</v>
      </c>
      <c r="W206" s="1755"/>
      <c r="X206" s="2947"/>
      <c r="Y206" s="2963"/>
      <c r="Z206" s="2963"/>
    </row>
    <row r="207" spans="1:26" s="1706" customFormat="1">
      <c r="A207" s="1749" t="s">
        <v>943</v>
      </c>
      <c r="B207" s="1750"/>
      <c r="C207" s="1751" t="s">
        <v>294</v>
      </c>
      <c r="D207" s="4124"/>
      <c r="E207" s="4124"/>
      <c r="F207" s="4124"/>
      <c r="G207" s="4124"/>
      <c r="H207" s="4124"/>
      <c r="I207" s="1752"/>
      <c r="J207" s="4151"/>
      <c r="K207" s="4151"/>
      <c r="L207" s="1752"/>
      <c r="M207" s="1752"/>
      <c r="N207" s="1752"/>
      <c r="O207" s="1752"/>
      <c r="P207" s="1752"/>
      <c r="Q207" s="1752"/>
      <c r="R207" s="1752"/>
      <c r="S207" s="1752"/>
      <c r="T207" s="1752"/>
      <c r="U207" s="1752"/>
      <c r="V207" s="1752"/>
      <c r="W207" s="1752"/>
      <c r="X207" s="2945"/>
      <c r="Y207" s="2945"/>
      <c r="Z207" s="2945"/>
    </row>
    <row r="208" spans="1:26" s="1706" customFormat="1">
      <c r="A208" s="1749" t="s">
        <v>944</v>
      </c>
      <c r="B208" s="1750"/>
      <c r="C208" s="1751" t="s">
        <v>295</v>
      </c>
      <c r="D208" s="4124"/>
      <c r="E208" s="4124"/>
      <c r="F208" s="4124"/>
      <c r="G208" s="4124"/>
      <c r="H208" s="4124"/>
      <c r="I208" s="1752"/>
      <c r="J208" s="1752"/>
      <c r="K208" s="1752"/>
      <c r="L208" s="1752"/>
      <c r="M208" s="1752"/>
      <c r="N208" s="1752"/>
      <c r="O208" s="1752"/>
      <c r="P208" s="1752"/>
      <c r="Q208" s="1752"/>
      <c r="R208" s="1752"/>
      <c r="S208" s="1752"/>
      <c r="T208" s="1752"/>
      <c r="U208" s="1752"/>
      <c r="V208" s="1752"/>
      <c r="W208" s="1752"/>
      <c r="X208" s="2945"/>
      <c r="Y208" s="2945"/>
      <c r="Z208" s="2945"/>
    </row>
    <row r="209" spans="1:26" s="1706" customFormat="1">
      <c r="A209" s="1749" t="s">
        <v>945</v>
      </c>
      <c r="B209" s="1750"/>
      <c r="C209" s="1751" t="s">
        <v>296</v>
      </c>
      <c r="D209" s="4124"/>
      <c r="E209" s="4124"/>
      <c r="F209" s="4124"/>
      <c r="G209" s="4124"/>
      <c r="H209" s="4124"/>
      <c r="I209" s="1752"/>
      <c r="J209" s="1752"/>
      <c r="K209" s="1752"/>
      <c r="L209" s="1752"/>
      <c r="M209" s="1752"/>
      <c r="N209" s="1752"/>
      <c r="O209" s="1752"/>
      <c r="P209" s="1752"/>
      <c r="Q209" s="1752"/>
      <c r="R209" s="1752"/>
      <c r="S209" s="1752"/>
      <c r="T209" s="1752"/>
      <c r="U209" s="1752"/>
      <c r="V209" s="1752"/>
      <c r="W209" s="1752"/>
      <c r="X209" s="2945"/>
      <c r="Y209" s="2945"/>
      <c r="Z209" s="2945"/>
    </row>
    <row r="210" spans="1:26" s="1706" customFormat="1">
      <c r="A210" s="1749" t="s">
        <v>946</v>
      </c>
      <c r="B210" s="1750"/>
      <c r="C210" s="1751" t="s">
        <v>387</v>
      </c>
      <c r="D210" s="4124">
        <f>0.013*(3000/8760)/D$40</f>
        <v>6.3600782778864967E-2</v>
      </c>
      <c r="E210" s="4124">
        <f>0.013*(3000/8760)/E$40</f>
        <v>6.3600782778864967E-2</v>
      </c>
      <c r="F210" s="4124">
        <f>0.008*(3000/8760)/F$40</f>
        <v>2.6092628832354858E-2</v>
      </c>
      <c r="G210" s="4124">
        <f>0.005*(7884/8760)/G$40</f>
        <v>6.3380281690140856E-3</v>
      </c>
      <c r="H210" s="4124">
        <f>0.00525*(7884/8760)/H$40</f>
        <v>6.6549295774647891E-3</v>
      </c>
      <c r="I210" s="1752">
        <v>3.4000000000000002E-2</v>
      </c>
      <c r="J210" s="1752">
        <v>0</v>
      </c>
      <c r="K210" s="1752">
        <v>2.5999999999999999E-2</v>
      </c>
      <c r="L210" s="1752">
        <v>0</v>
      </c>
      <c r="M210" s="1752">
        <v>0</v>
      </c>
      <c r="N210" s="1752">
        <v>0</v>
      </c>
      <c r="O210" s="1752">
        <v>0</v>
      </c>
      <c r="P210" s="1752">
        <v>0</v>
      </c>
      <c r="Q210" s="1752">
        <v>0</v>
      </c>
      <c r="R210" s="1752">
        <v>0</v>
      </c>
      <c r="S210" s="1752">
        <v>0</v>
      </c>
      <c r="T210" s="1752">
        <v>0</v>
      </c>
      <c r="U210" s="1752">
        <v>0</v>
      </c>
      <c r="V210" s="1752">
        <v>0</v>
      </c>
      <c r="W210" s="1752"/>
      <c r="X210" s="2945"/>
      <c r="Y210" s="2945"/>
      <c r="Z210" s="2945"/>
    </row>
    <row r="211" spans="1:26" s="1706" customFormat="1">
      <c r="A211" s="1749" t="s">
        <v>947</v>
      </c>
      <c r="B211" s="1750"/>
      <c r="C211" s="1751" t="s">
        <v>375</v>
      </c>
      <c r="D211" s="4124">
        <f>0.134*(3000/8760)/D$40</f>
        <v>0.65557729941291576</v>
      </c>
      <c r="E211" s="4124">
        <f>0.134*(3000/8760)/E$40</f>
        <v>0.65557729941291576</v>
      </c>
      <c r="F211" s="4124">
        <f>0.062*(3000/8760)/F$40</f>
        <v>0.20221787345075015</v>
      </c>
      <c r="G211" s="4124">
        <f>0.037*(7884/8760)/G$40</f>
        <v>4.6901408450704223E-2</v>
      </c>
      <c r="H211" s="4124">
        <f>0.042*(7884/8760)/H$40</f>
        <v>5.3239436619718312E-2</v>
      </c>
      <c r="I211" s="1752">
        <v>2.5000000000000001E-2</v>
      </c>
      <c r="J211" s="1752">
        <v>0</v>
      </c>
      <c r="K211" s="1752">
        <v>0</v>
      </c>
      <c r="L211" s="1752">
        <v>0</v>
      </c>
      <c r="M211" s="1752">
        <v>0</v>
      </c>
      <c r="N211" s="1752">
        <v>0</v>
      </c>
      <c r="O211" s="1752">
        <v>0</v>
      </c>
      <c r="P211" s="1752">
        <v>0</v>
      </c>
      <c r="Q211" s="1752">
        <v>0</v>
      </c>
      <c r="R211" s="1752">
        <v>0</v>
      </c>
      <c r="S211" s="1752">
        <v>0</v>
      </c>
      <c r="T211" s="1752">
        <v>0</v>
      </c>
      <c r="U211" s="1752">
        <v>0</v>
      </c>
      <c r="V211" s="1752">
        <v>0</v>
      </c>
      <c r="W211" s="1752"/>
      <c r="X211" s="2945"/>
      <c r="Y211" s="2945"/>
      <c r="Z211" s="2945"/>
    </row>
    <row r="212" spans="1:26" s="1565" customFormat="1">
      <c r="A212" s="1700"/>
      <c r="B212" s="1701"/>
      <c r="C212" s="1703" t="s">
        <v>1345</v>
      </c>
      <c r="D212" s="1538"/>
      <c r="E212" s="1538"/>
      <c r="F212" s="1538"/>
      <c r="G212" s="1538"/>
      <c r="H212" s="1538"/>
      <c r="I212" s="1538"/>
      <c r="J212" s="1538"/>
      <c r="K212" s="1538"/>
      <c r="L212" s="1538"/>
      <c r="M212" s="1538"/>
      <c r="N212" s="1538"/>
      <c r="O212" s="1538"/>
      <c r="P212" s="1538"/>
      <c r="Q212" s="1538"/>
      <c r="R212" s="1538"/>
      <c r="S212" s="1538"/>
      <c r="T212" s="1538"/>
      <c r="U212" s="1538"/>
      <c r="V212" s="1538"/>
      <c r="W212" s="1538"/>
      <c r="X212" s="2920"/>
      <c r="Y212" s="2920"/>
      <c r="Z212" s="2920"/>
    </row>
    <row r="213" spans="1:26" s="1565" customFormat="1">
      <c r="A213" s="1700" t="s">
        <v>948</v>
      </c>
      <c r="B213" s="1701"/>
      <c r="C213" s="1704" t="s">
        <v>1346</v>
      </c>
      <c r="D213" s="1538"/>
      <c r="E213" s="1538"/>
      <c r="F213" s="1538"/>
      <c r="G213" s="1538"/>
      <c r="H213" s="1538"/>
      <c r="I213" s="1538"/>
      <c r="J213" s="1538"/>
      <c r="K213" s="1538"/>
      <c r="L213" s="1538"/>
      <c r="M213" s="1538"/>
      <c r="N213" s="1538"/>
      <c r="O213" s="1538"/>
      <c r="P213" s="1538"/>
      <c r="Q213" s="1538"/>
      <c r="R213" s="1538"/>
      <c r="S213" s="1538"/>
      <c r="T213" s="1538"/>
      <c r="U213" s="1538"/>
      <c r="V213" s="1538"/>
      <c r="W213" s="1538"/>
      <c r="X213" s="2920"/>
      <c r="Y213" s="2920"/>
      <c r="Z213" s="2920"/>
    </row>
    <row r="214" spans="1:26" s="1565" customFormat="1">
      <c r="A214" s="1700" t="s">
        <v>949</v>
      </c>
      <c r="B214" s="1701"/>
      <c r="C214" s="1704" t="s">
        <v>1347</v>
      </c>
      <c r="D214" s="1538"/>
      <c r="E214" s="1538"/>
      <c r="F214" s="1538"/>
      <c r="G214" s="1538"/>
      <c r="H214" s="1538"/>
      <c r="I214" s="1538"/>
      <c r="J214" s="1538"/>
      <c r="K214" s="1538"/>
      <c r="L214" s="1538"/>
      <c r="M214" s="1538"/>
      <c r="N214" s="1538"/>
      <c r="O214" s="1538"/>
      <c r="P214" s="1538"/>
      <c r="Q214" s="1538"/>
      <c r="R214" s="1538"/>
      <c r="S214" s="1538"/>
      <c r="T214" s="1538"/>
      <c r="U214" s="1538"/>
      <c r="V214" s="1538"/>
      <c r="W214" s="1538"/>
      <c r="X214" s="2920"/>
      <c r="Y214" s="2920"/>
      <c r="Z214" s="2920"/>
    </row>
    <row r="215" spans="1:26" s="1565" customFormat="1">
      <c r="A215" s="1700" t="s">
        <v>950</v>
      </c>
      <c r="B215" s="1701"/>
      <c r="C215" s="1704" t="s">
        <v>1349</v>
      </c>
      <c r="D215" s="1538"/>
      <c r="E215" s="1538"/>
      <c r="F215" s="1538"/>
      <c r="G215" s="1538"/>
      <c r="H215" s="1538"/>
      <c r="I215" s="1538"/>
      <c r="J215" s="1538"/>
      <c r="K215" s="1538"/>
      <c r="L215" s="1538"/>
      <c r="M215" s="1538"/>
      <c r="N215" s="1538"/>
      <c r="O215" s="1538"/>
      <c r="P215" s="1538"/>
      <c r="Q215" s="1538"/>
      <c r="R215" s="1538"/>
      <c r="S215" s="1538"/>
      <c r="T215" s="1538"/>
      <c r="U215" s="1538"/>
      <c r="V215" s="1538"/>
      <c r="W215" s="1538"/>
      <c r="X215" s="2920"/>
      <c r="Y215" s="2920"/>
      <c r="Z215" s="2920"/>
    </row>
    <row r="216" spans="1:26" s="1565" customFormat="1">
      <c r="A216" s="1535"/>
      <c r="C216" s="1608" t="s">
        <v>106</v>
      </c>
      <c r="D216" s="1538"/>
      <c r="E216" s="1538"/>
      <c r="F216" s="1538"/>
      <c r="G216" s="1538"/>
      <c r="H216" s="1538"/>
      <c r="I216" s="1538"/>
      <c r="J216" s="1538"/>
      <c r="K216" s="1538"/>
      <c r="L216" s="1538"/>
      <c r="M216" s="1538"/>
      <c r="N216" s="1538"/>
      <c r="O216" s="1538"/>
      <c r="P216" s="1538"/>
      <c r="Q216" s="1538"/>
      <c r="R216" s="1538"/>
      <c r="S216" s="1538"/>
      <c r="T216" s="1538"/>
      <c r="U216" s="1538"/>
      <c r="V216" s="1538"/>
      <c r="W216" s="1538"/>
      <c r="X216" s="2920"/>
      <c r="Y216" s="2920"/>
      <c r="Z216" s="2920"/>
    </row>
    <row r="217" spans="1:26" s="1711" customFormat="1">
      <c r="A217" s="1709" t="s">
        <v>995</v>
      </c>
      <c r="B217" s="1710"/>
      <c r="C217" s="1558" t="s">
        <v>1418</v>
      </c>
      <c r="D217" s="1711" t="s">
        <v>1177</v>
      </c>
      <c r="E217" s="1711" t="s">
        <v>1177</v>
      </c>
      <c r="F217" s="1711" t="s">
        <v>1177</v>
      </c>
      <c r="G217" s="1711" t="s">
        <v>1177</v>
      </c>
      <c r="H217" s="1711" t="s">
        <v>1177</v>
      </c>
      <c r="I217" s="1712" t="str">
        <f t="shared" ref="I217:O217" si="16">IF(StartYr&lt;I220,"Y","N")</f>
        <v>Y</v>
      </c>
      <c r="J217" s="1712" t="str">
        <f t="shared" si="16"/>
        <v>Y</v>
      </c>
      <c r="K217" s="1712" t="str">
        <f t="shared" si="16"/>
        <v>Y</v>
      </c>
      <c r="L217" s="1712" t="str">
        <f t="shared" si="16"/>
        <v>Y</v>
      </c>
      <c r="M217" s="1712" t="str">
        <f t="shared" si="16"/>
        <v>Y</v>
      </c>
      <c r="N217" s="1712" t="str">
        <f t="shared" si="16"/>
        <v>Y</v>
      </c>
      <c r="O217" s="1712" t="str">
        <f t="shared" si="16"/>
        <v>Y</v>
      </c>
      <c r="P217" s="1712" t="str">
        <f>IF(StartYr&lt;P220,"Y","N")</f>
        <v>Y</v>
      </c>
      <c r="Q217" s="1712" t="str">
        <f t="shared" ref="Q217:V217" si="17">IF(StartYr&lt;Q220,"Y","N")</f>
        <v>Y</v>
      </c>
      <c r="R217" s="1712" t="str">
        <f t="shared" si="17"/>
        <v>Y</v>
      </c>
      <c r="S217" s="1712" t="str">
        <f>IF(StartYr&lt;S220,"Y","N")</f>
        <v>Y</v>
      </c>
      <c r="T217" s="1712" t="str">
        <f>IF(StartYr&lt;T220,"Y","N")</f>
        <v>Y</v>
      </c>
      <c r="U217" s="1712" t="str">
        <f t="shared" si="17"/>
        <v>Y</v>
      </c>
      <c r="V217" s="1712" t="str">
        <f t="shared" si="17"/>
        <v>Y</v>
      </c>
      <c r="W217" s="1712"/>
      <c r="X217" s="2948"/>
      <c r="Y217" s="2948"/>
      <c r="Z217" s="2948"/>
    </row>
    <row r="218" spans="1:26" s="1711" customFormat="1">
      <c r="A218" s="1714" t="s">
        <v>996</v>
      </c>
      <c r="B218" s="1710"/>
      <c r="C218" s="1558" t="s">
        <v>1417</v>
      </c>
      <c r="I218" s="1715">
        <f>IF(StartYr&lt;I220,'Tax Incentives'!$D$17,0)</f>
        <v>0.3</v>
      </c>
      <c r="J218" s="1715">
        <f>IF(StartYr&lt;J220,'Tax Incentives'!$G$17,'Tax Incentives'!$G$11)</f>
        <v>0.3</v>
      </c>
      <c r="K218" s="1715">
        <f>IF(StartYr&lt;K220,'Tax Incentives'!$G$17,'Tax Incentives'!$G$11)</f>
        <v>0.3</v>
      </c>
      <c r="L218" s="1715">
        <f>IF(StartYr&lt;L220,'Tax Incentives'!$J$17,10%)</f>
        <v>0.3</v>
      </c>
      <c r="M218" s="1715">
        <f>IF(StartYr&lt;M220,'Tax Incentives'!$J$17,10%)</f>
        <v>0.3</v>
      </c>
      <c r="N218" s="1715">
        <f>IF(StartYr&lt;N220,'Tax Incentives'!$J$17,10%)</f>
        <v>0.3</v>
      </c>
      <c r="O218" s="1715">
        <f>IF(StartYr&lt;O220,'Tax Incentives'!$J$17,10%)</f>
        <v>0.3</v>
      </c>
      <c r="P218" s="1715">
        <f>IF(StartYr&lt;P220,'Tax Incentives'!$J$17,10%)</f>
        <v>0.3</v>
      </c>
      <c r="Q218" s="1715">
        <v>0.3</v>
      </c>
      <c r="R218" s="1715">
        <v>0.3</v>
      </c>
      <c r="S218" s="1715">
        <v>0.3</v>
      </c>
      <c r="T218" s="1715">
        <v>0.3</v>
      </c>
      <c r="U218" s="1715">
        <v>0.3</v>
      </c>
      <c r="V218" s="1715">
        <v>0.3</v>
      </c>
      <c r="W218" s="1715"/>
      <c r="X218" s="2949"/>
      <c r="Y218" s="2949"/>
      <c r="Z218" s="2949"/>
    </row>
    <row r="219" spans="1:26" s="1711" customFormat="1">
      <c r="A219" s="1714" t="s">
        <v>49</v>
      </c>
      <c r="B219" s="1710"/>
      <c r="C219" s="1558" t="s">
        <v>48</v>
      </c>
      <c r="I219" s="1715">
        <f t="shared" ref="I219:V219" si="18">0.5*I218</f>
        <v>0.15</v>
      </c>
      <c r="J219" s="1715">
        <f t="shared" si="18"/>
        <v>0.15</v>
      </c>
      <c r="K219" s="1715">
        <f t="shared" si="18"/>
        <v>0.15</v>
      </c>
      <c r="L219" s="1715">
        <f t="shared" si="18"/>
        <v>0.15</v>
      </c>
      <c r="M219" s="1715">
        <f t="shared" si="18"/>
        <v>0.15</v>
      </c>
      <c r="N219" s="1715">
        <f t="shared" si="18"/>
        <v>0.15</v>
      </c>
      <c r="O219" s="1715">
        <f t="shared" si="18"/>
        <v>0.15</v>
      </c>
      <c r="P219" s="1715">
        <f t="shared" si="18"/>
        <v>0.15</v>
      </c>
      <c r="Q219" s="1715">
        <f t="shared" si="18"/>
        <v>0.15</v>
      </c>
      <c r="R219" s="1715">
        <f t="shared" si="18"/>
        <v>0.15</v>
      </c>
      <c r="S219" s="1715">
        <f t="shared" si="18"/>
        <v>0.15</v>
      </c>
      <c r="T219" s="1715">
        <f t="shared" si="18"/>
        <v>0.15</v>
      </c>
      <c r="U219" s="1715">
        <f t="shared" si="18"/>
        <v>0.15</v>
      </c>
      <c r="V219" s="1715">
        <f t="shared" si="18"/>
        <v>0.15</v>
      </c>
      <c r="W219" s="1715"/>
      <c r="X219" s="2949"/>
      <c r="Y219" s="2949"/>
      <c r="Z219" s="2949"/>
    </row>
    <row r="220" spans="1:26" s="1995" customFormat="1">
      <c r="A220" s="1992" t="s">
        <v>45</v>
      </c>
      <c r="B220" s="1993"/>
      <c r="C220" s="1994" t="s">
        <v>44</v>
      </c>
      <c r="I220" s="1996">
        <f>'Tax Incentives'!$D$18+20</f>
        <v>2034</v>
      </c>
      <c r="J220" s="1996">
        <f>'Tax Incentives'!$G$18+20</f>
        <v>2034</v>
      </c>
      <c r="K220" s="1996">
        <f>'Tax Incentives'!$G$18+20</f>
        <v>2034</v>
      </c>
      <c r="L220" s="1996">
        <f>'Tax Incentives'!$J$13+20</f>
        <v>2037</v>
      </c>
      <c r="M220" s="1996">
        <f>'Tax Incentives'!$J$13+20</f>
        <v>2037</v>
      </c>
      <c r="N220" s="1996">
        <f>'Tax Incentives'!$J$13+20</f>
        <v>2037</v>
      </c>
      <c r="O220" s="1996">
        <f>'Tax Incentives'!$J$13+20</f>
        <v>2037</v>
      </c>
      <c r="P220" s="1996">
        <f>'Tax Incentives'!$J$13+20</f>
        <v>2037</v>
      </c>
      <c r="Q220" s="1996">
        <v>2037</v>
      </c>
      <c r="R220" s="1996">
        <v>2037</v>
      </c>
      <c r="S220" s="1996">
        <v>2037</v>
      </c>
      <c r="T220" s="1996">
        <v>2037</v>
      </c>
      <c r="U220" s="1996">
        <v>2034</v>
      </c>
      <c r="V220" s="1996">
        <v>2034</v>
      </c>
      <c r="W220" s="1996"/>
      <c r="X220" s="2950"/>
      <c r="Y220" s="2950"/>
      <c r="Z220" s="2950"/>
    </row>
    <row r="221" spans="1:26" s="2336" customFormat="1">
      <c r="A221" s="1992" t="s">
        <v>1643</v>
      </c>
      <c r="B221" s="1993"/>
      <c r="C221" s="1994" t="s">
        <v>1644</v>
      </c>
      <c r="D221" s="4052"/>
      <c r="E221" s="4052"/>
      <c r="F221" s="4052"/>
      <c r="G221" s="4052"/>
      <c r="H221" s="4052"/>
      <c r="I221" s="3834">
        <v>0.9</v>
      </c>
      <c r="J221" s="3834">
        <v>0.9</v>
      </c>
      <c r="K221" s="3834">
        <v>0.9</v>
      </c>
      <c r="L221" s="3834">
        <v>0.9</v>
      </c>
      <c r="M221" s="3834">
        <v>0.9</v>
      </c>
      <c r="N221" s="3834">
        <v>0.9</v>
      </c>
      <c r="O221" s="3834">
        <v>0.9</v>
      </c>
      <c r="P221" s="3834">
        <v>0.9</v>
      </c>
      <c r="Q221" s="3834">
        <v>0.9</v>
      </c>
      <c r="R221" s="3834">
        <v>0.9</v>
      </c>
      <c r="S221" s="3834">
        <v>0.9</v>
      </c>
      <c r="T221" s="3834">
        <v>0.9</v>
      </c>
      <c r="U221" s="3834">
        <v>0.75</v>
      </c>
      <c r="V221" s="3834">
        <v>0.75</v>
      </c>
      <c r="W221" s="896"/>
      <c r="X221" s="4253"/>
      <c r="Y221" s="4253"/>
      <c r="Z221" s="4253"/>
    </row>
    <row r="222" spans="1:26" s="1538" customFormat="1">
      <c r="A222" s="1709" t="s">
        <v>1204</v>
      </c>
      <c r="B222" s="1710"/>
      <c r="C222" s="1558" t="s">
        <v>1132</v>
      </c>
      <c r="D222" s="1538" t="s">
        <v>1177</v>
      </c>
      <c r="E222" s="1538" t="s">
        <v>1177</v>
      </c>
      <c r="F222" s="1538" t="s">
        <v>1177</v>
      </c>
      <c r="G222" s="1538" t="s">
        <v>1177</v>
      </c>
      <c r="H222" s="1538" t="s">
        <v>1177</v>
      </c>
      <c r="I222" s="1717" t="str">
        <f>IF(StartYr&lt;I226,"Y","N")</f>
        <v>Y</v>
      </c>
      <c r="J222" s="1717" t="str">
        <f>IF(StartYr&lt;J226,"Y","N")</f>
        <v>Y</v>
      </c>
      <c r="K222" s="1717" t="str">
        <f>IF(StartYr&lt;K226,"Y","N")</f>
        <v>Y</v>
      </c>
      <c r="L222" s="1717" t="s">
        <v>1177</v>
      </c>
      <c r="M222" s="1717" t="s">
        <v>1177</v>
      </c>
      <c r="N222" s="1717" t="s">
        <v>1177</v>
      </c>
      <c r="O222" s="1717" t="s">
        <v>1177</v>
      </c>
      <c r="P222" s="1717" t="s">
        <v>1177</v>
      </c>
      <c r="Q222" s="1717" t="s">
        <v>1177</v>
      </c>
      <c r="R222" s="1717" t="s">
        <v>1177</v>
      </c>
      <c r="S222" s="1717" t="s">
        <v>1177</v>
      </c>
      <c r="T222" s="1717" t="s">
        <v>1177</v>
      </c>
      <c r="U222" s="1717" t="str">
        <f>IF(StartYr&lt;U226,"Y","N")</f>
        <v>Y</v>
      </c>
      <c r="V222" s="1717" t="str">
        <f>IF(StartYr&lt;V226,"Y","N")</f>
        <v>Y</v>
      </c>
      <c r="W222" s="1717"/>
      <c r="X222" s="2951"/>
      <c r="Y222" s="2951"/>
      <c r="Z222" s="2951"/>
    </row>
    <row r="223" spans="1:26" s="1538" customFormat="1">
      <c r="A223" s="1709" t="s">
        <v>1205</v>
      </c>
      <c r="B223" s="1710"/>
      <c r="C223" s="1558" t="s">
        <v>34</v>
      </c>
      <c r="I223" s="1930">
        <f>ROUND('Tax Incentives'!$E$5/1000,3)</f>
        <v>2.1000000000000001E-2</v>
      </c>
      <c r="J223" s="1952">
        <f>ROUND('Tax Incentives'!$G$5/1000,3)</f>
        <v>2.1000000000000001E-2</v>
      </c>
      <c r="K223" s="1952">
        <f>ROUND('Tax Incentives'!$G$5/1000,3)</f>
        <v>2.1000000000000001E-2</v>
      </c>
      <c r="L223" s="1717"/>
      <c r="M223" s="1717"/>
      <c r="N223" s="1717"/>
      <c r="O223" s="1717"/>
      <c r="P223" s="1717"/>
      <c r="Q223" s="1717"/>
      <c r="R223" s="1717"/>
      <c r="S223" s="1717"/>
      <c r="T223" s="1717"/>
      <c r="U223" s="1717">
        <v>2.1000000000000001E-2</v>
      </c>
      <c r="V223" s="1717">
        <v>2.1000000000000001E-2</v>
      </c>
      <c r="W223" s="1717"/>
      <c r="X223" s="2951"/>
      <c r="Y223" s="2951"/>
      <c r="Z223" s="2951"/>
    </row>
    <row r="224" spans="1:26" s="1538" customFormat="1">
      <c r="A224" s="1709" t="s">
        <v>1209</v>
      </c>
      <c r="B224" s="1710"/>
      <c r="C224" s="1558" t="s">
        <v>1210</v>
      </c>
      <c r="I224" s="1717">
        <v>2008</v>
      </c>
      <c r="J224" s="1717">
        <v>2008</v>
      </c>
      <c r="K224" s="1717">
        <v>2008</v>
      </c>
      <c r="L224" s="1717"/>
      <c r="M224" s="1717"/>
      <c r="N224" s="1717"/>
      <c r="O224" s="1717"/>
      <c r="P224" s="1717"/>
      <c r="Q224" s="1717"/>
      <c r="R224" s="1717"/>
      <c r="S224" s="1717"/>
      <c r="T224" s="1717"/>
      <c r="U224" s="1717">
        <v>2008</v>
      </c>
      <c r="V224" s="1717">
        <v>2008</v>
      </c>
      <c r="W224" s="1717"/>
      <c r="X224" s="2951"/>
      <c r="Y224" s="2951"/>
      <c r="Z224" s="2951"/>
    </row>
    <row r="225" spans="1:26" s="1538" customFormat="1">
      <c r="A225" s="1709" t="s">
        <v>1206</v>
      </c>
      <c r="B225" s="1710"/>
      <c r="C225" s="1558" t="s">
        <v>1134</v>
      </c>
      <c r="I225" s="1717">
        <v>10</v>
      </c>
      <c r="J225" s="1717">
        <v>10</v>
      </c>
      <c r="K225" s="1717">
        <v>10</v>
      </c>
      <c r="L225" s="1717"/>
      <c r="M225" s="1717"/>
      <c r="N225" s="1717"/>
      <c r="O225" s="1717"/>
      <c r="P225" s="1717"/>
      <c r="Q225" s="1717"/>
      <c r="R225" s="1717"/>
      <c r="S225" s="1717"/>
      <c r="T225" s="1717"/>
      <c r="U225" s="1717">
        <v>10</v>
      </c>
      <c r="V225" s="1717">
        <v>10</v>
      </c>
      <c r="W225" s="1717"/>
      <c r="X225" s="2951"/>
      <c r="Y225" s="2951"/>
      <c r="Z225" s="2951"/>
    </row>
    <row r="226" spans="1:26" s="1585" customFormat="1">
      <c r="A226" s="1999" t="s">
        <v>43</v>
      </c>
      <c r="B226" s="1993"/>
      <c r="C226" s="1994" t="s">
        <v>42</v>
      </c>
      <c r="I226" s="2000">
        <f>'Tax Incentives'!$D$8+20</f>
        <v>2034</v>
      </c>
      <c r="J226" s="2000">
        <f>'Tax Incentives'!$G$8+20</f>
        <v>2034</v>
      </c>
      <c r="K226" s="2000">
        <f>'Tax Incentives'!$G$8+20</f>
        <v>2034</v>
      </c>
      <c r="L226" s="2000"/>
      <c r="M226" s="2000"/>
      <c r="N226" s="2000"/>
      <c r="O226" s="2000"/>
      <c r="P226" s="2000"/>
      <c r="Q226" s="2000"/>
      <c r="R226" s="2000"/>
      <c r="S226" s="2000"/>
      <c r="T226" s="2000"/>
      <c r="U226" s="2000">
        <v>2016</v>
      </c>
      <c r="V226" s="2000">
        <v>2016</v>
      </c>
      <c r="W226" s="2000"/>
      <c r="X226" s="2952"/>
      <c r="Y226" s="2952"/>
      <c r="Z226" s="2952"/>
    </row>
    <row r="227" spans="1:26" s="1538" customFormat="1">
      <c r="A227" s="1709" t="s">
        <v>475</v>
      </c>
      <c r="B227" s="1710" t="s">
        <v>919</v>
      </c>
      <c r="C227" s="1558" t="s">
        <v>919</v>
      </c>
      <c r="D227" s="1538" t="s">
        <v>1177</v>
      </c>
      <c r="E227" s="1538" t="s">
        <v>1177</v>
      </c>
      <c r="F227" s="1538" t="s">
        <v>1177</v>
      </c>
      <c r="G227" s="1538" t="s">
        <v>1177</v>
      </c>
      <c r="H227" s="1538" t="s">
        <v>1177</v>
      </c>
      <c r="I227" s="1717" t="s">
        <v>1177</v>
      </c>
      <c r="J227" s="1712" t="s">
        <v>1177</v>
      </c>
      <c r="K227" s="1712" t="s">
        <v>1177</v>
      </c>
      <c r="L227" s="1717" t="s">
        <v>1177</v>
      </c>
      <c r="M227" s="1717" t="s">
        <v>1177</v>
      </c>
      <c r="N227" s="1717" t="s">
        <v>1177</v>
      </c>
      <c r="O227" s="1717" t="s">
        <v>1177</v>
      </c>
      <c r="P227" s="1717" t="s">
        <v>1177</v>
      </c>
      <c r="Q227" s="1717" t="s">
        <v>1177</v>
      </c>
      <c r="R227" s="1717" t="s">
        <v>1177</v>
      </c>
      <c r="S227" s="1717" t="s">
        <v>1177</v>
      </c>
      <c r="T227" s="1717" t="s">
        <v>1177</v>
      </c>
      <c r="U227" s="1717" t="s">
        <v>1177</v>
      </c>
      <c r="V227" s="1717" t="s">
        <v>1177</v>
      </c>
      <c r="W227" s="1717"/>
      <c r="X227" s="2951"/>
      <c r="Y227" s="2951"/>
      <c r="Z227" s="2951"/>
    </row>
    <row r="228" spans="1:26" s="1538" customFormat="1">
      <c r="A228" s="1709" t="s">
        <v>1136</v>
      </c>
      <c r="B228" s="1710"/>
      <c r="C228" s="1558" t="s">
        <v>476</v>
      </c>
      <c r="D228" s="1538" t="s">
        <v>1177</v>
      </c>
      <c r="E228" s="1538" t="s">
        <v>1177</v>
      </c>
      <c r="F228" s="1538" t="s">
        <v>1177</v>
      </c>
      <c r="G228" s="1538" t="s">
        <v>1177</v>
      </c>
      <c r="H228" s="1538" t="s">
        <v>1177</v>
      </c>
      <c r="I228" s="1717" t="s">
        <v>1177</v>
      </c>
      <c r="J228" s="1717" t="s">
        <v>1177</v>
      </c>
      <c r="K228" s="1717" t="s">
        <v>1177</v>
      </c>
      <c r="L228" s="1717" t="s">
        <v>1177</v>
      </c>
      <c r="M228" s="1717" t="s">
        <v>1177</v>
      </c>
      <c r="N228" s="1717" t="s">
        <v>1177</v>
      </c>
      <c r="O228" s="1717" t="s">
        <v>1177</v>
      </c>
      <c r="P228" s="1717" t="s">
        <v>1177</v>
      </c>
      <c r="Q228" s="1717" t="s">
        <v>1177</v>
      </c>
      <c r="R228" s="1717" t="s">
        <v>1177</v>
      </c>
      <c r="S228" s="1717" t="s">
        <v>1177</v>
      </c>
      <c r="T228" s="1717" t="s">
        <v>1177</v>
      </c>
      <c r="U228" s="1717" t="s">
        <v>1177</v>
      </c>
      <c r="V228" s="1717" t="s">
        <v>1177</v>
      </c>
      <c r="W228" s="1717"/>
      <c r="X228" s="2951"/>
      <c r="Y228" s="2951"/>
      <c r="Z228" s="2951"/>
    </row>
    <row r="229" spans="1:26" s="1538" customFormat="1">
      <c r="A229" s="1709" t="s">
        <v>1007</v>
      </c>
      <c r="B229" s="1710"/>
      <c r="C229" s="1558" t="s">
        <v>101</v>
      </c>
      <c r="I229" s="1717"/>
      <c r="J229" s="1789">
        <v>0.15</v>
      </c>
      <c r="K229" s="1789">
        <v>0.15</v>
      </c>
      <c r="L229" s="1717"/>
      <c r="M229" s="1717"/>
      <c r="N229" s="1717"/>
      <c r="O229" s="1717"/>
      <c r="P229" s="1717"/>
      <c r="Q229" s="1717"/>
      <c r="R229" s="1717"/>
      <c r="S229" s="1717"/>
      <c r="T229" s="1717"/>
      <c r="U229" s="1717"/>
      <c r="V229" s="1717"/>
      <c r="W229" s="1717"/>
      <c r="X229" s="2951"/>
      <c r="Y229" s="2951"/>
      <c r="Z229" s="2951"/>
    </row>
    <row r="230" spans="1:26" s="1538" customFormat="1">
      <c r="A230" s="1709" t="s">
        <v>1006</v>
      </c>
      <c r="B230" s="1710"/>
      <c r="C230" s="1558" t="s">
        <v>102</v>
      </c>
      <c r="I230" s="1717"/>
      <c r="J230" s="1789">
        <v>0.5</v>
      </c>
      <c r="K230" s="1789">
        <v>0.5</v>
      </c>
      <c r="L230" s="1717"/>
      <c r="M230" s="1717"/>
      <c r="N230" s="1717"/>
      <c r="O230" s="1717"/>
      <c r="P230" s="1717"/>
      <c r="Q230" s="1717"/>
      <c r="R230" s="1717"/>
      <c r="S230" s="1717"/>
      <c r="T230" s="1717"/>
      <c r="U230" s="1717"/>
      <c r="V230" s="1717"/>
      <c r="W230" s="1717"/>
      <c r="X230" s="2951"/>
      <c r="Y230" s="2951"/>
      <c r="Z230" s="2951"/>
    </row>
    <row r="231" spans="1:26" s="1538" customFormat="1">
      <c r="A231" s="1709" t="s">
        <v>1214</v>
      </c>
      <c r="B231" s="1710"/>
      <c r="C231" s="1558" t="s">
        <v>1213</v>
      </c>
      <c r="I231" s="1717">
        <v>1</v>
      </c>
      <c r="J231" s="1717">
        <v>1</v>
      </c>
      <c r="K231" s="1717">
        <v>1</v>
      </c>
      <c r="L231" s="1717">
        <v>1</v>
      </c>
      <c r="M231" s="1717">
        <v>1</v>
      </c>
      <c r="N231" s="1717">
        <v>1</v>
      </c>
      <c r="O231" s="1717">
        <v>1</v>
      </c>
      <c r="P231" s="1717">
        <v>1</v>
      </c>
      <c r="Q231" s="1717">
        <v>1</v>
      </c>
      <c r="R231" s="1717">
        <v>1</v>
      </c>
      <c r="S231" s="1717">
        <v>1</v>
      </c>
      <c r="T231" s="1717">
        <v>1</v>
      </c>
      <c r="U231" s="1717">
        <v>1</v>
      </c>
      <c r="V231" s="1717">
        <v>1</v>
      </c>
      <c r="W231" s="1717"/>
      <c r="X231" s="2951"/>
      <c r="Y231" s="2951"/>
      <c r="Z231" s="2951"/>
    </row>
    <row r="232" spans="1:26" s="1565" customFormat="1">
      <c r="A232" s="1709" t="s">
        <v>130</v>
      </c>
      <c r="B232" s="1718"/>
      <c r="C232" s="1558" t="s">
        <v>130</v>
      </c>
      <c r="D232" s="1538"/>
      <c r="E232" s="1538"/>
      <c r="F232" s="1538"/>
      <c r="G232" s="1538"/>
      <c r="H232" s="1538"/>
      <c r="I232" s="2971">
        <f>IF(StartYr&lt;I235,ROUND('Tax Incentives'!$C$5/1000,3),0)</f>
        <v>2.1000000000000001E-2</v>
      </c>
      <c r="J232" s="2971">
        <f>IF(StartYr&lt;J235,ROUND('Tax Incentives'!$C$5/1000,3),0)</f>
        <v>2.1000000000000001E-2</v>
      </c>
      <c r="K232" s="2971">
        <f>IF(StartYr&lt;K235,ROUND('Tax Incentives'!$C$5/1000,3),0)</f>
        <v>2.1000000000000001E-2</v>
      </c>
      <c r="L232" s="2971">
        <f>IF(StartYr&lt;L235,ROUND('Tax Incentives'!$C$5/1000,3),0)</f>
        <v>2.1000000000000001E-2</v>
      </c>
      <c r="M232" s="2971">
        <f>IF(StartYr&lt;M235,ROUND('Tax Incentives'!$C$5/1000,3),0)</f>
        <v>2.1000000000000001E-2</v>
      </c>
      <c r="N232" s="2971">
        <f>IF(StartYr&lt;N235,ROUND('Tax Incentives'!$C$5/1000,3),0)</f>
        <v>2.1000000000000001E-2</v>
      </c>
      <c r="O232" s="2971">
        <f>IF(StartYr&lt;O235,ROUND('Tax Incentives'!$C$5/1000,3),0)</f>
        <v>2.1000000000000001E-2</v>
      </c>
      <c r="P232" s="2971">
        <f>IF(StartYr&lt;P235,ROUND('Tax Incentives'!$C$5/1000,3),0)</f>
        <v>2.1000000000000001E-2</v>
      </c>
      <c r="Q232" s="2971">
        <v>2.1000000000000001E-2</v>
      </c>
      <c r="R232" s="2971">
        <v>2.1000000000000001E-2</v>
      </c>
      <c r="S232" s="2971">
        <v>2.1000000000000001E-2</v>
      </c>
      <c r="T232" s="2971">
        <v>2.1000000000000001E-2</v>
      </c>
      <c r="U232" s="2971">
        <v>2.1000000000000001E-2</v>
      </c>
      <c r="V232" s="2971">
        <v>2.1000000000000001E-2</v>
      </c>
      <c r="W232" s="1717"/>
      <c r="X232" s="2953"/>
      <c r="Y232" s="2953"/>
      <c r="Z232" s="2953"/>
    </row>
    <row r="233" spans="1:26" s="1565" customFormat="1">
      <c r="A233" s="1557" t="s">
        <v>1211</v>
      </c>
      <c r="B233" s="1718"/>
      <c r="C233" s="1558" t="s">
        <v>1212</v>
      </c>
      <c r="D233" s="1538"/>
      <c r="E233" s="1538"/>
      <c r="F233" s="1538"/>
      <c r="G233" s="1538"/>
      <c r="H233" s="1538"/>
      <c r="I233" s="1717">
        <v>2008</v>
      </c>
      <c r="J233" s="1717">
        <v>2008</v>
      </c>
      <c r="K233" s="1717">
        <v>2008</v>
      </c>
      <c r="L233" s="1717">
        <v>2008</v>
      </c>
      <c r="M233" s="1717">
        <v>2008</v>
      </c>
      <c r="N233" s="1717">
        <v>2008</v>
      </c>
      <c r="O233" s="1717">
        <v>2008</v>
      </c>
      <c r="P233" s="1717">
        <v>2008</v>
      </c>
      <c r="Q233" s="1717">
        <v>2008</v>
      </c>
      <c r="R233" s="1717">
        <v>2008</v>
      </c>
      <c r="S233" s="1717">
        <v>2008</v>
      </c>
      <c r="T233" s="1717">
        <v>2008</v>
      </c>
      <c r="U233" s="1717">
        <v>2008</v>
      </c>
      <c r="V233" s="1717">
        <v>2008</v>
      </c>
      <c r="W233" s="1717"/>
      <c r="X233" s="2951"/>
      <c r="Y233" s="2951"/>
      <c r="Z233" s="2951"/>
    </row>
    <row r="234" spans="1:26" s="1565" customFormat="1">
      <c r="A234" s="1709" t="s">
        <v>1001</v>
      </c>
      <c r="B234" s="1718"/>
      <c r="C234" s="1558" t="s">
        <v>1002</v>
      </c>
      <c r="D234" s="1538"/>
      <c r="E234" s="1538"/>
      <c r="F234" s="1538"/>
      <c r="G234" s="1538"/>
      <c r="H234" s="1538"/>
      <c r="I234" s="1717">
        <v>10</v>
      </c>
      <c r="J234" s="1717">
        <v>10</v>
      </c>
      <c r="K234" s="1717">
        <v>10</v>
      </c>
      <c r="L234" s="1717">
        <v>10</v>
      </c>
      <c r="M234" s="1717">
        <v>10</v>
      </c>
      <c r="N234" s="1717">
        <v>10</v>
      </c>
      <c r="O234" s="1717">
        <v>10</v>
      </c>
      <c r="P234" s="1717">
        <v>10</v>
      </c>
      <c r="Q234" s="1717">
        <v>10</v>
      </c>
      <c r="R234" s="1717">
        <v>10</v>
      </c>
      <c r="S234" s="1717">
        <v>10</v>
      </c>
      <c r="T234" s="1717">
        <v>10</v>
      </c>
      <c r="U234" s="1717">
        <v>10</v>
      </c>
      <c r="V234" s="1717">
        <v>10</v>
      </c>
      <c r="W234" s="1717"/>
      <c r="X234" s="2951"/>
      <c r="Y234" s="2951"/>
      <c r="Z234" s="2951"/>
    </row>
    <row r="235" spans="1:26" s="1603" customFormat="1">
      <c r="A235" s="1999" t="s">
        <v>47</v>
      </c>
      <c r="B235" s="2001"/>
      <c r="C235" s="1994" t="s">
        <v>46</v>
      </c>
      <c r="D235" s="1585"/>
      <c r="E235" s="1585"/>
      <c r="F235" s="1585"/>
      <c r="G235" s="1585"/>
      <c r="H235" s="1585"/>
      <c r="I235" s="2000">
        <f>'Tax Incentives'!$D$24+20</f>
        <v>2047</v>
      </c>
      <c r="J235" s="2000">
        <f>'Tax Incentives'!$G$24+20</f>
        <v>2047</v>
      </c>
      <c r="K235" s="2000">
        <f>'Tax Incentives'!$G$24+20</f>
        <v>2047</v>
      </c>
      <c r="L235" s="2000">
        <f>'Tax Incentives'!$J$24+20</f>
        <v>2047</v>
      </c>
      <c r="M235" s="2000">
        <f>'Tax Incentives'!$J$24+20</f>
        <v>2047</v>
      </c>
      <c r="N235" s="2000">
        <f>'Tax Incentives'!$J$24+20</f>
        <v>2047</v>
      </c>
      <c r="O235" s="2000">
        <f>'Tax Incentives'!$J$24+20</f>
        <v>2047</v>
      </c>
      <c r="P235" s="2000">
        <f>'Tax Incentives'!$J$24+20</f>
        <v>2047</v>
      </c>
      <c r="Q235" s="2000">
        <v>2047</v>
      </c>
      <c r="R235" s="2000">
        <v>2047</v>
      </c>
      <c r="S235" s="2000">
        <v>2047</v>
      </c>
      <c r="T235" s="2000">
        <v>2047</v>
      </c>
      <c r="U235" s="2000">
        <v>2047</v>
      </c>
      <c r="V235" s="2000">
        <v>2047</v>
      </c>
      <c r="W235" s="2000"/>
      <c r="X235" s="2952"/>
      <c r="Y235" s="2952"/>
      <c r="Z235" s="2952"/>
    </row>
    <row r="236" spans="1:26" s="1565" customFormat="1">
      <c r="A236" s="1719" t="s">
        <v>536</v>
      </c>
      <c r="B236" s="1720"/>
      <c r="C236" s="1721" t="s">
        <v>537</v>
      </c>
      <c r="D236" s="1538"/>
      <c r="E236" s="1538"/>
      <c r="F236" s="1538"/>
      <c r="G236" s="1538"/>
      <c r="H236" s="1538"/>
      <c r="I236" s="1538"/>
      <c r="J236" s="1538"/>
      <c r="K236" s="1538"/>
      <c r="L236" s="4115">
        <f>IF(StartYr&lt;L238,0.9,0)</f>
        <v>0.9</v>
      </c>
      <c r="M236" s="4115">
        <f>IF(StartYr&lt;M238,0.95,0)</f>
        <v>0.95</v>
      </c>
      <c r="N236" s="4115">
        <f>IF(StartYr&lt;N238,0.9,0)</f>
        <v>0.9</v>
      </c>
      <c r="O236" s="4115">
        <f t="shared" ref="O236:P236" si="19">IF(StartYr&lt;O238,0.95,0)</f>
        <v>0.95</v>
      </c>
      <c r="P236" s="4115">
        <f t="shared" si="19"/>
        <v>0.95</v>
      </c>
      <c r="Q236" s="4115">
        <f t="shared" ref="Q236:T236" si="20">IF(StartYr&lt;Q238,0.95,0)</f>
        <v>0.95</v>
      </c>
      <c r="R236" s="4115">
        <f t="shared" si="20"/>
        <v>0.95</v>
      </c>
      <c r="S236" s="4115">
        <f t="shared" si="20"/>
        <v>0.95</v>
      </c>
      <c r="T236" s="4115">
        <f t="shared" si="20"/>
        <v>0.95</v>
      </c>
      <c r="U236" s="1538"/>
      <c r="V236" s="1538"/>
      <c r="W236" s="1538"/>
      <c r="X236" s="2920"/>
      <c r="Y236" s="2967"/>
      <c r="Z236" s="2967"/>
    </row>
    <row r="237" spans="1:26" s="2332" customFormat="1">
      <c r="A237" s="2511" t="s">
        <v>1639</v>
      </c>
      <c r="B237" s="2512"/>
      <c r="C237" s="2513" t="s">
        <v>1637</v>
      </c>
      <c r="D237" s="4052"/>
      <c r="E237" s="4052"/>
      <c r="F237" s="4052"/>
      <c r="G237" s="4052"/>
      <c r="H237" s="4052"/>
      <c r="I237" s="4052"/>
      <c r="J237" s="4052"/>
      <c r="K237" s="4052"/>
      <c r="L237" s="4201">
        <v>0</v>
      </c>
      <c r="M237" s="4201">
        <v>0</v>
      </c>
      <c r="N237" s="4201">
        <v>0</v>
      </c>
      <c r="O237" s="4201">
        <v>0</v>
      </c>
      <c r="P237" s="4201">
        <v>0</v>
      </c>
      <c r="Q237" s="4201">
        <v>0</v>
      </c>
      <c r="R237" s="4201">
        <v>0</v>
      </c>
      <c r="S237" s="4201">
        <v>0</v>
      </c>
      <c r="T237" s="4201">
        <v>0</v>
      </c>
      <c r="U237" s="4052"/>
      <c r="V237" s="4052"/>
      <c r="W237" s="2335"/>
      <c r="X237" s="2954"/>
      <c r="Y237" s="4254"/>
      <c r="Z237" s="4254"/>
    </row>
    <row r="238" spans="1:26" s="2332" customFormat="1">
      <c r="A238" s="2511" t="s">
        <v>1640</v>
      </c>
      <c r="B238" s="2512"/>
      <c r="C238" s="2513" t="s">
        <v>1638</v>
      </c>
      <c r="D238" s="4052"/>
      <c r="E238" s="4052"/>
      <c r="F238" s="4052"/>
      <c r="G238" s="4052"/>
      <c r="H238" s="4052"/>
      <c r="I238" s="4052"/>
      <c r="J238" s="4052"/>
      <c r="K238" s="4052"/>
      <c r="L238" s="4116">
        <v>2033</v>
      </c>
      <c r="M238" s="4116">
        <v>2033</v>
      </c>
      <c r="N238" s="4116">
        <v>2033</v>
      </c>
      <c r="O238" s="4116">
        <v>2033</v>
      </c>
      <c r="P238" s="4116">
        <v>2033</v>
      </c>
      <c r="Q238" s="4116">
        <v>2033</v>
      </c>
      <c r="R238" s="4116">
        <v>2033</v>
      </c>
      <c r="S238" s="4116">
        <v>2033</v>
      </c>
      <c r="T238" s="4116">
        <v>2033</v>
      </c>
      <c r="U238" s="4052"/>
      <c r="V238" s="4052"/>
      <c r="W238" s="2335"/>
      <c r="X238" s="2954"/>
      <c r="Y238" s="2964"/>
      <c r="Z238" s="2964"/>
    </row>
    <row r="239" spans="1:26" s="2332" customFormat="1" ht="15">
      <c r="A239" s="1719" t="s">
        <v>1664</v>
      </c>
      <c r="B239" s="1720"/>
      <c r="C239" s="1721" t="s">
        <v>1663</v>
      </c>
      <c r="D239" s="4202">
        <v>0.6</v>
      </c>
      <c r="E239" s="4202">
        <v>0.6</v>
      </c>
      <c r="F239" s="4202">
        <v>0.6</v>
      </c>
      <c r="G239" s="4202">
        <v>0.6</v>
      </c>
      <c r="H239" s="4202">
        <v>0.6</v>
      </c>
      <c r="I239" s="4202">
        <v>0.5</v>
      </c>
      <c r="J239" s="4202">
        <v>0.67</v>
      </c>
      <c r="K239" s="4202">
        <v>0.61</v>
      </c>
      <c r="L239" s="4202">
        <v>0.55000000000000004</v>
      </c>
      <c r="M239" s="4202">
        <v>0.55000000000000004</v>
      </c>
      <c r="N239" s="4202">
        <v>0.55000000000000004</v>
      </c>
      <c r="O239" s="4202">
        <v>0.55000000000000004</v>
      </c>
      <c r="P239" s="4202">
        <v>0.55000000000000004</v>
      </c>
      <c r="Q239" s="4202">
        <v>0.7</v>
      </c>
      <c r="R239" s="4202">
        <v>0.7</v>
      </c>
      <c r="S239" s="4202">
        <v>0.7</v>
      </c>
      <c r="T239" s="4202">
        <v>0.7</v>
      </c>
      <c r="U239" s="4202">
        <v>0.85</v>
      </c>
      <c r="V239" s="4202">
        <v>0.85</v>
      </c>
      <c r="W239" s="2335"/>
      <c r="X239" s="4254"/>
      <c r="Y239" s="4254"/>
      <c r="Z239" s="4254"/>
    </row>
    <row r="240" spans="1:26" s="2332" customFormat="1">
      <c r="A240" s="1719"/>
      <c r="B240" s="1720"/>
      <c r="C240" s="1721"/>
      <c r="D240" s="4052"/>
      <c r="E240" s="4052"/>
      <c r="F240" s="4052"/>
      <c r="G240" s="4052"/>
      <c r="H240" s="4052"/>
      <c r="I240" s="4052"/>
      <c r="J240" s="4052"/>
      <c r="K240" s="4052"/>
      <c r="L240" s="4125"/>
      <c r="M240" s="4125"/>
      <c r="N240" s="4125"/>
      <c r="O240" s="4125"/>
      <c r="P240" s="4125"/>
      <c r="Q240" s="4125"/>
      <c r="R240" s="4125"/>
      <c r="S240" s="4125"/>
      <c r="T240" s="4125"/>
      <c r="U240" s="4052"/>
      <c r="V240" s="4052"/>
      <c r="W240" s="2335"/>
      <c r="X240" s="2954"/>
      <c r="Y240" s="2964"/>
      <c r="Z240" s="2964"/>
    </row>
    <row r="241" spans="1:56" s="1729" customFormat="1">
      <c r="A241" s="1723" t="s">
        <v>532</v>
      </c>
      <c r="B241" s="1724"/>
      <c r="C241" s="1725" t="s">
        <v>533</v>
      </c>
      <c r="D241" s="1717"/>
      <c r="E241" s="1717"/>
      <c r="F241" s="1717"/>
      <c r="G241" s="1717"/>
      <c r="H241" s="1717"/>
      <c r="I241" s="1717"/>
      <c r="J241" s="1717"/>
      <c r="K241" s="1717"/>
      <c r="L241" s="4153"/>
      <c r="M241" s="4153"/>
      <c r="N241" s="4153"/>
      <c r="O241" s="4153"/>
      <c r="P241" s="4153"/>
      <c r="Q241" s="4153"/>
      <c r="R241" s="4153"/>
      <c r="S241" s="4153"/>
      <c r="T241" s="4153"/>
      <c r="U241" s="1717"/>
      <c r="V241" s="1717"/>
      <c r="W241" s="1717"/>
      <c r="X241" s="2951"/>
      <c r="Y241" s="2965"/>
      <c r="Z241" s="2965"/>
      <c r="AB241" s="1667"/>
    </row>
    <row r="242" spans="1:56" s="1729" customFormat="1">
      <c r="A242" s="1723" t="s">
        <v>534</v>
      </c>
      <c r="B242" s="1724"/>
      <c r="C242" s="1725" t="s">
        <v>535</v>
      </c>
      <c r="D242" s="1717"/>
      <c r="E242" s="1717"/>
      <c r="F242" s="1717"/>
      <c r="G242" s="1717"/>
      <c r="H242" s="1717"/>
      <c r="I242" s="1717"/>
      <c r="J242" s="1717"/>
      <c r="K242" s="1717"/>
      <c r="L242" s="1717"/>
      <c r="M242" s="1717"/>
      <c r="N242" s="1717"/>
      <c r="O242" s="1717"/>
      <c r="P242" s="1717"/>
      <c r="Q242" s="1717"/>
      <c r="R242" s="1717"/>
      <c r="S242" s="1717"/>
      <c r="T242" s="1717"/>
      <c r="U242" s="1717"/>
      <c r="V242" s="1717"/>
      <c r="W242" s="1717"/>
      <c r="X242" s="2951"/>
      <c r="Y242" s="2951"/>
      <c r="Z242" s="2951"/>
      <c r="AB242" s="1565"/>
    </row>
    <row r="243" spans="1:56" s="1729" customFormat="1">
      <c r="A243" s="1723" t="s">
        <v>109</v>
      </c>
      <c r="B243" s="1724"/>
      <c r="C243" s="1725" t="s">
        <v>543</v>
      </c>
      <c r="D243" s="1717"/>
      <c r="E243" s="1717"/>
      <c r="F243" s="1717"/>
      <c r="G243" s="1717"/>
      <c r="H243" s="1717"/>
      <c r="I243" s="4154"/>
      <c r="J243" s="1717"/>
      <c r="K243" s="1717"/>
      <c r="L243" s="1717"/>
      <c r="M243" s="1717"/>
      <c r="N243" s="1717"/>
      <c r="O243" s="1717"/>
      <c r="P243" s="1717"/>
      <c r="Q243" s="1717"/>
      <c r="R243" s="1717"/>
      <c r="S243" s="1717"/>
      <c r="T243" s="1717"/>
      <c r="U243" s="4155"/>
      <c r="V243" s="4155"/>
      <c r="W243" s="4155"/>
      <c r="X243" s="4256"/>
      <c r="Y243" s="2951"/>
      <c r="Z243" s="2951"/>
      <c r="AB243" s="1565"/>
    </row>
    <row r="244" spans="1:56" s="1565" customFormat="1">
      <c r="A244" s="1536"/>
      <c r="C244" s="1537"/>
      <c r="D244" s="1538"/>
      <c r="E244" s="1538"/>
      <c r="F244" s="1538"/>
      <c r="G244" s="1538"/>
      <c r="H244" s="1538"/>
      <c r="I244" s="1538"/>
      <c r="J244" s="1538"/>
      <c r="K244" s="1538"/>
      <c r="L244" s="1538"/>
      <c r="M244" s="1538"/>
      <c r="N244" s="1538"/>
      <c r="O244" s="1538"/>
      <c r="P244" s="1538"/>
      <c r="Q244" s="1538"/>
      <c r="R244" s="1538"/>
      <c r="S244" s="1538"/>
      <c r="T244" s="1538"/>
      <c r="U244" s="1538"/>
      <c r="V244" s="1538"/>
      <c r="W244" s="1538"/>
      <c r="X244" s="2920"/>
      <c r="Y244" s="2920"/>
      <c r="Z244" s="2920"/>
    </row>
    <row r="245" spans="1:56" s="1565" customFormat="1" ht="15">
      <c r="A245" s="2334" t="s">
        <v>905</v>
      </c>
      <c r="B245" s="2331"/>
      <c r="C245" s="70" t="s">
        <v>444</v>
      </c>
      <c r="D245" s="2969">
        <f>IF('Physical Data'!$C$15="At Busbar - Plant Side",0%,0.5%)</f>
        <v>5.0000000000000001E-3</v>
      </c>
      <c r="E245" s="2969">
        <f>IF('Physical Data'!$C$15="At Busbar - Plant Side",0%,0.5%)</f>
        <v>5.0000000000000001E-3</v>
      </c>
      <c r="F245" s="2969">
        <f>IF('Physical Data'!$C$15="At Busbar - Plant Side",0%,0.5%)</f>
        <v>5.0000000000000001E-3</v>
      </c>
      <c r="G245" s="2969">
        <f>IF('Physical Data'!$C$15="At Busbar - Plant Side",0%,0.5%)</f>
        <v>5.0000000000000001E-3</v>
      </c>
      <c r="H245" s="2969">
        <f>IF('Physical Data'!$C$15="At Busbar - Plant Side",0%,0.5%)</f>
        <v>5.0000000000000001E-3</v>
      </c>
      <c r="I245" s="2969">
        <f>IF('Physical Data'!$C$15="At Busbar - Plant Side",0%,0.5%)</f>
        <v>5.0000000000000001E-3</v>
      </c>
      <c r="J245" s="2969">
        <f>IF('Physical Data'!$C$15="At Busbar - Plant Side",0%,0.5%)</f>
        <v>5.0000000000000001E-3</v>
      </c>
      <c r="K245" s="2969">
        <f>IF('Physical Data'!$C$15="At Busbar - Plant Side",0%,0.5%)</f>
        <v>5.0000000000000001E-3</v>
      </c>
      <c r="L245" s="2969">
        <f>IF('Physical Data'!$C$15="At Busbar - Plant Side",0%,0.5%)</f>
        <v>5.0000000000000001E-3</v>
      </c>
      <c r="M245" s="2969">
        <f>IF('Physical Data'!$C$15="At Busbar - Plant Side",0%,0.5%)</f>
        <v>5.0000000000000001E-3</v>
      </c>
      <c r="N245" s="2969">
        <f>IF('Physical Data'!$C$15="At Busbar - Plant Side",0%,0.5%)</f>
        <v>5.0000000000000001E-3</v>
      </c>
      <c r="O245" s="2969">
        <f>IF('Physical Data'!$C$15="At Busbar - Plant Side",0%,0.5%)</f>
        <v>5.0000000000000001E-3</v>
      </c>
      <c r="P245" s="2969">
        <f>IF('Physical Data'!$C$15="At Busbar - Plant Side",0%,0.5%)</f>
        <v>5.0000000000000001E-3</v>
      </c>
      <c r="Q245" s="2969">
        <v>5.0000000000000001E-3</v>
      </c>
      <c r="R245" s="4171">
        <v>0.01</v>
      </c>
      <c r="S245" s="2969">
        <v>5.0000000000000001E-3</v>
      </c>
      <c r="T245" s="4171">
        <v>0.01</v>
      </c>
      <c r="U245" s="2969">
        <v>5.0000000000000001E-3</v>
      </c>
      <c r="V245" s="2969">
        <v>5.0000000000000001E-3</v>
      </c>
      <c r="W245" s="1538"/>
      <c r="X245" s="2937"/>
      <c r="Y245" s="2937"/>
      <c r="Z245" s="2937"/>
      <c r="AB245" s="1539"/>
      <c r="AC245" s="1539"/>
      <c r="AD245" s="1539"/>
      <c r="AE245" s="1539"/>
      <c r="AF245" s="1539"/>
      <c r="AG245" s="1566"/>
    </row>
    <row r="246" spans="1:56" s="1565" customFormat="1">
      <c r="A246" s="1536"/>
      <c r="C246" s="1537"/>
      <c r="D246" s="1538"/>
      <c r="E246" s="1538"/>
      <c r="F246" s="1538"/>
      <c r="G246" s="1538"/>
      <c r="H246" s="1538"/>
      <c r="I246" s="1538"/>
      <c r="J246" s="1538"/>
      <c r="K246" s="1538"/>
      <c r="L246" s="1538"/>
      <c r="M246" s="1538"/>
      <c r="N246" s="1538"/>
      <c r="O246" s="1538"/>
      <c r="P246" s="1538"/>
      <c r="Q246" s="1538"/>
      <c r="R246" s="1538"/>
      <c r="S246" s="1538"/>
      <c r="T246" s="1538"/>
      <c r="U246" s="1538"/>
      <c r="V246" s="1538"/>
      <c r="W246" s="1538"/>
      <c r="X246" s="2920"/>
      <c r="Y246" s="2920"/>
      <c r="Z246" s="2920"/>
    </row>
    <row r="247" spans="1:56" s="1565" customFormat="1">
      <c r="A247" s="1536"/>
      <c r="C247" s="1537"/>
      <c r="D247" s="1538"/>
      <c r="E247" s="1538"/>
      <c r="F247" s="1538"/>
      <c r="G247" s="1538"/>
      <c r="H247" s="1538"/>
      <c r="I247" s="1538"/>
      <c r="J247" s="1538"/>
      <c r="K247" s="1538"/>
      <c r="L247" s="1538"/>
      <c r="M247" s="1538"/>
      <c r="N247" s="1538"/>
      <c r="O247" s="1538"/>
      <c r="P247" s="1538"/>
      <c r="Q247" s="1538"/>
      <c r="R247" s="1538"/>
      <c r="S247" s="1538"/>
      <c r="T247" s="1538"/>
      <c r="U247" s="1538"/>
      <c r="V247" s="1538"/>
      <c r="W247" s="1538"/>
      <c r="X247" s="2920"/>
      <c r="Y247" s="2920"/>
      <c r="Z247" s="2920"/>
    </row>
    <row r="248" spans="1:56" s="1565" customFormat="1">
      <c r="A248" s="1536"/>
      <c r="C248" s="1537"/>
      <c r="D248" s="1538"/>
      <c r="E248" s="1538"/>
      <c r="F248" s="1538"/>
      <c r="G248" s="1538"/>
      <c r="H248" s="1538"/>
      <c r="I248" s="1538"/>
      <c r="J248" s="1538"/>
      <c r="K248" s="1538"/>
      <c r="L248" s="1538"/>
      <c r="M248" s="1538"/>
      <c r="N248" s="1538"/>
      <c r="O248" s="1538"/>
      <c r="P248" s="1538"/>
      <c r="Q248" s="1538"/>
      <c r="R248" s="1538"/>
      <c r="S248" s="1538"/>
      <c r="T248" s="1538"/>
      <c r="U248" s="1538"/>
      <c r="V248" s="1538"/>
      <c r="W248" s="1538"/>
      <c r="X248" s="2920"/>
      <c r="Y248" s="2920"/>
      <c r="Z248" s="2920"/>
    </row>
    <row r="249" spans="1:56" s="1565" customFormat="1">
      <c r="A249" s="1536"/>
      <c r="C249" s="1537"/>
      <c r="D249" s="1538"/>
      <c r="E249" s="1538"/>
      <c r="F249" s="1538"/>
      <c r="G249" s="1538"/>
      <c r="H249" s="1538"/>
      <c r="I249" s="1538"/>
      <c r="J249" s="1538"/>
      <c r="K249" s="1538"/>
      <c r="L249" s="1538"/>
      <c r="M249" s="1538"/>
      <c r="N249" s="1538"/>
      <c r="O249" s="1538"/>
      <c r="P249" s="1538"/>
      <c r="Q249" s="1538"/>
      <c r="R249" s="1538"/>
      <c r="S249" s="1538"/>
      <c r="T249" s="1538"/>
      <c r="U249" s="1538"/>
      <c r="V249" s="1538"/>
      <c r="W249" s="1538"/>
      <c r="X249" s="2920"/>
      <c r="Y249" s="2920"/>
      <c r="Z249" s="2920"/>
    </row>
    <row r="250" spans="1:56" s="2002" customFormat="1">
      <c r="B250" s="2002" t="s">
        <v>1051</v>
      </c>
      <c r="C250" s="2003" t="s">
        <v>482</v>
      </c>
      <c r="D250" s="1538"/>
      <c r="E250" s="1538"/>
      <c r="F250" s="1538"/>
      <c r="G250" s="1538"/>
      <c r="H250" s="1538"/>
      <c r="I250" s="1538"/>
      <c r="J250" s="1538"/>
      <c r="K250" s="1538"/>
      <c r="L250" s="1538"/>
      <c r="M250" s="1538"/>
      <c r="N250" s="1538"/>
      <c r="O250" s="1538"/>
      <c r="P250" s="1538"/>
      <c r="Q250" s="1538"/>
      <c r="R250" s="1538"/>
      <c r="S250" s="1538"/>
      <c r="T250" s="1538"/>
      <c r="U250" s="1538"/>
      <c r="V250" s="1538"/>
      <c r="W250" s="1538"/>
      <c r="X250" s="2920"/>
      <c r="Y250" s="2920"/>
      <c r="Z250" s="2920"/>
    </row>
    <row r="251" spans="1:56" s="2006" customFormat="1">
      <c r="A251" s="2004"/>
      <c r="B251" s="2004" t="s">
        <v>755</v>
      </c>
      <c r="C251" s="2005" t="s">
        <v>334</v>
      </c>
      <c r="D251" s="1538"/>
      <c r="E251" s="1538"/>
      <c r="F251" s="1538"/>
      <c r="G251" s="1538"/>
      <c r="H251" s="1538"/>
      <c r="I251" s="1538"/>
      <c r="J251" s="1538">
        <v>0</v>
      </c>
      <c r="K251" s="1538">
        <v>0</v>
      </c>
      <c r="L251" s="1538"/>
      <c r="M251" s="1538"/>
      <c r="N251" s="1538"/>
      <c r="O251" s="1538"/>
      <c r="P251" s="1538"/>
      <c r="Q251" s="1538"/>
      <c r="R251" s="1538"/>
      <c r="S251" s="1538"/>
      <c r="T251" s="1538"/>
      <c r="U251" s="1538"/>
      <c r="V251" s="1538"/>
      <c r="W251" s="1538"/>
      <c r="X251" s="2920"/>
      <c r="Y251" s="2920"/>
      <c r="Z251" s="2920"/>
    </row>
    <row r="252" spans="1:56" s="2009" customFormat="1">
      <c r="A252" s="2007"/>
      <c r="B252" s="2007" t="s">
        <v>683</v>
      </c>
      <c r="C252" s="2008" t="s">
        <v>1270</v>
      </c>
      <c r="D252" s="1538"/>
      <c r="E252" s="1538"/>
      <c r="F252" s="1538"/>
      <c r="G252" s="1538"/>
      <c r="H252" s="1538">
        <v>1</v>
      </c>
      <c r="I252" s="1538"/>
      <c r="J252" s="1538">
        <v>1</v>
      </c>
      <c r="K252" s="1538">
        <v>1</v>
      </c>
      <c r="L252" s="1538"/>
      <c r="M252" s="1538"/>
      <c r="N252" s="1538"/>
      <c r="O252" s="1538"/>
      <c r="P252" s="1538"/>
      <c r="Q252" s="1538"/>
      <c r="R252" s="1538"/>
      <c r="S252" s="1538"/>
      <c r="T252" s="1538"/>
      <c r="U252" s="1586"/>
      <c r="V252" s="1586"/>
      <c r="W252" s="1586"/>
      <c r="X252" s="2929"/>
      <c r="Y252" s="2920"/>
      <c r="Z252" s="2920"/>
      <c r="AB252" s="2006"/>
      <c r="AC252" s="2006"/>
      <c r="AD252" s="2006"/>
      <c r="AE252" s="2006"/>
      <c r="AF252" s="2006"/>
      <c r="AG252" s="2006"/>
      <c r="AH252" s="2006"/>
      <c r="AI252" s="2006"/>
      <c r="AJ252" s="2006"/>
      <c r="AK252" s="2006"/>
      <c r="AL252" s="2006"/>
      <c r="AM252" s="2006"/>
      <c r="AN252" s="2006"/>
      <c r="AO252" s="2006"/>
      <c r="AP252" s="2006"/>
      <c r="AQ252" s="2006"/>
      <c r="AR252" s="2006"/>
      <c r="AS252" s="2006"/>
      <c r="AT252" s="2006"/>
      <c r="AU252" s="2006"/>
      <c r="AV252" s="2006"/>
      <c r="AW252" s="2006"/>
      <c r="AX252" s="2006"/>
      <c r="AY252" s="2006"/>
      <c r="AZ252" s="2006"/>
      <c r="BA252" s="2006"/>
      <c r="BB252" s="2006"/>
      <c r="BC252" s="2006"/>
      <c r="BD252" s="2006"/>
    </row>
    <row r="253" spans="1:56" s="2006" customFormat="1">
      <c r="B253" s="2006" t="s">
        <v>699</v>
      </c>
      <c r="C253" s="2010" t="s">
        <v>1277</v>
      </c>
      <c r="D253" s="1538"/>
      <c r="E253" s="1538"/>
      <c r="F253" s="1538"/>
      <c r="G253" s="1538"/>
      <c r="H253" s="1538">
        <v>222591.6</v>
      </c>
      <c r="I253" s="1538"/>
      <c r="J253" s="1538">
        <v>260000</v>
      </c>
      <c r="K253" s="1538">
        <v>260000</v>
      </c>
      <c r="L253" s="1538"/>
      <c r="M253" s="1538"/>
      <c r="N253" s="1538"/>
      <c r="O253" s="1538"/>
      <c r="P253" s="1538"/>
      <c r="Q253" s="1538"/>
      <c r="R253" s="1538"/>
      <c r="S253" s="1538"/>
      <c r="T253" s="1538"/>
      <c r="U253" s="1538"/>
      <c r="V253" s="1538"/>
      <c r="W253" s="1538"/>
      <c r="X253" s="2920"/>
      <c r="Y253" s="2920"/>
      <c r="Z253" s="2920"/>
    </row>
    <row r="254" spans="1:56" s="2006" customFormat="1">
      <c r="B254" s="2006" t="s">
        <v>719</v>
      </c>
      <c r="C254" s="2005" t="s">
        <v>121</v>
      </c>
      <c r="D254" s="1538"/>
      <c r="E254" s="1538"/>
      <c r="F254" s="1538"/>
      <c r="G254" s="1538"/>
      <c r="H254" s="1538">
        <v>5.0000000000000001E-3</v>
      </c>
      <c r="I254" s="1538"/>
      <c r="J254" s="1538">
        <v>5.0000000000000001E-3</v>
      </c>
      <c r="K254" s="1538">
        <v>5.0000000000000001E-3</v>
      </c>
      <c r="L254" s="1538"/>
      <c r="M254" s="1538"/>
      <c r="N254" s="1538"/>
      <c r="O254" s="1538"/>
      <c r="P254" s="1538"/>
      <c r="Q254" s="1538"/>
      <c r="R254" s="1538"/>
      <c r="S254" s="1538"/>
      <c r="T254" s="1538"/>
      <c r="U254" s="1538"/>
      <c r="V254" s="1538"/>
      <c r="W254" s="1538"/>
      <c r="X254" s="2920"/>
      <c r="Y254" s="2920"/>
      <c r="Z254" s="2920"/>
    </row>
    <row r="255" spans="1:56" s="2006" customFormat="1">
      <c r="B255" s="2011" t="s">
        <v>757</v>
      </c>
      <c r="C255" s="2005" t="s">
        <v>1256</v>
      </c>
      <c r="D255" s="1538"/>
      <c r="E255" s="1538"/>
      <c r="F255" s="1538"/>
      <c r="G255" s="1538"/>
      <c r="H255" s="1538"/>
      <c r="I255" s="1538"/>
      <c r="J255" s="1538"/>
      <c r="K255" s="1538"/>
      <c r="L255" s="1538"/>
      <c r="M255" s="1538"/>
      <c r="N255" s="1538"/>
      <c r="O255" s="1538"/>
      <c r="P255" s="1538"/>
      <c r="Q255" s="1538"/>
      <c r="R255" s="1538"/>
      <c r="S255" s="1538"/>
      <c r="T255" s="1538"/>
      <c r="U255" s="1538"/>
      <c r="V255" s="1538"/>
      <c r="W255" s="1538"/>
      <c r="X255" s="2920"/>
      <c r="Y255" s="2920"/>
      <c r="Z255" s="2920"/>
    </row>
    <row r="256" spans="1:56" s="2006" customFormat="1">
      <c r="B256" s="2012" t="s">
        <v>758</v>
      </c>
      <c r="C256" s="2005" t="s">
        <v>1257</v>
      </c>
      <c r="D256" s="1538"/>
      <c r="E256" s="1538"/>
      <c r="F256" s="1538"/>
      <c r="G256" s="1538"/>
      <c r="H256" s="1538"/>
      <c r="I256" s="1538"/>
      <c r="J256" s="1538"/>
      <c r="K256" s="1538"/>
      <c r="L256" s="1538"/>
      <c r="M256" s="1538"/>
      <c r="N256" s="1538"/>
      <c r="O256" s="1538"/>
      <c r="P256" s="1538"/>
      <c r="Q256" s="1538"/>
      <c r="R256" s="1538"/>
      <c r="S256" s="1538"/>
      <c r="T256" s="1538"/>
      <c r="U256" s="1538"/>
      <c r="V256" s="1538"/>
      <c r="W256" s="1538"/>
      <c r="X256" s="2920"/>
      <c r="Y256" s="2920"/>
      <c r="Z256" s="2920"/>
    </row>
    <row r="257" spans="2:26" s="2006" customFormat="1">
      <c r="B257" s="2012"/>
      <c r="C257" s="2005" t="s">
        <v>463</v>
      </c>
      <c r="D257" s="1538"/>
      <c r="E257" s="1538"/>
      <c r="F257" s="1538"/>
      <c r="G257" s="1538"/>
      <c r="H257" s="1538"/>
      <c r="I257" s="1538"/>
      <c r="J257" s="1538"/>
      <c r="K257" s="1538"/>
      <c r="L257" s="1538"/>
      <c r="M257" s="1538"/>
      <c r="N257" s="1538"/>
      <c r="O257" s="1538"/>
      <c r="P257" s="1538"/>
      <c r="Q257" s="1538"/>
      <c r="R257" s="1538"/>
      <c r="S257" s="1538"/>
      <c r="T257" s="1538"/>
      <c r="U257" s="1538"/>
      <c r="V257" s="1538"/>
      <c r="W257" s="1538"/>
      <c r="X257" s="2920"/>
      <c r="Y257" s="2920"/>
      <c r="Z257" s="2920"/>
    </row>
    <row r="258" spans="2:26" s="2006" customFormat="1">
      <c r="B258" s="2011" t="s">
        <v>759</v>
      </c>
      <c r="C258" s="2005" t="s">
        <v>678</v>
      </c>
      <c r="D258" s="1538"/>
      <c r="E258" s="1538"/>
      <c r="F258" s="1538"/>
      <c r="G258" s="1538"/>
      <c r="H258" s="1538"/>
      <c r="I258" s="1538"/>
      <c r="J258" s="1538"/>
      <c r="K258" s="1538"/>
      <c r="L258" s="1538"/>
      <c r="M258" s="1538"/>
      <c r="N258" s="1538"/>
      <c r="O258" s="1538"/>
      <c r="P258" s="1538"/>
      <c r="Q258" s="1538"/>
      <c r="R258" s="1538"/>
      <c r="S258" s="1538"/>
      <c r="T258" s="1538"/>
      <c r="U258" s="1538"/>
      <c r="V258" s="1538"/>
      <c r="W258" s="1538"/>
      <c r="X258" s="2920"/>
      <c r="Y258" s="2920"/>
      <c r="Z258" s="2920"/>
    </row>
    <row r="259" spans="2:26" s="2006" customFormat="1">
      <c r="B259" s="2012" t="s">
        <v>760</v>
      </c>
      <c r="C259" s="2005" t="s">
        <v>679</v>
      </c>
      <c r="D259" s="1538"/>
      <c r="E259" s="1538"/>
      <c r="F259" s="1538"/>
      <c r="G259" s="1538"/>
      <c r="H259" s="1538"/>
      <c r="I259" s="1538"/>
      <c r="J259" s="1538"/>
      <c r="K259" s="1538"/>
      <c r="L259" s="1538"/>
      <c r="M259" s="1538"/>
      <c r="N259" s="1538"/>
      <c r="O259" s="1538"/>
      <c r="P259" s="1538"/>
      <c r="Q259" s="1538"/>
      <c r="R259" s="1538"/>
      <c r="S259" s="1538"/>
      <c r="T259" s="1538"/>
      <c r="U259" s="1538"/>
      <c r="V259" s="1538"/>
      <c r="W259" s="1538"/>
      <c r="X259" s="2920"/>
      <c r="Y259" s="2920"/>
      <c r="Z259" s="2920"/>
    </row>
    <row r="260" spans="2:26" s="2006" customFormat="1">
      <c r="B260" s="2012"/>
      <c r="C260" s="2005" t="s">
        <v>463</v>
      </c>
      <c r="D260" s="1538"/>
      <c r="E260" s="1538"/>
      <c r="F260" s="1538"/>
      <c r="G260" s="1538"/>
      <c r="H260" s="1538"/>
      <c r="I260" s="1538"/>
      <c r="J260" s="1538"/>
      <c r="K260" s="1538"/>
      <c r="L260" s="1538"/>
      <c r="M260" s="1538"/>
      <c r="N260" s="1538"/>
      <c r="O260" s="1538"/>
      <c r="P260" s="1538"/>
      <c r="Q260" s="1538"/>
      <c r="R260" s="1538"/>
      <c r="S260" s="1538"/>
      <c r="T260" s="1538"/>
      <c r="U260" s="1538"/>
      <c r="V260" s="1538"/>
      <c r="W260" s="1538"/>
      <c r="X260" s="2920"/>
      <c r="Y260" s="2920"/>
      <c r="Z260" s="2920"/>
    </row>
    <row r="261" spans="2:26" s="2006" customFormat="1">
      <c r="B261" s="2006" t="s">
        <v>761</v>
      </c>
      <c r="C261" s="2005" t="s">
        <v>469</v>
      </c>
      <c r="D261" s="1538"/>
      <c r="E261" s="1538"/>
      <c r="F261" s="1538"/>
      <c r="G261" s="1538"/>
      <c r="H261" s="1538"/>
      <c r="I261" s="1538"/>
      <c r="J261" s="1538"/>
      <c r="K261" s="1538"/>
      <c r="L261" s="1538"/>
      <c r="M261" s="1538"/>
      <c r="N261" s="1538"/>
      <c r="O261" s="1538"/>
      <c r="P261" s="1538"/>
      <c r="Q261" s="1538"/>
      <c r="R261" s="1538"/>
      <c r="S261" s="1538"/>
      <c r="T261" s="1538"/>
      <c r="U261" s="1538"/>
      <c r="V261" s="1538"/>
      <c r="W261" s="1538"/>
      <c r="X261" s="2920"/>
      <c r="Y261" s="2920"/>
      <c r="Z261" s="2920"/>
    </row>
    <row r="262" spans="2:26" s="2006" customFormat="1">
      <c r="B262" s="2006" t="s">
        <v>762</v>
      </c>
      <c r="C262" s="2005" t="s">
        <v>470</v>
      </c>
      <c r="D262" s="1538"/>
      <c r="E262" s="1538"/>
      <c r="F262" s="1538"/>
      <c r="G262" s="1538"/>
      <c r="H262" s="1538"/>
      <c r="I262" s="1538"/>
      <c r="J262" s="1538"/>
      <c r="K262" s="1538"/>
      <c r="L262" s="1538"/>
      <c r="M262" s="1538"/>
      <c r="N262" s="1538"/>
      <c r="O262" s="1538"/>
      <c r="P262" s="1538"/>
      <c r="Q262" s="1538"/>
      <c r="R262" s="1538"/>
      <c r="S262" s="1538"/>
      <c r="T262" s="1538"/>
      <c r="U262" s="1538"/>
      <c r="V262" s="1538"/>
      <c r="W262" s="1538"/>
      <c r="X262" s="2920"/>
      <c r="Y262" s="2920"/>
      <c r="Z262" s="2920"/>
    </row>
    <row r="263" spans="2:26" s="2006" customFormat="1">
      <c r="B263" s="2013" t="s">
        <v>764</v>
      </c>
      <c r="C263" s="2005" t="s">
        <v>472</v>
      </c>
      <c r="D263" s="1538"/>
      <c r="E263" s="1538"/>
      <c r="F263" s="1538"/>
      <c r="G263" s="1538"/>
      <c r="H263" s="1538"/>
      <c r="I263" s="1538"/>
      <c r="J263" s="1538"/>
      <c r="K263" s="1538"/>
      <c r="L263" s="1538"/>
      <c r="M263" s="1538"/>
      <c r="N263" s="1538"/>
      <c r="O263" s="1538"/>
      <c r="P263" s="1538"/>
      <c r="Q263" s="1538"/>
      <c r="R263" s="1538"/>
      <c r="S263" s="1538"/>
      <c r="T263" s="1538"/>
      <c r="U263" s="1538"/>
      <c r="V263" s="1538"/>
      <c r="W263" s="1538"/>
      <c r="X263" s="2920"/>
      <c r="Y263" s="2920"/>
      <c r="Z263" s="2920"/>
    </row>
    <row r="264" spans="2:26" s="2006" customFormat="1">
      <c r="B264" s="2013" t="s">
        <v>765</v>
      </c>
      <c r="C264" s="2005" t="s">
        <v>473</v>
      </c>
      <c r="D264" s="1538"/>
      <c r="E264" s="1538"/>
      <c r="F264" s="1538"/>
      <c r="G264" s="1538"/>
      <c r="H264" s="1538"/>
      <c r="I264" s="1538"/>
      <c r="J264" s="1538"/>
      <c r="K264" s="1538"/>
      <c r="L264" s="1538"/>
      <c r="M264" s="1538"/>
      <c r="N264" s="1538"/>
      <c r="O264" s="1538"/>
      <c r="P264" s="1538"/>
      <c r="Q264" s="1538"/>
      <c r="R264" s="1538"/>
      <c r="S264" s="1538"/>
      <c r="T264" s="1538"/>
      <c r="U264" s="1538"/>
      <c r="V264" s="1538"/>
      <c r="W264" s="1538"/>
      <c r="X264" s="2920"/>
      <c r="Y264" s="2920"/>
      <c r="Z264" s="2920"/>
    </row>
    <row r="265" spans="2:26" s="2006" customFormat="1">
      <c r="B265" s="2011" t="s">
        <v>766</v>
      </c>
      <c r="C265" s="2005" t="s">
        <v>467</v>
      </c>
      <c r="D265" s="1538"/>
      <c r="E265" s="1538"/>
      <c r="F265" s="1538"/>
      <c r="G265" s="1538"/>
      <c r="H265" s="1538"/>
      <c r="I265" s="1538"/>
      <c r="J265" s="1538"/>
      <c r="K265" s="1538"/>
      <c r="L265" s="1538"/>
      <c r="M265" s="1538"/>
      <c r="N265" s="1538"/>
      <c r="O265" s="1538"/>
      <c r="P265" s="1538"/>
      <c r="Q265" s="1538"/>
      <c r="R265" s="1538"/>
      <c r="S265" s="1538"/>
      <c r="T265" s="1538"/>
      <c r="U265" s="1538"/>
      <c r="V265" s="1538"/>
      <c r="W265" s="1538"/>
      <c r="X265" s="2920"/>
      <c r="Y265" s="2920"/>
      <c r="Z265" s="2920"/>
    </row>
    <row r="266" spans="2:26" s="2006" customFormat="1">
      <c r="B266" s="2014" t="s">
        <v>767</v>
      </c>
      <c r="C266" s="2005" t="s">
        <v>466</v>
      </c>
      <c r="D266" s="1538"/>
      <c r="E266" s="1538"/>
      <c r="F266" s="1538"/>
      <c r="G266" s="1538"/>
      <c r="H266" s="1538"/>
      <c r="I266" s="1538"/>
      <c r="J266" s="1538"/>
      <c r="K266" s="1538"/>
      <c r="L266" s="1538"/>
      <c r="M266" s="1538"/>
      <c r="N266" s="1538"/>
      <c r="O266" s="1538"/>
      <c r="P266" s="1538"/>
      <c r="Q266" s="1538"/>
      <c r="R266" s="1538"/>
      <c r="S266" s="1538"/>
      <c r="T266" s="1538"/>
      <c r="U266" s="1538"/>
      <c r="V266" s="1538"/>
      <c r="W266" s="1538"/>
      <c r="X266" s="2920"/>
      <c r="Y266" s="2920"/>
      <c r="Z266" s="2920"/>
    </row>
    <row r="267" spans="2:26" s="2006" customFormat="1">
      <c r="B267" s="2015" t="s">
        <v>768</v>
      </c>
      <c r="C267" s="2005" t="s">
        <v>463</v>
      </c>
      <c r="D267" s="1538"/>
      <c r="E267" s="1538"/>
      <c r="F267" s="1538"/>
      <c r="G267" s="1538"/>
      <c r="H267" s="1538"/>
      <c r="I267" s="1538"/>
      <c r="J267" s="1538"/>
      <c r="K267" s="1538"/>
      <c r="L267" s="1538"/>
      <c r="M267" s="1538"/>
      <c r="N267" s="1538"/>
      <c r="O267" s="1538"/>
      <c r="P267" s="1538"/>
      <c r="Q267" s="1538"/>
      <c r="R267" s="1538"/>
      <c r="S267" s="1538"/>
      <c r="T267" s="1538"/>
      <c r="U267" s="1538"/>
      <c r="V267" s="1538"/>
      <c r="W267" s="1538"/>
      <c r="X267" s="2920"/>
      <c r="Y267" s="2920"/>
      <c r="Z267" s="2920"/>
    </row>
    <row r="268" spans="2:26" s="2006" customFormat="1">
      <c r="B268" s="2014" t="s">
        <v>769</v>
      </c>
      <c r="C268" s="2005" t="s">
        <v>464</v>
      </c>
      <c r="D268" s="1538"/>
      <c r="E268" s="1538"/>
      <c r="F268" s="1538"/>
      <c r="G268" s="1538"/>
      <c r="H268" s="1538">
        <v>48</v>
      </c>
      <c r="I268" s="1538"/>
      <c r="J268" s="1538"/>
      <c r="K268" s="1538"/>
      <c r="L268" s="1538"/>
      <c r="M268" s="1538"/>
      <c r="N268" s="1538"/>
      <c r="O268" s="1538"/>
      <c r="P268" s="1538"/>
      <c r="Q268" s="1538"/>
      <c r="R268" s="1538"/>
      <c r="S268" s="1538"/>
      <c r="T268" s="1538"/>
      <c r="U268" s="1538"/>
      <c r="V268" s="1538"/>
      <c r="W268" s="1538"/>
      <c r="X268" s="2920"/>
      <c r="Y268" s="2920"/>
      <c r="Z268" s="2920"/>
    </row>
    <row r="269" spans="2:26" s="2006" customFormat="1">
      <c r="B269" s="2012" t="s">
        <v>722</v>
      </c>
      <c r="C269" s="2005" t="s">
        <v>1041</v>
      </c>
      <c r="D269" s="1538"/>
      <c r="E269" s="1538"/>
      <c r="F269" s="1538"/>
      <c r="G269" s="1538"/>
      <c r="H269" s="1538"/>
      <c r="I269" s="1538"/>
      <c r="J269" s="1538">
        <v>25000</v>
      </c>
      <c r="K269" s="1538">
        <v>25000</v>
      </c>
      <c r="L269" s="1538"/>
      <c r="M269" s="1538"/>
      <c r="N269" s="1538"/>
      <c r="O269" s="1538"/>
      <c r="P269" s="1538"/>
      <c r="Q269" s="1538"/>
      <c r="R269" s="1538"/>
      <c r="S269" s="1538"/>
      <c r="T269" s="1538"/>
      <c r="U269" s="1538"/>
      <c r="V269" s="1538"/>
      <c r="W269" s="1538"/>
      <c r="X269" s="2920"/>
      <c r="Y269" s="2920"/>
      <c r="Z269" s="2920"/>
    </row>
    <row r="270" spans="2:26" s="2006" customFormat="1">
      <c r="B270" s="2016" t="s">
        <v>779</v>
      </c>
      <c r="C270" s="2010" t="s">
        <v>1044</v>
      </c>
      <c r="D270" s="1538"/>
      <c r="E270" s="1538"/>
      <c r="F270" s="1538"/>
      <c r="G270" s="1538"/>
      <c r="H270" s="1538">
        <v>0</v>
      </c>
      <c r="I270" s="1538"/>
      <c r="J270" s="1538">
        <v>0</v>
      </c>
      <c r="K270" s="1538">
        <v>0</v>
      </c>
      <c r="L270" s="1538"/>
      <c r="M270" s="1538"/>
      <c r="N270" s="1538"/>
      <c r="O270" s="1538"/>
      <c r="P270" s="1538"/>
      <c r="Q270" s="1538"/>
      <c r="R270" s="1538"/>
      <c r="S270" s="1538"/>
      <c r="T270" s="1538"/>
      <c r="U270" s="1538"/>
      <c r="V270" s="1538"/>
      <c r="W270" s="1538"/>
      <c r="X270" s="2920"/>
      <c r="Y270" s="2920"/>
      <c r="Z270" s="2920"/>
    </row>
    <row r="271" spans="2:26" s="2006" customFormat="1">
      <c r="B271" s="2004" t="s">
        <v>784</v>
      </c>
      <c r="C271" s="2010" t="s">
        <v>1045</v>
      </c>
      <c r="D271" s="1538"/>
      <c r="E271" s="1538"/>
      <c r="F271" s="1538"/>
      <c r="G271" s="1538"/>
      <c r="H271" s="1538">
        <v>0</v>
      </c>
      <c r="I271" s="1538"/>
      <c r="J271" s="1538">
        <v>0</v>
      </c>
      <c r="K271" s="1538">
        <v>0</v>
      </c>
      <c r="L271" s="1538"/>
      <c r="M271" s="1538"/>
      <c r="N271" s="1538"/>
      <c r="O271" s="1538"/>
      <c r="P271" s="1538"/>
      <c r="Q271" s="1538"/>
      <c r="R271" s="1538"/>
      <c r="S271" s="1538"/>
      <c r="T271" s="1538"/>
      <c r="U271" s="1538"/>
      <c r="V271" s="1538"/>
      <c r="W271" s="1538"/>
      <c r="X271" s="2920"/>
      <c r="Y271" s="2920"/>
      <c r="Z271" s="2920"/>
    </row>
    <row r="272" spans="2:26" s="2006" customFormat="1">
      <c r="C272" s="2010"/>
      <c r="D272" s="1538"/>
      <c r="E272" s="1538"/>
      <c r="F272" s="1538"/>
      <c r="G272" s="1538"/>
      <c r="H272" s="1538"/>
      <c r="I272" s="1538"/>
      <c r="J272" s="1538"/>
      <c r="K272" s="1538"/>
      <c r="L272" s="1538"/>
      <c r="M272" s="1538"/>
      <c r="N272" s="1538"/>
      <c r="O272" s="1538"/>
      <c r="P272" s="1538"/>
      <c r="Q272" s="1538"/>
      <c r="R272" s="1538"/>
      <c r="S272" s="1538"/>
      <c r="T272" s="1538"/>
      <c r="U272" s="1538"/>
      <c r="V272" s="1538"/>
      <c r="W272" s="1538"/>
      <c r="X272" s="2920"/>
      <c r="Y272" s="2920"/>
      <c r="Z272" s="2920"/>
    </row>
    <row r="273" spans="2:26" s="2006" customFormat="1">
      <c r="C273" s="2017" t="s">
        <v>1225</v>
      </c>
      <c r="D273" s="1538"/>
      <c r="E273" s="1538"/>
      <c r="F273" s="1538"/>
      <c r="G273" s="1538"/>
      <c r="H273" s="1538"/>
      <c r="I273" s="1538"/>
      <c r="J273" s="1538"/>
      <c r="K273" s="1538"/>
      <c r="L273" s="1538"/>
      <c r="M273" s="1538"/>
      <c r="N273" s="1538"/>
      <c r="O273" s="1538"/>
      <c r="P273" s="1538"/>
      <c r="Q273" s="1538"/>
      <c r="R273" s="1538"/>
      <c r="S273" s="1538"/>
      <c r="T273" s="1538"/>
      <c r="U273" s="1538"/>
      <c r="V273" s="1538"/>
      <c r="W273" s="1538"/>
      <c r="X273" s="2920"/>
      <c r="Y273" s="2920"/>
      <c r="Z273" s="2920"/>
    </row>
    <row r="274" spans="2:26" s="2006" customFormat="1">
      <c r="C274" s="2010" t="s">
        <v>1250</v>
      </c>
      <c r="D274" s="1538"/>
      <c r="E274" s="1538"/>
      <c r="F274" s="1538"/>
      <c r="G274" s="1538"/>
      <c r="H274" s="1538"/>
      <c r="I274" s="1538"/>
      <c r="J274" s="1538"/>
      <c r="K274" s="1538"/>
      <c r="L274" s="1538"/>
      <c r="M274" s="1538"/>
      <c r="N274" s="1538"/>
      <c r="O274" s="1538"/>
      <c r="P274" s="1538"/>
      <c r="Q274" s="1538"/>
      <c r="R274" s="1538"/>
      <c r="S274" s="1538"/>
      <c r="T274" s="1538"/>
      <c r="U274" s="1538"/>
      <c r="V274" s="1538"/>
      <c r="W274" s="1538"/>
      <c r="X274" s="2920"/>
      <c r="Y274" s="2920"/>
      <c r="Z274" s="2920"/>
    </row>
    <row r="275" spans="2:26" s="2006" customFormat="1">
      <c r="C275" s="2010" t="s">
        <v>1251</v>
      </c>
      <c r="D275" s="1538"/>
      <c r="E275" s="1538"/>
      <c r="F275" s="1538"/>
      <c r="G275" s="1538"/>
      <c r="H275" s="1538"/>
      <c r="I275" s="1538"/>
      <c r="J275" s="1538"/>
      <c r="K275" s="1538"/>
      <c r="L275" s="1538"/>
      <c r="M275" s="1538"/>
      <c r="N275" s="1538"/>
      <c r="O275" s="1538"/>
      <c r="P275" s="1538"/>
      <c r="Q275" s="1538"/>
      <c r="R275" s="1538"/>
      <c r="S275" s="1538"/>
      <c r="T275" s="1538"/>
      <c r="U275" s="1538"/>
      <c r="V275" s="1538"/>
      <c r="W275" s="1538"/>
      <c r="X275" s="2920"/>
      <c r="Y275" s="2920"/>
      <c r="Z275" s="2920"/>
    </row>
    <row r="276" spans="2:26" s="2006" customFormat="1">
      <c r="C276" s="2010" t="s">
        <v>1252</v>
      </c>
      <c r="D276" s="1538"/>
      <c r="E276" s="1538"/>
      <c r="F276" s="1538"/>
      <c r="G276" s="1538"/>
      <c r="H276" s="1538"/>
      <c r="I276" s="1538"/>
      <c r="J276" s="1538"/>
      <c r="K276" s="1538"/>
      <c r="L276" s="1538"/>
      <c r="M276" s="1538"/>
      <c r="N276" s="1538"/>
      <c r="O276" s="1538"/>
      <c r="P276" s="1538"/>
      <c r="Q276" s="1538"/>
      <c r="R276" s="1538"/>
      <c r="S276" s="1538"/>
      <c r="T276" s="1538"/>
      <c r="U276" s="1538"/>
      <c r="V276" s="1538"/>
      <c r="W276" s="1538"/>
      <c r="X276" s="2920"/>
      <c r="Y276" s="2920"/>
      <c r="Z276" s="2920"/>
    </row>
    <row r="277" spans="2:26" s="2006" customFormat="1">
      <c r="C277" s="2010" t="s">
        <v>1253</v>
      </c>
      <c r="D277" s="1538"/>
      <c r="E277" s="1538"/>
      <c r="F277" s="1538"/>
      <c r="G277" s="1538"/>
      <c r="H277" s="1538"/>
      <c r="I277" s="1538"/>
      <c r="J277" s="1538"/>
      <c r="K277" s="1538"/>
      <c r="L277" s="1538"/>
      <c r="M277" s="1538"/>
      <c r="N277" s="1538"/>
      <c r="O277" s="1538"/>
      <c r="P277" s="1538"/>
      <c r="Q277" s="1538"/>
      <c r="R277" s="1538"/>
      <c r="S277" s="1538"/>
      <c r="T277" s="1538"/>
      <c r="U277" s="1538"/>
      <c r="V277" s="1538"/>
      <c r="W277" s="1538"/>
      <c r="X277" s="2920"/>
      <c r="Y277" s="2920"/>
      <c r="Z277" s="2920"/>
    </row>
    <row r="278" spans="2:26" s="2006" customFormat="1">
      <c r="C278" s="2010" t="s">
        <v>1254</v>
      </c>
      <c r="D278" s="1538"/>
      <c r="E278" s="1538"/>
      <c r="F278" s="1538"/>
      <c r="G278" s="1538"/>
      <c r="H278" s="1538"/>
      <c r="I278" s="1538"/>
      <c r="J278" s="1538"/>
      <c r="K278" s="1538"/>
      <c r="L278" s="1538"/>
      <c r="M278" s="1538"/>
      <c r="N278" s="1538"/>
      <c r="O278" s="1538"/>
      <c r="P278" s="1538"/>
      <c r="Q278" s="1538"/>
      <c r="R278" s="1538"/>
      <c r="S278" s="1538"/>
      <c r="T278" s="1538"/>
      <c r="U278" s="1538"/>
      <c r="V278" s="1538"/>
      <c r="W278" s="1538"/>
      <c r="X278" s="2920"/>
      <c r="Y278" s="2920"/>
      <c r="Z278" s="2920"/>
    </row>
    <row r="279" spans="2:26" s="2006" customFormat="1">
      <c r="C279" s="2010" t="s">
        <v>1255</v>
      </c>
      <c r="D279" s="1538"/>
      <c r="E279" s="1538"/>
      <c r="F279" s="1538"/>
      <c r="G279" s="1538"/>
      <c r="H279" s="1538"/>
      <c r="I279" s="1538"/>
      <c r="J279" s="1538"/>
      <c r="K279" s="1538"/>
      <c r="L279" s="1538"/>
      <c r="M279" s="1538"/>
      <c r="N279" s="1538"/>
      <c r="O279" s="1538"/>
      <c r="P279" s="1538"/>
      <c r="Q279" s="1538"/>
      <c r="R279" s="1538"/>
      <c r="S279" s="1538"/>
      <c r="T279" s="1538"/>
      <c r="U279" s="1538"/>
      <c r="V279" s="1538"/>
      <c r="W279" s="1538"/>
      <c r="X279" s="2920"/>
      <c r="Y279" s="2920"/>
      <c r="Z279" s="2920"/>
    </row>
    <row r="280" spans="2:26" s="2006" customFormat="1">
      <c r="C280" s="2010" t="s">
        <v>458</v>
      </c>
      <c r="D280" s="1538"/>
      <c r="E280" s="1538"/>
      <c r="F280" s="1538"/>
      <c r="G280" s="1538"/>
      <c r="H280" s="1538"/>
      <c r="I280" s="1538"/>
      <c r="J280" s="1538"/>
      <c r="K280" s="1538"/>
      <c r="L280" s="1538"/>
      <c r="M280" s="1538"/>
      <c r="N280" s="1538"/>
      <c r="O280" s="1538"/>
      <c r="P280" s="1538"/>
      <c r="Q280" s="1538"/>
      <c r="R280" s="1538"/>
      <c r="S280" s="1538"/>
      <c r="T280" s="1538"/>
      <c r="U280" s="1538"/>
      <c r="V280" s="1538"/>
      <c r="W280" s="1538"/>
      <c r="X280" s="2920"/>
      <c r="Y280" s="2920"/>
      <c r="Z280" s="2920"/>
    </row>
    <row r="281" spans="2:26" s="2006" customFormat="1">
      <c r="C281" s="2010" t="s">
        <v>1258</v>
      </c>
      <c r="D281" s="1538"/>
      <c r="E281" s="1538"/>
      <c r="F281" s="1538"/>
      <c r="G281" s="1538"/>
      <c r="H281" s="1538"/>
      <c r="I281" s="1538"/>
      <c r="J281" s="1538"/>
      <c r="K281" s="1538"/>
      <c r="L281" s="1538"/>
      <c r="M281" s="1538"/>
      <c r="N281" s="1538"/>
      <c r="O281" s="1538"/>
      <c r="P281" s="1538"/>
      <c r="Q281" s="1538"/>
      <c r="R281" s="1538"/>
      <c r="S281" s="1538"/>
      <c r="T281" s="1538"/>
      <c r="U281" s="1538"/>
      <c r="V281" s="1538"/>
      <c r="W281" s="1538"/>
      <c r="X281" s="2920"/>
      <c r="Y281" s="2920"/>
      <c r="Z281" s="2920"/>
    </row>
    <row r="282" spans="2:26" s="2006" customFormat="1">
      <c r="C282" s="2010" t="s">
        <v>951</v>
      </c>
      <c r="D282" s="1538"/>
      <c r="E282" s="1538"/>
      <c r="F282" s="1538"/>
      <c r="G282" s="1538"/>
      <c r="H282" s="1538"/>
      <c r="I282" s="1538"/>
      <c r="J282" s="1538"/>
      <c r="K282" s="1538"/>
      <c r="L282" s="1538"/>
      <c r="M282" s="1538"/>
      <c r="N282" s="1538"/>
      <c r="O282" s="1538"/>
      <c r="P282" s="1538"/>
      <c r="Q282" s="1538"/>
      <c r="R282" s="1538"/>
      <c r="S282" s="1538"/>
      <c r="T282" s="1538"/>
      <c r="U282" s="1538"/>
      <c r="V282" s="1538"/>
      <c r="W282" s="1538"/>
      <c r="X282" s="2920"/>
      <c r="Y282" s="2920"/>
      <c r="Z282" s="2920"/>
    </row>
    <row r="283" spans="2:26" s="2006" customFormat="1">
      <c r="C283" s="2010" t="s">
        <v>1259</v>
      </c>
      <c r="D283" s="1538"/>
      <c r="E283" s="1538"/>
      <c r="F283" s="1538"/>
      <c r="G283" s="1538"/>
      <c r="H283" s="1538"/>
      <c r="I283" s="1538"/>
      <c r="J283" s="1538"/>
      <c r="K283" s="1538"/>
      <c r="L283" s="1538"/>
      <c r="M283" s="1538"/>
      <c r="N283" s="1538"/>
      <c r="O283" s="1538"/>
      <c r="P283" s="1538"/>
      <c r="Q283" s="1538"/>
      <c r="R283" s="1538"/>
      <c r="S283" s="1538"/>
      <c r="T283" s="1538"/>
      <c r="U283" s="1538"/>
      <c r="V283" s="1538"/>
      <c r="W283" s="1538"/>
      <c r="X283" s="2920"/>
      <c r="Y283" s="2920"/>
      <c r="Z283" s="2920"/>
    </row>
    <row r="284" spans="2:26" s="2018" customFormat="1">
      <c r="C284" s="2010"/>
      <c r="D284" s="1711"/>
      <c r="E284" s="1711"/>
      <c r="F284" s="1711"/>
      <c r="G284" s="1711"/>
      <c r="H284" s="1711"/>
      <c r="I284" s="1711"/>
      <c r="J284" s="1711"/>
      <c r="K284" s="1711"/>
      <c r="L284" s="1711"/>
      <c r="M284" s="1711"/>
      <c r="N284" s="1711"/>
      <c r="O284" s="1711"/>
      <c r="P284" s="1711"/>
      <c r="Q284" s="1711"/>
      <c r="R284" s="1711"/>
      <c r="S284" s="1711"/>
      <c r="T284" s="1711"/>
      <c r="U284" s="1538"/>
      <c r="V284" s="1538"/>
      <c r="W284" s="1538"/>
      <c r="X284" s="2920"/>
      <c r="Y284" s="2919"/>
      <c r="Z284" s="2919"/>
    </row>
    <row r="285" spans="2:26" s="2006" customFormat="1">
      <c r="C285" s="2020" t="s">
        <v>1158</v>
      </c>
      <c r="D285" s="1538"/>
      <c r="E285" s="1538"/>
      <c r="F285" s="1538"/>
      <c r="G285" s="1538"/>
      <c r="H285" s="1538"/>
      <c r="I285" s="1538"/>
      <c r="J285" s="1538"/>
      <c r="K285" s="1538"/>
      <c r="L285" s="1538"/>
      <c r="M285" s="1538"/>
      <c r="N285" s="1538"/>
      <c r="O285" s="1538"/>
      <c r="P285" s="1538"/>
      <c r="Q285" s="1538"/>
      <c r="R285" s="1538"/>
      <c r="S285" s="1538"/>
      <c r="T285" s="1538"/>
      <c r="U285" s="1538"/>
      <c r="V285" s="1538"/>
      <c r="W285" s="1538"/>
      <c r="X285" s="2920"/>
      <c r="Y285" s="2920"/>
      <c r="Z285" s="2920"/>
    </row>
    <row r="286" spans="2:26" s="2006" customFormat="1">
      <c r="B286" s="2006" t="s">
        <v>1159</v>
      </c>
      <c r="C286" s="2005" t="s">
        <v>1341</v>
      </c>
      <c r="D286" s="1538"/>
      <c r="E286" s="1538"/>
      <c r="F286" s="1538"/>
      <c r="G286" s="1538"/>
      <c r="H286" s="1538"/>
      <c r="I286" s="1538"/>
      <c r="J286" s="1538"/>
      <c r="K286" s="1538"/>
      <c r="L286" s="1538"/>
      <c r="M286" s="1538"/>
      <c r="N286" s="1538"/>
      <c r="O286" s="1538"/>
      <c r="P286" s="1538"/>
      <c r="Q286" s="1538"/>
      <c r="R286" s="1538"/>
      <c r="S286" s="1538"/>
      <c r="T286" s="1538"/>
      <c r="U286" s="1711"/>
      <c r="V286" s="1711"/>
      <c r="W286" s="1711"/>
      <c r="X286" s="2919"/>
      <c r="Y286" s="2920"/>
      <c r="Z286" s="2920"/>
    </row>
    <row r="287" spans="2:26" s="2006" customFormat="1">
      <c r="B287" s="2006" t="s">
        <v>1160</v>
      </c>
      <c r="C287" s="2005" t="s">
        <v>1342</v>
      </c>
      <c r="D287" s="1538"/>
      <c r="E287" s="1538"/>
      <c r="F287" s="1538"/>
      <c r="G287" s="1538"/>
      <c r="H287" s="1538"/>
      <c r="I287" s="1538"/>
      <c r="J287" s="1538"/>
      <c r="K287" s="1538"/>
      <c r="L287" s="1538"/>
      <c r="M287" s="1538"/>
      <c r="N287" s="1538"/>
      <c r="O287" s="1538"/>
      <c r="P287" s="1538"/>
      <c r="Q287" s="1538"/>
      <c r="R287" s="1538"/>
      <c r="S287" s="1538"/>
      <c r="T287" s="1538"/>
      <c r="U287" s="1711"/>
      <c r="V287" s="1711"/>
      <c r="W287" s="1711"/>
      <c r="X287" s="2919"/>
      <c r="Y287" s="2920"/>
      <c r="Z287" s="2920"/>
    </row>
    <row r="288" spans="2:26" s="2006" customFormat="1">
      <c r="B288" s="2006" t="s">
        <v>1161</v>
      </c>
      <c r="C288" s="2005" t="s">
        <v>1343</v>
      </c>
      <c r="D288" s="1538"/>
      <c r="E288" s="1538"/>
      <c r="F288" s="1538"/>
      <c r="G288" s="1538"/>
      <c r="H288" s="1538"/>
      <c r="I288" s="1538"/>
      <c r="J288" s="1538"/>
      <c r="K288" s="1538"/>
      <c r="L288" s="1538"/>
      <c r="M288" s="1538"/>
      <c r="N288" s="1538"/>
      <c r="O288" s="1538"/>
      <c r="P288" s="1538"/>
      <c r="Q288" s="1538"/>
      <c r="R288" s="1538"/>
      <c r="S288" s="1538"/>
      <c r="T288" s="1538"/>
      <c r="U288" s="1711"/>
      <c r="V288" s="1711"/>
      <c r="W288" s="1711"/>
      <c r="X288" s="2919"/>
      <c r="Y288" s="2920"/>
      <c r="Z288" s="2920"/>
    </row>
    <row r="289" spans="2:26" s="2006" customFormat="1">
      <c r="B289" s="2006" t="s">
        <v>1162</v>
      </c>
      <c r="C289" s="2005" t="s">
        <v>1344</v>
      </c>
      <c r="D289" s="1538"/>
      <c r="E289" s="1538"/>
      <c r="F289" s="1538"/>
      <c r="G289" s="1538"/>
      <c r="H289" s="1538"/>
      <c r="I289" s="1538"/>
      <c r="J289" s="1538"/>
      <c r="K289" s="1538"/>
      <c r="L289" s="1538"/>
      <c r="M289" s="1538"/>
      <c r="N289" s="1538"/>
      <c r="O289" s="1538"/>
      <c r="P289" s="1538"/>
      <c r="Q289" s="1538"/>
      <c r="R289" s="1538"/>
      <c r="S289" s="1538"/>
      <c r="T289" s="1538"/>
      <c r="U289" s="1711"/>
      <c r="V289" s="1711"/>
      <c r="W289" s="1711"/>
      <c r="X289" s="2919"/>
      <c r="Y289" s="2920"/>
      <c r="Z289" s="2920"/>
    </row>
    <row r="290" spans="2:26" s="2006" customFormat="1">
      <c r="B290" s="2006" t="s">
        <v>1163</v>
      </c>
      <c r="C290" s="2005" t="s">
        <v>294</v>
      </c>
      <c r="D290" s="1538"/>
      <c r="E290" s="1538"/>
      <c r="F290" s="1538"/>
      <c r="G290" s="1538"/>
      <c r="H290" s="1538"/>
      <c r="I290" s="1538"/>
      <c r="J290" s="1538"/>
      <c r="K290" s="1538"/>
      <c r="L290" s="1538"/>
      <c r="M290" s="1538"/>
      <c r="N290" s="1538"/>
      <c r="O290" s="1538"/>
      <c r="P290" s="1538"/>
      <c r="Q290" s="1538"/>
      <c r="R290" s="1538"/>
      <c r="S290" s="1538"/>
      <c r="T290" s="1538"/>
      <c r="U290" s="1711"/>
      <c r="V290" s="1711"/>
      <c r="W290" s="1711"/>
      <c r="X290" s="2919"/>
      <c r="Y290" s="2920"/>
      <c r="Z290" s="2920"/>
    </row>
    <row r="291" spans="2:26" s="2006" customFormat="1">
      <c r="B291" s="2006" t="s">
        <v>1164</v>
      </c>
      <c r="C291" s="2005" t="s">
        <v>295</v>
      </c>
      <c r="D291" s="1538"/>
      <c r="E291" s="1538"/>
      <c r="F291" s="1538"/>
      <c r="G291" s="1538"/>
      <c r="H291" s="1538"/>
      <c r="I291" s="1538"/>
      <c r="J291" s="1538"/>
      <c r="K291" s="1538"/>
      <c r="L291" s="1538"/>
      <c r="M291" s="1538"/>
      <c r="N291" s="1538"/>
      <c r="O291" s="1538"/>
      <c r="P291" s="1538"/>
      <c r="Q291" s="1538"/>
      <c r="R291" s="1538"/>
      <c r="S291" s="1538"/>
      <c r="T291" s="1538"/>
      <c r="U291" s="1711"/>
      <c r="V291" s="1711"/>
      <c r="W291" s="1711"/>
      <c r="X291" s="2919"/>
      <c r="Y291" s="2920"/>
      <c r="Z291" s="2920"/>
    </row>
    <row r="292" spans="2:26" s="2006" customFormat="1">
      <c r="B292" s="2006" t="s">
        <v>1165</v>
      </c>
      <c r="C292" s="2005" t="s">
        <v>296</v>
      </c>
      <c r="D292" s="1538"/>
      <c r="E292" s="1538"/>
      <c r="F292" s="1538"/>
      <c r="G292" s="1538"/>
      <c r="H292" s="1538"/>
      <c r="I292" s="1538"/>
      <c r="J292" s="1538"/>
      <c r="K292" s="1538"/>
      <c r="L292" s="1538"/>
      <c r="M292" s="1538"/>
      <c r="N292" s="1538"/>
      <c r="O292" s="1538"/>
      <c r="P292" s="1538"/>
      <c r="Q292" s="1538"/>
      <c r="R292" s="1538"/>
      <c r="S292" s="1538"/>
      <c r="T292" s="1538"/>
      <c r="U292" s="1711"/>
      <c r="V292" s="1711"/>
      <c r="W292" s="1711"/>
      <c r="X292" s="2919"/>
      <c r="Y292" s="2920"/>
      <c r="Z292" s="2920"/>
    </row>
    <row r="293" spans="2:26" s="2006" customFormat="1">
      <c r="B293" s="2006" t="s">
        <v>1166</v>
      </c>
      <c r="C293" s="2005" t="s">
        <v>387</v>
      </c>
      <c r="D293" s="1538"/>
      <c r="E293" s="1538"/>
      <c r="F293" s="1538"/>
      <c r="G293" s="1538"/>
      <c r="H293" s="1538"/>
      <c r="I293" s="1538"/>
      <c r="J293" s="1538"/>
      <c r="K293" s="1538"/>
      <c r="L293" s="1538"/>
      <c r="M293" s="1538"/>
      <c r="N293" s="1538"/>
      <c r="O293" s="1538"/>
      <c r="P293" s="1538"/>
      <c r="Q293" s="1538"/>
      <c r="R293" s="1538"/>
      <c r="S293" s="1538"/>
      <c r="T293" s="1538"/>
      <c r="U293" s="1711"/>
      <c r="V293" s="1711"/>
      <c r="W293" s="1711"/>
      <c r="X293" s="2919"/>
      <c r="Y293" s="2920"/>
      <c r="Z293" s="2920"/>
    </row>
    <row r="294" spans="2:26" s="2006" customFormat="1">
      <c r="B294" s="2006" t="s">
        <v>1167</v>
      </c>
      <c r="C294" s="2005" t="s">
        <v>375</v>
      </c>
      <c r="U294" s="2018"/>
      <c r="V294" s="2018"/>
      <c r="W294" s="2019"/>
      <c r="X294" s="2919"/>
      <c r="Y294" s="2920"/>
      <c r="Z294" s="2920"/>
    </row>
    <row r="295" spans="2:26" s="2006" customFormat="1">
      <c r="C295" s="2020" t="s">
        <v>1158</v>
      </c>
      <c r="U295" s="2018"/>
      <c r="V295" s="2018"/>
      <c r="W295" s="2019"/>
      <c r="X295" s="2919"/>
      <c r="Y295" s="2920"/>
      <c r="Z295" s="2920"/>
    </row>
    <row r="296" spans="2:26" s="2006" customFormat="1">
      <c r="B296" s="2006" t="s">
        <v>1168</v>
      </c>
      <c r="C296" s="2005" t="s">
        <v>1341</v>
      </c>
      <c r="U296" s="2018"/>
      <c r="V296" s="2018"/>
      <c r="W296" s="2019"/>
      <c r="X296" s="2919"/>
      <c r="Y296" s="2920"/>
      <c r="Z296" s="2920"/>
    </row>
    <row r="297" spans="2:26" s="2006" customFormat="1">
      <c r="B297" s="2006" t="s">
        <v>1169</v>
      </c>
      <c r="C297" s="2005" t="s">
        <v>1342</v>
      </c>
      <c r="U297" s="2018"/>
      <c r="V297" s="2018"/>
      <c r="W297" s="2019"/>
      <c r="X297" s="2919"/>
      <c r="Y297" s="2920"/>
      <c r="Z297" s="2920"/>
    </row>
    <row r="298" spans="2:26" s="2006" customFormat="1">
      <c r="B298" s="2006" t="s">
        <v>1170</v>
      </c>
      <c r="C298" s="2005" t="s">
        <v>1343</v>
      </c>
      <c r="U298" s="2018"/>
      <c r="V298" s="2018"/>
      <c r="W298" s="2019"/>
      <c r="X298" s="2919"/>
      <c r="Y298" s="2920"/>
      <c r="Z298" s="2920"/>
    </row>
    <row r="299" spans="2:26" s="2006" customFormat="1">
      <c r="B299" s="2006" t="s">
        <v>1171</v>
      </c>
      <c r="C299" s="2005" t="s">
        <v>1344</v>
      </c>
      <c r="U299" s="2018"/>
      <c r="V299" s="2018"/>
      <c r="W299" s="2019"/>
      <c r="X299" s="2919"/>
      <c r="Y299" s="2920"/>
      <c r="Z299" s="2920"/>
    </row>
    <row r="300" spans="2:26" s="2006" customFormat="1">
      <c r="B300" s="2006" t="s">
        <v>1172</v>
      </c>
      <c r="C300" s="2005" t="s">
        <v>294</v>
      </c>
      <c r="U300" s="2018"/>
      <c r="V300" s="2018"/>
      <c r="W300" s="2019"/>
      <c r="X300" s="2919"/>
      <c r="Y300" s="2920"/>
      <c r="Z300" s="2920"/>
    </row>
    <row r="301" spans="2:26" s="2006" customFormat="1">
      <c r="B301" s="2006" t="s">
        <v>1173</v>
      </c>
      <c r="C301" s="2005" t="s">
        <v>295</v>
      </c>
      <c r="U301" s="2018"/>
      <c r="V301" s="2018"/>
      <c r="W301" s="2019"/>
      <c r="X301" s="2919"/>
      <c r="Y301" s="2920"/>
      <c r="Z301" s="2920"/>
    </row>
    <row r="302" spans="2:26" s="2006" customFormat="1">
      <c r="B302" s="2006" t="s">
        <v>1174</v>
      </c>
      <c r="C302" s="2005" t="s">
        <v>296</v>
      </c>
      <c r="U302" s="2018"/>
      <c r="V302" s="2018"/>
      <c r="W302" s="2019"/>
      <c r="X302" s="2919"/>
      <c r="Y302" s="2920"/>
      <c r="Z302" s="2920"/>
    </row>
    <row r="303" spans="2:26" s="2006" customFormat="1">
      <c r="B303" s="2006" t="s">
        <v>1175</v>
      </c>
      <c r="C303" s="2005" t="s">
        <v>387</v>
      </c>
      <c r="U303" s="2018"/>
      <c r="V303" s="2018"/>
      <c r="W303" s="2019"/>
      <c r="X303" s="2919"/>
      <c r="Y303" s="2920"/>
      <c r="Z303" s="2920"/>
    </row>
    <row r="304" spans="2:26" s="2006" customFormat="1">
      <c r="B304" s="2006" t="s">
        <v>1176</v>
      </c>
      <c r="C304" s="2005" t="s">
        <v>375</v>
      </c>
      <c r="U304" s="2018"/>
      <c r="V304" s="2018"/>
      <c r="W304" s="2019"/>
      <c r="X304" s="2919"/>
      <c r="Y304" s="2920"/>
      <c r="Z304" s="2920"/>
    </row>
    <row r="305" spans="2:26" s="2006" customFormat="1">
      <c r="B305" s="2012" t="s">
        <v>721</v>
      </c>
      <c r="C305" s="2005" t="s">
        <v>417</v>
      </c>
      <c r="D305" s="2021">
        <v>197</v>
      </c>
      <c r="E305" s="2021">
        <v>197</v>
      </c>
      <c r="F305" s="2021">
        <v>197</v>
      </c>
      <c r="G305" s="2021">
        <v>197</v>
      </c>
      <c r="H305" s="2021">
        <v>197</v>
      </c>
      <c r="J305" s="2021">
        <v>250000</v>
      </c>
      <c r="K305" s="2021">
        <v>12000</v>
      </c>
      <c r="L305" s="2021"/>
      <c r="M305" s="2021"/>
      <c r="N305" s="2021"/>
      <c r="O305" s="2021"/>
      <c r="P305" s="2021"/>
      <c r="Q305" s="2021"/>
      <c r="R305" s="2021"/>
      <c r="S305" s="2021"/>
      <c r="T305" s="2021"/>
      <c r="U305" s="2018"/>
      <c r="V305" s="2018"/>
      <c r="W305" s="2019"/>
      <c r="X305" s="2919"/>
      <c r="Y305" s="2932"/>
      <c r="Z305" s="2932"/>
    </row>
    <row r="306" spans="2:26" s="2006" customFormat="1">
      <c r="B306" s="2022" t="s">
        <v>723</v>
      </c>
      <c r="C306" s="2010" t="s">
        <v>164</v>
      </c>
      <c r="D306" s="2006">
        <v>9.1418999999999997</v>
      </c>
      <c r="E306" s="2006">
        <v>9.1418999999999997</v>
      </c>
      <c r="F306" s="2006">
        <v>9.1418999999999997</v>
      </c>
      <c r="G306" s="2006">
        <v>1.2058</v>
      </c>
      <c r="H306" s="2006">
        <v>1.2034</v>
      </c>
      <c r="J306" s="2006">
        <v>0</v>
      </c>
      <c r="U306" s="2018"/>
      <c r="V306" s="2018"/>
      <c r="W306" s="2019"/>
      <c r="X306" s="2919"/>
      <c r="Y306" s="2920"/>
      <c r="Z306" s="2920"/>
    </row>
    <row r="307" spans="2:26">
      <c r="C307" s="1543"/>
      <c r="U307" s="1521"/>
      <c r="V307" s="1521"/>
    </row>
    <row r="308" spans="2:26">
      <c r="U308" s="1521"/>
      <c r="V308" s="1521"/>
    </row>
    <row r="309" spans="2:26">
      <c r="U309" s="1521"/>
      <c r="V309" s="1521"/>
    </row>
    <row r="310" spans="2:26">
      <c r="U310" s="1521"/>
      <c r="V310" s="1521"/>
    </row>
    <row r="311" spans="2:26">
      <c r="U311" s="1521"/>
      <c r="V311" s="1521"/>
    </row>
    <row r="312" spans="2:26">
      <c r="U312" s="1521"/>
      <c r="V312" s="1521"/>
    </row>
    <row r="313" spans="2:26">
      <c r="U313" s="1521"/>
      <c r="V313" s="1521"/>
    </row>
    <row r="314" spans="2:26">
      <c r="U314" s="1521"/>
      <c r="V314" s="1521"/>
    </row>
    <row r="315" spans="2:26">
      <c r="U315" s="1521"/>
      <c r="V315" s="1521"/>
    </row>
    <row r="316" spans="2:26">
      <c r="U316" s="1521"/>
      <c r="V316" s="1521"/>
    </row>
    <row r="317" spans="2:26">
      <c r="U317" s="1521"/>
      <c r="V317" s="1521"/>
    </row>
    <row r="318" spans="2:26">
      <c r="U318" s="1521"/>
      <c r="V318" s="1521"/>
    </row>
    <row r="319" spans="2:26">
      <c r="U319" s="1521"/>
      <c r="V319" s="1521"/>
    </row>
    <row r="320" spans="2:26">
      <c r="U320" s="1521"/>
      <c r="V320" s="1521"/>
    </row>
    <row r="321" spans="21:22">
      <c r="U321" s="1521"/>
      <c r="V321" s="1521"/>
    </row>
    <row r="322" spans="21:22">
      <c r="U322" s="1521"/>
      <c r="V322" s="1521"/>
    </row>
    <row r="323" spans="21:22">
      <c r="U323" s="1521"/>
      <c r="V323" s="1521"/>
    </row>
    <row r="324" spans="21:22">
      <c r="U324" s="1521"/>
      <c r="V324" s="1521"/>
    </row>
    <row r="325" spans="21:22">
      <c r="U325" s="1521"/>
      <c r="V325" s="1521"/>
    </row>
    <row r="326" spans="21:22">
      <c r="U326" s="1521"/>
      <c r="V326" s="1521"/>
    </row>
    <row r="327" spans="21:22">
      <c r="U327" s="1521"/>
      <c r="V327" s="1521"/>
    </row>
    <row r="328" spans="21:22">
      <c r="U328" s="1521"/>
      <c r="V328" s="1521"/>
    </row>
    <row r="329" spans="21:22">
      <c r="U329" s="1521"/>
      <c r="V329" s="1521"/>
    </row>
    <row r="330" spans="21:22">
      <c r="U330" s="1521"/>
      <c r="V330" s="1521"/>
    </row>
    <row r="331" spans="21:22">
      <c r="U331" s="1521"/>
      <c r="V331" s="1521"/>
    </row>
    <row r="332" spans="21:22">
      <c r="U332" s="1521"/>
      <c r="V332" s="1521"/>
    </row>
    <row r="333" spans="21:22">
      <c r="U333" s="1521"/>
      <c r="V333" s="1521"/>
    </row>
    <row r="334" spans="21:22">
      <c r="U334" s="1521"/>
      <c r="V334" s="1521"/>
    </row>
    <row r="335" spans="21:22">
      <c r="U335" s="1521"/>
      <c r="V335" s="1521"/>
    </row>
    <row r="336" spans="21:22">
      <c r="U336" s="1521"/>
      <c r="V336" s="1521"/>
    </row>
    <row r="337" spans="21:22">
      <c r="U337" s="1521"/>
      <c r="V337" s="1521"/>
    </row>
    <row r="338" spans="21:22">
      <c r="U338" s="1521"/>
      <c r="V338" s="1521"/>
    </row>
    <row r="339" spans="21:22">
      <c r="U339" s="1521"/>
      <c r="V339" s="1521"/>
    </row>
    <row r="340" spans="21:22">
      <c r="U340" s="1521"/>
      <c r="V340" s="1521"/>
    </row>
    <row r="341" spans="21:22">
      <c r="U341" s="1521"/>
      <c r="V341" s="1521"/>
    </row>
    <row r="342" spans="21:22">
      <c r="U342" s="1521"/>
      <c r="V342" s="1521"/>
    </row>
    <row r="343" spans="21:22">
      <c r="U343" s="1521"/>
      <c r="V343" s="1521"/>
    </row>
    <row r="344" spans="21:22">
      <c r="U344" s="1521"/>
      <c r="V344" s="1521"/>
    </row>
    <row r="345" spans="21:22">
      <c r="U345" s="1521"/>
      <c r="V345" s="1521"/>
    </row>
    <row r="346" spans="21:22">
      <c r="U346" s="1521"/>
      <c r="V346" s="1521"/>
    </row>
    <row r="347" spans="21:22">
      <c r="U347" s="1521"/>
      <c r="V347" s="1521"/>
    </row>
    <row r="348" spans="21:22">
      <c r="U348" s="1521"/>
      <c r="V348" s="1521"/>
    </row>
    <row r="349" spans="21:22">
      <c r="U349" s="1521"/>
      <c r="V349" s="1521"/>
    </row>
    <row r="350" spans="21:22">
      <c r="U350" s="1521"/>
      <c r="V350" s="1521"/>
    </row>
    <row r="351" spans="21:22">
      <c r="U351" s="1521"/>
      <c r="V351" s="1521"/>
    </row>
    <row r="352" spans="21:22">
      <c r="U352" s="1521"/>
      <c r="V352" s="1521"/>
    </row>
    <row r="353" spans="21:22">
      <c r="U353" s="1521"/>
      <c r="V353" s="1521"/>
    </row>
    <row r="354" spans="21:22">
      <c r="U354" s="1521"/>
      <c r="V354" s="1521"/>
    </row>
    <row r="355" spans="21:22">
      <c r="U355" s="1521"/>
      <c r="V355" s="1521"/>
    </row>
    <row r="356" spans="21:22">
      <c r="U356" s="1521"/>
      <c r="V356" s="1521"/>
    </row>
    <row r="357" spans="21:22">
      <c r="U357" s="1521"/>
      <c r="V357" s="1521"/>
    </row>
    <row r="358" spans="21:22">
      <c r="U358" s="1521"/>
      <c r="V358" s="1521"/>
    </row>
    <row r="359" spans="21:22">
      <c r="U359" s="1521"/>
      <c r="V359" s="1521"/>
    </row>
    <row r="360" spans="21:22">
      <c r="U360" s="1521"/>
      <c r="V360" s="1521"/>
    </row>
    <row r="361" spans="21:22">
      <c r="U361" s="1521"/>
      <c r="V361" s="1521"/>
    </row>
    <row r="362" spans="21:22">
      <c r="U362" s="1521"/>
      <c r="V362" s="1521"/>
    </row>
    <row r="363" spans="21:22">
      <c r="U363" s="1521"/>
      <c r="V363" s="1521"/>
    </row>
    <row r="364" spans="21:22">
      <c r="U364" s="1521"/>
      <c r="V364" s="1521"/>
    </row>
    <row r="365" spans="21:22">
      <c r="U365" s="1521"/>
      <c r="V365" s="1521"/>
    </row>
    <row r="366" spans="21:22">
      <c r="U366" s="1521"/>
      <c r="V366" s="1521"/>
    </row>
    <row r="367" spans="21:22">
      <c r="U367" s="1521"/>
      <c r="V367" s="1521"/>
    </row>
    <row r="368" spans="21:22">
      <c r="U368" s="1521"/>
      <c r="V368" s="1521"/>
    </row>
    <row r="369" spans="21:22">
      <c r="U369" s="1521"/>
      <c r="V369" s="1521"/>
    </row>
    <row r="370" spans="21:22">
      <c r="U370" s="1521"/>
      <c r="V370" s="1521"/>
    </row>
    <row r="371" spans="21:22">
      <c r="U371" s="1521"/>
      <c r="V371" s="1521"/>
    </row>
    <row r="372" spans="21:22">
      <c r="U372" s="1521"/>
      <c r="V372" s="1521"/>
    </row>
    <row r="373" spans="21:22">
      <c r="U373" s="1521"/>
      <c r="V373" s="1521"/>
    </row>
    <row r="374" spans="21:22">
      <c r="U374" s="1521"/>
      <c r="V374" s="1521"/>
    </row>
    <row r="375" spans="21:22">
      <c r="U375" s="1521"/>
      <c r="V375" s="1521"/>
    </row>
    <row r="376" spans="21:22">
      <c r="U376" s="1521"/>
      <c r="V376" s="1521"/>
    </row>
    <row r="377" spans="21:22">
      <c r="U377" s="1521"/>
      <c r="V377" s="1521"/>
    </row>
    <row r="378" spans="21:22">
      <c r="U378" s="1521"/>
      <c r="V378" s="1521"/>
    </row>
    <row r="379" spans="21:22">
      <c r="U379" s="1521"/>
      <c r="V379" s="1521"/>
    </row>
    <row r="380" spans="21:22">
      <c r="U380" s="1521"/>
      <c r="V380" s="1521"/>
    </row>
    <row r="381" spans="21:22">
      <c r="U381" s="1521"/>
      <c r="V381" s="1521"/>
    </row>
    <row r="382" spans="21:22">
      <c r="U382" s="1521"/>
      <c r="V382" s="1521"/>
    </row>
    <row r="383" spans="21:22">
      <c r="U383" s="1521"/>
      <c r="V383" s="1521"/>
    </row>
    <row r="384" spans="21:22">
      <c r="U384" s="1521"/>
      <c r="V384" s="1521"/>
    </row>
    <row r="385" spans="21:22">
      <c r="U385" s="1521"/>
      <c r="V385" s="1521"/>
    </row>
    <row r="386" spans="21:22">
      <c r="U386" s="1521"/>
      <c r="V386" s="1521"/>
    </row>
    <row r="387" spans="21:22">
      <c r="U387" s="1521"/>
      <c r="V387" s="1521"/>
    </row>
    <row r="388" spans="21:22">
      <c r="U388" s="1521"/>
      <c r="V388" s="1521"/>
    </row>
    <row r="389" spans="21:22">
      <c r="U389" s="1521"/>
      <c r="V389" s="1521"/>
    </row>
    <row r="390" spans="21:22">
      <c r="U390" s="1521"/>
      <c r="V390" s="1521"/>
    </row>
    <row r="391" spans="21:22">
      <c r="U391" s="1521"/>
      <c r="V391" s="1521"/>
    </row>
    <row r="392" spans="21:22">
      <c r="U392" s="1521"/>
      <c r="V392" s="1521"/>
    </row>
    <row r="393" spans="21:22">
      <c r="U393" s="1521"/>
      <c r="V393" s="1521"/>
    </row>
    <row r="394" spans="21:22">
      <c r="U394" s="1521"/>
      <c r="V394" s="1521"/>
    </row>
    <row r="395" spans="21:22">
      <c r="U395" s="1521"/>
      <c r="V395" s="1521"/>
    </row>
    <row r="396" spans="21:22">
      <c r="U396" s="1521"/>
      <c r="V396" s="1521"/>
    </row>
    <row r="397" spans="21:22">
      <c r="U397" s="1521"/>
      <c r="V397" s="1521"/>
    </row>
    <row r="398" spans="21:22">
      <c r="U398" s="1521"/>
      <c r="V398" s="1521"/>
    </row>
    <row r="399" spans="21:22">
      <c r="U399" s="1521"/>
      <c r="V399" s="1521"/>
    </row>
    <row r="400" spans="21:22">
      <c r="U400" s="1521"/>
      <c r="V400" s="1521"/>
    </row>
    <row r="401" spans="21:22">
      <c r="U401" s="1521"/>
      <c r="V401" s="1521"/>
    </row>
    <row r="402" spans="21:22">
      <c r="U402" s="1521"/>
      <c r="V402" s="1521"/>
    </row>
    <row r="403" spans="21:22">
      <c r="U403" s="1521"/>
      <c r="V403" s="1521"/>
    </row>
    <row r="404" spans="21:22">
      <c r="U404" s="1521"/>
      <c r="V404" s="1521"/>
    </row>
    <row r="405" spans="21:22">
      <c r="U405" s="1521"/>
      <c r="V405" s="1521"/>
    </row>
    <row r="406" spans="21:22">
      <c r="U406" s="1521"/>
      <c r="V406" s="1521"/>
    </row>
    <row r="407" spans="21:22">
      <c r="U407" s="1521"/>
      <c r="V407" s="1521"/>
    </row>
    <row r="408" spans="21:22">
      <c r="U408" s="1521"/>
      <c r="V408" s="1521"/>
    </row>
    <row r="409" spans="21:22">
      <c r="U409" s="1521"/>
      <c r="V409" s="1521"/>
    </row>
    <row r="410" spans="21:22">
      <c r="U410" s="1521"/>
      <c r="V410" s="1521"/>
    </row>
    <row r="411" spans="21:22">
      <c r="U411" s="1521"/>
      <c r="V411" s="1521"/>
    </row>
    <row r="412" spans="21:22">
      <c r="U412" s="1521"/>
      <c r="V412" s="1521"/>
    </row>
    <row r="413" spans="21:22">
      <c r="U413" s="1521"/>
      <c r="V413" s="1521"/>
    </row>
    <row r="414" spans="21:22">
      <c r="U414" s="1521"/>
      <c r="V414" s="1521"/>
    </row>
    <row r="415" spans="21:22">
      <c r="U415" s="1521"/>
      <c r="V415" s="1521"/>
    </row>
    <row r="416" spans="21:22">
      <c r="U416" s="1521"/>
      <c r="V416" s="1521"/>
    </row>
    <row r="417" spans="21:22">
      <c r="U417" s="1521"/>
      <c r="V417" s="1521"/>
    </row>
    <row r="418" spans="21:22">
      <c r="U418" s="1521"/>
      <c r="V418" s="1521"/>
    </row>
    <row r="419" spans="21:22">
      <c r="U419" s="1521"/>
      <c r="V419" s="1521"/>
    </row>
    <row r="420" spans="21:22">
      <c r="U420" s="1521"/>
      <c r="V420" s="1521"/>
    </row>
    <row r="421" spans="21:22">
      <c r="U421" s="1521"/>
      <c r="V421" s="1521"/>
    </row>
    <row r="422" spans="21:22">
      <c r="U422" s="1521"/>
      <c r="V422" s="1521"/>
    </row>
    <row r="423" spans="21:22">
      <c r="U423" s="1521"/>
      <c r="V423" s="1521"/>
    </row>
    <row r="424" spans="21:22">
      <c r="U424" s="1521"/>
      <c r="V424" s="1521"/>
    </row>
    <row r="425" spans="21:22">
      <c r="U425" s="1521"/>
      <c r="V425" s="1521"/>
    </row>
    <row r="426" spans="21:22">
      <c r="U426" s="1521"/>
      <c r="V426" s="1521"/>
    </row>
    <row r="427" spans="21:22">
      <c r="U427" s="1521"/>
      <c r="V427" s="1521"/>
    </row>
    <row r="428" spans="21:22">
      <c r="U428" s="1521"/>
      <c r="V428" s="1521"/>
    </row>
    <row r="429" spans="21:22">
      <c r="U429" s="1521"/>
      <c r="V429" s="1521"/>
    </row>
    <row r="430" spans="21:22">
      <c r="U430" s="1521"/>
      <c r="V430" s="1521"/>
    </row>
    <row r="431" spans="21:22">
      <c r="U431" s="1521"/>
      <c r="V431" s="1521"/>
    </row>
    <row r="432" spans="21:22">
      <c r="U432" s="1521"/>
      <c r="V432" s="1521"/>
    </row>
    <row r="433" spans="21:22">
      <c r="U433" s="1521"/>
      <c r="V433" s="1521"/>
    </row>
    <row r="434" spans="21:22">
      <c r="U434" s="1521"/>
      <c r="V434" s="1521"/>
    </row>
    <row r="435" spans="21:22">
      <c r="U435" s="1521"/>
      <c r="V435" s="1521"/>
    </row>
    <row r="436" spans="21:22">
      <c r="U436" s="1521"/>
      <c r="V436" s="1521"/>
    </row>
    <row r="437" spans="21:22">
      <c r="U437" s="1521"/>
      <c r="V437" s="1521"/>
    </row>
    <row r="438" spans="21:22">
      <c r="U438" s="1521"/>
      <c r="V438" s="1521"/>
    </row>
    <row r="439" spans="21:22">
      <c r="U439" s="1521"/>
      <c r="V439" s="1521"/>
    </row>
    <row r="440" spans="21:22">
      <c r="U440" s="1521"/>
      <c r="V440" s="1521"/>
    </row>
    <row r="441" spans="21:22">
      <c r="U441" s="1521"/>
      <c r="V441" s="1521"/>
    </row>
    <row r="442" spans="21:22">
      <c r="U442" s="1521"/>
      <c r="V442" s="1521"/>
    </row>
    <row r="443" spans="21:22">
      <c r="U443" s="1521"/>
      <c r="V443" s="1521"/>
    </row>
    <row r="444" spans="21:22">
      <c r="U444" s="1521"/>
      <c r="V444" s="1521"/>
    </row>
    <row r="445" spans="21:22">
      <c r="U445" s="1521"/>
      <c r="V445" s="1521"/>
    </row>
    <row r="446" spans="21:22">
      <c r="U446" s="1521"/>
      <c r="V446" s="1521"/>
    </row>
    <row r="447" spans="21:22">
      <c r="U447" s="1521"/>
      <c r="V447" s="1521"/>
    </row>
    <row r="448" spans="21:22">
      <c r="U448" s="1521"/>
      <c r="V448" s="1521"/>
    </row>
    <row r="449" spans="21:22">
      <c r="U449" s="1521"/>
      <c r="V449" s="1521"/>
    </row>
    <row r="450" spans="21:22">
      <c r="U450" s="1521"/>
      <c r="V450" s="1521"/>
    </row>
    <row r="451" spans="21:22">
      <c r="U451" s="1521"/>
      <c r="V451" s="1521"/>
    </row>
    <row r="452" spans="21:22">
      <c r="U452" s="1521"/>
      <c r="V452" s="1521"/>
    </row>
    <row r="453" spans="21:22">
      <c r="U453" s="1521"/>
      <c r="V453" s="1521"/>
    </row>
    <row r="454" spans="21:22">
      <c r="U454" s="1521"/>
      <c r="V454" s="1521"/>
    </row>
    <row r="455" spans="21:22">
      <c r="U455" s="1521"/>
      <c r="V455" s="1521"/>
    </row>
    <row r="456" spans="21:22">
      <c r="U456" s="1521"/>
      <c r="V456" s="1521"/>
    </row>
    <row r="457" spans="21:22">
      <c r="U457" s="1521"/>
      <c r="V457" s="1521"/>
    </row>
    <row r="458" spans="21:22">
      <c r="U458" s="1521"/>
      <c r="V458" s="1521"/>
    </row>
    <row r="459" spans="21:22">
      <c r="U459" s="1521"/>
      <c r="V459" s="1521"/>
    </row>
    <row r="460" spans="21:22">
      <c r="U460" s="1521"/>
      <c r="V460" s="1521"/>
    </row>
    <row r="461" spans="21:22">
      <c r="U461" s="1521"/>
      <c r="V461" s="1521"/>
    </row>
    <row r="462" spans="21:22">
      <c r="U462" s="1521"/>
      <c r="V462" s="1521"/>
    </row>
    <row r="463" spans="21:22">
      <c r="U463" s="1521"/>
      <c r="V463" s="1521"/>
    </row>
    <row r="464" spans="21:22">
      <c r="U464" s="1521"/>
      <c r="V464" s="1521"/>
    </row>
    <row r="465" spans="21:22">
      <c r="U465" s="1521"/>
      <c r="V465" s="1521"/>
    </row>
    <row r="466" spans="21:22">
      <c r="U466" s="1521"/>
      <c r="V466" s="1521"/>
    </row>
    <row r="467" spans="21:22">
      <c r="U467" s="1521"/>
      <c r="V467" s="1521"/>
    </row>
    <row r="468" spans="21:22">
      <c r="U468" s="1521"/>
      <c r="V468" s="1521"/>
    </row>
    <row r="469" spans="21:22">
      <c r="U469" s="1521"/>
      <c r="V469" s="1521"/>
    </row>
    <row r="470" spans="21:22">
      <c r="U470" s="1521"/>
      <c r="V470" s="1521"/>
    </row>
    <row r="471" spans="21:22">
      <c r="U471" s="1521"/>
      <c r="V471" s="1521"/>
    </row>
    <row r="472" spans="21:22">
      <c r="U472" s="1521"/>
      <c r="V472" s="1521"/>
    </row>
    <row r="473" spans="21:22">
      <c r="U473" s="1521"/>
      <c r="V473" s="1521"/>
    </row>
    <row r="474" spans="21:22">
      <c r="U474" s="1521"/>
      <c r="V474" s="1521"/>
    </row>
    <row r="475" spans="21:22">
      <c r="U475" s="1521"/>
      <c r="V475" s="1521"/>
    </row>
    <row r="476" spans="21:22">
      <c r="U476" s="1521"/>
      <c r="V476" s="1521"/>
    </row>
    <row r="477" spans="21:22">
      <c r="U477" s="1521"/>
      <c r="V477" s="1521"/>
    </row>
    <row r="478" spans="21:22">
      <c r="U478" s="1521"/>
      <c r="V478" s="1521"/>
    </row>
    <row r="479" spans="21:22">
      <c r="U479" s="1521"/>
      <c r="V479" s="1521"/>
    </row>
    <row r="480" spans="21:22">
      <c r="U480" s="1521"/>
      <c r="V480" s="1521"/>
    </row>
    <row r="481" spans="21:22">
      <c r="U481" s="1521"/>
      <c r="V481" s="1521"/>
    </row>
    <row r="482" spans="21:22">
      <c r="U482" s="1521"/>
      <c r="V482" s="1521"/>
    </row>
    <row r="483" spans="21:22">
      <c r="U483" s="1521"/>
      <c r="V483" s="1521"/>
    </row>
    <row r="484" spans="21:22">
      <c r="U484" s="1521"/>
      <c r="V484" s="1521"/>
    </row>
    <row r="485" spans="21:22">
      <c r="U485" s="1521"/>
      <c r="V485" s="1521"/>
    </row>
    <row r="486" spans="21:22">
      <c r="U486" s="1521"/>
      <c r="V486" s="1521"/>
    </row>
    <row r="487" spans="21:22">
      <c r="U487" s="1521"/>
      <c r="V487" s="1521"/>
    </row>
    <row r="488" spans="21:22">
      <c r="U488" s="1521"/>
      <c r="V488" s="1521"/>
    </row>
    <row r="489" spans="21:22">
      <c r="U489" s="1521"/>
      <c r="V489" s="1521"/>
    </row>
    <row r="490" spans="21:22">
      <c r="U490" s="1521"/>
      <c r="V490" s="1521"/>
    </row>
    <row r="491" spans="21:22">
      <c r="U491" s="1521"/>
      <c r="V491" s="1521"/>
    </row>
    <row r="492" spans="21:22">
      <c r="U492" s="1521"/>
      <c r="V492" s="1521"/>
    </row>
    <row r="493" spans="21:22">
      <c r="U493" s="1521"/>
      <c r="V493" s="1521"/>
    </row>
    <row r="494" spans="21:22">
      <c r="U494" s="1521"/>
      <c r="V494" s="1521"/>
    </row>
    <row r="495" spans="21:22">
      <c r="U495" s="1521"/>
      <c r="V495" s="1521"/>
    </row>
    <row r="496" spans="21:22">
      <c r="U496" s="1521"/>
      <c r="V496" s="1521"/>
    </row>
    <row r="497" spans="21:22">
      <c r="U497" s="1521"/>
      <c r="V497" s="1521"/>
    </row>
    <row r="498" spans="21:22">
      <c r="U498" s="1521"/>
      <c r="V498" s="1521"/>
    </row>
    <row r="499" spans="21:22">
      <c r="U499" s="1521"/>
      <c r="V499" s="1521"/>
    </row>
    <row r="500" spans="21:22">
      <c r="U500" s="1521"/>
      <c r="V500" s="1521"/>
    </row>
    <row r="501" spans="21:22">
      <c r="U501" s="1521"/>
      <c r="V501" s="1521"/>
    </row>
    <row r="502" spans="21:22">
      <c r="U502" s="1521"/>
      <c r="V502" s="1521"/>
    </row>
    <row r="503" spans="21:22">
      <c r="U503" s="1521"/>
      <c r="V503" s="1521"/>
    </row>
    <row r="504" spans="21:22">
      <c r="U504" s="1521"/>
      <c r="V504" s="1521"/>
    </row>
    <row r="505" spans="21:22">
      <c r="U505" s="1521"/>
      <c r="V505" s="1521"/>
    </row>
    <row r="506" spans="21:22">
      <c r="U506" s="1521"/>
      <c r="V506" s="1521"/>
    </row>
    <row r="507" spans="21:22">
      <c r="U507" s="1521"/>
      <c r="V507" s="1521"/>
    </row>
    <row r="508" spans="21:22">
      <c r="U508" s="1521"/>
      <c r="V508" s="1521"/>
    </row>
    <row r="509" spans="21:22">
      <c r="U509" s="1521"/>
      <c r="V509" s="1521"/>
    </row>
    <row r="510" spans="21:22">
      <c r="U510" s="1521"/>
      <c r="V510" s="1521"/>
    </row>
    <row r="511" spans="21:22">
      <c r="U511" s="1521"/>
      <c r="V511" s="1521"/>
    </row>
    <row r="512" spans="21:22">
      <c r="U512" s="1521"/>
      <c r="V512" s="1521"/>
    </row>
    <row r="513" spans="21:22">
      <c r="U513" s="1521"/>
      <c r="V513" s="1521"/>
    </row>
    <row r="514" spans="21:22">
      <c r="U514" s="1521"/>
      <c r="V514" s="1521"/>
    </row>
    <row r="515" spans="21:22">
      <c r="U515" s="1521"/>
      <c r="V515" s="1521"/>
    </row>
    <row r="516" spans="21:22">
      <c r="U516" s="1521"/>
      <c r="V516" s="1521"/>
    </row>
    <row r="517" spans="21:22">
      <c r="U517" s="1521"/>
      <c r="V517" s="1521"/>
    </row>
    <row r="518" spans="21:22">
      <c r="U518" s="1521"/>
      <c r="V518" s="1521"/>
    </row>
    <row r="519" spans="21:22">
      <c r="U519" s="1521"/>
      <c r="V519" s="1521"/>
    </row>
    <row r="520" spans="21:22">
      <c r="U520" s="1521"/>
      <c r="V520" s="1521"/>
    </row>
    <row r="521" spans="21:22">
      <c r="U521" s="1521"/>
      <c r="V521" s="1521"/>
    </row>
    <row r="522" spans="21:22">
      <c r="U522" s="1521"/>
      <c r="V522" s="1521"/>
    </row>
    <row r="523" spans="21:22">
      <c r="U523" s="1521"/>
      <c r="V523" s="1521"/>
    </row>
    <row r="524" spans="21:22">
      <c r="U524" s="1521"/>
      <c r="V524" s="1521"/>
    </row>
    <row r="525" spans="21:22">
      <c r="U525" s="1521"/>
      <c r="V525" s="1521"/>
    </row>
    <row r="526" spans="21:22">
      <c r="U526" s="1521"/>
      <c r="V526" s="1521"/>
    </row>
    <row r="527" spans="21:22">
      <c r="U527" s="1521"/>
      <c r="V527" s="1521"/>
    </row>
    <row r="528" spans="21:22">
      <c r="U528" s="1521"/>
      <c r="V528" s="1521"/>
    </row>
    <row r="529" spans="21:22">
      <c r="U529" s="1521"/>
      <c r="V529" s="1521"/>
    </row>
    <row r="530" spans="21:22">
      <c r="U530" s="1521"/>
      <c r="V530" s="1521"/>
    </row>
    <row r="531" spans="21:22">
      <c r="U531" s="1521"/>
      <c r="V531" s="1521"/>
    </row>
    <row r="532" spans="21:22">
      <c r="U532" s="1521"/>
      <c r="V532" s="1521"/>
    </row>
    <row r="533" spans="21:22">
      <c r="U533" s="1521"/>
      <c r="V533" s="1521"/>
    </row>
    <row r="534" spans="21:22">
      <c r="U534" s="1521"/>
      <c r="V534" s="1521"/>
    </row>
    <row r="535" spans="21:22">
      <c r="U535" s="1521"/>
      <c r="V535" s="1521"/>
    </row>
    <row r="536" spans="21:22">
      <c r="U536" s="1521"/>
      <c r="V536" s="1521"/>
    </row>
    <row r="537" spans="21:22">
      <c r="U537" s="1521"/>
      <c r="V537" s="1521"/>
    </row>
    <row r="538" spans="21:22">
      <c r="U538" s="1521"/>
      <c r="V538" s="1521"/>
    </row>
    <row r="539" spans="21:22">
      <c r="U539" s="1521"/>
      <c r="V539" s="1521"/>
    </row>
    <row r="540" spans="21:22">
      <c r="U540" s="1521"/>
      <c r="V540" s="1521"/>
    </row>
    <row r="541" spans="21:22">
      <c r="U541" s="1521"/>
      <c r="V541" s="1521"/>
    </row>
    <row r="542" spans="21:22">
      <c r="U542" s="1521"/>
      <c r="V542" s="1521"/>
    </row>
    <row r="543" spans="21:22">
      <c r="U543" s="1521"/>
      <c r="V543" s="1521"/>
    </row>
    <row r="544" spans="21:22">
      <c r="U544" s="1521"/>
      <c r="V544" s="1521"/>
    </row>
    <row r="545" spans="21:22">
      <c r="U545" s="1521"/>
      <c r="V545" s="1521"/>
    </row>
    <row r="546" spans="21:22">
      <c r="U546" s="1521"/>
      <c r="V546" s="1521"/>
    </row>
    <row r="547" spans="21:22">
      <c r="U547" s="1521"/>
      <c r="V547" s="1521"/>
    </row>
    <row r="548" spans="21:22">
      <c r="U548" s="1521"/>
      <c r="V548" s="1521"/>
    </row>
    <row r="549" spans="21:22">
      <c r="U549" s="1521"/>
      <c r="V549" s="1521"/>
    </row>
    <row r="550" spans="21:22">
      <c r="U550" s="1521"/>
      <c r="V550" s="1521"/>
    </row>
    <row r="551" spans="21:22">
      <c r="U551" s="1521"/>
      <c r="V551" s="1521"/>
    </row>
    <row r="552" spans="21:22">
      <c r="U552" s="1521"/>
      <c r="V552" s="1521"/>
    </row>
    <row r="553" spans="21:22">
      <c r="U553" s="1521"/>
      <c r="V553" s="1521"/>
    </row>
    <row r="554" spans="21:22">
      <c r="U554" s="1521"/>
      <c r="V554" s="1521"/>
    </row>
    <row r="555" spans="21:22">
      <c r="U555" s="1521"/>
      <c r="V555" s="1521"/>
    </row>
    <row r="556" spans="21:22">
      <c r="U556" s="1521"/>
      <c r="V556" s="1521"/>
    </row>
    <row r="557" spans="21:22">
      <c r="U557" s="1521"/>
      <c r="V557" s="1521"/>
    </row>
    <row r="558" spans="21:22">
      <c r="U558" s="1521"/>
      <c r="V558" s="1521"/>
    </row>
    <row r="559" spans="21:22">
      <c r="U559" s="1521"/>
      <c r="V559" s="1521"/>
    </row>
    <row r="560" spans="21:22">
      <c r="U560" s="1521"/>
      <c r="V560" s="1521"/>
    </row>
    <row r="561" spans="21:22">
      <c r="U561" s="1521"/>
      <c r="V561" s="1521"/>
    </row>
    <row r="562" spans="21:22">
      <c r="U562" s="1521"/>
      <c r="V562" s="1521"/>
    </row>
    <row r="563" spans="21:22">
      <c r="U563" s="1521"/>
      <c r="V563" s="1521"/>
    </row>
    <row r="564" spans="21:22">
      <c r="U564" s="1521"/>
      <c r="V564" s="1521"/>
    </row>
    <row r="565" spans="21:22">
      <c r="U565" s="1521"/>
      <c r="V565" s="1521"/>
    </row>
    <row r="566" spans="21:22">
      <c r="U566" s="1521"/>
      <c r="V566" s="1521"/>
    </row>
    <row r="567" spans="21:22">
      <c r="U567" s="1521"/>
      <c r="V567" s="1521"/>
    </row>
    <row r="568" spans="21:22">
      <c r="U568" s="1521"/>
      <c r="V568" s="1521"/>
    </row>
    <row r="569" spans="21:22">
      <c r="U569" s="1521"/>
      <c r="V569" s="1521"/>
    </row>
    <row r="570" spans="21:22">
      <c r="U570" s="1521"/>
      <c r="V570" s="1521"/>
    </row>
    <row r="571" spans="21:22">
      <c r="U571" s="1521"/>
      <c r="V571" s="1521"/>
    </row>
    <row r="572" spans="21:22">
      <c r="U572" s="1521"/>
      <c r="V572" s="1521"/>
    </row>
    <row r="573" spans="21:22">
      <c r="U573" s="1521"/>
      <c r="V573" s="1521"/>
    </row>
    <row r="574" spans="21:22">
      <c r="U574" s="1521"/>
      <c r="V574" s="1521"/>
    </row>
    <row r="575" spans="21:22">
      <c r="U575" s="1521"/>
      <c r="V575" s="1521"/>
    </row>
    <row r="576" spans="21:22">
      <c r="U576" s="1521"/>
      <c r="V576" s="1521"/>
    </row>
    <row r="577" spans="21:22">
      <c r="U577" s="1521"/>
      <c r="V577" s="1521"/>
    </row>
    <row r="578" spans="21:22">
      <c r="U578" s="1521"/>
      <c r="V578" s="1521"/>
    </row>
    <row r="579" spans="21:22">
      <c r="U579" s="1521"/>
      <c r="V579" s="1521"/>
    </row>
    <row r="580" spans="21:22">
      <c r="U580" s="1521"/>
      <c r="V580" s="1521"/>
    </row>
    <row r="581" spans="21:22">
      <c r="U581" s="1521"/>
      <c r="V581" s="1521"/>
    </row>
    <row r="582" spans="21:22">
      <c r="U582" s="1521"/>
      <c r="V582" s="1521"/>
    </row>
    <row r="583" spans="21:22">
      <c r="U583" s="1521"/>
      <c r="V583" s="1521"/>
    </row>
    <row r="584" spans="21:22">
      <c r="U584" s="1521"/>
      <c r="V584" s="1521"/>
    </row>
    <row r="585" spans="21:22">
      <c r="U585" s="1521"/>
      <c r="V585" s="1521"/>
    </row>
    <row r="586" spans="21:22">
      <c r="U586" s="1521"/>
      <c r="V586" s="1521"/>
    </row>
    <row r="587" spans="21:22">
      <c r="U587" s="1521"/>
      <c r="V587" s="1521"/>
    </row>
    <row r="588" spans="21:22">
      <c r="U588" s="1521"/>
      <c r="V588" s="1521"/>
    </row>
    <row r="589" spans="21:22">
      <c r="U589" s="1521"/>
      <c r="V589" s="1521"/>
    </row>
  </sheetData>
  <phoneticPr fontId="0" type="noConversion"/>
  <pageMargins left="0.75" right="0.75" top="1" bottom="1" header="0.5" footer="0.5"/>
  <pageSetup orientation="portrait" horizontalDpi="4294967293"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indexed="43"/>
  </sheetPr>
  <dimension ref="A1:IV31"/>
  <sheetViews>
    <sheetView showGridLines="0" zoomScale="110" zoomScaleNormal="110" workbookViewId="0">
      <selection activeCell="A24" sqref="A24"/>
    </sheetView>
  </sheetViews>
  <sheetFormatPr defaultRowHeight="12.75"/>
  <cols>
    <col min="1" max="1" width="15.7109375" customWidth="1"/>
    <col min="2" max="2" width="23" customWidth="1"/>
    <col min="3" max="3" width="41" customWidth="1"/>
    <col min="4" max="5" width="14.5703125" customWidth="1"/>
    <col min="6" max="6" width="10.7109375" customWidth="1"/>
  </cols>
  <sheetData>
    <row r="1" spans="1:256" s="2" customFormat="1" ht="15">
      <c r="B1" s="4648" t="s">
        <v>1053</v>
      </c>
      <c r="C1" s="4649"/>
      <c r="D1" s="229" t="s">
        <v>416</v>
      </c>
      <c r="E1" s="229" t="s">
        <v>416</v>
      </c>
      <c r="F1" s="28"/>
      <c r="G1" s="28"/>
      <c r="H1" s="28"/>
    </row>
    <row r="2" spans="1:256" s="169" customFormat="1" ht="34.5" customHeight="1">
      <c r="A2" s="170"/>
      <c r="B2" s="273" t="s">
        <v>1149</v>
      </c>
      <c r="C2" s="274" t="s">
        <v>953</v>
      </c>
      <c r="D2" s="249" t="s">
        <v>561</v>
      </c>
      <c r="E2" s="1463" t="s">
        <v>1437</v>
      </c>
      <c r="F2" s="1255" t="s">
        <v>1184</v>
      </c>
      <c r="G2" s="171"/>
      <c r="H2" s="171"/>
      <c r="I2" s="168"/>
      <c r="J2" s="268"/>
    </row>
    <row r="3" spans="1:256" s="28" customFormat="1" ht="12.75" customHeight="1">
      <c r="A3" s="4650" t="s">
        <v>1004</v>
      </c>
      <c r="B3" s="231" t="s">
        <v>648</v>
      </c>
      <c r="C3" s="227" t="s">
        <v>1293</v>
      </c>
      <c r="D3" s="235">
        <f>StartYr</f>
        <v>2013</v>
      </c>
      <c r="E3" s="235">
        <v>2007</v>
      </c>
      <c r="F3" s="1256">
        <v>2008</v>
      </c>
      <c r="G3" s="76"/>
      <c r="H3" s="76"/>
      <c r="I3" s="76"/>
      <c r="J3" s="76"/>
      <c r="K3" s="76"/>
      <c r="L3" s="76"/>
      <c r="M3" s="76"/>
      <c r="N3" s="76"/>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c r="BX3" s="76"/>
      <c r="BY3" s="76"/>
      <c r="BZ3" s="76"/>
      <c r="CA3" s="76"/>
      <c r="CB3" s="76"/>
      <c r="CC3" s="76"/>
      <c r="CD3" s="76"/>
      <c r="CE3" s="76"/>
      <c r="CF3" s="76"/>
      <c r="CG3" s="76"/>
      <c r="CH3" s="76"/>
      <c r="CI3" s="76"/>
      <c r="CJ3" s="76"/>
      <c r="CK3" s="76"/>
      <c r="CL3" s="76"/>
      <c r="CM3" s="76"/>
      <c r="CN3" s="76"/>
      <c r="CO3" s="76"/>
      <c r="CP3" s="76"/>
      <c r="CQ3" s="76"/>
      <c r="CR3" s="76"/>
      <c r="CS3" s="76"/>
      <c r="CT3" s="76"/>
      <c r="CU3" s="76"/>
      <c r="CV3" s="76"/>
      <c r="CW3" s="76"/>
      <c r="CX3" s="76"/>
      <c r="CY3" s="76"/>
      <c r="CZ3" s="76"/>
      <c r="DA3" s="76"/>
      <c r="DB3" s="76"/>
      <c r="DC3" s="76"/>
      <c r="DD3" s="76"/>
      <c r="DE3" s="76"/>
      <c r="DF3" s="76"/>
      <c r="DG3" s="76"/>
      <c r="DH3" s="76"/>
      <c r="DI3" s="76"/>
      <c r="DJ3" s="76"/>
      <c r="DK3" s="76"/>
      <c r="DL3" s="76"/>
      <c r="DM3" s="76"/>
      <c r="DN3" s="76"/>
      <c r="DO3" s="76"/>
      <c r="DP3" s="76"/>
      <c r="DQ3" s="76"/>
      <c r="DR3" s="76"/>
      <c r="DS3" s="76"/>
      <c r="DT3" s="76"/>
      <c r="DU3" s="76"/>
      <c r="DV3" s="76"/>
      <c r="DW3" s="76"/>
      <c r="DX3" s="76"/>
      <c r="DY3" s="76"/>
      <c r="DZ3" s="76"/>
      <c r="EA3" s="76"/>
      <c r="EB3" s="76"/>
      <c r="EC3" s="76"/>
      <c r="ED3" s="76"/>
      <c r="EE3" s="76"/>
      <c r="EF3" s="76"/>
      <c r="EG3" s="76"/>
      <c r="EH3" s="76"/>
      <c r="EI3" s="76"/>
      <c r="EJ3" s="76"/>
      <c r="EK3" s="76"/>
      <c r="EL3" s="76"/>
      <c r="EM3" s="76"/>
      <c r="EN3" s="76"/>
      <c r="EO3" s="76"/>
      <c r="EP3" s="76"/>
      <c r="EQ3" s="76"/>
      <c r="ER3" s="76"/>
      <c r="ES3" s="76"/>
      <c r="ET3" s="76"/>
      <c r="EU3" s="76"/>
      <c r="EV3" s="76"/>
      <c r="EW3" s="76"/>
      <c r="EX3" s="76"/>
      <c r="EY3" s="76"/>
      <c r="EZ3" s="76"/>
      <c r="FA3" s="76"/>
      <c r="FB3" s="76"/>
      <c r="FC3" s="76"/>
      <c r="FD3" s="76"/>
      <c r="FE3" s="76"/>
      <c r="FF3" s="76"/>
      <c r="FG3" s="76"/>
      <c r="FH3" s="76"/>
      <c r="FI3" s="76"/>
      <c r="FJ3" s="76"/>
      <c r="FK3" s="76"/>
      <c r="FL3" s="76"/>
      <c r="FM3" s="76"/>
      <c r="FN3" s="76"/>
      <c r="FO3" s="76"/>
      <c r="FP3" s="76"/>
      <c r="FQ3" s="76"/>
      <c r="FR3" s="76"/>
      <c r="FS3" s="76"/>
      <c r="FT3" s="76"/>
      <c r="FU3" s="76"/>
      <c r="FV3" s="76"/>
      <c r="FW3" s="76"/>
      <c r="FX3" s="76"/>
      <c r="FY3" s="76"/>
      <c r="FZ3" s="76"/>
      <c r="GA3" s="76"/>
      <c r="GB3" s="76"/>
      <c r="GC3" s="76"/>
      <c r="GD3" s="76"/>
      <c r="GE3" s="76"/>
      <c r="GF3" s="76"/>
      <c r="GG3" s="76"/>
      <c r="GH3" s="76"/>
      <c r="GI3" s="76"/>
      <c r="GJ3" s="76"/>
      <c r="GK3" s="76"/>
      <c r="GL3" s="76"/>
      <c r="GM3" s="76"/>
      <c r="GN3" s="76"/>
      <c r="GO3" s="76"/>
      <c r="GP3" s="76"/>
      <c r="GQ3" s="76"/>
      <c r="GR3" s="76"/>
      <c r="GS3" s="76"/>
      <c r="GT3" s="76"/>
      <c r="GU3" s="76"/>
      <c r="GV3" s="76"/>
      <c r="GW3" s="76"/>
      <c r="GX3" s="76"/>
      <c r="GY3" s="76"/>
      <c r="GZ3" s="76"/>
      <c r="HA3" s="76"/>
      <c r="HB3" s="76"/>
      <c r="HC3" s="76"/>
      <c r="HD3" s="76"/>
      <c r="HE3" s="76"/>
      <c r="HF3" s="76"/>
      <c r="HG3" s="76"/>
      <c r="HH3" s="76"/>
      <c r="HI3" s="76"/>
      <c r="HJ3" s="76"/>
      <c r="HK3" s="76"/>
      <c r="HL3" s="76"/>
      <c r="HM3" s="76"/>
      <c r="HN3" s="76"/>
      <c r="HO3" s="76"/>
      <c r="HP3" s="76"/>
      <c r="HQ3" s="76"/>
      <c r="HR3" s="76"/>
      <c r="HS3" s="76"/>
      <c r="HT3" s="76"/>
      <c r="HU3" s="76"/>
      <c r="HV3" s="76"/>
      <c r="HW3" s="76"/>
      <c r="HX3" s="76"/>
      <c r="HY3" s="76"/>
      <c r="HZ3" s="76"/>
      <c r="IA3" s="76"/>
      <c r="IB3" s="76"/>
      <c r="IC3" s="76"/>
      <c r="ID3" s="76"/>
      <c r="IE3" s="76"/>
      <c r="IF3" s="76"/>
      <c r="IG3" s="76"/>
      <c r="IH3" s="76"/>
      <c r="II3" s="76"/>
      <c r="IJ3" s="76"/>
      <c r="IK3" s="76"/>
      <c r="IL3" s="76"/>
      <c r="IM3" s="76"/>
      <c r="IN3" s="76"/>
      <c r="IO3" s="76"/>
      <c r="IP3" s="76"/>
      <c r="IQ3" s="76"/>
      <c r="IR3" s="76"/>
      <c r="IS3" s="76"/>
      <c r="IT3" s="76"/>
      <c r="IU3" s="76"/>
      <c r="IV3" s="76"/>
    </row>
    <row r="4" spans="1:256" s="28" customFormat="1">
      <c r="A4" s="4650"/>
      <c r="B4" s="231" t="s">
        <v>649</v>
      </c>
      <c r="C4" s="232" t="s">
        <v>376</v>
      </c>
      <c r="D4" s="349" t="str">
        <f>UtilityArea</f>
        <v>CA Average</v>
      </c>
      <c r="E4" s="349" t="s">
        <v>1261</v>
      </c>
      <c r="F4" s="349" t="s">
        <v>1147</v>
      </c>
      <c r="G4" s="70"/>
      <c r="H4" s="70"/>
      <c r="I4" s="70"/>
      <c r="J4" s="70"/>
      <c r="K4" s="190"/>
      <c r="L4" s="190"/>
      <c r="M4" s="190"/>
      <c r="N4" s="190"/>
      <c r="O4" s="70"/>
      <c r="P4" s="70"/>
      <c r="Q4" s="70"/>
      <c r="R4" s="70"/>
      <c r="S4" s="70"/>
      <c r="T4" s="70"/>
      <c r="U4" s="70"/>
      <c r="V4" s="70"/>
      <c r="W4" s="70"/>
      <c r="X4" s="70"/>
      <c r="Y4" s="70"/>
      <c r="Z4" s="70"/>
      <c r="AA4" s="70"/>
      <c r="AB4" s="70"/>
      <c r="AC4" s="70"/>
      <c r="AD4" s="70"/>
      <c r="AE4" s="70"/>
      <c r="AF4" s="70"/>
      <c r="AG4" s="70"/>
      <c r="AH4" s="70"/>
      <c r="AI4" s="70"/>
      <c r="AJ4" s="70"/>
      <c r="AK4" s="70"/>
      <c r="AL4" s="70"/>
      <c r="AM4" s="70"/>
      <c r="AN4" s="70"/>
      <c r="AO4" s="70"/>
      <c r="AP4" s="70"/>
      <c r="AQ4" s="70"/>
      <c r="AR4" s="70"/>
      <c r="AS4" s="70"/>
      <c r="AT4" s="70"/>
      <c r="AU4" s="70"/>
      <c r="AV4" s="70"/>
      <c r="AW4" s="70"/>
      <c r="AX4" s="70"/>
      <c r="AY4" s="70"/>
      <c r="AZ4" s="70"/>
      <c r="BA4" s="70"/>
      <c r="BB4" s="70"/>
      <c r="BC4" s="70"/>
      <c r="BD4" s="70"/>
      <c r="BE4" s="70"/>
      <c r="BF4" s="70"/>
      <c r="BG4" s="70"/>
      <c r="BH4" s="70"/>
      <c r="BI4" s="70"/>
      <c r="BJ4" s="70"/>
      <c r="BK4" s="70"/>
      <c r="BL4" s="70"/>
      <c r="BM4" s="70"/>
      <c r="BN4" s="70"/>
      <c r="BO4" s="70"/>
      <c r="BP4" s="70"/>
      <c r="BQ4" s="70"/>
      <c r="BR4" s="70"/>
      <c r="BS4" s="70"/>
      <c r="BT4" s="70"/>
      <c r="BU4" s="70"/>
      <c r="BV4" s="70"/>
      <c r="BW4" s="70"/>
      <c r="BX4" s="70"/>
      <c r="BY4" s="70"/>
      <c r="BZ4" s="70"/>
      <c r="CA4" s="70"/>
      <c r="CB4" s="70"/>
      <c r="CC4" s="70"/>
      <c r="CD4" s="70"/>
      <c r="CE4" s="70"/>
      <c r="CF4" s="70"/>
      <c r="CG4" s="70"/>
      <c r="CH4" s="70"/>
      <c r="CI4" s="70"/>
      <c r="CJ4" s="70"/>
      <c r="CK4" s="70"/>
      <c r="CL4" s="70"/>
      <c r="CM4" s="70"/>
      <c r="CN4" s="70"/>
      <c r="CO4" s="70"/>
      <c r="CP4" s="70"/>
      <c r="CQ4" s="70"/>
      <c r="CR4" s="70"/>
      <c r="CS4" s="70"/>
      <c r="CT4" s="70"/>
      <c r="CU4" s="70"/>
      <c r="CV4" s="70"/>
      <c r="CW4" s="70"/>
      <c r="CX4" s="70"/>
      <c r="CY4" s="70"/>
      <c r="CZ4" s="70"/>
      <c r="DA4" s="70"/>
      <c r="DB4" s="70"/>
      <c r="DC4" s="70"/>
      <c r="DD4" s="70"/>
      <c r="DE4" s="70"/>
      <c r="DF4" s="70"/>
      <c r="DG4" s="70"/>
      <c r="DH4" s="70"/>
      <c r="DI4" s="70"/>
      <c r="DJ4" s="70"/>
      <c r="DK4" s="70"/>
      <c r="DL4" s="70"/>
      <c r="DM4" s="70"/>
      <c r="DN4" s="70"/>
      <c r="DO4" s="70"/>
      <c r="DP4" s="70"/>
      <c r="DQ4" s="70"/>
      <c r="DR4" s="70"/>
      <c r="DS4" s="70"/>
      <c r="DT4" s="70"/>
      <c r="DU4" s="70"/>
      <c r="DV4" s="70"/>
      <c r="DW4" s="70"/>
      <c r="DX4" s="70"/>
      <c r="DY4" s="70"/>
      <c r="DZ4" s="70"/>
      <c r="EA4" s="70"/>
      <c r="EB4" s="70"/>
      <c r="EC4" s="70"/>
      <c r="ED4" s="70"/>
      <c r="EE4" s="70"/>
      <c r="EF4" s="70"/>
      <c r="EG4" s="70"/>
      <c r="EH4" s="70"/>
      <c r="EI4" s="70"/>
      <c r="EJ4" s="70"/>
      <c r="EK4" s="70"/>
      <c r="EL4" s="70"/>
      <c r="EM4" s="70"/>
      <c r="EN4" s="70"/>
      <c r="EO4" s="70"/>
      <c r="EP4" s="70"/>
      <c r="EQ4" s="70"/>
      <c r="ER4" s="70"/>
      <c r="ES4" s="70"/>
      <c r="ET4" s="70"/>
      <c r="EU4" s="70"/>
      <c r="EV4" s="70"/>
      <c r="EW4" s="70"/>
      <c r="EX4" s="70"/>
      <c r="EY4" s="70"/>
      <c r="EZ4" s="70"/>
      <c r="FA4" s="70"/>
      <c r="FB4" s="70"/>
      <c r="FC4" s="70"/>
      <c r="FD4" s="70"/>
      <c r="FE4" s="70"/>
      <c r="FF4" s="70"/>
      <c r="FG4" s="70"/>
      <c r="FH4" s="70"/>
      <c r="FI4" s="70"/>
      <c r="FJ4" s="70"/>
      <c r="FK4" s="70"/>
      <c r="FL4" s="70"/>
      <c r="FM4" s="70"/>
      <c r="FN4" s="70"/>
      <c r="FO4" s="70"/>
      <c r="FP4" s="70"/>
      <c r="FQ4" s="70"/>
      <c r="FR4" s="70"/>
      <c r="FS4" s="70"/>
      <c r="FT4" s="70"/>
      <c r="FU4" s="70"/>
      <c r="FV4" s="70"/>
      <c r="FW4" s="70"/>
      <c r="FX4" s="70"/>
      <c r="FY4" s="70"/>
      <c r="FZ4" s="70"/>
      <c r="GA4" s="70"/>
      <c r="GB4" s="70"/>
      <c r="GC4" s="70"/>
      <c r="GD4" s="70"/>
      <c r="GE4" s="70"/>
      <c r="GF4" s="70"/>
      <c r="GG4" s="70"/>
      <c r="GH4" s="70"/>
      <c r="GI4" s="70"/>
      <c r="GJ4" s="70"/>
      <c r="GK4" s="70"/>
      <c r="GL4" s="70"/>
      <c r="GM4" s="70"/>
      <c r="GN4" s="70"/>
      <c r="GO4" s="70"/>
      <c r="GP4" s="70"/>
      <c r="GQ4" s="70"/>
      <c r="GR4" s="70"/>
      <c r="GS4" s="70"/>
      <c r="GT4" s="70"/>
      <c r="GU4" s="70"/>
      <c r="GV4" s="70"/>
      <c r="GW4" s="70"/>
      <c r="GX4" s="70"/>
      <c r="GY4" s="70"/>
      <c r="GZ4" s="70"/>
      <c r="HA4" s="70"/>
      <c r="HB4" s="70"/>
      <c r="HC4" s="70"/>
      <c r="HD4" s="70"/>
      <c r="HE4" s="70"/>
      <c r="HF4" s="70"/>
      <c r="HG4" s="70"/>
      <c r="HH4" s="70"/>
      <c r="HI4" s="70"/>
      <c r="HJ4" s="70"/>
      <c r="HK4" s="70"/>
      <c r="HL4" s="70"/>
      <c r="HM4" s="70"/>
      <c r="HN4" s="70"/>
      <c r="HO4" s="70"/>
      <c r="HP4" s="70"/>
      <c r="HQ4" s="70"/>
      <c r="HR4" s="70"/>
      <c r="HS4" s="70"/>
      <c r="HT4" s="70"/>
      <c r="HU4" s="70"/>
      <c r="HV4" s="70"/>
      <c r="HW4" s="70"/>
      <c r="HX4" s="70"/>
      <c r="HY4" s="70"/>
      <c r="HZ4" s="70"/>
      <c r="IA4" s="70"/>
      <c r="IB4" s="70"/>
      <c r="IC4" s="70"/>
      <c r="ID4" s="70"/>
      <c r="IE4" s="70"/>
      <c r="IF4" s="70"/>
      <c r="IG4" s="70"/>
      <c r="IH4" s="70"/>
      <c r="II4" s="70"/>
      <c r="IJ4" s="70"/>
      <c r="IK4" s="70"/>
      <c r="IL4" s="70"/>
      <c r="IM4" s="70"/>
      <c r="IN4" s="70"/>
      <c r="IO4" s="70"/>
      <c r="IP4" s="70"/>
      <c r="IQ4" s="70"/>
      <c r="IR4" s="70"/>
      <c r="IS4" s="70"/>
      <c r="IT4" s="70"/>
      <c r="IU4" s="70"/>
      <c r="IV4" s="70"/>
    </row>
    <row r="5" spans="1:256" s="28" customFormat="1">
      <c r="A5" s="4650"/>
      <c r="B5" s="231" t="s">
        <v>399</v>
      </c>
      <c r="C5" s="232" t="s">
        <v>643</v>
      </c>
      <c r="D5" s="349" t="str">
        <f>Region</f>
        <v>CA - Avg.</v>
      </c>
      <c r="E5" s="349" t="s">
        <v>1147</v>
      </c>
      <c r="F5" s="349" t="s">
        <v>1147</v>
      </c>
      <c r="G5" s="70"/>
      <c r="H5" s="70"/>
      <c r="I5" s="70"/>
      <c r="J5" s="70"/>
      <c r="K5" s="70"/>
      <c r="L5" s="70"/>
      <c r="M5" s="70"/>
      <c r="N5" s="70"/>
      <c r="O5" s="70"/>
      <c r="P5" s="70"/>
      <c r="Q5" s="70"/>
      <c r="R5" s="70"/>
      <c r="S5" s="70"/>
      <c r="T5" s="70"/>
      <c r="U5" s="70"/>
      <c r="V5" s="70"/>
      <c r="W5" s="70"/>
      <c r="X5" s="70"/>
      <c r="Y5" s="70"/>
      <c r="Z5" s="70"/>
      <c r="AA5" s="70"/>
      <c r="AB5" s="70"/>
      <c r="AC5" s="70"/>
      <c r="AD5" s="70"/>
      <c r="AE5" s="70"/>
      <c r="AF5" s="70"/>
      <c r="AG5" s="70"/>
      <c r="AH5" s="70"/>
      <c r="AI5" s="70"/>
      <c r="AJ5" s="70"/>
      <c r="AK5" s="70"/>
      <c r="AL5" s="70"/>
      <c r="AM5" s="70"/>
      <c r="AN5" s="70"/>
      <c r="AO5" s="70"/>
      <c r="AP5" s="70"/>
      <c r="AQ5" s="70"/>
      <c r="AR5" s="70"/>
      <c r="AS5" s="70"/>
      <c r="AT5" s="70"/>
      <c r="AU5" s="70"/>
      <c r="AV5" s="70"/>
      <c r="AW5" s="70"/>
      <c r="AX5" s="70"/>
      <c r="AY5" s="70"/>
      <c r="AZ5" s="70"/>
      <c r="BA5" s="70"/>
      <c r="BB5" s="70"/>
      <c r="BC5" s="70"/>
      <c r="BD5" s="70"/>
      <c r="BE5" s="70"/>
      <c r="BF5" s="70"/>
      <c r="BG5" s="70"/>
      <c r="BH5" s="70"/>
      <c r="BI5" s="70"/>
      <c r="BJ5" s="70"/>
      <c r="BK5" s="70"/>
      <c r="BL5" s="70"/>
      <c r="BM5" s="70"/>
      <c r="BN5" s="70"/>
      <c r="BO5" s="70"/>
      <c r="BP5" s="70"/>
      <c r="BQ5" s="70"/>
      <c r="BR5" s="70"/>
      <c r="BS5" s="70"/>
      <c r="BT5" s="70"/>
      <c r="BU5" s="70"/>
      <c r="BV5" s="70"/>
      <c r="BW5" s="70"/>
      <c r="BX5" s="70"/>
      <c r="BY5" s="70"/>
      <c r="BZ5" s="70"/>
      <c r="CA5" s="70"/>
      <c r="CB5" s="70"/>
      <c r="CC5" s="70"/>
      <c r="CD5" s="70"/>
      <c r="CE5" s="70"/>
      <c r="CF5" s="70"/>
      <c r="CG5" s="70"/>
      <c r="CH5" s="70"/>
      <c r="CI5" s="70"/>
      <c r="CJ5" s="70"/>
      <c r="CK5" s="70"/>
      <c r="CL5" s="70"/>
      <c r="CM5" s="70"/>
      <c r="CN5" s="70"/>
      <c r="CO5" s="70"/>
      <c r="CP5" s="70"/>
      <c r="CQ5" s="70"/>
      <c r="CR5" s="70"/>
      <c r="CS5" s="70"/>
      <c r="CT5" s="70"/>
      <c r="CU5" s="70"/>
      <c r="CV5" s="70"/>
      <c r="CW5" s="70"/>
      <c r="CX5" s="70"/>
      <c r="CY5" s="70"/>
      <c r="CZ5" s="70"/>
      <c r="DA5" s="70"/>
      <c r="DB5" s="70"/>
      <c r="DC5" s="70"/>
      <c r="DD5" s="70"/>
      <c r="DE5" s="70"/>
      <c r="DF5" s="70"/>
      <c r="DG5" s="70"/>
      <c r="DH5" s="70"/>
      <c r="DI5" s="70"/>
      <c r="DJ5" s="70"/>
      <c r="DK5" s="70"/>
      <c r="DL5" s="70"/>
      <c r="DM5" s="70"/>
      <c r="DN5" s="70"/>
      <c r="DO5" s="70"/>
      <c r="DP5" s="70"/>
      <c r="DQ5" s="70"/>
      <c r="DR5" s="70"/>
      <c r="DS5" s="70"/>
      <c r="DT5" s="70"/>
      <c r="DU5" s="70"/>
      <c r="DV5" s="70"/>
      <c r="DW5" s="70"/>
      <c r="DX5" s="70"/>
      <c r="DY5" s="70"/>
      <c r="DZ5" s="70"/>
      <c r="EA5" s="70"/>
      <c r="EB5" s="70"/>
      <c r="EC5" s="70"/>
      <c r="ED5" s="70"/>
      <c r="EE5" s="70"/>
      <c r="EF5" s="70"/>
      <c r="EG5" s="70"/>
      <c r="EH5" s="70"/>
      <c r="EI5" s="70"/>
      <c r="EJ5" s="70"/>
      <c r="EK5" s="70"/>
      <c r="EL5" s="70"/>
      <c r="EM5" s="70"/>
      <c r="EN5" s="70"/>
      <c r="EO5" s="70"/>
      <c r="EP5" s="70"/>
      <c r="EQ5" s="70"/>
      <c r="ER5" s="70"/>
      <c r="ES5" s="70"/>
      <c r="ET5" s="70"/>
      <c r="EU5" s="70"/>
      <c r="EV5" s="70"/>
      <c r="EW5" s="70"/>
      <c r="EX5" s="70"/>
      <c r="EY5" s="70"/>
      <c r="EZ5" s="70"/>
      <c r="FA5" s="70"/>
      <c r="FB5" s="70"/>
      <c r="FC5" s="70"/>
      <c r="FD5" s="70"/>
      <c r="FE5" s="70"/>
      <c r="FF5" s="70"/>
      <c r="FG5" s="70"/>
      <c r="FH5" s="70"/>
      <c r="FI5" s="70"/>
      <c r="FJ5" s="70"/>
      <c r="FK5" s="70"/>
      <c r="FL5" s="70"/>
      <c r="FM5" s="70"/>
      <c r="FN5" s="70"/>
      <c r="FO5" s="70"/>
      <c r="FP5" s="70"/>
      <c r="FQ5" s="70"/>
      <c r="FR5" s="70"/>
      <c r="FS5" s="70"/>
      <c r="FT5" s="70"/>
      <c r="FU5" s="70"/>
      <c r="FV5" s="70"/>
      <c r="FW5" s="70"/>
      <c r="FX5" s="70"/>
      <c r="FY5" s="70"/>
      <c r="FZ5" s="70"/>
      <c r="GA5" s="70"/>
      <c r="GB5" s="70"/>
      <c r="GC5" s="70"/>
      <c r="GD5" s="70"/>
      <c r="GE5" s="70"/>
      <c r="GF5" s="70"/>
      <c r="GG5" s="70"/>
      <c r="GH5" s="70"/>
      <c r="GI5" s="70"/>
      <c r="GJ5" s="70"/>
      <c r="GK5" s="70"/>
      <c r="GL5" s="70"/>
      <c r="GM5" s="70"/>
      <c r="GN5" s="70"/>
      <c r="GO5" s="70"/>
      <c r="GP5" s="70"/>
      <c r="GQ5" s="70"/>
      <c r="GR5" s="70"/>
      <c r="GS5" s="70"/>
      <c r="GT5" s="70"/>
      <c r="GU5" s="70"/>
      <c r="GV5" s="70"/>
      <c r="GW5" s="70"/>
      <c r="GX5" s="70"/>
      <c r="GY5" s="70"/>
      <c r="GZ5" s="70"/>
      <c r="HA5" s="70"/>
      <c r="HB5" s="70"/>
      <c r="HC5" s="70"/>
      <c r="HD5" s="70"/>
      <c r="HE5" s="70"/>
      <c r="HF5" s="70"/>
      <c r="HG5" s="70"/>
      <c r="HH5" s="70"/>
      <c r="HI5" s="70"/>
      <c r="HJ5" s="70"/>
      <c r="HK5" s="70"/>
      <c r="HL5" s="70"/>
      <c r="HM5" s="70"/>
      <c r="HN5" s="70"/>
      <c r="HO5" s="70"/>
      <c r="HP5" s="70"/>
      <c r="HQ5" s="70"/>
      <c r="HR5" s="70"/>
      <c r="HS5" s="70"/>
      <c r="HT5" s="70"/>
      <c r="HU5" s="70"/>
      <c r="HV5" s="70"/>
      <c r="HW5" s="70"/>
      <c r="HX5" s="70"/>
      <c r="HY5" s="70"/>
      <c r="HZ5" s="70"/>
      <c r="IA5" s="70"/>
      <c r="IB5" s="70"/>
      <c r="IC5" s="70"/>
      <c r="ID5" s="70"/>
      <c r="IE5" s="70"/>
      <c r="IF5" s="70"/>
      <c r="IG5" s="70"/>
      <c r="IH5" s="70"/>
      <c r="II5" s="70"/>
      <c r="IJ5" s="70"/>
      <c r="IK5" s="70"/>
      <c r="IL5" s="70"/>
      <c r="IM5" s="70"/>
      <c r="IN5" s="70"/>
      <c r="IO5" s="70"/>
      <c r="IP5" s="70"/>
      <c r="IQ5" s="70"/>
      <c r="IR5" s="70"/>
      <c r="IS5" s="70"/>
      <c r="IT5" s="70"/>
      <c r="IU5" s="70"/>
      <c r="IV5" s="70"/>
    </row>
    <row r="6" spans="1:256" s="28" customFormat="1">
      <c r="A6" s="4650"/>
      <c r="B6" s="231" t="s">
        <v>818</v>
      </c>
      <c r="C6" s="233" t="s">
        <v>1050</v>
      </c>
      <c r="D6" s="239">
        <v>5.0000000000000001E-3</v>
      </c>
      <c r="E6" s="239">
        <v>5.0000000000000001E-3</v>
      </c>
      <c r="F6" s="239">
        <v>0</v>
      </c>
      <c r="G6" s="97"/>
      <c r="H6" s="222"/>
      <c r="I6" s="222"/>
      <c r="J6" s="222"/>
      <c r="K6" s="222"/>
      <c r="L6" s="222"/>
      <c r="M6" s="222"/>
      <c r="N6" s="222"/>
      <c r="O6" s="77"/>
      <c r="P6" s="77"/>
      <c r="Q6" s="77"/>
      <c r="R6" s="77"/>
      <c r="S6" s="77"/>
      <c r="T6" s="77"/>
      <c r="U6" s="77"/>
      <c r="V6" s="77"/>
      <c r="W6" s="77"/>
      <c r="X6" s="77"/>
      <c r="Y6" s="77"/>
      <c r="Z6" s="77"/>
      <c r="AA6" s="77"/>
      <c r="AB6" s="77"/>
      <c r="AC6" s="77"/>
      <c r="AD6" s="77"/>
      <c r="AE6" s="77"/>
      <c r="AF6" s="77"/>
      <c r="AG6" s="77"/>
      <c r="AH6" s="77"/>
      <c r="AI6" s="77"/>
      <c r="AJ6" s="77"/>
      <c r="AK6" s="77"/>
      <c r="AL6" s="77"/>
      <c r="AM6" s="77"/>
      <c r="AN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W6" s="77"/>
      <c r="BX6" s="77"/>
      <c r="BY6" s="77"/>
      <c r="BZ6" s="77"/>
      <c r="CA6" s="77"/>
      <c r="CB6" s="77"/>
      <c r="CC6" s="77"/>
      <c r="CD6" s="77"/>
      <c r="CE6" s="77"/>
      <c r="CF6" s="77"/>
      <c r="CG6" s="77"/>
      <c r="CH6" s="77"/>
      <c r="CI6" s="77"/>
      <c r="CJ6" s="77"/>
      <c r="CK6" s="77"/>
      <c r="CL6" s="77"/>
      <c r="CM6" s="77"/>
      <c r="CN6" s="77"/>
      <c r="CO6" s="77"/>
      <c r="CP6" s="77"/>
      <c r="CQ6" s="77"/>
      <c r="CR6" s="77"/>
      <c r="CS6" s="77"/>
      <c r="CT6" s="77"/>
      <c r="CU6" s="77"/>
      <c r="CV6" s="77"/>
      <c r="CW6" s="77"/>
      <c r="CX6" s="77"/>
      <c r="CY6" s="77"/>
      <c r="CZ6" s="77"/>
      <c r="DA6" s="77"/>
      <c r="DB6" s="77"/>
      <c r="DC6" s="77"/>
      <c r="DD6" s="77"/>
      <c r="DE6" s="77"/>
      <c r="DF6" s="77"/>
      <c r="DG6" s="77"/>
      <c r="DH6" s="77"/>
      <c r="DI6" s="77"/>
      <c r="DJ6" s="77"/>
      <c r="DK6" s="77"/>
      <c r="DL6" s="77"/>
      <c r="DM6" s="77"/>
      <c r="DN6" s="77"/>
      <c r="DO6" s="77"/>
      <c r="DP6" s="77"/>
      <c r="DQ6" s="77"/>
      <c r="DR6" s="77"/>
      <c r="DS6" s="77"/>
      <c r="DT6" s="77"/>
      <c r="DU6" s="77"/>
      <c r="DV6" s="77"/>
      <c r="DW6" s="77"/>
      <c r="DX6" s="77"/>
      <c r="DY6" s="77"/>
      <c r="DZ6" s="77"/>
      <c r="EA6" s="77"/>
      <c r="EB6" s="77"/>
      <c r="EC6" s="77"/>
      <c r="ED6" s="77"/>
      <c r="EE6" s="77"/>
      <c r="EF6" s="77"/>
      <c r="EG6" s="77"/>
      <c r="EH6" s="77"/>
      <c r="EI6" s="77"/>
      <c r="EJ6" s="77"/>
      <c r="EK6" s="77"/>
      <c r="EL6" s="77"/>
      <c r="EM6" s="77"/>
      <c r="EN6" s="77"/>
      <c r="EO6" s="77"/>
      <c r="EP6" s="77"/>
      <c r="EQ6" s="77"/>
      <c r="ER6" s="77"/>
      <c r="ES6" s="77"/>
      <c r="ET6" s="77"/>
      <c r="EU6" s="77"/>
      <c r="EV6" s="77"/>
      <c r="EW6" s="77"/>
      <c r="EX6" s="77"/>
      <c r="EY6" s="77"/>
      <c r="EZ6" s="77"/>
      <c r="FA6" s="77"/>
      <c r="FB6" s="77"/>
      <c r="FC6" s="77"/>
      <c r="FD6" s="77"/>
      <c r="FE6" s="77"/>
      <c r="FF6" s="77"/>
      <c r="FG6" s="77"/>
      <c r="FH6" s="77"/>
      <c r="FI6" s="77"/>
      <c r="FJ6" s="77"/>
      <c r="FK6" s="77"/>
      <c r="FL6" s="77"/>
      <c r="FM6" s="77"/>
      <c r="FN6" s="77"/>
      <c r="FO6" s="77"/>
      <c r="FP6" s="77"/>
      <c r="FQ6" s="77"/>
      <c r="FR6" s="77"/>
      <c r="FS6" s="77"/>
      <c r="FT6" s="77"/>
      <c r="FU6" s="77"/>
      <c r="FV6" s="77"/>
      <c r="FW6" s="77"/>
      <c r="FX6" s="77"/>
      <c r="FY6" s="77"/>
      <c r="FZ6" s="77"/>
      <c r="GA6" s="77"/>
      <c r="GB6" s="77"/>
      <c r="GC6" s="77"/>
      <c r="GD6" s="77"/>
      <c r="GE6" s="77"/>
      <c r="GF6" s="77"/>
      <c r="GG6" s="77"/>
      <c r="GH6" s="77"/>
      <c r="GI6" s="77"/>
      <c r="GJ6" s="77"/>
      <c r="GK6" s="77"/>
      <c r="GL6" s="77"/>
      <c r="GM6" s="77"/>
      <c r="GN6" s="77"/>
      <c r="GO6" s="77"/>
      <c r="GP6" s="77"/>
      <c r="GQ6" s="77"/>
      <c r="GR6" s="77"/>
      <c r="GS6" s="77"/>
      <c r="GT6" s="77"/>
      <c r="GU6" s="77"/>
      <c r="GV6" s="77"/>
      <c r="GW6" s="77"/>
      <c r="GX6" s="77"/>
      <c r="GY6" s="77"/>
      <c r="GZ6" s="77"/>
      <c r="HA6" s="77"/>
      <c r="HB6" s="77"/>
      <c r="HC6" s="77"/>
      <c r="HD6" s="77"/>
      <c r="HE6" s="77"/>
      <c r="HF6" s="77"/>
      <c r="HG6" s="77"/>
      <c r="HH6" s="77"/>
      <c r="HI6" s="77"/>
      <c r="HJ6" s="77"/>
      <c r="HK6" s="77"/>
      <c r="HL6" s="77"/>
      <c r="HM6" s="77"/>
      <c r="HN6" s="77"/>
      <c r="HO6" s="77"/>
      <c r="HP6" s="77"/>
      <c r="HQ6" s="77"/>
      <c r="HR6" s="77"/>
      <c r="HS6" s="77"/>
      <c r="HT6" s="77"/>
      <c r="HU6" s="77"/>
      <c r="HV6" s="77"/>
      <c r="HW6" s="77"/>
      <c r="HX6" s="77"/>
      <c r="HY6" s="77"/>
      <c r="HZ6" s="77"/>
      <c r="IA6" s="77"/>
      <c r="IB6" s="77"/>
      <c r="IC6" s="77"/>
      <c r="ID6" s="77"/>
      <c r="IE6" s="77"/>
      <c r="IF6" s="77"/>
      <c r="IG6" s="77"/>
      <c r="IH6" s="77"/>
      <c r="II6" s="77"/>
      <c r="IJ6" s="77"/>
      <c r="IK6" s="77"/>
      <c r="IL6" s="77"/>
      <c r="IM6" s="77"/>
      <c r="IN6" s="77"/>
      <c r="IO6" s="77"/>
      <c r="IP6" s="77"/>
      <c r="IQ6" s="77"/>
      <c r="IR6" s="77"/>
      <c r="IS6" s="77"/>
      <c r="IT6" s="77"/>
      <c r="IU6" s="77"/>
      <c r="IV6" s="77"/>
    </row>
    <row r="7" spans="1:256" s="28" customFormat="1">
      <c r="A7" s="4650"/>
      <c r="B7" s="231" t="s">
        <v>409</v>
      </c>
      <c r="C7" s="233" t="s">
        <v>549</v>
      </c>
      <c r="D7" s="239">
        <v>5.0000000000000001E-3</v>
      </c>
      <c r="E7" s="239">
        <v>5.0000000000000001E-3</v>
      </c>
      <c r="F7" s="239">
        <v>0</v>
      </c>
      <c r="G7" s="77"/>
      <c r="H7" s="223"/>
      <c r="I7" s="223"/>
      <c r="J7" s="223"/>
      <c r="K7" s="223"/>
      <c r="L7" s="223"/>
      <c r="M7" s="223"/>
      <c r="N7" s="223"/>
      <c r="O7" s="26"/>
      <c r="P7" s="26"/>
      <c r="Q7" s="26"/>
      <c r="R7" s="26"/>
      <c r="S7" s="26"/>
      <c r="T7" s="26"/>
      <c r="U7" s="26"/>
      <c r="V7" s="26"/>
      <c r="W7" s="26"/>
      <c r="X7" s="26"/>
      <c r="Y7" s="26"/>
      <c r="Z7" s="26"/>
      <c r="AA7" s="26"/>
      <c r="AB7" s="26"/>
      <c r="AC7" s="26"/>
      <c r="AD7" s="26"/>
      <c r="AE7" s="26"/>
      <c r="AF7" s="26"/>
      <c r="AG7" s="26"/>
      <c r="AH7" s="26"/>
      <c r="AI7" s="26"/>
      <c r="AJ7" s="26"/>
      <c r="AK7" s="26"/>
      <c r="AL7" s="26"/>
      <c r="AM7" s="26"/>
      <c r="AN7" s="26"/>
      <c r="AO7" s="26"/>
      <c r="AP7" s="26"/>
      <c r="AQ7" s="26"/>
      <c r="AR7" s="26"/>
      <c r="AS7" s="26"/>
      <c r="AT7" s="26"/>
      <c r="AU7" s="26"/>
      <c r="AV7" s="26"/>
      <c r="AW7" s="26"/>
      <c r="AX7" s="26"/>
      <c r="AY7" s="26"/>
      <c r="AZ7" s="26"/>
      <c r="BA7" s="26"/>
      <c r="BB7" s="26"/>
      <c r="BC7" s="26"/>
      <c r="BD7" s="26"/>
      <c r="BE7" s="26"/>
      <c r="BF7" s="26"/>
      <c r="BG7" s="26"/>
      <c r="BH7" s="26"/>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26"/>
      <c r="DD7" s="26"/>
      <c r="DE7" s="26"/>
      <c r="DF7" s="26"/>
      <c r="DG7" s="26"/>
      <c r="DH7" s="26"/>
      <c r="DI7" s="26"/>
      <c r="DJ7" s="26"/>
      <c r="DK7" s="26"/>
      <c r="DL7" s="26"/>
      <c r="DM7" s="26"/>
      <c r="DN7" s="26"/>
      <c r="DO7" s="26"/>
      <c r="DP7" s="26"/>
      <c r="DQ7" s="26"/>
      <c r="DR7" s="26"/>
      <c r="DS7" s="26"/>
      <c r="DT7" s="26"/>
      <c r="DU7" s="26"/>
      <c r="DV7" s="26"/>
      <c r="DW7" s="26"/>
      <c r="DX7" s="26"/>
      <c r="DY7" s="26"/>
      <c r="DZ7" s="26"/>
      <c r="EA7" s="26"/>
      <c r="EB7" s="26"/>
      <c r="EC7" s="26"/>
      <c r="ED7" s="26"/>
      <c r="EE7" s="26"/>
      <c r="EF7" s="26"/>
      <c r="EG7" s="26"/>
      <c r="EH7" s="26"/>
      <c r="EI7" s="26"/>
      <c r="EJ7" s="26"/>
      <c r="EK7" s="26"/>
      <c r="EL7" s="26"/>
      <c r="EM7" s="26"/>
      <c r="EN7" s="26"/>
      <c r="EO7" s="26"/>
      <c r="EP7" s="26"/>
      <c r="EQ7" s="26"/>
      <c r="ER7" s="26"/>
      <c r="ES7" s="26"/>
      <c r="ET7" s="26"/>
      <c r="EU7" s="26"/>
      <c r="EV7" s="26"/>
      <c r="EW7" s="26"/>
      <c r="EX7" s="26"/>
      <c r="EY7" s="26"/>
      <c r="EZ7" s="26"/>
      <c r="FA7" s="26"/>
      <c r="FB7" s="26"/>
      <c r="FC7" s="26"/>
      <c r="FD7" s="26"/>
      <c r="FE7" s="26"/>
      <c r="FF7" s="26"/>
      <c r="FG7" s="26"/>
      <c r="FH7" s="26"/>
      <c r="FI7" s="26"/>
      <c r="FJ7" s="26"/>
      <c r="FK7" s="26"/>
      <c r="FL7" s="26"/>
      <c r="FM7" s="26"/>
      <c r="FN7" s="26"/>
      <c r="FO7" s="26"/>
      <c r="FP7" s="26"/>
      <c r="FQ7" s="26"/>
      <c r="FR7" s="26"/>
      <c r="FS7" s="26"/>
      <c r="FT7" s="26"/>
      <c r="FU7" s="26"/>
      <c r="FV7" s="26"/>
      <c r="FW7" s="26"/>
      <c r="FX7" s="26"/>
      <c r="FY7" s="26"/>
      <c r="FZ7" s="26"/>
      <c r="GA7" s="26"/>
      <c r="GB7" s="26"/>
      <c r="GC7" s="26"/>
      <c r="GD7" s="26"/>
      <c r="GE7" s="26"/>
      <c r="GF7" s="26"/>
      <c r="GG7" s="26"/>
      <c r="GH7" s="26"/>
      <c r="GI7" s="26"/>
      <c r="GJ7" s="26"/>
      <c r="GK7" s="26"/>
      <c r="GL7" s="26"/>
      <c r="GM7" s="26"/>
      <c r="GN7" s="26"/>
      <c r="GO7" s="26"/>
      <c r="GP7" s="26"/>
      <c r="GQ7" s="26"/>
      <c r="GR7" s="26"/>
      <c r="GS7" s="26"/>
      <c r="GT7" s="26"/>
      <c r="GU7" s="26"/>
      <c r="GV7" s="26"/>
      <c r="GW7" s="26"/>
      <c r="GX7" s="26"/>
      <c r="GY7" s="26"/>
      <c r="GZ7" s="26"/>
      <c r="HA7" s="26"/>
      <c r="HB7" s="26"/>
      <c r="HC7" s="26"/>
      <c r="HD7" s="26"/>
      <c r="HE7" s="26"/>
      <c r="HF7" s="26"/>
      <c r="HG7" s="26"/>
      <c r="HH7" s="26"/>
      <c r="HI7" s="26"/>
      <c r="HJ7" s="26"/>
      <c r="HK7" s="26"/>
      <c r="HL7" s="26"/>
      <c r="HM7" s="26"/>
      <c r="HN7" s="26"/>
      <c r="HO7" s="26"/>
      <c r="HP7" s="26"/>
      <c r="HQ7" s="26"/>
      <c r="HR7" s="26"/>
      <c r="HS7" s="26"/>
      <c r="HT7" s="26"/>
      <c r="HU7" s="26"/>
      <c r="HV7" s="26"/>
      <c r="HW7" s="26"/>
      <c r="HX7" s="26"/>
      <c r="HY7" s="26"/>
      <c r="HZ7" s="26"/>
      <c r="IA7" s="26"/>
      <c r="IB7" s="26"/>
      <c r="IC7" s="26"/>
      <c r="ID7" s="26"/>
      <c r="IE7" s="26"/>
      <c r="IF7" s="26"/>
      <c r="IG7" s="26"/>
      <c r="IH7" s="26"/>
      <c r="II7" s="26"/>
      <c r="IJ7" s="26"/>
      <c r="IK7" s="26"/>
      <c r="IL7" s="26"/>
      <c r="IM7" s="26"/>
      <c r="IN7" s="26"/>
      <c r="IO7" s="26"/>
      <c r="IP7" s="26"/>
      <c r="IQ7" s="26"/>
      <c r="IR7" s="26"/>
      <c r="IS7" s="26"/>
      <c r="IT7" s="26"/>
      <c r="IU7" s="26"/>
      <c r="IV7" s="26"/>
    </row>
    <row r="8" spans="1:256" s="28" customFormat="1">
      <c r="A8" s="4650"/>
      <c r="B8" s="231" t="s">
        <v>653</v>
      </c>
      <c r="C8" s="232" t="s">
        <v>122</v>
      </c>
      <c r="D8" s="236">
        <v>0</v>
      </c>
      <c r="E8" s="236">
        <v>0</v>
      </c>
      <c r="F8" s="237">
        <f>0.0207-0.0246</f>
        <v>-3.9000000000000007E-3</v>
      </c>
      <c r="G8" s="142"/>
      <c r="H8" s="26"/>
      <c r="I8" s="26"/>
      <c r="J8" s="26"/>
      <c r="K8" s="26"/>
      <c r="L8" s="26"/>
      <c r="M8" s="26"/>
      <c r="N8" s="26"/>
      <c r="O8" s="75"/>
      <c r="P8" s="75"/>
      <c r="Q8" s="75"/>
      <c r="R8" s="75"/>
      <c r="S8" s="75"/>
      <c r="T8" s="75"/>
      <c r="U8" s="75"/>
      <c r="V8" s="75"/>
      <c r="W8" s="75"/>
      <c r="X8" s="75"/>
      <c r="Y8" s="75"/>
      <c r="Z8" s="75"/>
      <c r="AA8" s="75"/>
      <c r="AB8" s="75"/>
      <c r="AC8" s="75"/>
      <c r="AD8" s="75"/>
      <c r="AE8" s="75"/>
      <c r="AF8" s="75"/>
      <c r="AG8" s="75"/>
      <c r="AH8" s="75"/>
      <c r="AI8" s="75"/>
      <c r="AJ8" s="75"/>
      <c r="AK8" s="75"/>
      <c r="AL8" s="75"/>
      <c r="AM8" s="75"/>
      <c r="AN8" s="75"/>
      <c r="AO8" s="75"/>
      <c r="AP8" s="75"/>
      <c r="AQ8" s="75"/>
      <c r="AR8" s="75"/>
      <c r="AS8" s="75"/>
      <c r="AT8" s="75"/>
      <c r="AU8" s="75"/>
      <c r="AV8" s="75"/>
      <c r="AW8" s="75"/>
      <c r="AX8" s="75"/>
      <c r="AY8" s="75"/>
      <c r="AZ8" s="75"/>
      <c r="BA8" s="75"/>
      <c r="BB8" s="75"/>
      <c r="BC8" s="75"/>
      <c r="BD8" s="75"/>
      <c r="BE8" s="75"/>
      <c r="BF8" s="75"/>
      <c r="BG8" s="75"/>
      <c r="BH8" s="75"/>
      <c r="BI8" s="75"/>
      <c r="BJ8" s="75"/>
      <c r="BK8" s="75"/>
      <c r="BL8" s="75"/>
      <c r="BM8" s="75"/>
      <c r="BN8" s="75"/>
      <c r="BO8" s="75"/>
      <c r="BP8" s="75"/>
      <c r="BQ8" s="75"/>
      <c r="BR8" s="75"/>
      <c r="BS8" s="75"/>
      <c r="BT8" s="75"/>
      <c r="BU8" s="75"/>
      <c r="BV8" s="75"/>
      <c r="BW8" s="75"/>
      <c r="BX8" s="75"/>
      <c r="BY8" s="75"/>
      <c r="BZ8" s="75"/>
      <c r="CA8" s="75"/>
      <c r="CB8" s="75"/>
      <c r="CC8" s="75"/>
      <c r="CD8" s="75"/>
      <c r="CE8" s="75"/>
      <c r="CF8" s="75"/>
      <c r="CG8" s="75"/>
      <c r="CH8" s="75"/>
      <c r="CI8" s="75"/>
      <c r="CJ8" s="75"/>
      <c r="CK8" s="75"/>
      <c r="CL8" s="75"/>
      <c r="CM8" s="75"/>
      <c r="CN8" s="75"/>
      <c r="CO8" s="75"/>
      <c r="CP8" s="75"/>
      <c r="CQ8" s="75"/>
      <c r="CR8" s="75"/>
      <c r="CS8" s="75"/>
      <c r="CT8" s="75"/>
      <c r="CU8" s="75"/>
      <c r="CV8" s="75"/>
      <c r="CW8" s="75"/>
      <c r="CX8" s="75"/>
      <c r="CY8" s="75"/>
      <c r="CZ8" s="75"/>
      <c r="DA8" s="75"/>
      <c r="DB8" s="75"/>
      <c r="DC8" s="75"/>
      <c r="DD8" s="75"/>
      <c r="DE8" s="75"/>
      <c r="DF8" s="75"/>
      <c r="DG8" s="75"/>
      <c r="DH8" s="75"/>
      <c r="DI8" s="75"/>
      <c r="DJ8" s="75"/>
      <c r="DK8" s="75"/>
      <c r="DL8" s="75"/>
      <c r="DM8" s="75"/>
      <c r="DN8" s="75"/>
      <c r="DO8" s="75"/>
      <c r="DP8" s="75"/>
      <c r="DQ8" s="75"/>
      <c r="DR8" s="75"/>
      <c r="DS8" s="75"/>
      <c r="DT8" s="75"/>
      <c r="DU8" s="75"/>
      <c r="DV8" s="75"/>
      <c r="DW8" s="75"/>
      <c r="DX8" s="75"/>
      <c r="DY8" s="75"/>
      <c r="DZ8" s="75"/>
      <c r="EA8" s="75"/>
      <c r="EB8" s="75"/>
      <c r="EC8" s="75"/>
      <c r="ED8" s="75"/>
      <c r="EE8" s="75"/>
      <c r="EF8" s="75"/>
      <c r="EG8" s="75"/>
      <c r="EH8" s="75"/>
      <c r="EI8" s="75"/>
      <c r="EJ8" s="75"/>
      <c r="EK8" s="75"/>
      <c r="EL8" s="75"/>
      <c r="EM8" s="75"/>
      <c r="EN8" s="75"/>
      <c r="EO8" s="75"/>
      <c r="EP8" s="75"/>
      <c r="EQ8" s="75"/>
      <c r="ER8" s="75"/>
      <c r="ES8" s="75"/>
      <c r="ET8" s="75"/>
      <c r="EU8" s="75"/>
      <c r="EV8" s="75"/>
      <c r="EW8" s="75"/>
      <c r="EX8" s="75"/>
      <c r="EY8" s="75"/>
      <c r="EZ8" s="75"/>
      <c r="FA8" s="75"/>
      <c r="FB8" s="75"/>
      <c r="FC8" s="75"/>
      <c r="FD8" s="75"/>
      <c r="FE8" s="75"/>
      <c r="FF8" s="75"/>
      <c r="FG8" s="75"/>
      <c r="FH8" s="75"/>
      <c r="FI8" s="75"/>
      <c r="FJ8" s="75"/>
      <c r="FK8" s="75"/>
      <c r="FL8" s="75"/>
      <c r="FM8" s="75"/>
      <c r="FN8" s="75"/>
      <c r="FO8" s="75"/>
      <c r="FP8" s="75"/>
      <c r="FQ8" s="75"/>
      <c r="FR8" s="75"/>
      <c r="FS8" s="75"/>
      <c r="FT8" s="75"/>
      <c r="FU8" s="75"/>
      <c r="FV8" s="75"/>
      <c r="FW8" s="75"/>
      <c r="FX8" s="75"/>
      <c r="FY8" s="75"/>
      <c r="FZ8" s="75"/>
      <c r="GA8" s="75"/>
      <c r="GB8" s="75"/>
      <c r="GC8" s="75"/>
      <c r="GD8" s="75"/>
      <c r="GE8" s="75"/>
      <c r="GF8" s="75"/>
      <c r="GG8" s="75"/>
      <c r="GH8" s="75"/>
      <c r="GI8" s="75"/>
      <c r="GJ8" s="75"/>
      <c r="GK8" s="75"/>
      <c r="GL8" s="75"/>
      <c r="GM8" s="75"/>
      <c r="GN8" s="75"/>
      <c r="GO8" s="75"/>
      <c r="GP8" s="75"/>
      <c r="GQ8" s="75"/>
      <c r="GR8" s="75"/>
      <c r="GS8" s="75"/>
      <c r="GT8" s="75"/>
      <c r="GU8" s="75"/>
      <c r="GV8" s="75"/>
      <c r="GW8" s="75"/>
      <c r="GX8" s="75"/>
      <c r="GY8" s="75"/>
      <c r="GZ8" s="75"/>
      <c r="HA8" s="75"/>
      <c r="HB8" s="75"/>
      <c r="HC8" s="75"/>
      <c r="HD8" s="75"/>
      <c r="HE8" s="75"/>
      <c r="HF8" s="75"/>
      <c r="HG8" s="75"/>
      <c r="HH8" s="75"/>
      <c r="HI8" s="75"/>
      <c r="HJ8" s="75"/>
      <c r="HK8" s="75"/>
      <c r="HL8" s="75"/>
      <c r="HM8" s="75"/>
      <c r="HN8" s="75"/>
      <c r="HO8" s="75"/>
      <c r="HP8" s="75"/>
      <c r="HQ8" s="75"/>
      <c r="HR8" s="75"/>
      <c r="HS8" s="75"/>
      <c r="HT8" s="75"/>
      <c r="HU8" s="75"/>
      <c r="HV8" s="75"/>
      <c r="HW8" s="75"/>
      <c r="HX8" s="75"/>
      <c r="HY8" s="75"/>
      <c r="HZ8" s="75"/>
      <c r="IA8" s="75"/>
      <c r="IB8" s="75"/>
      <c r="IC8" s="75"/>
      <c r="ID8" s="75"/>
      <c r="IE8" s="75"/>
      <c r="IF8" s="75"/>
      <c r="IG8" s="75"/>
      <c r="IH8" s="75"/>
      <c r="II8" s="75"/>
      <c r="IJ8" s="75"/>
      <c r="IK8" s="75"/>
      <c r="IL8" s="75"/>
      <c r="IM8" s="75"/>
      <c r="IN8" s="75"/>
      <c r="IO8" s="75"/>
      <c r="IP8" s="75"/>
      <c r="IQ8" s="75"/>
      <c r="IR8" s="75"/>
      <c r="IS8" s="75"/>
      <c r="IT8" s="75"/>
      <c r="IU8" s="75"/>
      <c r="IV8" s="75"/>
    </row>
    <row r="9" spans="1:256" s="28" customFormat="1">
      <c r="A9" s="4650"/>
      <c r="B9" s="231" t="s">
        <v>1199</v>
      </c>
      <c r="C9" s="232" t="s">
        <v>1198</v>
      </c>
      <c r="D9" s="982" t="s">
        <v>1178</v>
      </c>
      <c r="E9" s="982" t="s">
        <v>1178</v>
      </c>
      <c r="F9" s="983" t="s">
        <v>1178</v>
      </c>
      <c r="G9" s="142"/>
      <c r="H9" s="26"/>
      <c r="I9" s="26"/>
      <c r="J9" s="26"/>
      <c r="K9" s="26"/>
      <c r="L9" s="26"/>
      <c r="M9" s="26"/>
      <c r="N9" s="26"/>
      <c r="O9" s="75"/>
      <c r="P9" s="75"/>
      <c r="Q9" s="75"/>
      <c r="R9" s="75"/>
      <c r="S9" s="75"/>
      <c r="T9" s="75"/>
      <c r="U9" s="75"/>
      <c r="V9" s="75"/>
      <c r="W9" s="75"/>
      <c r="X9" s="75"/>
      <c r="Y9" s="75"/>
      <c r="Z9" s="75"/>
      <c r="AA9" s="75"/>
      <c r="AB9" s="75"/>
      <c r="AC9" s="75"/>
      <c r="AD9" s="75"/>
      <c r="AE9" s="75"/>
      <c r="AF9" s="75"/>
      <c r="AG9" s="75"/>
      <c r="AH9" s="75"/>
      <c r="AI9" s="75"/>
      <c r="AJ9" s="75"/>
      <c r="AK9" s="75"/>
      <c r="AL9" s="75"/>
      <c r="AM9" s="75"/>
      <c r="AN9" s="75"/>
      <c r="AO9" s="75"/>
      <c r="AP9" s="75"/>
      <c r="AQ9" s="75"/>
      <c r="AR9" s="75"/>
      <c r="AS9" s="75"/>
      <c r="AT9" s="75"/>
      <c r="AU9" s="75"/>
      <c r="AV9" s="75"/>
      <c r="AW9" s="75"/>
      <c r="AX9" s="75"/>
      <c r="AY9" s="75"/>
      <c r="AZ9" s="75"/>
      <c r="BA9" s="75"/>
      <c r="BB9" s="75"/>
      <c r="BC9" s="75"/>
      <c r="BD9" s="75"/>
      <c r="BE9" s="75"/>
      <c r="BF9" s="75"/>
      <c r="BG9" s="75"/>
      <c r="BH9" s="75"/>
      <c r="BI9" s="75"/>
      <c r="BJ9" s="75"/>
      <c r="BK9" s="75"/>
      <c r="BL9" s="75"/>
      <c r="BM9" s="75"/>
      <c r="BN9" s="75"/>
      <c r="BO9" s="75"/>
      <c r="BP9" s="75"/>
      <c r="BQ9" s="75"/>
      <c r="BR9" s="75"/>
      <c r="BS9" s="75"/>
      <c r="BT9" s="75"/>
      <c r="BU9" s="75"/>
      <c r="BV9" s="75"/>
      <c r="BW9" s="75"/>
      <c r="BX9" s="75"/>
      <c r="BY9" s="75"/>
      <c r="BZ9" s="75"/>
      <c r="CA9" s="75"/>
      <c r="CB9" s="75"/>
      <c r="CC9" s="75"/>
      <c r="CD9" s="75"/>
      <c r="CE9" s="75"/>
      <c r="CF9" s="75"/>
      <c r="CG9" s="75"/>
      <c r="CH9" s="75"/>
      <c r="CI9" s="75"/>
      <c r="CJ9" s="75"/>
      <c r="CK9" s="75"/>
      <c r="CL9" s="75"/>
      <c r="CM9" s="75"/>
      <c r="CN9" s="75"/>
      <c r="CO9" s="75"/>
      <c r="CP9" s="75"/>
      <c r="CQ9" s="75"/>
      <c r="CR9" s="75"/>
      <c r="CS9" s="75"/>
      <c r="CT9" s="75"/>
      <c r="CU9" s="75"/>
      <c r="CV9" s="75"/>
      <c r="CW9" s="75"/>
      <c r="CX9" s="75"/>
      <c r="CY9" s="75"/>
      <c r="CZ9" s="75"/>
      <c r="DA9" s="75"/>
      <c r="DB9" s="75"/>
      <c r="DC9" s="75"/>
      <c r="DD9" s="75"/>
      <c r="DE9" s="75"/>
      <c r="DF9" s="75"/>
      <c r="DG9" s="75"/>
      <c r="DH9" s="75"/>
      <c r="DI9" s="75"/>
      <c r="DJ9" s="75"/>
      <c r="DK9" s="75"/>
      <c r="DL9" s="75"/>
      <c r="DM9" s="75"/>
      <c r="DN9" s="75"/>
      <c r="DO9" s="75"/>
      <c r="DP9" s="75"/>
      <c r="DQ9" s="75"/>
      <c r="DR9" s="75"/>
      <c r="DS9" s="75"/>
      <c r="DT9" s="75"/>
      <c r="DU9" s="75"/>
      <c r="DV9" s="75"/>
      <c r="DW9" s="75"/>
      <c r="DX9" s="75"/>
      <c r="DY9" s="75"/>
      <c r="DZ9" s="75"/>
      <c r="EA9" s="75"/>
      <c r="EB9" s="75"/>
      <c r="EC9" s="75"/>
      <c r="ED9" s="75"/>
      <c r="EE9" s="75"/>
      <c r="EF9" s="75"/>
      <c r="EG9" s="75"/>
      <c r="EH9" s="75"/>
      <c r="EI9" s="75"/>
      <c r="EJ9" s="75"/>
      <c r="EK9" s="75"/>
      <c r="EL9" s="75"/>
      <c r="EM9" s="75"/>
      <c r="EN9" s="75"/>
      <c r="EO9" s="75"/>
      <c r="EP9" s="75"/>
      <c r="EQ9" s="75"/>
      <c r="ER9" s="75"/>
      <c r="ES9" s="75"/>
      <c r="ET9" s="75"/>
      <c r="EU9" s="75"/>
      <c r="EV9" s="75"/>
      <c r="EW9" s="75"/>
      <c r="EX9" s="75"/>
      <c r="EY9" s="75"/>
      <c r="EZ9" s="75"/>
      <c r="FA9" s="75"/>
      <c r="FB9" s="75"/>
      <c r="FC9" s="75"/>
      <c r="FD9" s="75"/>
      <c r="FE9" s="75"/>
      <c r="FF9" s="75"/>
      <c r="FG9" s="75"/>
      <c r="FH9" s="75"/>
      <c r="FI9" s="75"/>
      <c r="FJ9" s="75"/>
      <c r="FK9" s="75"/>
      <c r="FL9" s="75"/>
      <c r="FM9" s="75"/>
      <c r="FN9" s="75"/>
      <c r="FO9" s="75"/>
      <c r="FP9" s="75"/>
      <c r="FQ9" s="75"/>
      <c r="FR9" s="75"/>
      <c r="FS9" s="75"/>
      <c r="FT9" s="75"/>
      <c r="FU9" s="75"/>
      <c r="FV9" s="75"/>
      <c r="FW9" s="75"/>
      <c r="FX9" s="75"/>
      <c r="FY9" s="75"/>
      <c r="FZ9" s="75"/>
      <c r="GA9" s="75"/>
      <c r="GB9" s="75"/>
      <c r="GC9" s="75"/>
      <c r="GD9" s="75"/>
      <c r="GE9" s="75"/>
      <c r="GF9" s="75"/>
      <c r="GG9" s="75"/>
      <c r="GH9" s="75"/>
      <c r="GI9" s="75"/>
      <c r="GJ9" s="75"/>
      <c r="GK9" s="75"/>
      <c r="GL9" s="75"/>
      <c r="GM9" s="75"/>
      <c r="GN9" s="75"/>
      <c r="GO9" s="75"/>
      <c r="GP9" s="75"/>
      <c r="GQ9" s="75"/>
      <c r="GR9" s="75"/>
      <c r="GS9" s="75"/>
      <c r="GT9" s="75"/>
      <c r="GU9" s="75"/>
      <c r="GV9" s="75"/>
      <c r="GW9" s="75"/>
      <c r="GX9" s="75"/>
      <c r="GY9" s="75"/>
      <c r="GZ9" s="75"/>
      <c r="HA9" s="75"/>
      <c r="HB9" s="75"/>
      <c r="HC9" s="75"/>
      <c r="HD9" s="75"/>
      <c r="HE9" s="75"/>
      <c r="HF9" s="75"/>
      <c r="HG9" s="75"/>
      <c r="HH9" s="75"/>
      <c r="HI9" s="75"/>
      <c r="HJ9" s="75"/>
      <c r="HK9" s="75"/>
      <c r="HL9" s="75"/>
      <c r="HM9" s="75"/>
      <c r="HN9" s="75"/>
      <c r="HO9" s="75"/>
      <c r="HP9" s="75"/>
      <c r="HQ9" s="75"/>
      <c r="HR9" s="75"/>
      <c r="HS9" s="75"/>
      <c r="HT9" s="75"/>
      <c r="HU9" s="75"/>
      <c r="HV9" s="75"/>
      <c r="HW9" s="75"/>
      <c r="HX9" s="75"/>
      <c r="HY9" s="75"/>
      <c r="HZ9" s="75"/>
      <c r="IA9" s="75"/>
      <c r="IB9" s="75"/>
      <c r="IC9" s="75"/>
      <c r="ID9" s="75"/>
      <c r="IE9" s="75"/>
      <c r="IF9" s="75"/>
      <c r="IG9" s="75"/>
      <c r="IH9" s="75"/>
      <c r="II9" s="75"/>
      <c r="IJ9" s="75"/>
      <c r="IK9" s="75"/>
      <c r="IL9" s="75"/>
      <c r="IM9" s="75"/>
      <c r="IN9" s="75"/>
      <c r="IO9" s="75"/>
      <c r="IP9" s="75"/>
      <c r="IQ9" s="75"/>
      <c r="IR9" s="75"/>
      <c r="IS9" s="75"/>
      <c r="IT9" s="75"/>
      <c r="IU9" s="75"/>
      <c r="IV9" s="75"/>
    </row>
    <row r="10" spans="1:256" s="28" customFormat="1">
      <c r="A10" s="4650"/>
      <c r="B10" s="231" t="s">
        <v>654</v>
      </c>
      <c r="C10" s="233" t="s">
        <v>560</v>
      </c>
      <c r="D10" s="618">
        <v>0.35</v>
      </c>
      <c r="E10" s="618">
        <v>0.35</v>
      </c>
      <c r="F10" s="618">
        <v>0.35</v>
      </c>
      <c r="G10" s="75"/>
      <c r="H10" s="75"/>
      <c r="I10" s="75"/>
      <c r="J10" s="75"/>
      <c r="K10" s="75"/>
      <c r="L10" s="75"/>
      <c r="M10" s="75"/>
      <c r="N10" s="75"/>
      <c r="O10" s="63"/>
      <c r="P10" s="63"/>
      <c r="Q10" s="63"/>
      <c r="R10" s="63"/>
      <c r="S10" s="63"/>
      <c r="T10" s="63"/>
      <c r="U10" s="63"/>
      <c r="V10" s="63"/>
      <c r="W10" s="63"/>
      <c r="X10" s="63"/>
      <c r="Y10" s="63"/>
      <c r="Z10" s="63"/>
      <c r="AA10" s="63"/>
      <c r="AB10" s="63"/>
      <c r="AC10" s="63"/>
      <c r="AD10" s="63"/>
      <c r="AE10" s="63"/>
      <c r="AF10" s="63"/>
      <c r="AG10" s="63"/>
      <c r="AH10" s="63"/>
      <c r="AI10" s="63"/>
      <c r="AJ10" s="63"/>
      <c r="AK10" s="63"/>
      <c r="AL10" s="63"/>
      <c r="AM10" s="63"/>
      <c r="AN10" s="63"/>
      <c r="AO10" s="63"/>
      <c r="AP10" s="63"/>
      <c r="AQ10" s="63"/>
      <c r="AR10" s="63"/>
      <c r="AS10" s="63"/>
      <c r="AT10" s="63"/>
      <c r="AU10" s="63"/>
      <c r="AV10" s="63"/>
      <c r="AW10" s="63"/>
      <c r="AX10" s="63"/>
      <c r="AY10" s="63"/>
      <c r="AZ10" s="63"/>
      <c r="BA10" s="63"/>
      <c r="BB10" s="63"/>
      <c r="BC10" s="63"/>
      <c r="BD10" s="63"/>
      <c r="BE10" s="63"/>
      <c r="BF10" s="63"/>
      <c r="BG10" s="63"/>
      <c r="BH10" s="63"/>
      <c r="BI10" s="63"/>
      <c r="BJ10" s="63"/>
      <c r="BK10" s="63"/>
      <c r="BL10" s="63"/>
      <c r="BM10" s="63"/>
      <c r="BN10" s="63"/>
      <c r="BO10" s="63"/>
      <c r="BP10" s="63"/>
      <c r="BQ10" s="63"/>
      <c r="BR10" s="63"/>
      <c r="BS10" s="63"/>
      <c r="BT10" s="63"/>
      <c r="BU10" s="63"/>
      <c r="BV10" s="63"/>
      <c r="BW10" s="63"/>
      <c r="BX10" s="63"/>
      <c r="BY10" s="63"/>
      <c r="BZ10" s="63"/>
      <c r="CA10" s="63"/>
      <c r="CB10" s="63"/>
      <c r="CC10" s="63"/>
      <c r="CD10" s="63"/>
      <c r="CE10" s="63"/>
      <c r="CF10" s="63"/>
      <c r="CG10" s="63"/>
      <c r="CH10" s="63"/>
      <c r="CI10" s="63"/>
      <c r="CJ10" s="63"/>
      <c r="CK10" s="63"/>
      <c r="CL10" s="63"/>
      <c r="CM10" s="63"/>
      <c r="CN10" s="63"/>
      <c r="CO10" s="63"/>
      <c r="CP10" s="63"/>
      <c r="CQ10" s="63"/>
      <c r="CR10" s="63"/>
      <c r="CS10" s="63"/>
      <c r="CT10" s="63"/>
      <c r="CU10" s="63"/>
      <c r="CV10" s="63"/>
      <c r="CW10" s="63"/>
      <c r="CX10" s="63"/>
      <c r="CY10" s="63"/>
      <c r="CZ10" s="63"/>
      <c r="DA10" s="63"/>
      <c r="DB10" s="63"/>
      <c r="DC10" s="63"/>
      <c r="DD10" s="63"/>
      <c r="DE10" s="63"/>
      <c r="DF10" s="63"/>
      <c r="DG10" s="63"/>
      <c r="DH10" s="63"/>
      <c r="DI10" s="63"/>
      <c r="DJ10" s="63"/>
      <c r="DK10" s="63"/>
      <c r="DL10" s="63"/>
      <c r="DM10" s="63"/>
      <c r="DN10" s="63"/>
      <c r="DO10" s="63"/>
      <c r="DP10" s="63"/>
      <c r="DQ10" s="63"/>
      <c r="DR10" s="63"/>
      <c r="DS10" s="63"/>
      <c r="DT10" s="63"/>
      <c r="DU10" s="63"/>
      <c r="DV10" s="63"/>
      <c r="DW10" s="63"/>
      <c r="DX10" s="63"/>
      <c r="DY10" s="63"/>
      <c r="DZ10" s="63"/>
      <c r="EA10" s="63"/>
      <c r="EB10" s="63"/>
      <c r="EC10" s="63"/>
      <c r="ED10" s="63"/>
      <c r="EE10" s="63"/>
      <c r="EF10" s="63"/>
      <c r="EG10" s="63"/>
      <c r="EH10" s="63"/>
      <c r="EI10" s="63"/>
      <c r="EJ10" s="63"/>
      <c r="EK10" s="63"/>
      <c r="EL10" s="63"/>
      <c r="EM10" s="63"/>
      <c r="EN10" s="63"/>
      <c r="EO10" s="63"/>
      <c r="EP10" s="63"/>
      <c r="EQ10" s="63"/>
      <c r="ER10" s="63"/>
      <c r="ES10" s="63"/>
      <c r="ET10" s="63"/>
      <c r="EU10" s="63"/>
      <c r="EV10" s="63"/>
      <c r="EW10" s="63"/>
      <c r="EX10" s="63"/>
      <c r="EY10" s="63"/>
      <c r="EZ10" s="63"/>
      <c r="FA10" s="63"/>
      <c r="FB10" s="63"/>
      <c r="FC10" s="63"/>
      <c r="FD10" s="63"/>
      <c r="FE10" s="63"/>
      <c r="FF10" s="63"/>
      <c r="FG10" s="63"/>
      <c r="FH10" s="63"/>
      <c r="FI10" s="63"/>
      <c r="FJ10" s="63"/>
      <c r="FK10" s="63"/>
      <c r="FL10" s="63"/>
      <c r="FM10" s="63"/>
      <c r="FN10" s="63"/>
      <c r="FO10" s="63"/>
      <c r="FP10" s="63"/>
      <c r="FQ10" s="63"/>
      <c r="FR10" s="63"/>
      <c r="FS10" s="63"/>
      <c r="FT10" s="63"/>
      <c r="FU10" s="63"/>
      <c r="FV10" s="63"/>
      <c r="FW10" s="63"/>
      <c r="FX10" s="63"/>
      <c r="FY10" s="63"/>
      <c r="FZ10" s="63"/>
      <c r="GA10" s="63"/>
      <c r="GB10" s="63"/>
      <c r="GC10" s="63"/>
      <c r="GD10" s="63"/>
      <c r="GE10" s="63"/>
      <c r="GF10" s="63"/>
      <c r="GG10" s="63"/>
      <c r="GH10" s="63"/>
      <c r="GI10" s="63"/>
      <c r="GJ10" s="63"/>
      <c r="GK10" s="63"/>
      <c r="GL10" s="63"/>
      <c r="GM10" s="63"/>
      <c r="GN10" s="63"/>
      <c r="GO10" s="63"/>
      <c r="GP10" s="63"/>
      <c r="GQ10" s="63"/>
      <c r="GR10" s="63"/>
      <c r="GS10" s="63"/>
      <c r="GT10" s="63"/>
      <c r="GU10" s="63"/>
      <c r="GV10" s="63"/>
      <c r="GW10" s="63"/>
      <c r="GX10" s="63"/>
      <c r="GY10" s="63"/>
      <c r="GZ10" s="63"/>
      <c r="HA10" s="63"/>
      <c r="HB10" s="63"/>
      <c r="HC10" s="63"/>
      <c r="HD10" s="63"/>
      <c r="HE10" s="63"/>
      <c r="HF10" s="63"/>
      <c r="HG10" s="63"/>
      <c r="HH10" s="63"/>
      <c r="HI10" s="63"/>
      <c r="HJ10" s="63"/>
      <c r="HK10" s="63"/>
      <c r="HL10" s="63"/>
      <c r="HM10" s="63"/>
      <c r="HN10" s="63"/>
      <c r="HO10" s="63"/>
      <c r="HP10" s="63"/>
      <c r="HQ10" s="63"/>
      <c r="HR10" s="63"/>
      <c r="HS10" s="63"/>
      <c r="HT10" s="63"/>
      <c r="HU10" s="63"/>
      <c r="HV10" s="63"/>
      <c r="HW10" s="63"/>
      <c r="HX10" s="63"/>
      <c r="HY10" s="63"/>
      <c r="HZ10" s="63"/>
      <c r="IA10" s="63"/>
      <c r="IB10" s="63"/>
      <c r="IC10" s="63"/>
      <c r="ID10" s="63"/>
      <c r="IE10" s="63"/>
      <c r="IF10" s="63"/>
      <c r="IG10" s="63"/>
      <c r="IH10" s="63"/>
      <c r="II10" s="63"/>
      <c r="IJ10" s="63"/>
      <c r="IK10" s="63"/>
      <c r="IL10" s="63"/>
      <c r="IM10" s="63"/>
      <c r="IN10" s="63"/>
      <c r="IO10" s="63"/>
      <c r="IP10" s="63"/>
      <c r="IQ10" s="63"/>
      <c r="IR10" s="63"/>
      <c r="IS10" s="63"/>
      <c r="IT10" s="63"/>
      <c r="IU10" s="63"/>
      <c r="IV10" s="63"/>
    </row>
    <row r="11" spans="1:256" s="28" customFormat="1">
      <c r="A11" s="4650"/>
      <c r="B11" s="231" t="s">
        <v>655</v>
      </c>
      <c r="C11" s="233" t="s">
        <v>322</v>
      </c>
      <c r="D11" s="237">
        <v>8.8400000000000006E-2</v>
      </c>
      <c r="E11" s="237">
        <v>8.8400000000000006E-2</v>
      </c>
      <c r="F11" s="237">
        <v>8.8400000000000006E-2</v>
      </c>
      <c r="G11" s="75"/>
      <c r="H11" s="75"/>
      <c r="I11" s="75"/>
      <c r="J11" s="75"/>
      <c r="K11" s="75"/>
      <c r="L11" s="75"/>
      <c r="M11" s="75"/>
      <c r="N11" s="75"/>
      <c r="O11" s="63"/>
      <c r="P11" s="63"/>
      <c r="Q11" s="63"/>
      <c r="R11" s="63"/>
      <c r="S11" s="63"/>
      <c r="T11" s="63"/>
      <c r="U11" s="63"/>
      <c r="V11" s="63"/>
      <c r="W11" s="63"/>
      <c r="X11" s="63"/>
      <c r="Y11" s="63"/>
      <c r="Z11" s="63"/>
      <c r="AA11" s="63"/>
      <c r="AB11" s="63"/>
      <c r="AC11" s="63"/>
      <c r="AD11" s="63"/>
      <c r="AE11" s="63"/>
      <c r="AF11" s="63"/>
      <c r="AG11" s="63"/>
      <c r="AH11" s="63"/>
      <c r="AI11" s="63"/>
      <c r="AJ11" s="63"/>
      <c r="AK11" s="63"/>
      <c r="AL11" s="63"/>
      <c r="AM11" s="63"/>
      <c r="AN11" s="63"/>
      <c r="AO11" s="63"/>
      <c r="AP11" s="63"/>
      <c r="AQ11" s="63"/>
      <c r="AR11" s="63"/>
      <c r="AS11" s="63"/>
      <c r="AT11" s="63"/>
      <c r="AU11" s="63"/>
      <c r="AV11" s="63"/>
      <c r="AW11" s="63"/>
      <c r="AX11" s="63"/>
      <c r="AY11" s="63"/>
      <c r="AZ11" s="63"/>
      <c r="BA11" s="63"/>
      <c r="BB11" s="63"/>
      <c r="BC11" s="63"/>
      <c r="BD11" s="63"/>
      <c r="BE11" s="63"/>
      <c r="BF11" s="63"/>
      <c r="BG11" s="63"/>
      <c r="BH11" s="63"/>
      <c r="BI11" s="63"/>
      <c r="BJ11" s="63"/>
      <c r="BK11" s="63"/>
      <c r="BL11" s="63"/>
      <c r="BM11" s="63"/>
      <c r="BN11" s="63"/>
      <c r="BO11" s="63"/>
      <c r="BP11" s="63"/>
      <c r="BQ11" s="63"/>
      <c r="BR11" s="63"/>
      <c r="BS11" s="63"/>
      <c r="BT11" s="63"/>
      <c r="BU11" s="63"/>
      <c r="BV11" s="63"/>
      <c r="BW11" s="63"/>
      <c r="BX11" s="63"/>
      <c r="BY11" s="63"/>
      <c r="BZ11" s="63"/>
      <c r="CA11" s="63"/>
      <c r="CB11" s="63"/>
      <c r="CC11" s="63"/>
      <c r="CD11" s="63"/>
      <c r="CE11" s="63"/>
      <c r="CF11" s="63"/>
      <c r="CG11" s="63"/>
      <c r="CH11" s="63"/>
      <c r="CI11" s="63"/>
      <c r="CJ11" s="63"/>
      <c r="CK11" s="63"/>
      <c r="CL11" s="63"/>
      <c r="CM11" s="63"/>
      <c r="CN11" s="63"/>
      <c r="CO11" s="63"/>
      <c r="CP11" s="63"/>
      <c r="CQ11" s="63"/>
      <c r="CR11" s="63"/>
      <c r="CS11" s="63"/>
      <c r="CT11" s="63"/>
      <c r="CU11" s="63"/>
      <c r="CV11" s="63"/>
      <c r="CW11" s="63"/>
      <c r="CX11" s="63"/>
      <c r="CY11" s="63"/>
      <c r="CZ11" s="63"/>
      <c r="DA11" s="63"/>
      <c r="DB11" s="63"/>
      <c r="DC11" s="63"/>
      <c r="DD11" s="63"/>
      <c r="DE11" s="63"/>
      <c r="DF11" s="63"/>
      <c r="DG11" s="63"/>
      <c r="DH11" s="63"/>
      <c r="DI11" s="63"/>
      <c r="DJ11" s="63"/>
      <c r="DK11" s="63"/>
      <c r="DL11" s="63"/>
      <c r="DM11" s="63"/>
      <c r="DN11" s="63"/>
      <c r="DO11" s="63"/>
      <c r="DP11" s="63"/>
      <c r="DQ11" s="63"/>
      <c r="DR11" s="63"/>
      <c r="DS11" s="63"/>
      <c r="DT11" s="63"/>
      <c r="DU11" s="63"/>
      <c r="DV11" s="63"/>
      <c r="DW11" s="63"/>
      <c r="DX11" s="63"/>
      <c r="DY11" s="63"/>
      <c r="DZ11" s="63"/>
      <c r="EA11" s="63"/>
      <c r="EB11" s="63"/>
      <c r="EC11" s="63"/>
      <c r="ED11" s="63"/>
      <c r="EE11" s="63"/>
      <c r="EF11" s="63"/>
      <c r="EG11" s="63"/>
      <c r="EH11" s="63"/>
      <c r="EI11" s="63"/>
      <c r="EJ11" s="63"/>
      <c r="EK11" s="63"/>
      <c r="EL11" s="63"/>
      <c r="EM11" s="63"/>
      <c r="EN11" s="63"/>
      <c r="EO11" s="63"/>
      <c r="EP11" s="63"/>
      <c r="EQ11" s="63"/>
      <c r="ER11" s="63"/>
      <c r="ES11" s="63"/>
      <c r="ET11" s="63"/>
      <c r="EU11" s="63"/>
      <c r="EV11" s="63"/>
      <c r="EW11" s="63"/>
      <c r="EX11" s="63"/>
      <c r="EY11" s="63"/>
      <c r="EZ11" s="63"/>
      <c r="FA11" s="63"/>
      <c r="FB11" s="63"/>
      <c r="FC11" s="63"/>
      <c r="FD11" s="63"/>
      <c r="FE11" s="63"/>
      <c r="FF11" s="63"/>
      <c r="FG11" s="63"/>
      <c r="FH11" s="63"/>
      <c r="FI11" s="63"/>
      <c r="FJ11" s="63"/>
      <c r="FK11" s="63"/>
      <c r="FL11" s="63"/>
      <c r="FM11" s="63"/>
      <c r="FN11" s="63"/>
      <c r="FO11" s="63"/>
      <c r="FP11" s="63"/>
      <c r="FQ11" s="63"/>
      <c r="FR11" s="63"/>
      <c r="FS11" s="63"/>
      <c r="FT11" s="63"/>
      <c r="FU11" s="63"/>
      <c r="FV11" s="63"/>
      <c r="FW11" s="63"/>
      <c r="FX11" s="63"/>
      <c r="FY11" s="63"/>
      <c r="FZ11" s="63"/>
      <c r="GA11" s="63"/>
      <c r="GB11" s="63"/>
      <c r="GC11" s="63"/>
      <c r="GD11" s="63"/>
      <c r="GE11" s="63"/>
      <c r="GF11" s="63"/>
      <c r="GG11" s="63"/>
      <c r="GH11" s="63"/>
      <c r="GI11" s="63"/>
      <c r="GJ11" s="63"/>
      <c r="GK11" s="63"/>
      <c r="GL11" s="63"/>
      <c r="GM11" s="63"/>
      <c r="GN11" s="63"/>
      <c r="GO11" s="63"/>
      <c r="GP11" s="63"/>
      <c r="GQ11" s="63"/>
      <c r="GR11" s="63"/>
      <c r="GS11" s="63"/>
      <c r="GT11" s="63"/>
      <c r="GU11" s="63"/>
      <c r="GV11" s="63"/>
      <c r="GW11" s="63"/>
      <c r="GX11" s="63"/>
      <c r="GY11" s="63"/>
      <c r="GZ11" s="63"/>
      <c r="HA11" s="63"/>
      <c r="HB11" s="63"/>
      <c r="HC11" s="63"/>
      <c r="HD11" s="63"/>
      <c r="HE11" s="63"/>
      <c r="HF11" s="63"/>
      <c r="HG11" s="63"/>
      <c r="HH11" s="63"/>
      <c r="HI11" s="63"/>
      <c r="HJ11" s="63"/>
      <c r="HK11" s="63"/>
      <c r="HL11" s="63"/>
      <c r="HM11" s="63"/>
      <c r="HN11" s="63"/>
      <c r="HO11" s="63"/>
      <c r="HP11" s="63"/>
      <c r="HQ11" s="63"/>
      <c r="HR11" s="63"/>
      <c r="HS11" s="63"/>
      <c r="HT11" s="63"/>
      <c r="HU11" s="63"/>
      <c r="HV11" s="63"/>
      <c r="HW11" s="63"/>
      <c r="HX11" s="63"/>
      <c r="HY11" s="63"/>
      <c r="HZ11" s="63"/>
      <c r="IA11" s="63"/>
      <c r="IB11" s="63"/>
      <c r="IC11" s="63"/>
      <c r="ID11" s="63"/>
      <c r="IE11" s="63"/>
      <c r="IF11" s="63"/>
      <c r="IG11" s="63"/>
      <c r="IH11" s="63"/>
      <c r="II11" s="63"/>
      <c r="IJ11" s="63"/>
      <c r="IK11" s="63"/>
      <c r="IL11" s="63"/>
      <c r="IM11" s="63"/>
      <c r="IN11" s="63"/>
      <c r="IO11" s="63"/>
      <c r="IP11" s="63"/>
      <c r="IQ11" s="63"/>
      <c r="IR11" s="63"/>
      <c r="IS11" s="63"/>
      <c r="IT11" s="63"/>
      <c r="IU11" s="63"/>
      <c r="IV11" s="63"/>
    </row>
    <row r="12" spans="1:256" s="28" customFormat="1">
      <c r="A12" s="4650"/>
      <c r="B12" s="231" t="s">
        <v>656</v>
      </c>
      <c r="C12" s="233" t="s">
        <v>323</v>
      </c>
      <c r="D12" s="237">
        <v>1.098E-2</v>
      </c>
      <c r="E12" s="237">
        <v>1.069E-2</v>
      </c>
      <c r="F12" s="237">
        <v>1.2E-2</v>
      </c>
      <c r="G12" s="63"/>
      <c r="H12" s="63"/>
      <c r="I12" s="63"/>
      <c r="J12" s="63"/>
      <c r="K12" s="63"/>
      <c r="L12" s="63"/>
      <c r="M12" s="63"/>
      <c r="N12" s="63"/>
      <c r="O12" s="77"/>
      <c r="P12" s="77"/>
      <c r="Q12" s="77"/>
      <c r="R12" s="77"/>
      <c r="S12" s="77"/>
      <c r="T12" s="77"/>
      <c r="U12" s="77"/>
      <c r="V12" s="77"/>
      <c r="W12" s="77"/>
      <c r="X12" s="77"/>
      <c r="Y12" s="77"/>
      <c r="Z12" s="77"/>
      <c r="AA12" s="77"/>
      <c r="AB12" s="77"/>
      <c r="AC12" s="77"/>
      <c r="AD12" s="77"/>
      <c r="AE12" s="77"/>
      <c r="AF12" s="77"/>
      <c r="AG12" s="77"/>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c r="BN12" s="77"/>
      <c r="BO12" s="77"/>
      <c r="BP12" s="77"/>
      <c r="BQ12" s="77"/>
      <c r="BR12" s="77"/>
      <c r="BS12" s="77"/>
      <c r="BT12" s="77"/>
      <c r="BU12" s="77"/>
      <c r="BV12" s="77"/>
      <c r="BW12" s="77"/>
      <c r="BX12" s="77"/>
      <c r="BY12" s="77"/>
      <c r="BZ12" s="77"/>
      <c r="CA12" s="77"/>
      <c r="CB12" s="77"/>
      <c r="CC12" s="77"/>
      <c r="CD12" s="77"/>
      <c r="CE12" s="77"/>
      <c r="CF12" s="77"/>
      <c r="CG12" s="77"/>
      <c r="CH12" s="77"/>
      <c r="CI12" s="77"/>
      <c r="CJ12" s="77"/>
      <c r="CK12" s="77"/>
      <c r="CL12" s="77"/>
      <c r="CM12" s="77"/>
      <c r="CN12" s="77"/>
      <c r="CO12" s="77"/>
      <c r="CP12" s="77"/>
      <c r="CQ12" s="77"/>
      <c r="CR12" s="77"/>
      <c r="CS12" s="77"/>
      <c r="CT12" s="77"/>
      <c r="CU12" s="77"/>
      <c r="CV12" s="77"/>
      <c r="CW12" s="77"/>
      <c r="CX12" s="77"/>
      <c r="CY12" s="77"/>
      <c r="CZ12" s="77"/>
      <c r="DA12" s="77"/>
      <c r="DB12" s="77"/>
      <c r="DC12" s="77"/>
      <c r="DD12" s="77"/>
      <c r="DE12" s="77"/>
      <c r="DF12" s="77"/>
      <c r="DG12" s="77"/>
      <c r="DH12" s="77"/>
      <c r="DI12" s="77"/>
      <c r="DJ12" s="77"/>
      <c r="DK12" s="77"/>
      <c r="DL12" s="77"/>
      <c r="DM12" s="77"/>
      <c r="DN12" s="77"/>
      <c r="DO12" s="77"/>
      <c r="DP12" s="77"/>
      <c r="DQ12" s="77"/>
      <c r="DR12" s="77"/>
      <c r="DS12" s="77"/>
      <c r="DT12" s="77"/>
      <c r="DU12" s="77"/>
      <c r="DV12" s="77"/>
      <c r="DW12" s="77"/>
      <c r="DX12" s="77"/>
      <c r="DY12" s="77"/>
      <c r="DZ12" s="77"/>
      <c r="EA12" s="77"/>
      <c r="EB12" s="77"/>
      <c r="EC12" s="77"/>
      <c r="ED12" s="77"/>
      <c r="EE12" s="77"/>
      <c r="EF12" s="77"/>
      <c r="EG12" s="77"/>
      <c r="EH12" s="77"/>
      <c r="EI12" s="77"/>
      <c r="EJ12" s="77"/>
      <c r="EK12" s="77"/>
      <c r="EL12" s="77"/>
      <c r="EM12" s="77"/>
      <c r="EN12" s="77"/>
      <c r="EO12" s="77"/>
      <c r="EP12" s="77"/>
      <c r="EQ12" s="77"/>
      <c r="ER12" s="77"/>
      <c r="ES12" s="77"/>
      <c r="ET12" s="77"/>
      <c r="EU12" s="77"/>
      <c r="EV12" s="77"/>
      <c r="EW12" s="77"/>
      <c r="EX12" s="77"/>
      <c r="EY12" s="77"/>
      <c r="EZ12" s="77"/>
      <c r="FA12" s="77"/>
      <c r="FB12" s="77"/>
      <c r="FC12" s="77"/>
      <c r="FD12" s="77"/>
      <c r="FE12" s="77"/>
      <c r="FF12" s="77"/>
      <c r="FG12" s="77"/>
      <c r="FH12" s="77"/>
      <c r="FI12" s="77"/>
      <c r="FJ12" s="77"/>
      <c r="FK12" s="77"/>
      <c r="FL12" s="77"/>
      <c r="FM12" s="77"/>
      <c r="FN12" s="77"/>
      <c r="FO12" s="77"/>
      <c r="FP12" s="77"/>
      <c r="FQ12" s="77"/>
      <c r="FR12" s="77"/>
      <c r="FS12" s="77"/>
      <c r="FT12" s="77"/>
      <c r="FU12" s="77"/>
      <c r="FV12" s="77"/>
      <c r="FW12" s="77"/>
      <c r="FX12" s="77"/>
      <c r="FY12" s="77"/>
      <c r="FZ12" s="77"/>
      <c r="GA12" s="77"/>
      <c r="GB12" s="77"/>
      <c r="GC12" s="77"/>
      <c r="GD12" s="77"/>
      <c r="GE12" s="77"/>
      <c r="GF12" s="77"/>
      <c r="GG12" s="77"/>
      <c r="GH12" s="77"/>
      <c r="GI12" s="77"/>
      <c r="GJ12" s="77"/>
      <c r="GK12" s="77"/>
      <c r="GL12" s="77"/>
      <c r="GM12" s="77"/>
      <c r="GN12" s="77"/>
      <c r="GO12" s="77"/>
      <c r="GP12" s="77"/>
      <c r="GQ12" s="77"/>
      <c r="GR12" s="77"/>
      <c r="GS12" s="77"/>
      <c r="GT12" s="77"/>
      <c r="GU12" s="77"/>
      <c r="GV12" s="77"/>
      <c r="GW12" s="77"/>
      <c r="GX12" s="77"/>
      <c r="GY12" s="77"/>
      <c r="GZ12" s="77"/>
      <c r="HA12" s="77"/>
      <c r="HB12" s="77"/>
      <c r="HC12" s="77"/>
      <c r="HD12" s="77"/>
      <c r="HE12" s="77"/>
      <c r="HF12" s="77"/>
      <c r="HG12" s="77"/>
      <c r="HH12" s="77"/>
      <c r="HI12" s="77"/>
      <c r="HJ12" s="77"/>
      <c r="HK12" s="77"/>
      <c r="HL12" s="77"/>
      <c r="HM12" s="77"/>
      <c r="HN12" s="77"/>
      <c r="HO12" s="77"/>
      <c r="HP12" s="77"/>
      <c r="HQ12" s="77"/>
      <c r="HR12" s="77"/>
      <c r="HS12" s="77"/>
      <c r="HT12" s="77"/>
      <c r="HU12" s="77"/>
      <c r="HV12" s="77"/>
      <c r="HW12" s="77"/>
      <c r="HX12" s="77"/>
      <c r="HY12" s="77"/>
      <c r="HZ12" s="77"/>
      <c r="IA12" s="77"/>
      <c r="IB12" s="77"/>
      <c r="IC12" s="77"/>
      <c r="ID12" s="77"/>
      <c r="IE12" s="77"/>
      <c r="IF12" s="77"/>
      <c r="IG12" s="77"/>
      <c r="IH12" s="77"/>
      <c r="II12" s="77"/>
      <c r="IJ12" s="77"/>
      <c r="IK12" s="77"/>
      <c r="IL12" s="77"/>
      <c r="IM12" s="77"/>
      <c r="IN12" s="77"/>
      <c r="IO12" s="77"/>
      <c r="IP12" s="77"/>
      <c r="IQ12" s="77"/>
      <c r="IR12" s="77"/>
      <c r="IS12" s="77"/>
      <c r="IT12" s="77"/>
      <c r="IU12" s="77"/>
      <c r="IV12" s="77"/>
    </row>
    <row r="13" spans="1:256" s="28" customFormat="1">
      <c r="A13" s="4650"/>
      <c r="B13" s="231" t="s">
        <v>657</v>
      </c>
      <c r="C13" s="233" t="s">
        <v>324</v>
      </c>
      <c r="D13" s="237">
        <f>6.25%+1.69%</f>
        <v>7.9399999999999998E-2</v>
      </c>
      <c r="E13" s="237">
        <v>7.6700000000000004E-2</v>
      </c>
      <c r="F13" s="237">
        <v>0</v>
      </c>
      <c r="G13" s="77"/>
      <c r="H13" s="77"/>
      <c r="I13" s="77"/>
      <c r="J13" s="77"/>
      <c r="K13" s="77"/>
      <c r="L13" s="77"/>
      <c r="M13" s="77"/>
      <c r="N13" s="77"/>
      <c r="O13" s="77"/>
      <c r="P13" s="77"/>
      <c r="Q13" s="77"/>
      <c r="R13" s="77"/>
      <c r="S13" s="77"/>
      <c r="T13" s="77"/>
      <c r="U13" s="77"/>
      <c r="V13" s="77"/>
      <c r="W13" s="77"/>
      <c r="X13" s="77"/>
      <c r="Y13" s="77"/>
      <c r="Z13" s="77"/>
      <c r="AA13" s="77"/>
      <c r="AB13" s="77"/>
      <c r="AC13" s="77"/>
      <c r="AD13" s="77"/>
      <c r="AE13" s="77"/>
      <c r="AF13" s="77"/>
      <c r="AG13" s="77"/>
      <c r="AH13" s="77"/>
      <c r="AI13" s="77"/>
      <c r="AJ13" s="77"/>
      <c r="AK13" s="77"/>
      <c r="AL13" s="77"/>
      <c r="AM13" s="77"/>
      <c r="AN13" s="77"/>
      <c r="AO13" s="77"/>
      <c r="AP13" s="77"/>
      <c r="AQ13" s="77"/>
      <c r="AR13" s="77"/>
      <c r="AS13" s="77"/>
      <c r="AT13" s="77"/>
      <c r="AU13" s="77"/>
      <c r="AV13" s="77"/>
      <c r="AW13" s="77"/>
      <c r="AX13" s="77"/>
      <c r="AY13" s="77"/>
      <c r="AZ13" s="77"/>
      <c r="BA13" s="77"/>
      <c r="BB13" s="77"/>
      <c r="BC13" s="77"/>
      <c r="BD13" s="77"/>
      <c r="BE13" s="77"/>
      <c r="BF13" s="77"/>
      <c r="BG13" s="77"/>
      <c r="BH13" s="77"/>
      <c r="BI13" s="77"/>
      <c r="BJ13" s="77"/>
      <c r="BK13" s="77"/>
      <c r="BL13" s="77"/>
      <c r="BM13" s="77"/>
      <c r="BN13" s="77"/>
      <c r="BO13" s="77"/>
      <c r="BP13" s="77"/>
      <c r="BQ13" s="77"/>
      <c r="BR13" s="77"/>
      <c r="BS13" s="77"/>
      <c r="BT13" s="77"/>
      <c r="BU13" s="77"/>
      <c r="BV13" s="77"/>
      <c r="BW13" s="77"/>
      <c r="BX13" s="77"/>
      <c r="BY13" s="77"/>
      <c r="BZ13" s="77"/>
      <c r="CA13" s="77"/>
      <c r="CB13" s="77"/>
      <c r="CC13" s="77"/>
      <c r="CD13" s="77"/>
      <c r="CE13" s="77"/>
      <c r="CF13" s="77"/>
      <c r="CG13" s="77"/>
      <c r="CH13" s="77"/>
      <c r="CI13" s="77"/>
      <c r="CJ13" s="77"/>
      <c r="CK13" s="77"/>
      <c r="CL13" s="77"/>
      <c r="CM13" s="77"/>
      <c r="CN13" s="77"/>
      <c r="CO13" s="77"/>
      <c r="CP13" s="77"/>
      <c r="CQ13" s="77"/>
      <c r="CR13" s="77"/>
      <c r="CS13" s="77"/>
      <c r="CT13" s="77"/>
      <c r="CU13" s="77"/>
      <c r="CV13" s="77"/>
      <c r="CW13" s="77"/>
      <c r="CX13" s="77"/>
      <c r="CY13" s="77"/>
      <c r="CZ13" s="77"/>
      <c r="DA13" s="77"/>
      <c r="DB13" s="77"/>
      <c r="DC13" s="77"/>
      <c r="DD13" s="77"/>
      <c r="DE13" s="77"/>
      <c r="DF13" s="77"/>
      <c r="DG13" s="77"/>
      <c r="DH13" s="77"/>
      <c r="DI13" s="77"/>
      <c r="DJ13" s="77"/>
      <c r="DK13" s="77"/>
      <c r="DL13" s="77"/>
      <c r="DM13" s="77"/>
      <c r="DN13" s="77"/>
      <c r="DO13" s="77"/>
      <c r="DP13" s="77"/>
      <c r="DQ13" s="77"/>
      <c r="DR13" s="77"/>
      <c r="DS13" s="77"/>
      <c r="DT13" s="77"/>
      <c r="DU13" s="77"/>
      <c r="DV13" s="77"/>
      <c r="DW13" s="77"/>
      <c r="DX13" s="77"/>
      <c r="DY13" s="77"/>
      <c r="DZ13" s="77"/>
      <c r="EA13" s="77"/>
      <c r="EB13" s="77"/>
      <c r="EC13" s="77"/>
      <c r="ED13" s="77"/>
      <c r="EE13" s="77"/>
      <c r="EF13" s="77"/>
      <c r="EG13" s="77"/>
      <c r="EH13" s="77"/>
      <c r="EI13" s="77"/>
      <c r="EJ13" s="77"/>
      <c r="EK13" s="77"/>
      <c r="EL13" s="77"/>
      <c r="EM13" s="77"/>
      <c r="EN13" s="77"/>
      <c r="EO13" s="77"/>
      <c r="EP13" s="77"/>
      <c r="EQ13" s="77"/>
      <c r="ER13" s="77"/>
      <c r="ES13" s="77"/>
      <c r="ET13" s="77"/>
      <c r="EU13" s="77"/>
      <c r="EV13" s="77"/>
      <c r="EW13" s="77"/>
      <c r="EX13" s="77"/>
      <c r="EY13" s="77"/>
      <c r="EZ13" s="77"/>
      <c r="FA13" s="77"/>
      <c r="FB13" s="77"/>
      <c r="FC13" s="77"/>
      <c r="FD13" s="77"/>
      <c r="FE13" s="77"/>
      <c r="FF13" s="77"/>
      <c r="FG13" s="77"/>
      <c r="FH13" s="77"/>
      <c r="FI13" s="77"/>
      <c r="FJ13" s="77"/>
      <c r="FK13" s="77"/>
      <c r="FL13" s="77"/>
      <c r="FM13" s="77"/>
      <c r="FN13" s="77"/>
      <c r="FO13" s="77"/>
      <c r="FP13" s="77"/>
      <c r="FQ13" s="77"/>
      <c r="FR13" s="77"/>
      <c r="FS13" s="77"/>
      <c r="FT13" s="77"/>
      <c r="FU13" s="77"/>
      <c r="FV13" s="77"/>
      <c r="FW13" s="77"/>
      <c r="FX13" s="77"/>
      <c r="FY13" s="77"/>
      <c r="FZ13" s="77"/>
      <c r="GA13" s="77"/>
      <c r="GB13" s="77"/>
      <c r="GC13" s="77"/>
      <c r="GD13" s="77"/>
      <c r="GE13" s="77"/>
      <c r="GF13" s="77"/>
      <c r="GG13" s="77"/>
      <c r="GH13" s="77"/>
      <c r="GI13" s="77"/>
      <c r="GJ13" s="77"/>
      <c r="GK13" s="77"/>
      <c r="GL13" s="77"/>
      <c r="GM13" s="77"/>
      <c r="GN13" s="77"/>
      <c r="GO13" s="77"/>
      <c r="GP13" s="77"/>
      <c r="GQ13" s="77"/>
      <c r="GR13" s="77"/>
      <c r="GS13" s="77"/>
      <c r="GT13" s="77"/>
      <c r="GU13" s="77"/>
      <c r="GV13" s="77"/>
      <c r="GW13" s="77"/>
      <c r="GX13" s="77"/>
      <c r="GY13" s="77"/>
      <c r="GZ13" s="77"/>
      <c r="HA13" s="77"/>
      <c r="HB13" s="77"/>
      <c r="HC13" s="77"/>
      <c r="HD13" s="77"/>
      <c r="HE13" s="77"/>
      <c r="HF13" s="77"/>
      <c r="HG13" s="77"/>
      <c r="HH13" s="77"/>
      <c r="HI13" s="77"/>
      <c r="HJ13" s="77"/>
      <c r="HK13" s="77"/>
      <c r="HL13" s="77"/>
      <c r="HM13" s="77"/>
      <c r="HN13" s="77"/>
      <c r="HO13" s="77"/>
      <c r="HP13" s="77"/>
      <c r="HQ13" s="77"/>
      <c r="HR13" s="77"/>
      <c r="HS13" s="77"/>
      <c r="HT13" s="77"/>
      <c r="HU13" s="77"/>
      <c r="HV13" s="77"/>
      <c r="HW13" s="77"/>
      <c r="HX13" s="77"/>
      <c r="HY13" s="77"/>
      <c r="HZ13" s="77"/>
      <c r="IA13" s="77"/>
      <c r="IB13" s="77"/>
      <c r="IC13" s="77"/>
      <c r="ID13" s="77"/>
      <c r="IE13" s="77"/>
      <c r="IF13" s="77"/>
      <c r="IG13" s="77"/>
      <c r="IH13" s="77"/>
      <c r="II13" s="77"/>
      <c r="IJ13" s="77"/>
      <c r="IK13" s="77"/>
      <c r="IL13" s="77"/>
      <c r="IM13" s="77"/>
      <c r="IN13" s="77"/>
      <c r="IO13" s="77"/>
      <c r="IP13" s="77"/>
      <c r="IQ13" s="77"/>
      <c r="IR13" s="77"/>
      <c r="IS13" s="77"/>
      <c r="IT13" s="77"/>
      <c r="IU13" s="77"/>
      <c r="IV13" s="77"/>
    </row>
    <row r="14" spans="1:256" s="28" customFormat="1">
      <c r="A14" s="4650"/>
      <c r="B14" s="231" t="s">
        <v>658</v>
      </c>
      <c r="C14" s="233" t="s">
        <v>402</v>
      </c>
      <c r="D14" s="238">
        <v>0</v>
      </c>
      <c r="E14" s="238">
        <v>0</v>
      </c>
      <c r="F14" s="238">
        <v>0</v>
      </c>
      <c r="G14" s="77"/>
      <c r="H14" s="77"/>
      <c r="I14" s="77"/>
      <c r="J14" s="77"/>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W14" s="77"/>
      <c r="BX14" s="77"/>
      <c r="BY14" s="77"/>
      <c r="BZ14" s="77"/>
      <c r="CA14" s="77"/>
      <c r="CB14" s="77"/>
      <c r="CC14" s="77"/>
      <c r="CD14" s="77"/>
      <c r="CE14" s="77"/>
      <c r="CF14" s="77"/>
      <c r="CG14" s="77"/>
      <c r="CH14" s="77"/>
      <c r="CI14" s="77"/>
      <c r="CJ14" s="77"/>
      <c r="CK14" s="77"/>
      <c r="CL14" s="77"/>
      <c r="CM14" s="77"/>
      <c r="CN14" s="77"/>
      <c r="CO14" s="77"/>
      <c r="CP14" s="77"/>
      <c r="CQ14" s="77"/>
      <c r="CR14" s="77"/>
      <c r="CS14" s="77"/>
      <c r="CT14" s="77"/>
      <c r="CU14" s="77"/>
      <c r="CV14" s="77"/>
      <c r="CW14" s="77"/>
      <c r="CX14" s="77"/>
      <c r="CY14" s="77"/>
      <c r="CZ14" s="77"/>
      <c r="DA14" s="77"/>
      <c r="DB14" s="77"/>
      <c r="DC14" s="77"/>
      <c r="DD14" s="77"/>
      <c r="DE14" s="77"/>
      <c r="DF14" s="77"/>
      <c r="DG14" s="77"/>
      <c r="DH14" s="77"/>
      <c r="DI14" s="77"/>
      <c r="DJ14" s="77"/>
      <c r="DK14" s="77"/>
      <c r="DL14" s="77"/>
      <c r="DM14" s="77"/>
      <c r="DN14" s="77"/>
      <c r="DO14" s="77"/>
      <c r="DP14" s="77"/>
      <c r="DQ14" s="77"/>
      <c r="DR14" s="77"/>
      <c r="DS14" s="77"/>
      <c r="DT14" s="77"/>
      <c r="DU14" s="77"/>
      <c r="DV14" s="77"/>
      <c r="DW14" s="77"/>
      <c r="DX14" s="77"/>
      <c r="DY14" s="77"/>
      <c r="DZ14" s="77"/>
      <c r="EA14" s="77"/>
      <c r="EB14" s="77"/>
      <c r="EC14" s="77"/>
      <c r="ED14" s="77"/>
      <c r="EE14" s="77"/>
      <c r="EF14" s="77"/>
      <c r="EG14" s="77"/>
      <c r="EH14" s="77"/>
      <c r="EI14" s="77"/>
      <c r="EJ14" s="77"/>
      <c r="EK14" s="77"/>
      <c r="EL14" s="77"/>
      <c r="EM14" s="77"/>
      <c r="EN14" s="77"/>
      <c r="EO14" s="77"/>
      <c r="EP14" s="77"/>
      <c r="EQ14" s="77"/>
      <c r="ER14" s="77"/>
      <c r="ES14" s="77"/>
      <c r="ET14" s="77"/>
      <c r="EU14" s="77"/>
      <c r="EV14" s="77"/>
      <c r="EW14" s="77"/>
      <c r="EX14" s="77"/>
      <c r="EY14" s="77"/>
      <c r="EZ14" s="77"/>
      <c r="FA14" s="77"/>
      <c r="FB14" s="77"/>
      <c r="FC14" s="77"/>
      <c r="FD14" s="77"/>
      <c r="FE14" s="77"/>
      <c r="FF14" s="77"/>
      <c r="FG14" s="77"/>
      <c r="FH14" s="77"/>
      <c r="FI14" s="77"/>
      <c r="FJ14" s="77"/>
      <c r="FK14" s="77"/>
      <c r="FL14" s="77"/>
      <c r="FM14" s="77"/>
      <c r="FN14" s="77"/>
      <c r="FO14" s="77"/>
      <c r="FP14" s="77"/>
      <c r="FQ14" s="77"/>
      <c r="FR14" s="77"/>
      <c r="FS14" s="77"/>
      <c r="FT14" s="77"/>
      <c r="FU14" s="77"/>
      <c r="FV14" s="77"/>
      <c r="FW14" s="77"/>
      <c r="FX14" s="77"/>
      <c r="FY14" s="77"/>
      <c r="FZ14" s="77"/>
      <c r="GA14" s="77"/>
      <c r="GB14" s="77"/>
      <c r="GC14" s="77"/>
      <c r="GD14" s="77"/>
      <c r="GE14" s="77"/>
      <c r="GF14" s="77"/>
      <c r="GG14" s="77"/>
      <c r="GH14" s="77"/>
      <c r="GI14" s="77"/>
      <c r="GJ14" s="77"/>
      <c r="GK14" s="77"/>
      <c r="GL14" s="77"/>
      <c r="GM14" s="77"/>
      <c r="GN14" s="77"/>
      <c r="GO14" s="77"/>
      <c r="GP14" s="77"/>
      <c r="GQ14" s="77"/>
      <c r="GR14" s="77"/>
      <c r="GS14" s="77"/>
      <c r="GT14" s="77"/>
      <c r="GU14" s="77"/>
      <c r="GV14" s="77"/>
      <c r="GW14" s="77"/>
      <c r="GX14" s="77"/>
      <c r="GY14" s="77"/>
      <c r="GZ14" s="77"/>
      <c r="HA14" s="77"/>
      <c r="HB14" s="77"/>
      <c r="HC14" s="77"/>
      <c r="HD14" s="77"/>
      <c r="HE14" s="77"/>
      <c r="HF14" s="77"/>
      <c r="HG14" s="77"/>
      <c r="HH14" s="77"/>
      <c r="HI14" s="77"/>
      <c r="HJ14" s="77"/>
      <c r="HK14" s="77"/>
      <c r="HL14" s="77"/>
      <c r="HM14" s="77"/>
      <c r="HN14" s="77"/>
      <c r="HO14" s="77"/>
      <c r="HP14" s="77"/>
      <c r="HQ14" s="77"/>
      <c r="HR14" s="77"/>
      <c r="HS14" s="77"/>
      <c r="HT14" s="77"/>
      <c r="HU14" s="77"/>
      <c r="HV14" s="77"/>
      <c r="HW14" s="77"/>
      <c r="HX14" s="77"/>
      <c r="HY14" s="77"/>
      <c r="HZ14" s="77"/>
      <c r="IA14" s="77"/>
      <c r="IB14" s="77"/>
      <c r="IC14" s="77"/>
      <c r="ID14" s="77"/>
      <c r="IE14" s="77"/>
      <c r="IF14" s="77"/>
      <c r="IG14" s="77"/>
      <c r="IH14" s="77"/>
      <c r="II14" s="77"/>
      <c r="IJ14" s="77"/>
      <c r="IK14" s="77"/>
      <c r="IL14" s="77"/>
      <c r="IM14" s="77"/>
      <c r="IN14" s="77"/>
      <c r="IO14" s="77"/>
      <c r="IP14" s="77"/>
      <c r="IQ14" s="77"/>
      <c r="IR14" s="77"/>
      <c r="IS14" s="77"/>
      <c r="IT14" s="77"/>
      <c r="IU14" s="77"/>
      <c r="IV14" s="77"/>
    </row>
    <row r="15" spans="1:256" s="28" customFormat="1">
      <c r="A15" s="4650"/>
      <c r="B15" s="234" t="s">
        <v>905</v>
      </c>
      <c r="C15" s="232" t="s">
        <v>444</v>
      </c>
      <c r="D15" s="2752">
        <f>Transformer_Losses</f>
        <v>5.0000000000000001E-3</v>
      </c>
      <c r="E15" s="618">
        <v>5.0000000000000001E-3</v>
      </c>
      <c r="F15" s="236">
        <f>IF('Physical Data'!$C$15="At Load Center",0%,0)</f>
        <v>0</v>
      </c>
      <c r="G15" s="91"/>
      <c r="H15" s="91"/>
      <c r="I15" s="91"/>
      <c r="J15" s="91"/>
      <c r="K15" s="91"/>
      <c r="L15" s="91"/>
      <c r="M15" s="91"/>
      <c r="N15" s="91"/>
      <c r="O15" s="75"/>
      <c r="P15" s="75"/>
      <c r="Q15" s="75"/>
      <c r="R15" s="75"/>
      <c r="S15" s="75"/>
      <c r="T15" s="75"/>
      <c r="U15" s="75"/>
      <c r="V15" s="75"/>
      <c r="W15" s="75"/>
      <c r="X15" s="75"/>
      <c r="Y15" s="75"/>
      <c r="Z15" s="75"/>
      <c r="AA15" s="75"/>
      <c r="AB15" s="75"/>
      <c r="AC15" s="75"/>
      <c r="AD15" s="75"/>
      <c r="AE15" s="75"/>
      <c r="AF15" s="75"/>
      <c r="AG15" s="75"/>
      <c r="AH15" s="75"/>
      <c r="AI15" s="75"/>
      <c r="AJ15" s="75"/>
      <c r="AK15" s="75"/>
      <c r="AL15" s="75"/>
      <c r="AM15" s="75"/>
      <c r="AN15" s="75"/>
      <c r="AO15" s="75"/>
      <c r="AP15" s="75"/>
      <c r="AQ15" s="75"/>
      <c r="AR15" s="75"/>
      <c r="AS15" s="75"/>
      <c r="AT15" s="75"/>
      <c r="AU15" s="75"/>
      <c r="AV15" s="75"/>
      <c r="AW15" s="75"/>
      <c r="AX15" s="75"/>
      <c r="AY15" s="75"/>
      <c r="AZ15" s="75"/>
      <c r="BA15" s="75"/>
      <c r="BB15" s="75"/>
      <c r="BC15" s="75"/>
      <c r="BD15" s="75"/>
      <c r="BE15" s="75"/>
      <c r="BF15" s="75"/>
      <c r="BG15" s="75"/>
      <c r="BH15" s="75"/>
      <c r="BI15" s="75"/>
      <c r="BJ15" s="75"/>
      <c r="BK15" s="75"/>
      <c r="BL15" s="75"/>
      <c r="BM15" s="75"/>
      <c r="BN15" s="75"/>
      <c r="BO15" s="75"/>
      <c r="BP15" s="75"/>
      <c r="BQ15" s="75"/>
      <c r="BR15" s="75"/>
      <c r="BS15" s="75"/>
      <c r="BT15" s="75"/>
      <c r="BU15" s="75"/>
      <c r="BV15" s="75"/>
      <c r="BW15" s="75"/>
      <c r="BX15" s="75"/>
      <c r="BY15" s="75"/>
      <c r="BZ15" s="75"/>
      <c r="CA15" s="75"/>
      <c r="CB15" s="75"/>
      <c r="CC15" s="75"/>
      <c r="CD15" s="75"/>
      <c r="CE15" s="75"/>
      <c r="CF15" s="75"/>
      <c r="CG15" s="75"/>
      <c r="CH15" s="75"/>
      <c r="CI15" s="75"/>
      <c r="CJ15" s="75"/>
      <c r="CK15" s="75"/>
      <c r="CL15" s="75"/>
      <c r="CM15" s="75"/>
      <c r="CN15" s="75"/>
      <c r="CO15" s="75"/>
      <c r="CP15" s="75"/>
      <c r="CQ15" s="75"/>
      <c r="CR15" s="75"/>
      <c r="CS15" s="75"/>
      <c r="CT15" s="75"/>
      <c r="CU15" s="75"/>
      <c r="CV15" s="75"/>
      <c r="CW15" s="75"/>
      <c r="CX15" s="75"/>
      <c r="CY15" s="75"/>
      <c r="CZ15" s="75"/>
      <c r="DA15" s="75"/>
      <c r="DB15" s="75"/>
      <c r="DC15" s="75"/>
      <c r="DD15" s="75"/>
      <c r="DE15" s="75"/>
      <c r="DF15" s="75"/>
      <c r="DG15" s="75"/>
      <c r="DH15" s="75"/>
      <c r="DI15" s="75"/>
      <c r="DJ15" s="75"/>
      <c r="DK15" s="75"/>
      <c r="DL15" s="75"/>
      <c r="DM15" s="75"/>
      <c r="DN15" s="75"/>
      <c r="DO15" s="75"/>
      <c r="DP15" s="75"/>
      <c r="DQ15" s="75"/>
      <c r="DR15" s="75"/>
      <c r="DS15" s="75"/>
      <c r="DT15" s="75"/>
      <c r="DU15" s="75"/>
      <c r="DV15" s="75"/>
      <c r="DW15" s="75"/>
      <c r="DX15" s="75"/>
      <c r="DY15" s="75"/>
      <c r="DZ15" s="75"/>
      <c r="EA15" s="75"/>
      <c r="EB15" s="75"/>
      <c r="EC15" s="75"/>
      <c r="ED15" s="75"/>
      <c r="EE15" s="75"/>
      <c r="EF15" s="75"/>
      <c r="EG15" s="75"/>
      <c r="EH15" s="75"/>
      <c r="EI15" s="75"/>
      <c r="EJ15" s="75"/>
      <c r="EK15" s="75"/>
      <c r="EL15" s="75"/>
      <c r="EM15" s="75"/>
      <c r="EN15" s="75"/>
      <c r="EO15" s="75"/>
      <c r="EP15" s="75"/>
      <c r="EQ15" s="75"/>
      <c r="ER15" s="75"/>
      <c r="ES15" s="75"/>
      <c r="ET15" s="75"/>
      <c r="EU15" s="75"/>
      <c r="EV15" s="75"/>
      <c r="EW15" s="75"/>
      <c r="EX15" s="75"/>
      <c r="EY15" s="75"/>
      <c r="EZ15" s="75"/>
      <c r="FA15" s="75"/>
      <c r="FB15" s="75"/>
      <c r="FC15" s="75"/>
      <c r="FD15" s="75"/>
      <c r="FE15" s="75"/>
      <c r="FF15" s="75"/>
      <c r="FG15" s="75"/>
      <c r="FH15" s="75"/>
      <c r="FI15" s="75"/>
      <c r="FJ15" s="75"/>
      <c r="FK15" s="75"/>
      <c r="FL15" s="75"/>
      <c r="FM15" s="75"/>
      <c r="FN15" s="75"/>
      <c r="FO15" s="75"/>
      <c r="FP15" s="75"/>
      <c r="FQ15" s="75"/>
      <c r="FR15" s="75"/>
      <c r="FS15" s="75"/>
      <c r="FT15" s="75"/>
      <c r="FU15" s="75"/>
      <c r="FV15" s="75"/>
      <c r="FW15" s="75"/>
      <c r="FX15" s="75"/>
      <c r="FY15" s="75"/>
      <c r="FZ15" s="75"/>
      <c r="GA15" s="75"/>
      <c r="GB15" s="75"/>
      <c r="GC15" s="75"/>
      <c r="GD15" s="75"/>
      <c r="GE15" s="75"/>
      <c r="GF15" s="75"/>
      <c r="GG15" s="75"/>
      <c r="GH15" s="75"/>
      <c r="GI15" s="75"/>
      <c r="GJ15" s="75"/>
      <c r="GK15" s="75"/>
      <c r="GL15" s="75"/>
      <c r="GM15" s="75"/>
      <c r="GN15" s="75"/>
      <c r="GO15" s="75"/>
      <c r="GP15" s="75"/>
      <c r="GQ15" s="75"/>
      <c r="GR15" s="75"/>
      <c r="GS15" s="75"/>
      <c r="GT15" s="75"/>
      <c r="GU15" s="75"/>
      <c r="GV15" s="75"/>
      <c r="GW15" s="75"/>
      <c r="GX15" s="75"/>
      <c r="GY15" s="75"/>
      <c r="GZ15" s="75"/>
      <c r="HA15" s="75"/>
      <c r="HB15" s="75"/>
      <c r="HC15" s="75"/>
      <c r="HD15" s="75"/>
      <c r="HE15" s="75"/>
      <c r="HF15" s="75"/>
      <c r="HG15" s="75"/>
      <c r="HH15" s="75"/>
      <c r="HI15" s="75"/>
      <c r="HJ15" s="75"/>
      <c r="HK15" s="75"/>
      <c r="HL15" s="75"/>
      <c r="HM15" s="75"/>
      <c r="HN15" s="75"/>
      <c r="HO15" s="75"/>
      <c r="HP15" s="75"/>
      <c r="HQ15" s="75"/>
      <c r="HR15" s="75"/>
      <c r="HS15" s="75"/>
      <c r="HT15" s="75"/>
      <c r="HU15" s="75"/>
      <c r="HV15" s="75"/>
      <c r="HW15" s="75"/>
      <c r="HX15" s="75"/>
      <c r="HY15" s="75"/>
      <c r="HZ15" s="75"/>
      <c r="IA15" s="75"/>
      <c r="IB15" s="75"/>
      <c r="IC15" s="75"/>
      <c r="ID15" s="75"/>
      <c r="IE15" s="75"/>
      <c r="IF15" s="75"/>
      <c r="IG15" s="75"/>
      <c r="IH15" s="75"/>
      <c r="II15" s="75"/>
      <c r="IJ15" s="75"/>
      <c r="IK15" s="75"/>
      <c r="IL15" s="75"/>
      <c r="IM15" s="75"/>
      <c r="IN15" s="75"/>
      <c r="IO15" s="75"/>
      <c r="IP15" s="75"/>
      <c r="IQ15" s="75"/>
      <c r="IR15" s="75"/>
      <c r="IS15" s="75"/>
      <c r="IT15" s="75"/>
      <c r="IU15" s="75"/>
      <c r="IV15" s="75"/>
    </row>
    <row r="16" spans="1:256" s="28" customFormat="1">
      <c r="A16" s="4650"/>
      <c r="B16" s="231" t="s">
        <v>530</v>
      </c>
      <c r="C16" s="233" t="s">
        <v>531</v>
      </c>
      <c r="D16" s="238">
        <f>C28</f>
        <v>0</v>
      </c>
      <c r="E16" s="238">
        <v>0.31849939683716993</v>
      </c>
      <c r="F16" s="238">
        <f>2955225/(2955225+6323364)</f>
        <v>0.31849939683716993</v>
      </c>
      <c r="G16" s="77"/>
      <c r="H16" s="77"/>
      <c r="I16" s="77"/>
      <c r="J16" s="543"/>
      <c r="K16" s="75"/>
      <c r="L16" s="75"/>
      <c r="M16" s="75"/>
      <c r="N16" s="75"/>
      <c r="O16" s="75"/>
      <c r="P16" s="75"/>
      <c r="Q16" s="75"/>
      <c r="R16" s="75"/>
      <c r="S16" s="75"/>
      <c r="T16" s="75"/>
      <c r="U16" s="75"/>
      <c r="V16" s="75"/>
      <c r="W16" s="75"/>
      <c r="X16" s="75"/>
      <c r="Y16" s="75"/>
      <c r="Z16" s="75"/>
      <c r="AA16" s="75"/>
      <c r="AB16" s="75"/>
      <c r="AC16" s="75"/>
      <c r="AD16" s="75"/>
      <c r="AE16" s="75"/>
      <c r="AF16" s="75"/>
      <c r="AG16" s="75"/>
      <c r="AH16" s="75"/>
      <c r="AI16" s="75"/>
      <c r="AJ16" s="75"/>
      <c r="AK16" s="75"/>
      <c r="AL16" s="75"/>
      <c r="AM16" s="75"/>
      <c r="AN16" s="75"/>
      <c r="AO16" s="75"/>
      <c r="AP16" s="75"/>
      <c r="AQ16" s="75"/>
      <c r="AR16" s="75"/>
      <c r="AS16" s="75"/>
      <c r="AT16" s="75"/>
      <c r="AU16" s="75"/>
      <c r="AV16" s="75"/>
      <c r="AW16" s="75"/>
      <c r="AX16" s="75"/>
      <c r="AY16" s="75"/>
      <c r="AZ16" s="75"/>
      <c r="BA16" s="75"/>
      <c r="BB16" s="75"/>
      <c r="BC16" s="75"/>
      <c r="BD16" s="75"/>
      <c r="BE16" s="75"/>
      <c r="BF16" s="75"/>
      <c r="BG16" s="75"/>
      <c r="BH16" s="75"/>
      <c r="BI16" s="75"/>
      <c r="BJ16" s="75"/>
      <c r="BK16" s="75"/>
      <c r="BL16" s="75"/>
      <c r="BM16" s="75"/>
      <c r="BN16" s="75"/>
      <c r="BO16" s="75"/>
      <c r="BP16" s="75"/>
      <c r="BQ16" s="75"/>
      <c r="BR16" s="75"/>
      <c r="BS16" s="75"/>
      <c r="BT16" s="75"/>
      <c r="BU16" s="75"/>
      <c r="BV16" s="75"/>
      <c r="BW16" s="75"/>
      <c r="BX16" s="75"/>
      <c r="BY16" s="75"/>
      <c r="BZ16" s="75"/>
      <c r="CA16" s="75"/>
      <c r="CB16" s="75"/>
      <c r="CC16" s="75"/>
      <c r="CD16" s="75"/>
      <c r="CE16" s="75"/>
      <c r="CF16" s="75"/>
      <c r="CG16" s="75"/>
      <c r="CH16" s="75"/>
      <c r="CI16" s="75"/>
      <c r="CJ16" s="75"/>
      <c r="CK16" s="75"/>
      <c r="CL16" s="75"/>
      <c r="CM16" s="75"/>
      <c r="CN16" s="75"/>
      <c r="CO16" s="75"/>
      <c r="CP16" s="75"/>
      <c r="CQ16" s="75"/>
      <c r="CR16" s="75"/>
      <c r="CS16" s="75"/>
      <c r="CT16" s="75"/>
      <c r="CU16" s="75"/>
      <c r="CV16" s="75"/>
      <c r="CW16" s="75"/>
      <c r="CX16" s="75"/>
      <c r="CY16" s="75"/>
      <c r="CZ16" s="75"/>
      <c r="DA16" s="75"/>
      <c r="DB16" s="75"/>
      <c r="DC16" s="75"/>
      <c r="DD16" s="75"/>
      <c r="DE16" s="75"/>
      <c r="DF16" s="75"/>
      <c r="DG16" s="75"/>
      <c r="DH16" s="75"/>
      <c r="DI16" s="75"/>
      <c r="DJ16" s="75"/>
      <c r="DK16" s="75"/>
      <c r="DL16" s="75"/>
      <c r="DM16" s="75"/>
      <c r="DN16" s="75"/>
      <c r="DO16" s="75"/>
      <c r="DP16" s="75"/>
      <c r="DQ16" s="75"/>
      <c r="DR16" s="75"/>
      <c r="DS16" s="75"/>
      <c r="DT16" s="75"/>
      <c r="DU16" s="75"/>
      <c r="DV16" s="75"/>
      <c r="DW16" s="75"/>
      <c r="DX16" s="75"/>
      <c r="DY16" s="75"/>
      <c r="DZ16" s="75"/>
      <c r="EA16" s="75"/>
      <c r="EB16" s="75"/>
      <c r="EC16" s="75"/>
      <c r="ED16" s="75"/>
      <c r="EE16" s="75"/>
      <c r="EF16" s="75"/>
      <c r="EG16" s="75"/>
      <c r="EH16" s="75"/>
      <c r="EI16" s="75"/>
      <c r="EJ16" s="75"/>
      <c r="EK16" s="75"/>
      <c r="EL16" s="75"/>
      <c r="EM16" s="75"/>
      <c r="EN16" s="75"/>
      <c r="EO16" s="75"/>
      <c r="EP16" s="75"/>
      <c r="EQ16" s="75"/>
      <c r="ER16" s="75"/>
      <c r="ES16" s="75"/>
      <c r="ET16" s="75"/>
      <c r="EU16" s="75"/>
      <c r="EV16" s="75"/>
      <c r="EW16" s="75"/>
      <c r="EX16" s="75"/>
      <c r="EY16" s="75"/>
      <c r="EZ16" s="75"/>
      <c r="FA16" s="75"/>
      <c r="FB16" s="75"/>
      <c r="FC16" s="75"/>
      <c r="FD16" s="75"/>
      <c r="FE16" s="75"/>
      <c r="FF16" s="75"/>
      <c r="FG16" s="75"/>
      <c r="FH16" s="75"/>
      <c r="FI16" s="75"/>
      <c r="FJ16" s="75"/>
      <c r="FK16" s="75"/>
      <c r="FL16" s="75"/>
      <c r="FM16" s="75"/>
      <c r="FN16" s="75"/>
      <c r="FO16" s="75"/>
      <c r="FP16" s="75"/>
      <c r="FQ16" s="75"/>
      <c r="FR16" s="75"/>
      <c r="FS16" s="75"/>
      <c r="FT16" s="75"/>
      <c r="FU16" s="75"/>
      <c r="FV16" s="75"/>
      <c r="FW16" s="75"/>
      <c r="FX16" s="75"/>
      <c r="FY16" s="75"/>
      <c r="FZ16" s="75"/>
      <c r="GA16" s="75"/>
      <c r="GB16" s="75"/>
      <c r="GC16" s="75"/>
      <c r="GD16" s="75"/>
      <c r="GE16" s="75"/>
      <c r="GF16" s="75"/>
      <c r="GG16" s="75"/>
      <c r="GH16" s="75"/>
      <c r="GI16" s="75"/>
      <c r="GJ16" s="75"/>
      <c r="GK16" s="75"/>
      <c r="GL16" s="75"/>
      <c r="GM16" s="75"/>
      <c r="GN16" s="75"/>
      <c r="GO16" s="75"/>
      <c r="GP16" s="75"/>
      <c r="GQ16" s="75"/>
      <c r="GR16" s="75"/>
      <c r="GS16" s="75"/>
      <c r="GT16" s="75"/>
      <c r="GU16" s="75"/>
      <c r="GV16" s="75"/>
      <c r="GW16" s="75"/>
      <c r="GX16" s="75"/>
      <c r="GY16" s="75"/>
      <c r="GZ16" s="75"/>
      <c r="HA16" s="75"/>
      <c r="HB16" s="75"/>
      <c r="HC16" s="75"/>
      <c r="HD16" s="75"/>
      <c r="HE16" s="75"/>
      <c r="HF16" s="75"/>
      <c r="HG16" s="75"/>
      <c r="HH16" s="75"/>
      <c r="HI16" s="75"/>
      <c r="HJ16" s="75"/>
      <c r="HK16" s="75"/>
      <c r="HL16" s="75"/>
      <c r="HM16" s="75"/>
      <c r="HN16" s="75"/>
      <c r="HO16" s="75"/>
      <c r="HP16" s="75"/>
      <c r="HQ16" s="75"/>
      <c r="HR16" s="75"/>
      <c r="HS16" s="75"/>
      <c r="HT16" s="75"/>
      <c r="HU16" s="75"/>
      <c r="HV16" s="75"/>
      <c r="HW16" s="75"/>
      <c r="HX16" s="75"/>
      <c r="HY16" s="75"/>
      <c r="HZ16" s="75"/>
      <c r="IA16" s="75"/>
      <c r="IB16" s="75"/>
      <c r="IC16" s="75"/>
      <c r="ID16" s="75"/>
      <c r="IE16" s="75"/>
      <c r="IF16" s="75"/>
      <c r="IG16" s="75"/>
      <c r="IH16" s="75"/>
      <c r="II16" s="75"/>
      <c r="IJ16" s="75"/>
      <c r="IK16" s="75"/>
      <c r="IL16" s="75"/>
      <c r="IM16" s="75"/>
      <c r="IN16" s="75"/>
      <c r="IO16" s="75"/>
      <c r="IP16" s="75"/>
      <c r="IQ16" s="75"/>
      <c r="IR16" s="75"/>
      <c r="IS16" s="75"/>
      <c r="IT16" s="75"/>
      <c r="IU16" s="75"/>
      <c r="IV16" s="75"/>
    </row>
    <row r="17" spans="1:256" s="28" customFormat="1">
      <c r="A17" s="4650"/>
      <c r="B17" s="231" t="s">
        <v>1216</v>
      </c>
      <c r="C17" s="233" t="s">
        <v>1217</v>
      </c>
      <c r="D17" s="238">
        <f>C30</f>
        <v>0</v>
      </c>
      <c r="E17" s="238">
        <v>4.5659481292162275E-2</v>
      </c>
      <c r="F17" s="238">
        <f>1970150/(1970150+41178610)</f>
        <v>4.5659481292162275E-2</v>
      </c>
      <c r="G17" s="77"/>
      <c r="H17" s="77"/>
      <c r="I17" s="77"/>
      <c r="J17" s="543"/>
      <c r="K17" s="75"/>
      <c r="L17" s="75"/>
      <c r="M17" s="75"/>
      <c r="N17" s="75"/>
      <c r="O17" s="142"/>
      <c r="P17" s="142"/>
      <c r="Q17" s="142"/>
      <c r="R17" s="142"/>
      <c r="S17" s="142"/>
      <c r="T17" s="142"/>
      <c r="U17" s="142"/>
      <c r="V17" s="142"/>
      <c r="W17" s="142"/>
      <c r="X17" s="142"/>
      <c r="Y17" s="142"/>
      <c r="Z17" s="142"/>
      <c r="AA17" s="142"/>
      <c r="AB17" s="142"/>
      <c r="AC17" s="142"/>
      <c r="AD17" s="142"/>
      <c r="AE17" s="142"/>
      <c r="AF17" s="142"/>
      <c r="AG17" s="142"/>
      <c r="AH17" s="142"/>
      <c r="AI17" s="142"/>
      <c r="AJ17" s="142"/>
      <c r="AK17" s="142"/>
      <c r="AL17" s="142"/>
      <c r="AM17" s="142"/>
      <c r="AN17" s="142"/>
      <c r="AO17" s="142"/>
      <c r="AP17" s="142"/>
      <c r="AQ17" s="142"/>
      <c r="AR17" s="142"/>
      <c r="AS17" s="142"/>
      <c r="AT17" s="142"/>
      <c r="AU17" s="142"/>
      <c r="AV17" s="142"/>
      <c r="AW17" s="142"/>
      <c r="AX17" s="142"/>
      <c r="AY17" s="142"/>
      <c r="AZ17" s="142"/>
      <c r="BA17" s="142"/>
      <c r="BB17" s="142"/>
      <c r="BC17" s="142"/>
      <c r="BD17" s="142"/>
      <c r="BE17" s="142"/>
      <c r="BF17" s="142"/>
      <c r="BG17" s="142"/>
      <c r="BH17" s="142"/>
      <c r="BI17" s="142"/>
      <c r="BJ17" s="142"/>
      <c r="BK17" s="142"/>
      <c r="BL17" s="142"/>
      <c r="BM17" s="142"/>
      <c r="BN17" s="142"/>
      <c r="BO17" s="142"/>
      <c r="BP17" s="142"/>
      <c r="BQ17" s="142"/>
      <c r="BR17" s="142"/>
      <c r="BS17" s="142"/>
      <c r="BT17" s="142"/>
      <c r="BU17" s="142"/>
      <c r="BV17" s="142"/>
      <c r="BW17" s="142"/>
      <c r="BX17" s="142"/>
      <c r="BY17" s="142"/>
      <c r="BZ17" s="142"/>
      <c r="CA17" s="142"/>
      <c r="CB17" s="142"/>
      <c r="CC17" s="142"/>
      <c r="CD17" s="142"/>
      <c r="CE17" s="142"/>
      <c r="CF17" s="142"/>
      <c r="CG17" s="142"/>
      <c r="CH17" s="142"/>
      <c r="CI17" s="142"/>
      <c r="CJ17" s="142"/>
      <c r="CK17" s="142"/>
      <c r="CL17" s="142"/>
      <c r="CM17" s="142"/>
      <c r="CN17" s="142"/>
      <c r="CO17" s="142"/>
      <c r="CP17" s="142"/>
      <c r="CQ17" s="142"/>
      <c r="CR17" s="142"/>
      <c r="CS17" s="142"/>
      <c r="CT17" s="142"/>
      <c r="CU17" s="142"/>
      <c r="CV17" s="142"/>
      <c r="CW17" s="142"/>
      <c r="CX17" s="142"/>
      <c r="CY17" s="142"/>
      <c r="CZ17" s="142"/>
      <c r="DA17" s="142"/>
      <c r="DB17" s="142"/>
      <c r="DC17" s="142"/>
      <c r="DD17" s="142"/>
      <c r="DE17" s="142"/>
      <c r="DF17" s="142"/>
      <c r="DG17" s="142"/>
      <c r="DH17" s="142"/>
      <c r="DI17" s="142"/>
      <c r="DJ17" s="142"/>
      <c r="DK17" s="142"/>
      <c r="DL17" s="142"/>
      <c r="DM17" s="142"/>
      <c r="DN17" s="142"/>
      <c r="DO17" s="142"/>
      <c r="DP17" s="142"/>
      <c r="DQ17" s="142"/>
      <c r="DR17" s="142"/>
      <c r="DS17" s="142"/>
      <c r="DT17" s="142"/>
      <c r="DU17" s="142"/>
      <c r="DV17" s="142"/>
      <c r="DW17" s="142"/>
      <c r="DX17" s="142"/>
      <c r="DY17" s="142"/>
      <c r="DZ17" s="142"/>
      <c r="EA17" s="142"/>
      <c r="EB17" s="142"/>
      <c r="EC17" s="142"/>
      <c r="ED17" s="142"/>
      <c r="EE17" s="142"/>
      <c r="EF17" s="142"/>
      <c r="EG17" s="142"/>
      <c r="EH17" s="142"/>
      <c r="EI17" s="142"/>
      <c r="EJ17" s="142"/>
      <c r="EK17" s="142"/>
      <c r="EL17" s="142"/>
      <c r="EM17" s="142"/>
      <c r="EN17" s="142"/>
      <c r="EO17" s="142"/>
      <c r="EP17" s="142"/>
      <c r="EQ17" s="142"/>
      <c r="ER17" s="142"/>
      <c r="ES17" s="142"/>
      <c r="ET17" s="142"/>
      <c r="EU17" s="142"/>
      <c r="EV17" s="142"/>
      <c r="EW17" s="142"/>
      <c r="EX17" s="142"/>
      <c r="EY17" s="142"/>
      <c r="EZ17" s="142"/>
      <c r="FA17" s="142"/>
      <c r="FB17" s="142"/>
      <c r="FC17" s="142"/>
      <c r="FD17" s="142"/>
      <c r="FE17" s="142"/>
      <c r="FF17" s="142"/>
      <c r="FG17" s="142"/>
      <c r="FH17" s="142"/>
      <c r="FI17" s="142"/>
      <c r="FJ17" s="142"/>
      <c r="FK17" s="142"/>
      <c r="FL17" s="142"/>
      <c r="FM17" s="142"/>
      <c r="FN17" s="142"/>
      <c r="FO17" s="142"/>
      <c r="FP17" s="142"/>
      <c r="FQ17" s="142"/>
      <c r="FR17" s="142"/>
      <c r="FS17" s="142"/>
      <c r="FT17" s="142"/>
      <c r="FU17" s="142"/>
      <c r="FV17" s="142"/>
      <c r="FW17" s="142"/>
      <c r="FX17" s="142"/>
      <c r="FY17" s="142"/>
      <c r="FZ17" s="142"/>
      <c r="GA17" s="142"/>
      <c r="GB17" s="142"/>
      <c r="GC17" s="142"/>
      <c r="GD17" s="142"/>
      <c r="GE17" s="142"/>
      <c r="GF17" s="142"/>
      <c r="GG17" s="142"/>
      <c r="GH17" s="142"/>
      <c r="GI17" s="142"/>
      <c r="GJ17" s="142"/>
      <c r="GK17" s="142"/>
      <c r="GL17" s="142"/>
      <c r="GM17" s="142"/>
      <c r="GN17" s="142"/>
      <c r="GO17" s="142"/>
      <c r="GP17" s="142"/>
      <c r="GQ17" s="142"/>
      <c r="GR17" s="142"/>
      <c r="GS17" s="142"/>
      <c r="GT17" s="142"/>
      <c r="GU17" s="142"/>
      <c r="GV17" s="142"/>
      <c r="GW17" s="142"/>
      <c r="GX17" s="142"/>
      <c r="GY17" s="142"/>
      <c r="GZ17" s="142"/>
      <c r="HA17" s="142"/>
      <c r="HB17" s="142"/>
      <c r="HC17" s="142"/>
      <c r="HD17" s="142"/>
      <c r="HE17" s="142"/>
      <c r="HF17" s="142"/>
      <c r="HG17" s="142"/>
      <c r="HH17" s="142"/>
      <c r="HI17" s="142"/>
      <c r="HJ17" s="142"/>
      <c r="HK17" s="142"/>
      <c r="HL17" s="142"/>
      <c r="HM17" s="142"/>
      <c r="HN17" s="142"/>
      <c r="HO17" s="142"/>
      <c r="HP17" s="142"/>
      <c r="HQ17" s="142"/>
      <c r="HR17" s="142"/>
      <c r="HS17" s="142"/>
      <c r="HT17" s="142"/>
      <c r="HU17" s="142"/>
      <c r="HV17" s="142"/>
      <c r="HW17" s="142"/>
      <c r="HX17" s="142"/>
      <c r="HY17" s="142"/>
      <c r="HZ17" s="142"/>
      <c r="IA17" s="142"/>
      <c r="IB17" s="142"/>
      <c r="IC17" s="142"/>
      <c r="ID17" s="142"/>
      <c r="IE17" s="142"/>
      <c r="IF17" s="142"/>
      <c r="IG17" s="142"/>
      <c r="IH17" s="142"/>
      <c r="II17" s="142"/>
      <c r="IJ17" s="142"/>
      <c r="IK17" s="142"/>
      <c r="IL17" s="142"/>
      <c r="IM17" s="142"/>
      <c r="IN17" s="142"/>
      <c r="IO17" s="142"/>
      <c r="IP17" s="142"/>
      <c r="IQ17" s="142"/>
      <c r="IR17" s="142"/>
      <c r="IS17" s="142"/>
      <c r="IT17" s="142"/>
      <c r="IU17" s="142"/>
      <c r="IV17" s="142"/>
    </row>
    <row r="18" spans="1:256" s="28" customFormat="1">
      <c r="A18" s="4650"/>
      <c r="B18" s="231" t="s">
        <v>997</v>
      </c>
      <c r="C18" s="243" t="s">
        <v>998</v>
      </c>
      <c r="D18" s="240"/>
      <c r="E18" s="240">
        <v>25000</v>
      </c>
      <c r="F18" s="240">
        <v>25000</v>
      </c>
      <c r="G18" s="91"/>
      <c r="H18" s="91"/>
      <c r="I18" s="91"/>
      <c r="J18" s="91"/>
      <c r="K18" s="91"/>
      <c r="L18" s="91"/>
      <c r="M18" s="91"/>
      <c r="N18" s="91"/>
    </row>
    <row r="19" spans="1:256" s="28" customFormat="1">
      <c r="A19" s="4650"/>
      <c r="B19" s="4356" t="s">
        <v>988</v>
      </c>
      <c r="C19" s="4357" t="s">
        <v>1131</v>
      </c>
      <c r="D19" s="4358">
        <v>1</v>
      </c>
      <c r="E19" s="4358">
        <v>0.25</v>
      </c>
      <c r="F19" s="4358">
        <v>0.25</v>
      </c>
      <c r="G19" s="91"/>
      <c r="H19" s="91"/>
      <c r="I19" s="91"/>
      <c r="J19" s="91"/>
      <c r="K19" s="91"/>
      <c r="L19" s="91"/>
      <c r="M19" s="91"/>
      <c r="N19" s="91"/>
    </row>
    <row r="20" spans="1:256" s="28" customFormat="1">
      <c r="A20" s="4355"/>
      <c r="B20" s="180"/>
      <c r="C20" s="2335"/>
      <c r="D20" s="77"/>
      <c r="E20" s="77"/>
      <c r="F20" s="63"/>
      <c r="G20" s="241"/>
      <c r="H20" s="241"/>
      <c r="I20" s="241"/>
      <c r="J20" s="241"/>
      <c r="K20" s="241"/>
      <c r="L20" s="241"/>
      <c r="M20" s="241"/>
      <c r="N20" s="241"/>
    </row>
    <row r="21" spans="1:256" s="28" customFormat="1">
      <c r="A21" s="2330"/>
      <c r="B21" s="2330"/>
      <c r="C21" s="70"/>
      <c r="D21" s="2335"/>
      <c r="E21" s="2335"/>
      <c r="F21" s="2334"/>
      <c r="G21" s="185"/>
      <c r="H21" s="185"/>
      <c r="I21" s="185"/>
      <c r="J21" s="185"/>
      <c r="K21" s="185"/>
      <c r="L21" s="185"/>
      <c r="M21" s="185"/>
      <c r="N21" s="185"/>
    </row>
    <row r="22" spans="1:256" s="28" customFormat="1">
      <c r="A22" s="4355"/>
      <c r="B22" s="180"/>
      <c r="C22" s="2335"/>
      <c r="D22" s="77"/>
      <c r="E22" s="77"/>
      <c r="F22" s="63"/>
      <c r="G22" s="77"/>
      <c r="H22" s="77"/>
      <c r="I22" s="77"/>
      <c r="J22" s="77"/>
      <c r="K22" s="77"/>
      <c r="L22" s="77"/>
      <c r="M22" s="77"/>
      <c r="N22" s="77"/>
      <c r="O22" s="91"/>
      <c r="P22" s="91"/>
      <c r="Q22" s="91"/>
      <c r="R22" s="91"/>
      <c r="S22" s="91"/>
      <c r="T22" s="91"/>
      <c r="U22" s="91"/>
      <c r="V22" s="91"/>
      <c r="W22" s="91"/>
      <c r="X22" s="91"/>
      <c r="Y22" s="91"/>
      <c r="Z22" s="91"/>
      <c r="AA22" s="91"/>
      <c r="AB22" s="91"/>
      <c r="AC22" s="91"/>
      <c r="AD22" s="91"/>
      <c r="AE22" s="91"/>
      <c r="AF22" s="91"/>
      <c r="AG22" s="91"/>
      <c r="AH22" s="91"/>
      <c r="AI22" s="91"/>
      <c r="AJ22" s="91"/>
      <c r="AK22" s="91"/>
      <c r="AL22" s="91"/>
      <c r="AM22" s="91"/>
      <c r="AN22" s="91"/>
      <c r="AO22" s="91"/>
      <c r="AP22" s="91"/>
      <c r="AQ22" s="91"/>
      <c r="AR22" s="91"/>
      <c r="AS22" s="91"/>
      <c r="AT22" s="91"/>
      <c r="AU22" s="91"/>
      <c r="AV22" s="91"/>
      <c r="AW22" s="91"/>
      <c r="AX22" s="91"/>
      <c r="AY22" s="91"/>
      <c r="AZ22" s="91"/>
      <c r="BA22" s="91"/>
      <c r="BB22" s="91"/>
      <c r="BC22" s="91"/>
      <c r="BD22" s="91"/>
      <c r="BE22" s="91"/>
      <c r="BF22" s="91"/>
      <c r="BG22" s="91"/>
      <c r="BH22" s="91"/>
      <c r="BI22" s="91"/>
      <c r="BJ22" s="91"/>
      <c r="BK22" s="91"/>
      <c r="BL22" s="91"/>
      <c r="BM22" s="91"/>
      <c r="BN22" s="91"/>
      <c r="BO22" s="91"/>
      <c r="BP22" s="91"/>
      <c r="BQ22" s="91"/>
      <c r="BR22" s="91"/>
      <c r="BS22" s="91"/>
      <c r="BT22" s="91"/>
      <c r="BU22" s="91"/>
      <c r="BV22" s="91"/>
      <c r="BW22" s="91"/>
      <c r="BX22" s="91"/>
      <c r="BY22" s="91"/>
      <c r="BZ22" s="91"/>
      <c r="CA22" s="91"/>
      <c r="CB22" s="91"/>
      <c r="CC22" s="91"/>
      <c r="CD22" s="91"/>
      <c r="CE22" s="91"/>
      <c r="CF22" s="91"/>
      <c r="CG22" s="91"/>
      <c r="CH22" s="91"/>
      <c r="CI22" s="91"/>
      <c r="CJ22" s="91"/>
      <c r="CK22" s="91"/>
      <c r="CL22" s="91"/>
      <c r="CM22" s="91"/>
      <c r="CN22" s="91"/>
      <c r="CO22" s="91"/>
      <c r="CP22" s="91"/>
      <c r="CQ22" s="91"/>
      <c r="CR22" s="91"/>
      <c r="CS22" s="91"/>
      <c r="CT22" s="91"/>
      <c r="CU22" s="91"/>
      <c r="CV22" s="91"/>
      <c r="CW22" s="91"/>
      <c r="CX22" s="91"/>
      <c r="CY22" s="91"/>
      <c r="CZ22" s="91"/>
      <c r="DA22" s="91"/>
      <c r="DB22" s="91"/>
      <c r="DC22" s="91"/>
      <c r="DD22" s="91"/>
      <c r="DE22" s="91"/>
      <c r="DF22" s="91"/>
      <c r="DG22" s="91"/>
      <c r="DH22" s="91"/>
      <c r="DI22" s="91"/>
      <c r="DJ22" s="91"/>
      <c r="DK22" s="91"/>
      <c r="DL22" s="91"/>
      <c r="DM22" s="91"/>
      <c r="DN22" s="91"/>
      <c r="DO22" s="91"/>
      <c r="DP22" s="91"/>
      <c r="DQ22" s="91"/>
      <c r="DR22" s="91"/>
      <c r="DS22" s="91"/>
      <c r="DT22" s="91"/>
      <c r="DU22" s="91"/>
      <c r="DV22" s="91"/>
      <c r="DW22" s="91"/>
      <c r="DX22" s="91"/>
      <c r="DY22" s="91"/>
      <c r="DZ22" s="91"/>
      <c r="EA22" s="91"/>
      <c r="EB22" s="91"/>
      <c r="EC22" s="91"/>
      <c r="ED22" s="91"/>
      <c r="EE22" s="91"/>
      <c r="EF22" s="91"/>
      <c r="EG22" s="91"/>
      <c r="EH22" s="91"/>
      <c r="EI22" s="91"/>
      <c r="EJ22" s="91"/>
      <c r="EK22" s="91"/>
      <c r="EL22" s="91"/>
      <c r="EM22" s="91"/>
      <c r="EN22" s="91"/>
      <c r="EO22" s="91"/>
      <c r="EP22" s="91"/>
      <c r="EQ22" s="91"/>
      <c r="ER22" s="91"/>
      <c r="ES22" s="91"/>
      <c r="ET22" s="91"/>
      <c r="EU22" s="91"/>
      <c r="EV22" s="91"/>
      <c r="EW22" s="91"/>
      <c r="EX22" s="91"/>
      <c r="EY22" s="91"/>
      <c r="EZ22" s="91"/>
      <c r="FA22" s="91"/>
      <c r="FB22" s="91"/>
      <c r="FC22" s="91"/>
      <c r="FD22" s="91"/>
      <c r="FE22" s="91"/>
      <c r="FF22" s="91"/>
      <c r="FG22" s="91"/>
      <c r="FH22" s="91"/>
      <c r="FI22" s="91"/>
      <c r="FJ22" s="91"/>
      <c r="FK22" s="91"/>
      <c r="FL22" s="91"/>
      <c r="FM22" s="91"/>
      <c r="FN22" s="91"/>
      <c r="FO22" s="91"/>
      <c r="FP22" s="91"/>
      <c r="FQ22" s="91"/>
      <c r="FR22" s="91"/>
      <c r="FS22" s="91"/>
      <c r="FT22" s="91"/>
      <c r="FU22" s="91"/>
      <c r="FV22" s="91"/>
      <c r="FW22" s="91"/>
      <c r="FX22" s="91"/>
      <c r="FY22" s="91"/>
      <c r="FZ22" s="91"/>
      <c r="GA22" s="91"/>
      <c r="GB22" s="91"/>
      <c r="GC22" s="91"/>
      <c r="GD22" s="91"/>
      <c r="GE22" s="91"/>
      <c r="GF22" s="91"/>
      <c r="GG22" s="91"/>
      <c r="GH22" s="91"/>
      <c r="GI22" s="91"/>
      <c r="GJ22" s="91"/>
      <c r="GK22" s="91"/>
      <c r="GL22" s="91"/>
      <c r="GM22" s="91"/>
      <c r="GN22" s="91"/>
      <c r="GO22" s="91"/>
      <c r="GP22" s="91"/>
      <c r="GQ22" s="91"/>
      <c r="GR22" s="91"/>
      <c r="GS22" s="91"/>
      <c r="GT22" s="91"/>
      <c r="GU22" s="91"/>
      <c r="GV22" s="91"/>
      <c r="GW22" s="91"/>
      <c r="GX22" s="91"/>
      <c r="GY22" s="91"/>
      <c r="GZ22" s="91"/>
      <c r="HA22" s="91"/>
      <c r="HB22" s="91"/>
      <c r="HC22" s="91"/>
      <c r="HD22" s="91"/>
      <c r="HE22" s="91"/>
      <c r="HF22" s="91"/>
      <c r="HG22" s="91"/>
      <c r="HH22" s="91"/>
      <c r="HI22" s="91"/>
      <c r="HJ22" s="91"/>
      <c r="HK22" s="91"/>
      <c r="HL22" s="91"/>
      <c r="HM22" s="91"/>
      <c r="HN22" s="91"/>
      <c r="HO22" s="91"/>
      <c r="HP22" s="91"/>
      <c r="HQ22" s="91"/>
      <c r="HR22" s="91"/>
      <c r="HS22" s="91"/>
      <c r="HT22" s="91"/>
      <c r="HU22" s="91"/>
      <c r="HV22" s="91"/>
      <c r="HW22" s="91"/>
      <c r="HX22" s="91"/>
      <c r="HY22" s="91"/>
      <c r="HZ22" s="91"/>
      <c r="IA22" s="91"/>
      <c r="IB22" s="91"/>
      <c r="IC22" s="91"/>
      <c r="ID22" s="91"/>
      <c r="IE22" s="91"/>
      <c r="IF22" s="91"/>
      <c r="IG22" s="91"/>
      <c r="IH22" s="91"/>
      <c r="II22" s="91"/>
      <c r="IJ22" s="91"/>
      <c r="IK22" s="91"/>
      <c r="IL22" s="91"/>
      <c r="IM22" s="91"/>
      <c r="IN22" s="91"/>
      <c r="IO22" s="91"/>
      <c r="IP22" s="91"/>
      <c r="IQ22" s="91"/>
      <c r="IR22" s="91"/>
      <c r="IS22" s="91"/>
      <c r="IT22" s="91"/>
      <c r="IU22" s="91"/>
      <c r="IV22" s="91"/>
    </row>
    <row r="23" spans="1:256" s="2" customFormat="1">
      <c r="C23" s="70"/>
      <c r="D23" s="30"/>
      <c r="E23" s="30"/>
      <c r="F23" s="28"/>
      <c r="G23" s="28"/>
    </row>
    <row r="24" spans="1:256" s="66" customFormat="1">
      <c r="B24" s="180"/>
      <c r="C24" s="180"/>
      <c r="D24" s="30"/>
      <c r="E24" s="30"/>
      <c r="F24" s="30"/>
      <c r="G24" s="30"/>
    </row>
    <row r="25" spans="1:256" s="2" customFormat="1">
      <c r="C25" s="70"/>
      <c r="D25" s="30"/>
      <c r="E25" s="30"/>
      <c r="F25" s="28"/>
      <c r="G25" s="28"/>
    </row>
    <row r="27" spans="1:256">
      <c r="B27" s="1505">
        <v>2011</v>
      </c>
    </row>
    <row r="28" spans="1:256">
      <c r="A28" s="2" t="s">
        <v>1479</v>
      </c>
      <c r="B28" s="2552">
        <f>'Tax Incentives'!B36</f>
        <v>0</v>
      </c>
      <c r="C28" s="2553">
        <f>IF(B29=0,0,B28/SUM(B28:B29))</f>
        <v>0</v>
      </c>
    </row>
    <row r="29" spans="1:256">
      <c r="A29" s="2" t="s">
        <v>1480</v>
      </c>
      <c r="B29" s="2552">
        <f>'Tax Incentives'!B37</f>
        <v>0</v>
      </c>
      <c r="C29" s="869"/>
    </row>
    <row r="30" spans="1:256">
      <c r="A30" s="2" t="s">
        <v>1481</v>
      </c>
      <c r="B30" s="2552">
        <f>'Tax Incentives'!B38</f>
        <v>0</v>
      </c>
      <c r="C30" s="2553">
        <f>IF(B31=0,0,B30/SUM(B30:B31))</f>
        <v>0</v>
      </c>
    </row>
    <row r="31" spans="1:256">
      <c r="A31" s="2" t="s">
        <v>1482</v>
      </c>
      <c r="B31" s="2552">
        <f>'Tax Incentives'!B39</f>
        <v>0</v>
      </c>
      <c r="C31" s="869"/>
    </row>
  </sheetData>
  <mergeCells count="2">
    <mergeCell ref="B1:C1"/>
    <mergeCell ref="A3:A19"/>
  </mergeCells>
  <phoneticPr fontId="77" type="noConversion"/>
  <pageMargins left="0.75" right="0.75" top="1" bottom="1" header="0.5" footer="0.5"/>
  <pageSetup orientation="portrait" horizontalDpi="4294967293" r:id="rId1"/>
  <headerFooter alignWithMargins="0"/>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enableFormatConditionsCalculation="0">
    <tabColor rgb="FFFFFF66"/>
  </sheetPr>
  <dimension ref="A1:P45"/>
  <sheetViews>
    <sheetView showGridLines="0" zoomScale="130" zoomScaleNormal="130" workbookViewId="0">
      <pane xSplit="1" ySplit="3" topLeftCell="B4" activePane="bottomRight" state="frozen"/>
      <selection activeCell="D73" sqref="D73"/>
      <selection pane="topRight" activeCell="D73" sqref="D73"/>
      <selection pane="bottomLeft" activeCell="D73" sqref="D73"/>
      <selection pane="bottomRight" activeCell="F17" sqref="F17"/>
    </sheetView>
  </sheetViews>
  <sheetFormatPr defaultColWidth="9.140625" defaultRowHeight="12.75"/>
  <cols>
    <col min="1" max="1" width="28.85546875" style="558" customWidth="1"/>
    <col min="2" max="2" width="11.28515625" style="558" customWidth="1"/>
    <col min="3" max="3" width="9.85546875" style="559" customWidth="1"/>
    <col min="4" max="4" width="10" style="560" bestFit="1" customWidth="1"/>
    <col min="5" max="5" width="9.7109375" style="559" bestFit="1" customWidth="1"/>
    <col min="6" max="9" width="9.28515625" style="558" bestFit="1" customWidth="1"/>
    <col min="10" max="10" width="4.28515625" style="558" customWidth="1"/>
    <col min="11" max="11" width="10.7109375" style="558" customWidth="1"/>
    <col min="12" max="14" width="9.140625" style="558"/>
    <col min="15" max="15" width="10.7109375" style="558" customWidth="1"/>
    <col min="16" max="16384" width="9.140625" style="558"/>
  </cols>
  <sheetData>
    <row r="1" spans="1:16">
      <c r="A1" s="557" t="s">
        <v>575</v>
      </c>
    </row>
    <row r="2" spans="1:16">
      <c r="A2" s="561"/>
      <c r="K2" s="562" t="s">
        <v>576</v>
      </c>
      <c r="L2" s="562"/>
      <c r="M2" s="562"/>
      <c r="N2" s="562"/>
      <c r="O2" s="562"/>
      <c r="P2" s="562"/>
    </row>
    <row r="3" spans="1:16" s="563" customFormat="1" ht="38.25">
      <c r="A3" s="2263">
        <v>41061</v>
      </c>
      <c r="B3" s="563" t="s">
        <v>577</v>
      </c>
      <c r="C3" s="564" t="s">
        <v>578</v>
      </c>
      <c r="D3" s="565" t="s">
        <v>579</v>
      </c>
      <c r="E3" s="564" t="s">
        <v>580</v>
      </c>
      <c r="F3" s="563" t="s">
        <v>581</v>
      </c>
      <c r="G3" s="563" t="s">
        <v>582</v>
      </c>
      <c r="H3" s="563" t="s">
        <v>583</v>
      </c>
      <c r="I3" s="563" t="s">
        <v>585</v>
      </c>
      <c r="K3" s="587" t="s">
        <v>586</v>
      </c>
      <c r="L3" s="591" t="s">
        <v>581</v>
      </c>
      <c r="M3" s="591" t="s">
        <v>582</v>
      </c>
      <c r="N3" s="591" t="s">
        <v>583</v>
      </c>
      <c r="O3" s="566" t="s">
        <v>587</v>
      </c>
      <c r="P3" s="567" t="s">
        <v>585</v>
      </c>
    </row>
    <row r="4" spans="1:16">
      <c r="A4" s="558" t="s">
        <v>1268</v>
      </c>
      <c r="B4" s="2261">
        <v>30.69</v>
      </c>
      <c r="C4" s="2261">
        <v>38.409999999999997</v>
      </c>
      <c r="D4" s="2262">
        <v>30.95</v>
      </c>
      <c r="E4" s="2262">
        <v>42.33</v>
      </c>
      <c r="F4" s="2261">
        <v>57.98</v>
      </c>
      <c r="G4" s="2262">
        <v>24.05</v>
      </c>
      <c r="H4" s="2262">
        <v>31.66</v>
      </c>
      <c r="I4" s="2262">
        <v>57.83</v>
      </c>
      <c r="K4" s="588"/>
      <c r="L4" s="592">
        <f t="shared" ref="L4:N5" si="0">F4*$K17</f>
        <v>73.179492727334292</v>
      </c>
      <c r="M4" s="592">
        <f t="shared" si="0"/>
        <v>30.354722319634181</v>
      </c>
      <c r="N4" s="592">
        <f t="shared" si="0"/>
        <v>39.959688508923833</v>
      </c>
      <c r="O4" s="570"/>
      <c r="P4" s="571">
        <f>I4*$O17</f>
        <v>99.82791282101752</v>
      </c>
    </row>
    <row r="5" spans="1:16">
      <c r="A5" s="558" t="s">
        <v>588</v>
      </c>
      <c r="B5" s="2261">
        <v>21.27</v>
      </c>
      <c r="C5" s="2261">
        <v>23.17</v>
      </c>
      <c r="D5" s="2262">
        <v>21.76</v>
      </c>
      <c r="E5" s="2262">
        <v>27.76</v>
      </c>
      <c r="F5" s="2261">
        <v>35.44</v>
      </c>
      <c r="G5" s="2262">
        <v>16.34</v>
      </c>
      <c r="H5" s="2262">
        <v>21.39</v>
      </c>
      <c r="I5" s="2262">
        <v>39.880000000000003</v>
      </c>
      <c r="K5" s="588"/>
      <c r="L5" s="592">
        <f t="shared" si="0"/>
        <v>39.495140054582883</v>
      </c>
      <c r="M5" s="592">
        <f t="shared" si="0"/>
        <v>18.209666718168297</v>
      </c>
      <c r="N5" s="592">
        <f t="shared" si="0"/>
        <v>23.837501291408802</v>
      </c>
      <c r="O5" s="570"/>
      <c r="P5" s="571">
        <f>I5*$O18</f>
        <v>56.697729211523388</v>
      </c>
    </row>
    <row r="6" spans="1:16">
      <c r="A6" s="558" t="s">
        <v>589</v>
      </c>
      <c r="B6" s="2261">
        <v>2.14</v>
      </c>
      <c r="C6" s="2261">
        <v>2.77</v>
      </c>
      <c r="D6" s="2262">
        <v>2.11</v>
      </c>
      <c r="E6" s="2262">
        <v>3.64</v>
      </c>
      <c r="F6" s="2261">
        <v>5.08</v>
      </c>
      <c r="G6" s="2262">
        <v>1.7</v>
      </c>
      <c r="H6" s="2262">
        <v>2.13</v>
      </c>
      <c r="I6" s="2262">
        <v>5.27</v>
      </c>
      <c r="K6" s="588"/>
      <c r="L6" s="593"/>
      <c r="M6" s="593"/>
      <c r="N6" s="593"/>
      <c r="O6" s="570"/>
      <c r="P6" s="572"/>
    </row>
    <row r="7" spans="1:16">
      <c r="A7" s="558" t="s">
        <v>593</v>
      </c>
      <c r="B7" s="2261">
        <v>0.75</v>
      </c>
      <c r="C7" s="2261">
        <v>1.23</v>
      </c>
      <c r="D7" s="2262">
        <v>0.78</v>
      </c>
      <c r="E7" s="2262">
        <v>1.81</v>
      </c>
      <c r="F7" s="2261">
        <v>2.21</v>
      </c>
      <c r="G7" s="2262">
        <v>0.46</v>
      </c>
      <c r="H7" s="2262">
        <v>0.86</v>
      </c>
      <c r="I7" s="2262">
        <v>2.04</v>
      </c>
      <c r="K7" s="588"/>
      <c r="L7" s="593"/>
      <c r="M7" s="593"/>
      <c r="N7" s="593"/>
      <c r="O7" s="570"/>
      <c r="P7" s="572"/>
    </row>
    <row r="8" spans="1:16">
      <c r="A8" s="558" t="s">
        <v>594</v>
      </c>
      <c r="B8" s="2261">
        <v>2.74</v>
      </c>
      <c r="C8" s="2261">
        <v>5.26</v>
      </c>
      <c r="D8" s="2262">
        <v>2.46</v>
      </c>
      <c r="E8" s="2262">
        <v>4.0199999999999996</v>
      </c>
      <c r="F8" s="2261">
        <v>5.49</v>
      </c>
      <c r="G8" s="2262">
        <v>2.77</v>
      </c>
      <c r="H8" s="2262">
        <v>3.06</v>
      </c>
      <c r="I8" s="2262">
        <v>4.13</v>
      </c>
      <c r="K8" s="588"/>
      <c r="L8" s="593"/>
      <c r="M8" s="593"/>
      <c r="N8" s="593"/>
      <c r="O8" s="570"/>
      <c r="P8" s="572"/>
    </row>
    <row r="9" spans="1:16">
      <c r="A9" s="558" t="s">
        <v>595</v>
      </c>
      <c r="B9" s="2261">
        <v>1.4</v>
      </c>
      <c r="C9" s="2261">
        <v>2.76</v>
      </c>
      <c r="D9" s="2262">
        <v>1.1000000000000001</v>
      </c>
      <c r="E9" s="2262">
        <v>2.09</v>
      </c>
      <c r="F9" s="2261">
        <v>5.82</v>
      </c>
      <c r="G9" s="2262">
        <v>0.93</v>
      </c>
      <c r="H9" s="2262">
        <v>1.44</v>
      </c>
      <c r="I9" s="2262">
        <v>2.74</v>
      </c>
      <c r="K9" s="588"/>
      <c r="L9" s="593"/>
      <c r="M9" s="593"/>
      <c r="N9" s="593"/>
      <c r="O9" s="570"/>
      <c r="P9" s="572"/>
    </row>
    <row r="10" spans="1:16">
      <c r="A10" s="558" t="s">
        <v>596</v>
      </c>
      <c r="B10" s="2261">
        <v>2.38</v>
      </c>
      <c r="C10" s="2261">
        <v>3.22</v>
      </c>
      <c r="D10" s="2262">
        <v>2.74</v>
      </c>
      <c r="E10" s="2262">
        <v>3.02</v>
      </c>
      <c r="F10" s="2261">
        <v>3.95</v>
      </c>
      <c r="G10" s="2262">
        <v>1.85</v>
      </c>
      <c r="H10" s="2262">
        <v>2.78</v>
      </c>
      <c r="I10" s="2262">
        <v>3.77</v>
      </c>
      <c r="K10" s="588"/>
      <c r="L10" s="593"/>
      <c r="M10" s="593"/>
      <c r="N10" s="593"/>
      <c r="O10" s="570"/>
      <c r="P10" s="572"/>
    </row>
    <row r="11" spans="1:16">
      <c r="A11" s="558" t="s">
        <v>597</v>
      </c>
      <c r="B11" s="2261"/>
      <c r="C11" s="2261"/>
      <c r="D11" s="2262"/>
      <c r="E11" s="2262"/>
      <c r="F11" s="2261"/>
      <c r="G11" s="2262"/>
      <c r="H11" s="2262"/>
      <c r="I11" s="2262">
        <v>0.01</v>
      </c>
      <c r="K11" s="588"/>
      <c r="L11" s="593"/>
      <c r="M11" s="593"/>
      <c r="N11" s="593"/>
      <c r="O11" s="570"/>
      <c r="P11" s="572"/>
    </row>
    <row r="12" spans="1:16">
      <c r="A12" s="558" t="s">
        <v>598</v>
      </c>
      <c r="B12" s="568">
        <f t="shared" ref="B12:I12" si="1">SUM(B6:B11)</f>
        <v>9.41</v>
      </c>
      <c r="C12" s="569">
        <f t="shared" si="1"/>
        <v>15.24</v>
      </c>
      <c r="D12" s="569">
        <f t="shared" si="1"/>
        <v>9.19</v>
      </c>
      <c r="E12" s="569">
        <f t="shared" si="1"/>
        <v>14.579999999999998</v>
      </c>
      <c r="F12" s="568">
        <f t="shared" si="1"/>
        <v>22.55</v>
      </c>
      <c r="G12" s="568">
        <f t="shared" si="1"/>
        <v>7.7099999999999991</v>
      </c>
      <c r="H12" s="568">
        <f t="shared" si="1"/>
        <v>10.27</v>
      </c>
      <c r="I12" s="568">
        <f t="shared" si="1"/>
        <v>17.96</v>
      </c>
      <c r="K12" s="588"/>
      <c r="L12" s="593"/>
      <c r="M12" s="593"/>
      <c r="N12" s="593"/>
      <c r="O12" s="570"/>
      <c r="P12" s="572"/>
    </row>
    <row r="13" spans="1:16">
      <c r="B13" s="568"/>
      <c r="D13" s="559"/>
      <c r="K13" s="588"/>
      <c r="L13" s="593"/>
      <c r="M13" s="593"/>
      <c r="N13" s="593"/>
      <c r="O13" s="570"/>
      <c r="P13" s="572"/>
    </row>
    <row r="14" spans="1:16">
      <c r="A14" s="558" t="s">
        <v>599</v>
      </c>
      <c r="B14" s="573">
        <f t="shared" ref="B14:I14" si="2">B5*2000</f>
        <v>42540</v>
      </c>
      <c r="C14" s="574">
        <f t="shared" si="2"/>
        <v>46340</v>
      </c>
      <c r="D14" s="574">
        <f t="shared" si="2"/>
        <v>43520</v>
      </c>
      <c r="E14" s="574">
        <f t="shared" si="2"/>
        <v>55520</v>
      </c>
      <c r="F14" s="573">
        <f t="shared" si="2"/>
        <v>70880</v>
      </c>
      <c r="G14" s="573">
        <f t="shared" si="2"/>
        <v>32680</v>
      </c>
      <c r="H14" s="573">
        <f t="shared" si="2"/>
        <v>42780</v>
      </c>
      <c r="I14" s="573">
        <f t="shared" si="2"/>
        <v>79760</v>
      </c>
      <c r="K14" s="588"/>
      <c r="L14" s="594">
        <f>L5*2000</f>
        <v>78990.28010916576</v>
      </c>
      <c r="M14" s="594">
        <f>M5*2000</f>
        <v>36419.333436336594</v>
      </c>
      <c r="N14" s="594">
        <f>N5*2000</f>
        <v>47675.002582817608</v>
      </c>
      <c r="O14" s="570"/>
      <c r="P14" s="575">
        <f>P5*2000</f>
        <v>113395.45842304677</v>
      </c>
    </row>
    <row r="15" spans="1:16">
      <c r="A15" s="558" t="s">
        <v>600</v>
      </c>
      <c r="B15" s="576">
        <f t="shared" ref="B15:I15" si="3">B4/B5</f>
        <v>1.442877291960508</v>
      </c>
      <c r="C15" s="577">
        <f t="shared" si="3"/>
        <v>1.6577470867501076</v>
      </c>
      <c r="D15" s="577">
        <f t="shared" si="3"/>
        <v>1.4223345588235292</v>
      </c>
      <c r="E15" s="577">
        <f t="shared" si="3"/>
        <v>1.5248559077809796</v>
      </c>
      <c r="F15" s="578">
        <f t="shared" si="3"/>
        <v>1.6360045146726863</v>
      </c>
      <c r="G15" s="578">
        <f t="shared" si="3"/>
        <v>1.4718482252141984</v>
      </c>
      <c r="H15" s="578">
        <f t="shared" si="3"/>
        <v>1.48013090229079</v>
      </c>
      <c r="I15" s="578">
        <f t="shared" si="3"/>
        <v>1.450100300902708</v>
      </c>
      <c r="K15" s="588"/>
      <c r="L15" s="595">
        <f>L4/L5</f>
        <v>1.8528733567269067</v>
      </c>
      <c r="M15" s="595">
        <f>M4/M5</f>
        <v>1.6669565011504808</v>
      </c>
      <c r="N15" s="595">
        <f>N4/N5</f>
        <v>1.6763371303235368</v>
      </c>
      <c r="O15" s="570"/>
      <c r="P15" s="579">
        <f>P4/P5</f>
        <v>1.7607038978331473</v>
      </c>
    </row>
    <row r="16" spans="1:16">
      <c r="A16" s="558" t="s">
        <v>601</v>
      </c>
      <c r="B16" s="578"/>
      <c r="C16" s="577"/>
      <c r="D16" s="577"/>
      <c r="E16" s="577"/>
      <c r="F16" s="578"/>
      <c r="G16" s="578"/>
      <c r="H16" s="578"/>
      <c r="I16" s="578"/>
      <c r="K16" s="588"/>
      <c r="L16" s="595">
        <f>L15/$B15/$K$19</f>
        <v>1.1338486812345405</v>
      </c>
      <c r="M16" s="595">
        <f>M15/$B15/$K$19</f>
        <v>1.0200785842393614</v>
      </c>
      <c r="N16" s="595">
        <f>N15/$B15/$K$19</f>
        <v>1.0258189733374101</v>
      </c>
      <c r="O16" s="570"/>
      <c r="P16" s="579">
        <f>P15/$B15/$O$19</f>
        <v>1.0050059758944478</v>
      </c>
    </row>
    <row r="17" spans="1:16">
      <c r="A17" s="558" t="s">
        <v>602</v>
      </c>
      <c r="C17" s="580">
        <f t="shared" ref="C17:I18" si="4">C4/$B4</f>
        <v>1.251547735418703</v>
      </c>
      <c r="D17" s="580">
        <f t="shared" si="4"/>
        <v>1.0084718149234277</v>
      </c>
      <c r="E17" s="580">
        <f t="shared" si="4"/>
        <v>1.3792766373411534</v>
      </c>
      <c r="F17" s="581">
        <f t="shared" si="4"/>
        <v>1.8892147279244051</v>
      </c>
      <c r="G17" s="581">
        <f t="shared" si="4"/>
        <v>0.78364288041707397</v>
      </c>
      <c r="H17" s="581">
        <f t="shared" si="4"/>
        <v>1.0316063864450962</v>
      </c>
      <c r="I17" s="581">
        <f t="shared" si="4"/>
        <v>1.8843271423916583</v>
      </c>
      <c r="K17" s="589">
        <f>$C17*D17</f>
        <v>1.2621506162010054</v>
      </c>
      <c r="L17" s="593"/>
      <c r="M17" s="593"/>
      <c r="N17" s="593"/>
      <c r="O17" s="582">
        <f>$C17*E17</f>
        <v>1.7262305519802441</v>
      </c>
      <c r="P17" s="572"/>
    </row>
    <row r="18" spans="1:16">
      <c r="A18" s="558" t="s">
        <v>603</v>
      </c>
      <c r="C18" s="580">
        <f t="shared" si="4"/>
        <v>1.0893276915843912</v>
      </c>
      <c r="D18" s="580">
        <f t="shared" si="4"/>
        <v>1.0230371415138695</v>
      </c>
      <c r="E18" s="580">
        <f t="shared" si="4"/>
        <v>1.3051245886224732</v>
      </c>
      <c r="F18" s="581">
        <f t="shared" si="4"/>
        <v>1.6661965209214855</v>
      </c>
      <c r="G18" s="581">
        <f t="shared" si="4"/>
        <v>0.76821814762576401</v>
      </c>
      <c r="H18" s="581">
        <f t="shared" si="4"/>
        <v>1.0056417489421721</v>
      </c>
      <c r="I18" s="581">
        <f t="shared" si="4"/>
        <v>1.8749412317818526</v>
      </c>
      <c r="K18" s="589">
        <f>$C18*D18</f>
        <v>1.1144226877703975</v>
      </c>
      <c r="L18" s="596">
        <f>$K18*L$16</f>
        <v>1.2635866948663175</v>
      </c>
      <c r="M18" s="596">
        <f>$K18*M$16</f>
        <v>1.1367987175850509</v>
      </c>
      <c r="N18" s="596">
        <f>$K18*N$16</f>
        <v>1.1431959374325464</v>
      </c>
      <c r="O18" s="582">
        <f>$C18*E18</f>
        <v>1.421708355354147</v>
      </c>
      <c r="P18" s="583">
        <f>$O18*P$16</f>
        <v>1.428825393109985</v>
      </c>
    </row>
    <row r="19" spans="1:16">
      <c r="A19" s="558" t="s">
        <v>604</v>
      </c>
      <c r="C19" s="580">
        <f t="shared" ref="C19:I19" si="5">C15/$B15</f>
        <v>1.1489175801620979</v>
      </c>
      <c r="D19" s="580">
        <f t="shared" si="5"/>
        <v>0.98576266100281729</v>
      </c>
      <c r="E19" s="580">
        <f t="shared" si="5"/>
        <v>1.0568160690290462</v>
      </c>
      <c r="F19" s="581">
        <f t="shared" si="5"/>
        <v>1.1338486812345401</v>
      </c>
      <c r="G19" s="581">
        <f t="shared" si="5"/>
        <v>1.0200785842393612</v>
      </c>
      <c r="H19" s="581">
        <f t="shared" si="5"/>
        <v>1.0258189733374095</v>
      </c>
      <c r="I19" s="581">
        <f t="shared" si="5"/>
        <v>1.0050059758944476</v>
      </c>
      <c r="K19" s="590">
        <f>$C19*D19</f>
        <v>1.1325600510935072</v>
      </c>
      <c r="L19" s="593"/>
      <c r="M19" s="593"/>
      <c r="N19" s="593"/>
      <c r="O19" s="584">
        <f>$C19*E19</f>
        <v>1.2141945607052724</v>
      </c>
      <c r="P19" s="572"/>
    </row>
    <row r="20" spans="1:16" s="1324" customFormat="1">
      <c r="A20" s="2264" t="s">
        <v>1522</v>
      </c>
      <c r="B20" s="1360"/>
      <c r="C20" s="1360"/>
      <c r="D20" s="1361"/>
      <c r="E20" s="1360"/>
      <c r="F20" s="1360"/>
      <c r="G20" s="1360"/>
      <c r="H20" s="1360"/>
      <c r="N20" s="1325" t="s">
        <v>606</v>
      </c>
      <c r="O20" s="1326">
        <f>O19/K19</f>
        <v>1.0720796301555451</v>
      </c>
    </row>
    <row r="22" spans="1:16">
      <c r="A22" s="557" t="s">
        <v>605</v>
      </c>
    </row>
    <row r="23" spans="1:16" s="167" customFormat="1" ht="13.5" thickBot="1">
      <c r="A23" s="585" t="s">
        <v>1309</v>
      </c>
      <c r="B23" s="585"/>
    </row>
    <row r="24" spans="1:16" s="167" customFormat="1">
      <c r="A24" s="585" t="s">
        <v>1515</v>
      </c>
      <c r="B24" s="2256">
        <v>118920</v>
      </c>
      <c r="D24" s="1609" t="s">
        <v>1303</v>
      </c>
    </row>
    <row r="25" spans="1:16" s="167" customFormat="1">
      <c r="A25" s="585" t="s">
        <v>1516</v>
      </c>
      <c r="B25" s="2257">
        <v>33.08</v>
      </c>
      <c r="D25" s="1609" t="s">
        <v>1304</v>
      </c>
      <c r="E25" s="167" t="s">
        <v>1523</v>
      </c>
      <c r="F25" s="167">
        <v>18</v>
      </c>
      <c r="G25" s="167" t="s">
        <v>1526</v>
      </c>
      <c r="I25" s="167" t="s">
        <v>1523</v>
      </c>
    </row>
    <row r="26" spans="1:16" s="167" customFormat="1">
      <c r="A26" s="2259" t="s">
        <v>1517</v>
      </c>
      <c r="B26" s="2257">
        <v>30.35</v>
      </c>
      <c r="D26" s="1609" t="s">
        <v>1305</v>
      </c>
      <c r="E26" s="167" t="s">
        <v>1524</v>
      </c>
      <c r="F26" s="167">
        <v>18</v>
      </c>
      <c r="G26" s="167" t="s">
        <v>1527</v>
      </c>
      <c r="I26" s="167" t="s">
        <v>1524</v>
      </c>
    </row>
    <row r="27" spans="1:16" s="167" customFormat="1">
      <c r="A27" s="2259" t="s">
        <v>1518</v>
      </c>
      <c r="B27" s="2257">
        <v>17.690000000000001</v>
      </c>
      <c r="D27" s="1609" t="s">
        <v>1306</v>
      </c>
      <c r="E27" s="167" t="s">
        <v>1523</v>
      </c>
      <c r="F27" s="167">
        <v>18</v>
      </c>
      <c r="G27" s="167" t="s">
        <v>1526</v>
      </c>
      <c r="I27" s="167" t="s">
        <v>1524</v>
      </c>
    </row>
    <row r="28" spans="1:16" s="167" customFormat="1">
      <c r="A28" s="586" t="s">
        <v>1519</v>
      </c>
      <c r="B28" s="2257">
        <v>21.36</v>
      </c>
      <c r="D28" s="1609" t="s">
        <v>1307</v>
      </c>
      <c r="E28" s="167" t="s">
        <v>1525</v>
      </c>
      <c r="F28" s="167">
        <v>18</v>
      </c>
      <c r="G28" s="167" t="s">
        <v>1528</v>
      </c>
      <c r="I28" s="167" t="s">
        <v>1525</v>
      </c>
    </row>
    <row r="29" spans="1:16" s="167" customFormat="1" ht="13.5" thickBot="1">
      <c r="A29" s="586" t="s">
        <v>1520</v>
      </c>
      <c r="B29" s="2258">
        <v>23.19</v>
      </c>
      <c r="I29" s="167" t="s">
        <v>1523</v>
      </c>
    </row>
    <row r="30" spans="1:16" s="167" customFormat="1">
      <c r="A30" s="597" t="s">
        <v>1521</v>
      </c>
      <c r="B30" s="585"/>
    </row>
    <row r="33" spans="2:4">
      <c r="D33" s="559"/>
    </row>
    <row r="34" spans="2:4">
      <c r="C34" s="1262"/>
      <c r="D34" s="574"/>
    </row>
    <row r="35" spans="2:4">
      <c r="C35" s="1262"/>
      <c r="D35" s="569"/>
    </row>
    <row r="36" spans="2:4">
      <c r="C36" s="1262"/>
      <c r="D36" s="569"/>
    </row>
    <row r="37" spans="2:4">
      <c r="C37" s="1262"/>
      <c r="D37" s="569"/>
    </row>
    <row r="38" spans="2:4">
      <c r="C38" s="1262"/>
      <c r="D38" s="569"/>
    </row>
    <row r="39" spans="2:4">
      <c r="B39" s="573"/>
      <c r="C39" s="1262"/>
      <c r="D39" s="569"/>
    </row>
    <row r="40" spans="2:4">
      <c r="B40" s="578"/>
      <c r="D40" s="559"/>
    </row>
    <row r="41" spans="2:4">
      <c r="B41" s="1263"/>
      <c r="C41" s="1264"/>
      <c r="D41" s="559"/>
    </row>
    <row r="42" spans="2:4">
      <c r="B42" s="1265"/>
      <c r="C42" s="1264"/>
      <c r="D42" s="559"/>
    </row>
    <row r="43" spans="2:4">
      <c r="B43" s="1265"/>
      <c r="D43" s="559"/>
    </row>
    <row r="44" spans="2:4">
      <c r="D44" s="559"/>
    </row>
    <row r="45" spans="2:4">
      <c r="B45" s="1266"/>
      <c r="D45" s="559"/>
    </row>
  </sheetData>
  <phoneticPr fontId="77" type="noConversion"/>
  <pageMargins left="0.75" right="0.75" top="1" bottom="1" header="0.5" footer="0.5"/>
  <pageSetup orientation="portrait" r:id="rId1"/>
  <headerFooter alignWithMargins="0"/>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tabColor theme="0" tint="-0.499984740745262"/>
  </sheetPr>
  <dimension ref="A1:FE31"/>
  <sheetViews>
    <sheetView zoomScale="85" zoomScaleNormal="85" workbookViewId="0">
      <selection activeCell="D73" sqref="D73"/>
    </sheetView>
  </sheetViews>
  <sheetFormatPr defaultRowHeight="12.75"/>
  <cols>
    <col min="1" max="1" width="44.85546875" customWidth="1"/>
    <col min="2" max="2" width="13.42578125" bestFit="1" customWidth="1"/>
    <col min="3" max="3" width="12.28515625" customWidth="1"/>
    <col min="4" max="4" width="13.5703125" bestFit="1" customWidth="1"/>
    <col min="5" max="6" width="12.28515625" bestFit="1" customWidth="1"/>
    <col min="7" max="7" width="12.42578125" bestFit="1" customWidth="1"/>
    <col min="8" max="9" width="12.28515625" bestFit="1" customWidth="1"/>
    <col min="10" max="23" width="10.7109375" bestFit="1" customWidth="1"/>
    <col min="24" max="30" width="11.42578125" bestFit="1" customWidth="1"/>
  </cols>
  <sheetData>
    <row r="1" spans="1:161" ht="21" thickBot="1">
      <c r="D1" s="475" t="s">
        <v>279</v>
      </c>
    </row>
    <row r="2" spans="1:161" ht="13.5" thickBot="1">
      <c r="A2" s="4608"/>
      <c r="B2" s="4609"/>
      <c r="C2" s="4609"/>
      <c r="D2" s="32"/>
      <c r="E2" s="14"/>
      <c r="F2" s="14"/>
      <c r="G2" s="14"/>
      <c r="H2" s="14"/>
      <c r="I2" s="14"/>
      <c r="J2" s="14"/>
      <c r="K2" s="14"/>
      <c r="L2" s="14"/>
      <c r="M2" s="14"/>
      <c r="N2" s="14"/>
      <c r="O2" s="14"/>
      <c r="P2" s="14"/>
      <c r="Q2" s="14"/>
      <c r="R2" s="14"/>
      <c r="S2" s="14"/>
      <c r="T2" s="14"/>
      <c r="U2" s="14"/>
      <c r="V2" s="14"/>
      <c r="W2" s="14"/>
      <c r="X2" s="14"/>
      <c r="Y2" s="14"/>
      <c r="Z2" s="14"/>
      <c r="AA2" s="14"/>
      <c r="AB2" s="14"/>
      <c r="AC2" s="14"/>
      <c r="AD2" s="10"/>
    </row>
    <row r="3" spans="1:161">
      <c r="A3" s="121" t="s">
        <v>89</v>
      </c>
      <c r="B3" s="33">
        <f>DATEVALUE(CONCATENATE("1/1/"&amp;'INPUT-OUTPUT'!$C$8))</f>
        <v>41275</v>
      </c>
      <c r="C3" s="319" t="s">
        <v>339</v>
      </c>
      <c r="D3" s="333">
        <f>IF($B$3+$B4*365.25&lt;=EndDate,$B$3+$B4*365.25,"")</f>
        <v>41275</v>
      </c>
      <c r="E3" s="280">
        <f t="shared" ref="E3:S3" si="0">IF(D3="","",IF(D3+$B4*365.25&gt;EndDate,"",D3+$B4*365.25))</f>
        <v>41275</v>
      </c>
      <c r="F3" s="280">
        <f t="shared" si="0"/>
        <v>41275</v>
      </c>
      <c r="G3" s="280">
        <f t="shared" si="0"/>
        <v>41275</v>
      </c>
      <c r="H3" s="280">
        <f t="shared" si="0"/>
        <v>41275</v>
      </c>
      <c r="I3" s="280">
        <f t="shared" si="0"/>
        <v>41275</v>
      </c>
      <c r="J3" s="280">
        <f t="shared" si="0"/>
        <v>41275</v>
      </c>
      <c r="K3" s="280">
        <f t="shared" si="0"/>
        <v>41275</v>
      </c>
      <c r="L3" s="280">
        <f t="shared" si="0"/>
        <v>41275</v>
      </c>
      <c r="M3" s="280">
        <f t="shared" si="0"/>
        <v>41275</v>
      </c>
      <c r="N3" s="280">
        <f t="shared" si="0"/>
        <v>41275</v>
      </c>
      <c r="O3" s="280">
        <f t="shared" si="0"/>
        <v>41275</v>
      </c>
      <c r="P3" s="280">
        <f t="shared" si="0"/>
        <v>41275</v>
      </c>
      <c r="Q3" s="280">
        <f t="shared" si="0"/>
        <v>41275</v>
      </c>
      <c r="R3" s="280">
        <f t="shared" si="0"/>
        <v>41275</v>
      </c>
      <c r="S3" s="280">
        <f t="shared" si="0"/>
        <v>41275</v>
      </c>
      <c r="T3" s="280"/>
      <c r="U3" s="280"/>
      <c r="V3" s="280"/>
      <c r="W3" s="280"/>
      <c r="X3" s="280"/>
      <c r="Y3" s="280"/>
      <c r="Z3" s="280"/>
      <c r="AA3" s="280"/>
      <c r="AB3" s="280"/>
      <c r="AC3" s="280"/>
      <c r="AD3" s="281"/>
    </row>
    <row r="4" spans="1:161">
      <c r="A4" s="12" t="s">
        <v>642</v>
      </c>
      <c r="B4" s="23">
        <f>MajorOverhaulInterval/OpHrsPerYr</f>
        <v>0</v>
      </c>
      <c r="C4" s="15" t="s">
        <v>159</v>
      </c>
      <c r="D4" s="11"/>
      <c r="E4" s="7"/>
      <c r="F4" s="7"/>
      <c r="G4" s="9"/>
      <c r="H4" s="9"/>
      <c r="I4" s="9"/>
      <c r="J4" s="7"/>
      <c r="K4" s="7"/>
      <c r="L4" s="7"/>
      <c r="M4" s="7"/>
      <c r="N4" s="7"/>
      <c r="O4" s="7"/>
      <c r="P4" s="7"/>
      <c r="Q4" s="7"/>
      <c r="R4" s="7"/>
      <c r="S4" s="7"/>
      <c r="T4" s="7"/>
      <c r="U4" s="7"/>
      <c r="V4" s="7"/>
      <c r="W4" s="7"/>
      <c r="X4" s="7"/>
      <c r="Y4" s="7"/>
      <c r="Z4" s="7"/>
      <c r="AA4" s="7"/>
      <c r="AB4" s="7"/>
      <c r="AC4" s="7"/>
      <c r="AD4" s="15"/>
    </row>
    <row r="5" spans="1:161">
      <c r="A5" s="12" t="s">
        <v>962</v>
      </c>
      <c r="B5" s="298">
        <f>DATEVALUE(CONCATENATE("1/1/"&amp;BaseYr))</f>
        <v>40544</v>
      </c>
      <c r="C5" s="15"/>
      <c r="D5" s="11"/>
      <c r="E5" s="7"/>
      <c r="F5" s="7"/>
      <c r="G5" s="7"/>
      <c r="H5" s="7"/>
      <c r="I5" s="7"/>
      <c r="J5" s="7"/>
      <c r="K5" s="7"/>
      <c r="L5" s="7"/>
      <c r="M5" s="7"/>
      <c r="N5" s="7"/>
      <c r="O5" s="7"/>
      <c r="P5" s="7"/>
      <c r="Q5" s="7"/>
      <c r="R5" s="7"/>
      <c r="S5" s="7"/>
      <c r="T5" s="7"/>
      <c r="U5" s="7"/>
      <c r="V5" s="7"/>
      <c r="W5" s="7"/>
      <c r="X5" s="7"/>
      <c r="Y5" s="7"/>
      <c r="Z5" s="7"/>
      <c r="AA5" s="7"/>
      <c r="AB5" s="7"/>
      <c r="AC5" s="7"/>
      <c r="AD5" s="15"/>
    </row>
    <row r="6" spans="1:161" s="89" customFormat="1">
      <c r="A6" s="251" t="s">
        <v>612</v>
      </c>
      <c r="B6" s="24">
        <f>-PMT((1+RealDiscountRate)/(1+OMEscalation)-1,BookLife,C6*(1+InflationRate)*(1+OMEscalation)/((1+HistInflationRate)*(1+OMEscalation))^(StartYr-BaseYr))</f>
        <v>0</v>
      </c>
      <c r="C6" s="320">
        <f>SUM(D6:AD6)/(1+DiscountRate)</f>
        <v>0</v>
      </c>
      <c r="D6" s="334">
        <f t="shared" ref="D6:AD6" si="1">IF(D3&lt;&gt;"",IF(D3-$B$3&lt;EquipLifeYears*365.25,CostPerMajorOverhaul*((1+HistInflationRate)*(1+OMEscalation))^(StartYr-BaseYr)*((1+InflationRate)*(1+OMEscalation))^((D3-$B$3)/365.25)/(1+DiscountRate)^((D3-$B$3)/365.25),0),"")</f>
        <v>0</v>
      </c>
      <c r="E6" s="123">
        <f t="shared" si="1"/>
        <v>0</v>
      </c>
      <c r="F6" s="123">
        <f t="shared" si="1"/>
        <v>0</v>
      </c>
      <c r="G6" s="123">
        <f t="shared" si="1"/>
        <v>0</v>
      </c>
      <c r="H6" s="123">
        <f t="shared" si="1"/>
        <v>0</v>
      </c>
      <c r="I6" s="123">
        <f t="shared" si="1"/>
        <v>0</v>
      </c>
      <c r="J6" s="123">
        <f t="shared" si="1"/>
        <v>0</v>
      </c>
      <c r="K6" s="123">
        <f t="shared" si="1"/>
        <v>0</v>
      </c>
      <c r="L6" s="123">
        <f t="shared" si="1"/>
        <v>0</v>
      </c>
      <c r="M6" s="123">
        <f t="shared" si="1"/>
        <v>0</v>
      </c>
      <c r="N6" s="123">
        <f t="shared" si="1"/>
        <v>0</v>
      </c>
      <c r="O6" s="123">
        <f t="shared" si="1"/>
        <v>0</v>
      </c>
      <c r="P6" s="123">
        <f t="shared" si="1"/>
        <v>0</v>
      </c>
      <c r="Q6" s="123">
        <f t="shared" si="1"/>
        <v>0</v>
      </c>
      <c r="R6" s="123">
        <f t="shared" si="1"/>
        <v>0</v>
      </c>
      <c r="S6" s="123">
        <f t="shared" si="1"/>
        <v>0</v>
      </c>
      <c r="T6" s="123" t="str">
        <f t="shared" si="1"/>
        <v/>
      </c>
      <c r="U6" s="123" t="str">
        <f t="shared" si="1"/>
        <v/>
      </c>
      <c r="V6" s="123" t="str">
        <f t="shared" si="1"/>
        <v/>
      </c>
      <c r="W6" s="123" t="str">
        <f t="shared" si="1"/>
        <v/>
      </c>
      <c r="X6" s="123" t="str">
        <f t="shared" si="1"/>
        <v/>
      </c>
      <c r="Y6" s="123" t="str">
        <f t="shared" si="1"/>
        <v/>
      </c>
      <c r="Z6" s="123" t="str">
        <f t="shared" si="1"/>
        <v/>
      </c>
      <c r="AA6" s="123" t="str">
        <f t="shared" si="1"/>
        <v/>
      </c>
      <c r="AB6" s="123" t="str">
        <f t="shared" si="1"/>
        <v/>
      </c>
      <c r="AC6" s="123" t="str">
        <f t="shared" si="1"/>
        <v/>
      </c>
      <c r="AD6" s="322" t="str">
        <f t="shared" si="1"/>
        <v/>
      </c>
    </row>
    <row r="7" spans="1:161" s="89" customFormat="1">
      <c r="A7" s="20"/>
      <c r="B7" s="123"/>
      <c r="C7" s="320"/>
      <c r="D7" s="334"/>
      <c r="E7" s="123"/>
      <c r="F7" s="123"/>
      <c r="G7" s="123"/>
      <c r="H7" s="123"/>
      <c r="I7" s="123"/>
      <c r="J7" s="123"/>
      <c r="K7" s="123"/>
      <c r="L7" s="123"/>
      <c r="M7" s="123"/>
      <c r="N7" s="123"/>
      <c r="O7" s="123"/>
      <c r="P7" s="123"/>
      <c r="Q7" s="123"/>
      <c r="R7" s="123"/>
      <c r="S7" s="123"/>
      <c r="T7" s="123"/>
      <c r="U7" s="123"/>
      <c r="V7" s="123"/>
      <c r="W7" s="123"/>
      <c r="X7" s="123"/>
      <c r="Y7" s="123"/>
      <c r="Z7" s="123"/>
      <c r="AA7" s="123"/>
      <c r="AB7" s="123"/>
      <c r="AC7" s="123"/>
      <c r="AD7" s="322"/>
    </row>
    <row r="8" spans="1:161" s="89" customFormat="1">
      <c r="A8" s="20"/>
      <c r="B8" s="123"/>
      <c r="C8" s="18"/>
      <c r="D8" s="334"/>
      <c r="E8" s="123"/>
      <c r="F8" s="123"/>
      <c r="G8" s="123"/>
      <c r="H8" s="123"/>
      <c r="I8" s="123"/>
      <c r="J8" s="123"/>
      <c r="K8" s="123"/>
      <c r="L8" s="123"/>
      <c r="M8" s="123"/>
      <c r="N8" s="123"/>
      <c r="O8" s="123"/>
      <c r="P8" s="123"/>
      <c r="Q8" s="123"/>
      <c r="R8" s="123"/>
      <c r="S8" s="123"/>
      <c r="T8" s="123"/>
      <c r="U8" s="123"/>
      <c r="V8" s="123"/>
      <c r="W8" s="123"/>
      <c r="X8" s="123"/>
      <c r="Y8" s="123"/>
      <c r="Z8" s="123"/>
      <c r="AA8" s="123"/>
      <c r="AB8" s="123"/>
      <c r="AC8" s="123"/>
      <c r="AD8" s="322"/>
    </row>
    <row r="9" spans="1:161" s="89" customFormat="1">
      <c r="A9" s="251" t="s">
        <v>280</v>
      </c>
      <c r="B9" s="24">
        <f>B11+B13+B15</f>
        <v>0</v>
      </c>
      <c r="C9" s="18"/>
      <c r="D9" s="335"/>
      <c r="E9" s="323"/>
      <c r="F9" s="323"/>
      <c r="G9" s="323"/>
      <c r="H9" s="323"/>
      <c r="I9" s="323"/>
      <c r="J9" s="323"/>
      <c r="K9" s="323"/>
      <c r="L9" s="323"/>
      <c r="M9" s="323"/>
      <c r="N9" s="323"/>
      <c r="O9" s="323"/>
      <c r="P9" s="323"/>
      <c r="Q9" s="323"/>
      <c r="R9" s="323"/>
      <c r="S9" s="323"/>
      <c r="T9" s="30"/>
      <c r="U9" s="30"/>
      <c r="V9" s="30"/>
      <c r="W9" s="30"/>
      <c r="X9" s="30"/>
      <c r="Y9" s="30"/>
      <c r="Z9" s="30"/>
      <c r="AA9" s="30"/>
      <c r="AB9" s="30"/>
      <c r="AC9" s="30"/>
      <c r="AD9" s="18"/>
    </row>
    <row r="10" spans="1:161" s="89" customFormat="1">
      <c r="A10" s="21" t="str">
        <f>'O&amp;M Costs'!G57</f>
        <v>Annual Cost Item 1 (Incl Labor)</v>
      </c>
      <c r="B10" s="305">
        <f>MinorOverhaulItem1Hrs/OpHrsPerYr</f>
        <v>0</v>
      </c>
      <c r="C10" s="18" t="s">
        <v>159</v>
      </c>
      <c r="D10" s="336">
        <f>IF($B$3+$B10*365.25&lt;=EndDate,$B$3+$B10*365.25,"")</f>
        <v>41275</v>
      </c>
      <c r="E10" s="324">
        <f t="shared" ref="E10:AD10" si="2">IF(D10="","",IF(D10+$B10*365.25&gt;EndDate,"",D10+$B10*365.25))</f>
        <v>41275</v>
      </c>
      <c r="F10" s="324">
        <f t="shared" si="2"/>
        <v>41275</v>
      </c>
      <c r="G10" s="324">
        <f t="shared" si="2"/>
        <v>41275</v>
      </c>
      <c r="H10" s="324">
        <f t="shared" si="2"/>
        <v>41275</v>
      </c>
      <c r="I10" s="324">
        <f t="shared" si="2"/>
        <v>41275</v>
      </c>
      <c r="J10" s="324">
        <f t="shared" si="2"/>
        <v>41275</v>
      </c>
      <c r="K10" s="324">
        <f t="shared" si="2"/>
        <v>41275</v>
      </c>
      <c r="L10" s="324">
        <f t="shared" si="2"/>
        <v>41275</v>
      </c>
      <c r="M10" s="324">
        <f t="shared" si="2"/>
        <v>41275</v>
      </c>
      <c r="N10" s="324">
        <f t="shared" si="2"/>
        <v>41275</v>
      </c>
      <c r="O10" s="324">
        <f t="shared" si="2"/>
        <v>41275</v>
      </c>
      <c r="P10" s="324">
        <f t="shared" si="2"/>
        <v>41275</v>
      </c>
      <c r="Q10" s="324">
        <f t="shared" si="2"/>
        <v>41275</v>
      </c>
      <c r="R10" s="324">
        <f t="shared" si="2"/>
        <v>41275</v>
      </c>
      <c r="S10" s="324">
        <f t="shared" si="2"/>
        <v>41275</v>
      </c>
      <c r="T10" s="324">
        <f t="shared" si="2"/>
        <v>41275</v>
      </c>
      <c r="U10" s="324">
        <f t="shared" si="2"/>
        <v>41275</v>
      </c>
      <c r="V10" s="324">
        <f t="shared" si="2"/>
        <v>41275</v>
      </c>
      <c r="W10" s="324">
        <f t="shared" si="2"/>
        <v>41275</v>
      </c>
      <c r="X10" s="324">
        <f t="shared" si="2"/>
        <v>41275</v>
      </c>
      <c r="Y10" s="324">
        <f t="shared" si="2"/>
        <v>41275</v>
      </c>
      <c r="Z10" s="324">
        <f t="shared" si="2"/>
        <v>41275</v>
      </c>
      <c r="AA10" s="324">
        <f t="shared" si="2"/>
        <v>41275</v>
      </c>
      <c r="AB10" s="324">
        <f t="shared" si="2"/>
        <v>41275</v>
      </c>
      <c r="AC10" s="324">
        <f t="shared" si="2"/>
        <v>41275</v>
      </c>
      <c r="AD10" s="325">
        <f t="shared" si="2"/>
        <v>41275</v>
      </c>
      <c r="AE10" s="287"/>
      <c r="AF10" s="287"/>
      <c r="AG10" s="287"/>
      <c r="AH10" s="287"/>
      <c r="AI10" s="287"/>
      <c r="AJ10" s="287"/>
      <c r="AK10" s="287"/>
      <c r="AL10" s="287"/>
      <c r="AM10" s="287"/>
      <c r="AN10" s="287"/>
      <c r="AO10" s="287"/>
      <c r="AP10" s="287"/>
      <c r="AQ10" s="287"/>
      <c r="AR10" s="287"/>
      <c r="AS10" s="287"/>
      <c r="AT10" s="287"/>
      <c r="AU10" s="287"/>
      <c r="AV10" s="287"/>
      <c r="AW10" s="287"/>
      <c r="AX10" s="287"/>
      <c r="AY10" s="287"/>
      <c r="AZ10" s="287"/>
      <c r="BA10" s="287"/>
      <c r="BB10" s="287"/>
      <c r="BC10" s="287"/>
      <c r="BD10" s="287"/>
      <c r="BE10" s="287"/>
      <c r="BF10" s="287"/>
      <c r="BG10" s="287"/>
      <c r="BH10" s="287"/>
      <c r="BI10" s="287"/>
      <c r="BJ10" s="287"/>
      <c r="BK10" s="287"/>
      <c r="BL10" s="287"/>
      <c r="BM10" s="287"/>
      <c r="BN10" s="287"/>
      <c r="BO10" s="287"/>
      <c r="BP10" s="287"/>
      <c r="BQ10" s="287"/>
      <c r="BR10" s="287"/>
      <c r="BS10" s="287"/>
      <c r="BT10" s="287"/>
      <c r="BU10" s="287"/>
      <c r="BV10" s="287"/>
      <c r="BW10" s="287"/>
      <c r="BX10" s="287"/>
      <c r="BY10" s="287"/>
      <c r="BZ10" s="287"/>
      <c r="CA10" s="287"/>
      <c r="CB10" s="287"/>
      <c r="CC10" s="287"/>
      <c r="CD10" s="287"/>
      <c r="CE10" s="287"/>
      <c r="CF10" s="287"/>
      <c r="CG10" s="287"/>
      <c r="CH10" s="287"/>
      <c r="CI10" s="287"/>
      <c r="CJ10" s="287"/>
      <c r="CK10" s="287"/>
      <c r="CL10" s="287"/>
      <c r="CM10" s="287"/>
      <c r="CN10" s="287"/>
      <c r="CO10" s="287"/>
      <c r="CP10" s="287"/>
      <c r="CQ10" s="287"/>
      <c r="CR10" s="287"/>
      <c r="CS10" s="287"/>
      <c r="CT10" s="287"/>
      <c r="CU10" s="287"/>
      <c r="CV10" s="287"/>
      <c r="CW10" s="287"/>
      <c r="CX10" s="287"/>
      <c r="CY10" s="287"/>
      <c r="CZ10" s="287"/>
      <c r="DA10" s="287"/>
      <c r="DB10" s="287"/>
      <c r="DC10" s="287"/>
      <c r="DD10" s="287"/>
      <c r="DE10" s="287"/>
      <c r="DF10" s="287"/>
      <c r="DG10" s="287"/>
      <c r="DH10" s="287"/>
      <c r="DI10" s="287"/>
      <c r="DJ10" s="287"/>
      <c r="DK10" s="287"/>
      <c r="DL10" s="287"/>
      <c r="DM10" s="287"/>
      <c r="DN10" s="287"/>
      <c r="DO10" s="287"/>
      <c r="DP10" s="287"/>
      <c r="DQ10" s="287"/>
      <c r="DR10" s="287"/>
      <c r="DS10" s="287"/>
      <c r="DT10" s="287"/>
      <c r="DU10" s="287"/>
      <c r="DV10" s="287"/>
      <c r="DW10" s="287"/>
      <c r="DX10" s="287"/>
      <c r="DY10" s="287"/>
      <c r="DZ10" s="287"/>
      <c r="EA10" s="287"/>
      <c r="EB10" s="287"/>
      <c r="EC10" s="287"/>
      <c r="ED10" s="287"/>
      <c r="EE10" s="287"/>
      <c r="EF10" s="287"/>
      <c r="EG10" s="287"/>
      <c r="EH10" s="287"/>
      <c r="EI10" s="287"/>
      <c r="EJ10" s="287"/>
      <c r="EK10" s="287"/>
      <c r="EL10" s="287"/>
      <c r="EM10" s="287"/>
      <c r="EN10" s="287"/>
      <c r="EO10" s="287"/>
      <c r="EP10" s="287"/>
      <c r="EQ10" s="287"/>
      <c r="ER10" s="287"/>
      <c r="ES10" s="287"/>
      <c r="ET10" s="287"/>
      <c r="EU10" s="287"/>
      <c r="EV10" s="287"/>
      <c r="EW10" s="287"/>
      <c r="EX10" s="287"/>
      <c r="EY10" s="287"/>
      <c r="EZ10" s="287"/>
      <c r="FA10" s="287"/>
      <c r="FB10" s="287"/>
      <c r="FC10" s="287"/>
      <c r="FD10" s="287"/>
      <c r="FE10" s="287"/>
    </row>
    <row r="11" spans="1:161" s="89" customFormat="1">
      <c r="A11" s="21"/>
      <c r="B11" s="321">
        <f>-PMT((1+RealDiscountRate)/(1+OMEscalation)-1,BookLife,SUM(D11:AD11)/(1+DiscountRate))*((1+InflationRate)*(1+OMEscalation))/((1+HistInflationRate)*(1+OMEscalation))^(StartYr-BaseYr)</f>
        <v>0</v>
      </c>
      <c r="C11" s="320">
        <f>SUM(D11:AD11)/(1+DiscountRate)</f>
        <v>0</v>
      </c>
      <c r="D11" s="334">
        <f t="shared" ref="D11:AD11" si="3">IF(D$10&lt;&gt;"",(MinorOverhaulItem1)*((1+HistInflationRate)*(1+OMEscalation))^(StartYr-BaseYr)*((1+InflationRate)*(1+OMEscalation))^((D$10-$B$3)/365.25)/(1+DiscountRate)^((D$10-$B$3)/365.25),"")</f>
        <v>0</v>
      </c>
      <c r="E11" s="123">
        <f t="shared" si="3"/>
        <v>0</v>
      </c>
      <c r="F11" s="123">
        <f t="shared" si="3"/>
        <v>0</v>
      </c>
      <c r="G11" s="123">
        <f t="shared" si="3"/>
        <v>0</v>
      </c>
      <c r="H11" s="123">
        <f t="shared" si="3"/>
        <v>0</v>
      </c>
      <c r="I11" s="123">
        <f t="shared" si="3"/>
        <v>0</v>
      </c>
      <c r="J11" s="123">
        <f t="shared" si="3"/>
        <v>0</v>
      </c>
      <c r="K11" s="123">
        <f t="shared" si="3"/>
        <v>0</v>
      </c>
      <c r="L11" s="123">
        <f t="shared" si="3"/>
        <v>0</v>
      </c>
      <c r="M11" s="123">
        <f t="shared" si="3"/>
        <v>0</v>
      </c>
      <c r="N11" s="123">
        <f t="shared" si="3"/>
        <v>0</v>
      </c>
      <c r="O11" s="123">
        <f t="shared" si="3"/>
        <v>0</v>
      </c>
      <c r="P11" s="123">
        <f t="shared" si="3"/>
        <v>0</v>
      </c>
      <c r="Q11" s="123">
        <f t="shared" si="3"/>
        <v>0</v>
      </c>
      <c r="R11" s="123">
        <f t="shared" si="3"/>
        <v>0</v>
      </c>
      <c r="S11" s="123">
        <f t="shared" si="3"/>
        <v>0</v>
      </c>
      <c r="T11" s="123">
        <f t="shared" si="3"/>
        <v>0</v>
      </c>
      <c r="U11" s="123">
        <f t="shared" si="3"/>
        <v>0</v>
      </c>
      <c r="V11" s="123">
        <f t="shared" si="3"/>
        <v>0</v>
      </c>
      <c r="W11" s="123">
        <f t="shared" si="3"/>
        <v>0</v>
      </c>
      <c r="X11" s="123">
        <f t="shared" si="3"/>
        <v>0</v>
      </c>
      <c r="Y11" s="123">
        <f t="shared" si="3"/>
        <v>0</v>
      </c>
      <c r="Z11" s="123">
        <f t="shared" si="3"/>
        <v>0</v>
      </c>
      <c r="AA11" s="123">
        <f t="shared" si="3"/>
        <v>0</v>
      </c>
      <c r="AB11" s="123">
        <f t="shared" si="3"/>
        <v>0</v>
      </c>
      <c r="AC11" s="123">
        <f t="shared" si="3"/>
        <v>0</v>
      </c>
      <c r="AD11" s="322">
        <f t="shared" si="3"/>
        <v>0</v>
      </c>
    </row>
    <row r="12" spans="1:161" s="89" customFormat="1">
      <c r="A12" s="21" t="str">
        <f>'O&amp;M Costs'!G59</f>
        <v>Annual Cost Item 2 (Incl Labor)</v>
      </c>
      <c r="B12" s="305">
        <f>MinorOverhaulItem2Hrs/OpHrsPerYr</f>
        <v>0</v>
      </c>
      <c r="C12" s="18" t="s">
        <v>159</v>
      </c>
      <c r="D12" s="336" t="str">
        <f>IF(AND($B$3+$B12*365.25&lt;=EndDate,$B12&gt;0),$B$3+$B12*365.25,"")</f>
        <v/>
      </c>
      <c r="E12" s="324" t="str">
        <f t="shared" ref="E12:AD12" si="4">IF(D12="","",IF(D12+$B12*365.25&gt;EndDate,"",D12+$B12*365.25))</f>
        <v/>
      </c>
      <c r="F12" s="324" t="str">
        <f t="shared" si="4"/>
        <v/>
      </c>
      <c r="G12" s="324" t="str">
        <f t="shared" si="4"/>
        <v/>
      </c>
      <c r="H12" s="324" t="str">
        <f t="shared" si="4"/>
        <v/>
      </c>
      <c r="I12" s="324" t="str">
        <f t="shared" si="4"/>
        <v/>
      </c>
      <c r="J12" s="324" t="str">
        <f t="shared" si="4"/>
        <v/>
      </c>
      <c r="K12" s="324" t="str">
        <f t="shared" si="4"/>
        <v/>
      </c>
      <c r="L12" s="324" t="str">
        <f t="shared" si="4"/>
        <v/>
      </c>
      <c r="M12" s="324" t="str">
        <f t="shared" si="4"/>
        <v/>
      </c>
      <c r="N12" s="324" t="str">
        <f t="shared" si="4"/>
        <v/>
      </c>
      <c r="O12" s="324" t="str">
        <f t="shared" si="4"/>
        <v/>
      </c>
      <c r="P12" s="324" t="str">
        <f t="shared" si="4"/>
        <v/>
      </c>
      <c r="Q12" s="324" t="str">
        <f t="shared" si="4"/>
        <v/>
      </c>
      <c r="R12" s="324" t="str">
        <f t="shared" si="4"/>
        <v/>
      </c>
      <c r="S12" s="324" t="str">
        <f t="shared" si="4"/>
        <v/>
      </c>
      <c r="T12" s="324" t="str">
        <f t="shared" si="4"/>
        <v/>
      </c>
      <c r="U12" s="324" t="str">
        <f t="shared" si="4"/>
        <v/>
      </c>
      <c r="V12" s="324" t="str">
        <f t="shared" si="4"/>
        <v/>
      </c>
      <c r="W12" s="324" t="str">
        <f t="shared" si="4"/>
        <v/>
      </c>
      <c r="X12" s="324" t="str">
        <f t="shared" si="4"/>
        <v/>
      </c>
      <c r="Y12" s="324" t="str">
        <f t="shared" si="4"/>
        <v/>
      </c>
      <c r="Z12" s="324" t="str">
        <f t="shared" si="4"/>
        <v/>
      </c>
      <c r="AA12" s="324" t="str">
        <f t="shared" si="4"/>
        <v/>
      </c>
      <c r="AB12" s="324" t="str">
        <f t="shared" si="4"/>
        <v/>
      </c>
      <c r="AC12" s="324" t="str">
        <f t="shared" si="4"/>
        <v/>
      </c>
      <c r="AD12" s="325" t="str">
        <f t="shared" si="4"/>
        <v/>
      </c>
    </row>
    <row r="13" spans="1:161" s="89" customFormat="1">
      <c r="A13" s="21"/>
      <c r="B13" s="321">
        <f>-PMT((1+RealDiscountRate)/(1+OMEscalation)-1,BookLife,SUM(D13:AD13)/(1+DiscountRate))*((1+InflationRate)*(1+OMEscalation))/((1+HistInflationRate)*(1+OMEscalation))^(StartYr-BaseYr)</f>
        <v>0</v>
      </c>
      <c r="C13" s="320">
        <f>SUM(D13:AD13)/(1+DiscountRate)</f>
        <v>0</v>
      </c>
      <c r="D13" s="334">
        <f t="shared" ref="D13:AD13" si="5">IF(D$10&lt;&gt;"",(MinorOverhaulItem2)*((1+HistInflationRate)*(1+OMEscalation))^(StartYr-BaseYr)*((1+InflationRate)*(1+OMEscalation))^((D$10-$B$3)/365.25)/(1+DiscountRate)^((D$10-$B$3)/365.25),"")</f>
        <v>0</v>
      </c>
      <c r="E13" s="123">
        <f t="shared" si="5"/>
        <v>0</v>
      </c>
      <c r="F13" s="123">
        <f t="shared" si="5"/>
        <v>0</v>
      </c>
      <c r="G13" s="123">
        <f t="shared" si="5"/>
        <v>0</v>
      </c>
      <c r="H13" s="123">
        <f t="shared" si="5"/>
        <v>0</v>
      </c>
      <c r="I13" s="123">
        <f t="shared" si="5"/>
        <v>0</v>
      </c>
      <c r="J13" s="123">
        <f t="shared" si="5"/>
        <v>0</v>
      </c>
      <c r="K13" s="123">
        <f t="shared" si="5"/>
        <v>0</v>
      </c>
      <c r="L13" s="123">
        <f t="shared" si="5"/>
        <v>0</v>
      </c>
      <c r="M13" s="123">
        <f t="shared" si="5"/>
        <v>0</v>
      </c>
      <c r="N13" s="123">
        <f t="shared" si="5"/>
        <v>0</v>
      </c>
      <c r="O13" s="123">
        <f t="shared" si="5"/>
        <v>0</v>
      </c>
      <c r="P13" s="123">
        <f t="shared" si="5"/>
        <v>0</v>
      </c>
      <c r="Q13" s="123">
        <f t="shared" si="5"/>
        <v>0</v>
      </c>
      <c r="R13" s="123">
        <f t="shared" si="5"/>
        <v>0</v>
      </c>
      <c r="S13" s="123">
        <f t="shared" si="5"/>
        <v>0</v>
      </c>
      <c r="T13" s="123">
        <f t="shared" si="5"/>
        <v>0</v>
      </c>
      <c r="U13" s="123">
        <f t="shared" si="5"/>
        <v>0</v>
      </c>
      <c r="V13" s="123">
        <f t="shared" si="5"/>
        <v>0</v>
      </c>
      <c r="W13" s="123">
        <f t="shared" si="5"/>
        <v>0</v>
      </c>
      <c r="X13" s="123">
        <f t="shared" si="5"/>
        <v>0</v>
      </c>
      <c r="Y13" s="123">
        <f t="shared" si="5"/>
        <v>0</v>
      </c>
      <c r="Z13" s="123">
        <f t="shared" si="5"/>
        <v>0</v>
      </c>
      <c r="AA13" s="123">
        <f t="shared" si="5"/>
        <v>0</v>
      </c>
      <c r="AB13" s="123">
        <f t="shared" si="5"/>
        <v>0</v>
      </c>
      <c r="AC13" s="123">
        <f t="shared" si="5"/>
        <v>0</v>
      </c>
      <c r="AD13" s="322">
        <f t="shared" si="5"/>
        <v>0</v>
      </c>
    </row>
    <row r="14" spans="1:161" s="89" customFormat="1">
      <c r="A14" s="21" t="str">
        <f>'O&amp;M Costs'!G61</f>
        <v>Annual Cost Item 3 (Incl Labor)</v>
      </c>
      <c r="B14" s="305">
        <f>MinorOverhaulItem3Hrs/OpHrsPerYr</f>
        <v>0</v>
      </c>
      <c r="C14" s="18" t="s">
        <v>159</v>
      </c>
      <c r="D14" s="336" t="str">
        <f>IF(AND($B$3+$B14*365.25&lt;=EndDate,$B14&gt;0),$B$3+$B14*365.25,"")</f>
        <v/>
      </c>
      <c r="E14" s="324" t="str">
        <f t="shared" ref="E14:AD14" si="6">IF(AND($B$3+$B14*365.25&lt;=EndDate,$B14&gt;0),$B$3+$B14*365.25,"")</f>
        <v/>
      </c>
      <c r="F14" s="324" t="str">
        <f t="shared" si="6"/>
        <v/>
      </c>
      <c r="G14" s="324" t="str">
        <f t="shared" si="6"/>
        <v/>
      </c>
      <c r="H14" s="324" t="str">
        <f t="shared" si="6"/>
        <v/>
      </c>
      <c r="I14" s="324" t="str">
        <f t="shared" si="6"/>
        <v/>
      </c>
      <c r="J14" s="324" t="str">
        <f t="shared" si="6"/>
        <v/>
      </c>
      <c r="K14" s="324" t="str">
        <f t="shared" si="6"/>
        <v/>
      </c>
      <c r="L14" s="324" t="str">
        <f t="shared" si="6"/>
        <v/>
      </c>
      <c r="M14" s="324" t="str">
        <f t="shared" si="6"/>
        <v/>
      </c>
      <c r="N14" s="324" t="str">
        <f t="shared" si="6"/>
        <v/>
      </c>
      <c r="O14" s="324" t="str">
        <f t="shared" si="6"/>
        <v/>
      </c>
      <c r="P14" s="324" t="str">
        <f t="shared" si="6"/>
        <v/>
      </c>
      <c r="Q14" s="324" t="str">
        <f t="shared" si="6"/>
        <v/>
      </c>
      <c r="R14" s="324" t="str">
        <f t="shared" si="6"/>
        <v/>
      </c>
      <c r="S14" s="324" t="str">
        <f t="shared" si="6"/>
        <v/>
      </c>
      <c r="T14" s="324" t="str">
        <f t="shared" si="6"/>
        <v/>
      </c>
      <c r="U14" s="324" t="str">
        <f t="shared" si="6"/>
        <v/>
      </c>
      <c r="V14" s="324" t="str">
        <f t="shared" si="6"/>
        <v/>
      </c>
      <c r="W14" s="324" t="str">
        <f t="shared" si="6"/>
        <v/>
      </c>
      <c r="X14" s="324" t="str">
        <f t="shared" si="6"/>
        <v/>
      </c>
      <c r="Y14" s="324" t="str">
        <f t="shared" si="6"/>
        <v/>
      </c>
      <c r="Z14" s="324" t="str">
        <f t="shared" si="6"/>
        <v/>
      </c>
      <c r="AA14" s="324" t="str">
        <f t="shared" si="6"/>
        <v/>
      </c>
      <c r="AB14" s="324" t="str">
        <f t="shared" si="6"/>
        <v/>
      </c>
      <c r="AC14" s="324" t="str">
        <f t="shared" si="6"/>
        <v/>
      </c>
      <c r="AD14" s="325" t="str">
        <f t="shared" si="6"/>
        <v/>
      </c>
    </row>
    <row r="15" spans="1:161" s="89" customFormat="1">
      <c r="A15" s="20"/>
      <c r="B15" s="321">
        <f>-PMT((1+RealDiscountRate)/(1+OMEscalation)-1,BookLife,SUM(D15:AD15)/(1+DiscountRate))*((1+InflationRate)*(1+OMEscalation))/((1+HistInflationRate)*(1+OMEscalation))^(StartYr-BaseYr)</f>
        <v>0</v>
      </c>
      <c r="C15" s="320">
        <f>SUM(D15:AD15)/(1+DiscountRate)</f>
        <v>0</v>
      </c>
      <c r="D15" s="334">
        <f t="shared" ref="D15:AD15" si="7">IF(D$10&lt;&gt;"",(MinorOverhaulItem3)*((1+HistInflationRate)*(1+OMEscalation))^(StartYr-BaseYr)*((1+InflationRate)*(1+OMEscalation))^((D$10-$B$3)/365.25)/(1+DiscountRate)^((D$10-$B$3)/365.25),"")</f>
        <v>0</v>
      </c>
      <c r="E15" s="123">
        <f t="shared" si="7"/>
        <v>0</v>
      </c>
      <c r="F15" s="123">
        <f t="shared" si="7"/>
        <v>0</v>
      </c>
      <c r="G15" s="123">
        <f t="shared" si="7"/>
        <v>0</v>
      </c>
      <c r="H15" s="123">
        <f t="shared" si="7"/>
        <v>0</v>
      </c>
      <c r="I15" s="123">
        <f t="shared" si="7"/>
        <v>0</v>
      </c>
      <c r="J15" s="123">
        <f t="shared" si="7"/>
        <v>0</v>
      </c>
      <c r="K15" s="123">
        <f t="shared" si="7"/>
        <v>0</v>
      </c>
      <c r="L15" s="123">
        <f t="shared" si="7"/>
        <v>0</v>
      </c>
      <c r="M15" s="123">
        <f t="shared" si="7"/>
        <v>0</v>
      </c>
      <c r="N15" s="123">
        <f t="shared" si="7"/>
        <v>0</v>
      </c>
      <c r="O15" s="123">
        <f t="shared" si="7"/>
        <v>0</v>
      </c>
      <c r="P15" s="123">
        <f t="shared" si="7"/>
        <v>0</v>
      </c>
      <c r="Q15" s="123">
        <f t="shared" si="7"/>
        <v>0</v>
      </c>
      <c r="R15" s="123">
        <f t="shared" si="7"/>
        <v>0</v>
      </c>
      <c r="S15" s="123">
        <f t="shared" si="7"/>
        <v>0</v>
      </c>
      <c r="T15" s="123">
        <f t="shared" si="7"/>
        <v>0</v>
      </c>
      <c r="U15" s="123">
        <f t="shared" si="7"/>
        <v>0</v>
      </c>
      <c r="V15" s="123">
        <f t="shared" si="7"/>
        <v>0</v>
      </c>
      <c r="W15" s="123">
        <f t="shared" si="7"/>
        <v>0</v>
      </c>
      <c r="X15" s="123">
        <f t="shared" si="7"/>
        <v>0</v>
      </c>
      <c r="Y15" s="123">
        <f t="shared" si="7"/>
        <v>0</v>
      </c>
      <c r="Z15" s="123">
        <f t="shared" si="7"/>
        <v>0</v>
      </c>
      <c r="AA15" s="123">
        <f t="shared" si="7"/>
        <v>0</v>
      </c>
      <c r="AB15" s="123">
        <f t="shared" si="7"/>
        <v>0</v>
      </c>
      <c r="AC15" s="123">
        <f t="shared" si="7"/>
        <v>0</v>
      </c>
      <c r="AD15" s="322">
        <f t="shared" si="7"/>
        <v>0</v>
      </c>
    </row>
    <row r="16" spans="1:161" s="89" customFormat="1" ht="13.5" thickBot="1">
      <c r="A16" s="184"/>
      <c r="B16" s="288"/>
      <c r="C16" s="289"/>
      <c r="D16" s="337"/>
      <c r="E16" s="288"/>
      <c r="F16" s="288"/>
      <c r="G16" s="288"/>
      <c r="H16" s="288"/>
      <c r="I16" s="288"/>
      <c r="J16" s="288"/>
      <c r="K16" s="288"/>
      <c r="L16" s="288"/>
      <c r="M16" s="288"/>
      <c r="N16" s="288"/>
      <c r="O16" s="288"/>
      <c r="P16" s="288"/>
      <c r="Q16" s="288"/>
      <c r="R16" s="288"/>
      <c r="S16" s="288"/>
      <c r="T16" s="288"/>
      <c r="U16" s="288"/>
      <c r="V16" s="288"/>
      <c r="W16" s="288"/>
      <c r="X16" s="288"/>
      <c r="Y16" s="288"/>
      <c r="Z16" s="288"/>
      <c r="AA16" s="288"/>
      <c r="AB16" s="288"/>
      <c r="AC16" s="288"/>
      <c r="AD16" s="290"/>
    </row>
    <row r="17" spans="1:30" s="89" customFormat="1" ht="13.5" thickBot="1">
      <c r="A17" s="285"/>
      <c r="B17" s="22"/>
      <c r="C17" s="9"/>
      <c r="D17" s="22"/>
      <c r="E17" s="22"/>
      <c r="F17" s="22"/>
      <c r="G17" s="22"/>
      <c r="H17" s="22"/>
      <c r="I17" s="22"/>
      <c r="J17" s="22"/>
      <c r="K17" s="22"/>
      <c r="L17" s="22"/>
      <c r="M17" s="22"/>
      <c r="N17" s="22"/>
      <c r="O17" s="22"/>
      <c r="P17" s="22"/>
      <c r="Q17" s="22"/>
      <c r="R17" s="22"/>
      <c r="S17" s="22"/>
      <c r="T17" s="22"/>
      <c r="U17" s="22"/>
      <c r="V17" s="22"/>
      <c r="W17" s="22"/>
      <c r="X17" s="22"/>
      <c r="Y17" s="22"/>
      <c r="Z17" s="22"/>
      <c r="AA17" s="22"/>
      <c r="AB17" s="22"/>
      <c r="AC17" s="22"/>
      <c r="AD17" s="22"/>
    </row>
    <row r="18" spans="1:30" s="89" customFormat="1">
      <c r="A18" s="484" t="s">
        <v>393</v>
      </c>
      <c r="B18" s="292"/>
      <c r="C18" s="293"/>
      <c r="D18" s="291"/>
      <c r="E18" s="292"/>
      <c r="F18" s="292"/>
      <c r="G18" s="292"/>
      <c r="H18" s="292"/>
      <c r="I18" s="292"/>
      <c r="J18" s="292"/>
      <c r="K18" s="292"/>
      <c r="L18" s="292"/>
      <c r="M18" s="292"/>
      <c r="N18" s="292"/>
      <c r="O18" s="292"/>
      <c r="P18" s="292"/>
      <c r="Q18" s="292"/>
      <c r="R18" s="292"/>
      <c r="S18" s="292"/>
      <c r="T18" s="292"/>
      <c r="U18" s="292"/>
      <c r="V18" s="292"/>
      <c r="W18" s="292"/>
      <c r="X18" s="292"/>
      <c r="Y18" s="292"/>
      <c r="Z18" s="292"/>
      <c r="AA18" s="292"/>
      <c r="AB18" s="292"/>
      <c r="AC18" s="292"/>
      <c r="AD18" s="293"/>
    </row>
    <row r="19" spans="1:30" s="89" customFormat="1">
      <c r="A19" s="424" t="s">
        <v>396</v>
      </c>
      <c r="B19" s="218">
        <f>AirControlComponentLife/OpHrsPerYr</f>
        <v>0</v>
      </c>
      <c r="C19" s="286" t="s">
        <v>159</v>
      </c>
      <c r="D19" s="308">
        <f>IF($B$3+$B19*365.25&lt;=EndDate,$B$3+$B19*365.25,"")</f>
        <v>41275</v>
      </c>
      <c r="E19" s="332">
        <f t="shared" ref="E19:AD19" si="8">IF(D19="","",IF(D19+$B19*365.25&gt;EndDate,"",D19+$B19*365.25))</f>
        <v>41275</v>
      </c>
      <c r="F19" s="332">
        <f t="shared" si="8"/>
        <v>41275</v>
      </c>
      <c r="G19" s="332">
        <f t="shared" si="8"/>
        <v>41275</v>
      </c>
      <c r="H19" s="332">
        <f t="shared" si="8"/>
        <v>41275</v>
      </c>
      <c r="I19" s="332">
        <f t="shared" si="8"/>
        <v>41275</v>
      </c>
      <c r="J19" s="332">
        <f t="shared" si="8"/>
        <v>41275</v>
      </c>
      <c r="K19" s="332">
        <f t="shared" si="8"/>
        <v>41275</v>
      </c>
      <c r="L19" s="332">
        <f t="shared" si="8"/>
        <v>41275</v>
      </c>
      <c r="M19" s="332">
        <f t="shared" si="8"/>
        <v>41275</v>
      </c>
      <c r="N19" s="332">
        <f t="shared" si="8"/>
        <v>41275</v>
      </c>
      <c r="O19" s="332">
        <f t="shared" si="8"/>
        <v>41275</v>
      </c>
      <c r="P19" s="332">
        <f t="shared" si="8"/>
        <v>41275</v>
      </c>
      <c r="Q19" s="332">
        <f t="shared" si="8"/>
        <v>41275</v>
      </c>
      <c r="R19" s="332">
        <f t="shared" si="8"/>
        <v>41275</v>
      </c>
      <c r="S19" s="332">
        <f t="shared" si="8"/>
        <v>41275</v>
      </c>
      <c r="T19" s="332">
        <f t="shared" si="8"/>
        <v>41275</v>
      </c>
      <c r="U19" s="332">
        <f t="shared" si="8"/>
        <v>41275</v>
      </c>
      <c r="V19" s="332">
        <f t="shared" si="8"/>
        <v>41275</v>
      </c>
      <c r="W19" s="332">
        <f t="shared" si="8"/>
        <v>41275</v>
      </c>
      <c r="X19" s="332">
        <f t="shared" si="8"/>
        <v>41275</v>
      </c>
      <c r="Y19" s="332">
        <f t="shared" si="8"/>
        <v>41275</v>
      </c>
      <c r="Z19" s="332">
        <f t="shared" si="8"/>
        <v>41275</v>
      </c>
      <c r="AA19" s="332">
        <f t="shared" si="8"/>
        <v>41275</v>
      </c>
      <c r="AB19" s="332">
        <f t="shared" si="8"/>
        <v>41275</v>
      </c>
      <c r="AC19" s="332">
        <f t="shared" si="8"/>
        <v>41275</v>
      </c>
      <c r="AD19" s="338">
        <f t="shared" si="8"/>
        <v>41275</v>
      </c>
    </row>
    <row r="20" spans="1:30" s="89" customFormat="1">
      <c r="A20" s="389" t="s">
        <v>238</v>
      </c>
      <c r="B20" s="321">
        <f>-PMT((1+RealDiscountRate)/(1+OMEscalation)-1,BookLife,SUM(D20:AD20)/(1+DiscountRate))*((1+InflationRate)*(1+OMEscalation))/((1+HistInflationRate)*(1+OMEscalation))^(StartYr-BaseYr)</f>
        <v>0</v>
      </c>
      <c r="C20" s="286"/>
      <c r="D20" s="327">
        <f t="shared" ref="D20:AD20" si="9">IF(D19&lt;&gt;"",(AirCapitalCosts)*((1+HistInflationRate)*(1+OMEscalation))^(StartYr-BaseYr)*((1+InflationRate)*(1+OMEscalation))^((D19-$B$3)/365.25)/(1+DiscountRate)^((D19-$B$3)/365.25),"")</f>
        <v>0</v>
      </c>
      <c r="E20" s="241">
        <f t="shared" si="9"/>
        <v>0</v>
      </c>
      <c r="F20" s="241">
        <f t="shared" si="9"/>
        <v>0</v>
      </c>
      <c r="G20" s="241">
        <f t="shared" si="9"/>
        <v>0</v>
      </c>
      <c r="H20" s="241">
        <f t="shared" si="9"/>
        <v>0</v>
      </c>
      <c r="I20" s="241">
        <f t="shared" si="9"/>
        <v>0</v>
      </c>
      <c r="J20" s="241">
        <f t="shared" si="9"/>
        <v>0</v>
      </c>
      <c r="K20" s="241">
        <f t="shared" si="9"/>
        <v>0</v>
      </c>
      <c r="L20" s="241">
        <f t="shared" si="9"/>
        <v>0</v>
      </c>
      <c r="M20" s="241">
        <f t="shared" si="9"/>
        <v>0</v>
      </c>
      <c r="N20" s="241">
        <f t="shared" si="9"/>
        <v>0</v>
      </c>
      <c r="O20" s="241">
        <f t="shared" si="9"/>
        <v>0</v>
      </c>
      <c r="P20" s="241">
        <f t="shared" si="9"/>
        <v>0</v>
      </c>
      <c r="Q20" s="241">
        <f t="shared" si="9"/>
        <v>0</v>
      </c>
      <c r="R20" s="241">
        <f t="shared" si="9"/>
        <v>0</v>
      </c>
      <c r="S20" s="241">
        <f t="shared" si="9"/>
        <v>0</v>
      </c>
      <c r="T20" s="241">
        <f t="shared" si="9"/>
        <v>0</v>
      </c>
      <c r="U20" s="241">
        <f t="shared" si="9"/>
        <v>0</v>
      </c>
      <c r="V20" s="241">
        <f t="shared" si="9"/>
        <v>0</v>
      </c>
      <c r="W20" s="241">
        <f t="shared" si="9"/>
        <v>0</v>
      </c>
      <c r="X20" s="241">
        <f t="shared" si="9"/>
        <v>0</v>
      </c>
      <c r="Y20" s="241">
        <f t="shared" si="9"/>
        <v>0</v>
      </c>
      <c r="Z20" s="241">
        <f t="shared" si="9"/>
        <v>0</v>
      </c>
      <c r="AA20" s="241">
        <f t="shared" si="9"/>
        <v>0</v>
      </c>
      <c r="AB20" s="241">
        <f t="shared" si="9"/>
        <v>0</v>
      </c>
      <c r="AC20" s="241">
        <f t="shared" si="9"/>
        <v>0</v>
      </c>
      <c r="AD20" s="328">
        <f t="shared" si="9"/>
        <v>0</v>
      </c>
    </row>
    <row r="21" spans="1:30" s="89" customFormat="1">
      <c r="A21" s="424" t="s">
        <v>394</v>
      </c>
      <c r="B21" s="30"/>
      <c r="C21" s="286"/>
      <c r="D21" s="19"/>
      <c r="E21" s="9"/>
      <c r="F21" s="9"/>
      <c r="G21" s="9"/>
      <c r="H21" s="9"/>
      <c r="I21" s="9"/>
      <c r="J21" s="9"/>
      <c r="K21" s="9"/>
      <c r="L21" s="9"/>
      <c r="M21" s="9"/>
      <c r="N21" s="9"/>
      <c r="O21" s="9"/>
      <c r="P21" s="9"/>
      <c r="Q21" s="9"/>
      <c r="R21" s="9"/>
      <c r="S21" s="9"/>
      <c r="T21" s="9"/>
      <c r="U21" s="9"/>
      <c r="V21" s="9"/>
      <c r="W21" s="9"/>
      <c r="X21" s="9"/>
      <c r="Y21" s="9"/>
      <c r="Z21" s="9"/>
      <c r="AA21" s="9"/>
      <c r="AB21" s="9"/>
      <c r="AC21" s="9"/>
      <c r="AD21" s="286"/>
    </row>
    <row r="22" spans="1:30" s="89" customFormat="1">
      <c r="A22" s="424" t="s">
        <v>396</v>
      </c>
      <c r="B22" s="279">
        <f>WaterControlComponentLife/OpHrsPerYr</f>
        <v>0</v>
      </c>
      <c r="C22" s="286" t="s">
        <v>159</v>
      </c>
      <c r="D22" s="308">
        <f>IF($B$3+$B22*365.25&lt;=EndDate,$B$3+$B22*365.25,"")</f>
        <v>41275</v>
      </c>
      <c r="E22" s="332">
        <f t="shared" ref="E22:AD22" si="10">IF(D22="","",IF(D22+$B22*365.25&gt;EndDate,"",D22+$B22*365.25))</f>
        <v>41275</v>
      </c>
      <c r="F22" s="332">
        <f t="shared" si="10"/>
        <v>41275</v>
      </c>
      <c r="G22" s="332">
        <f t="shared" si="10"/>
        <v>41275</v>
      </c>
      <c r="H22" s="332">
        <f t="shared" si="10"/>
        <v>41275</v>
      </c>
      <c r="I22" s="332">
        <f t="shared" si="10"/>
        <v>41275</v>
      </c>
      <c r="J22" s="332">
        <f t="shared" si="10"/>
        <v>41275</v>
      </c>
      <c r="K22" s="332">
        <f t="shared" si="10"/>
        <v>41275</v>
      </c>
      <c r="L22" s="332">
        <f t="shared" si="10"/>
        <v>41275</v>
      </c>
      <c r="M22" s="332">
        <f t="shared" si="10"/>
        <v>41275</v>
      </c>
      <c r="N22" s="332">
        <f t="shared" si="10"/>
        <v>41275</v>
      </c>
      <c r="O22" s="332">
        <f t="shared" si="10"/>
        <v>41275</v>
      </c>
      <c r="P22" s="332">
        <f t="shared" si="10"/>
        <v>41275</v>
      </c>
      <c r="Q22" s="332">
        <f t="shared" si="10"/>
        <v>41275</v>
      </c>
      <c r="R22" s="332">
        <f t="shared" si="10"/>
        <v>41275</v>
      </c>
      <c r="S22" s="332">
        <f t="shared" si="10"/>
        <v>41275</v>
      </c>
      <c r="T22" s="332">
        <f t="shared" si="10"/>
        <v>41275</v>
      </c>
      <c r="U22" s="332">
        <f t="shared" si="10"/>
        <v>41275</v>
      </c>
      <c r="V22" s="332">
        <f t="shared" si="10"/>
        <v>41275</v>
      </c>
      <c r="W22" s="332">
        <f t="shared" si="10"/>
        <v>41275</v>
      </c>
      <c r="X22" s="332">
        <f t="shared" si="10"/>
        <v>41275</v>
      </c>
      <c r="Y22" s="332">
        <f t="shared" si="10"/>
        <v>41275</v>
      </c>
      <c r="Z22" s="332">
        <f t="shared" si="10"/>
        <v>41275</v>
      </c>
      <c r="AA22" s="332">
        <f t="shared" si="10"/>
        <v>41275</v>
      </c>
      <c r="AB22" s="332">
        <f t="shared" si="10"/>
        <v>41275</v>
      </c>
      <c r="AC22" s="332">
        <f t="shared" si="10"/>
        <v>41275</v>
      </c>
      <c r="AD22" s="338">
        <f t="shared" si="10"/>
        <v>41275</v>
      </c>
    </row>
    <row r="23" spans="1:30" s="89" customFormat="1" ht="13.5" thickBot="1">
      <c r="A23" s="483" t="s">
        <v>239</v>
      </c>
      <c r="B23" s="326">
        <f>-PMT((1+RealDiscountRate)/(1+OMEscalation)-1,BookLife,SUM(D23:AD23)/(1+DiscountRate))*((1+InflationRate)*(1+OMEscalation))/((1+HistInflationRate)*(1+OMEscalation))^(StartYr-BaseYr)</f>
        <v>0</v>
      </c>
      <c r="C23" s="289"/>
      <c r="D23" s="329">
        <f t="shared" ref="D23:AD23" si="11">IF(D22&lt;&gt;"",(WaterCapitalCosts)*((1+HistInflationRate)*(1+OMEscalation))^(StartYr-BaseYr)*((1+InflationRate)*(1+OMEscalation))^((D22-$B$3)/365.25)/(1+DiscountRate)^((D22-$B$3)/365.25),"")</f>
        <v>0</v>
      </c>
      <c r="E23" s="330">
        <f t="shared" si="11"/>
        <v>0</v>
      </c>
      <c r="F23" s="330">
        <f t="shared" si="11"/>
        <v>0</v>
      </c>
      <c r="G23" s="330">
        <f t="shared" si="11"/>
        <v>0</v>
      </c>
      <c r="H23" s="330">
        <f t="shared" si="11"/>
        <v>0</v>
      </c>
      <c r="I23" s="330">
        <f t="shared" si="11"/>
        <v>0</v>
      </c>
      <c r="J23" s="330">
        <f t="shared" si="11"/>
        <v>0</v>
      </c>
      <c r="K23" s="330">
        <f t="shared" si="11"/>
        <v>0</v>
      </c>
      <c r="L23" s="330">
        <f t="shared" si="11"/>
        <v>0</v>
      </c>
      <c r="M23" s="330">
        <f t="shared" si="11"/>
        <v>0</v>
      </c>
      <c r="N23" s="330">
        <f t="shared" si="11"/>
        <v>0</v>
      </c>
      <c r="O23" s="330">
        <f t="shared" si="11"/>
        <v>0</v>
      </c>
      <c r="P23" s="330">
        <f t="shared" si="11"/>
        <v>0</v>
      </c>
      <c r="Q23" s="330">
        <f t="shared" si="11"/>
        <v>0</v>
      </c>
      <c r="R23" s="330">
        <f t="shared" si="11"/>
        <v>0</v>
      </c>
      <c r="S23" s="330">
        <f t="shared" si="11"/>
        <v>0</v>
      </c>
      <c r="T23" s="330">
        <f t="shared" si="11"/>
        <v>0</v>
      </c>
      <c r="U23" s="330">
        <f t="shared" si="11"/>
        <v>0</v>
      </c>
      <c r="V23" s="330">
        <f t="shared" si="11"/>
        <v>0</v>
      </c>
      <c r="W23" s="330">
        <f t="shared" si="11"/>
        <v>0</v>
      </c>
      <c r="X23" s="330">
        <f t="shared" si="11"/>
        <v>0</v>
      </c>
      <c r="Y23" s="330">
        <f t="shared" si="11"/>
        <v>0</v>
      </c>
      <c r="Z23" s="330">
        <f t="shared" si="11"/>
        <v>0</v>
      </c>
      <c r="AA23" s="330">
        <f t="shared" si="11"/>
        <v>0</v>
      </c>
      <c r="AB23" s="330">
        <f t="shared" si="11"/>
        <v>0</v>
      </c>
      <c r="AC23" s="330">
        <f t="shared" si="11"/>
        <v>0</v>
      </c>
      <c r="AD23" s="331">
        <f t="shared" si="11"/>
        <v>0</v>
      </c>
    </row>
    <row r="25" spans="1:30">
      <c r="D25" s="6"/>
      <c r="G25" s="8"/>
    </row>
    <row r="26" spans="1:30">
      <c r="G26" s="282"/>
    </row>
    <row r="27" spans="1:30">
      <c r="G27" s="282"/>
    </row>
    <row r="28" spans="1:30">
      <c r="D28" s="89"/>
      <c r="G28" s="282"/>
    </row>
    <row r="29" spans="1:30">
      <c r="G29" s="282"/>
    </row>
    <row r="30" spans="1:30">
      <c r="G30" s="282"/>
    </row>
    <row r="31" spans="1:30">
      <c r="G31" s="282"/>
    </row>
  </sheetData>
  <mergeCells count="1">
    <mergeCell ref="A2:C2"/>
  </mergeCells>
  <phoneticPr fontId="77" type="noConversion"/>
  <pageMargins left="0.75" right="0.75" top="1" bottom="1" header="0.5" footer="0.5"/>
  <pageSetup orientation="portrait" horizontalDpi="1200" verticalDpi="1200"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2796FD48775A84880AC49455D092B9A" ma:contentTypeVersion="0" ma:contentTypeDescription="Create a new document." ma:contentTypeScope="" ma:versionID="718876afdecbc3abc684f69e201e238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EC4B5A1-1AFA-443C-ABF7-A56D68644DB3}">
  <ds:schemaRefs>
    <ds:schemaRef ds:uri="http://purl.org/dc/elements/1.1/"/>
    <ds:schemaRef ds:uri="http://schemas.openxmlformats.org/package/2006/metadata/core-properties"/>
    <ds:schemaRef ds:uri="http://schemas.microsoft.com/office/2006/documentManagement/types"/>
    <ds:schemaRef ds:uri="http://purl.org/dc/dcmitype/"/>
    <ds:schemaRef ds:uri="http://schemas.microsoft.com/office/infopath/2007/PartnerControls"/>
    <ds:schemaRef ds:uri="http://schemas.microsoft.com/office/2006/metadata/properties"/>
    <ds:schemaRef ds:uri="http://www.w3.org/XML/1998/namespace"/>
    <ds:schemaRef ds:uri="http://purl.org/dc/terms/"/>
  </ds:schemaRefs>
</ds:datastoreItem>
</file>

<file path=customXml/itemProps2.xml><?xml version="1.0" encoding="utf-8"?>
<ds:datastoreItem xmlns:ds="http://schemas.openxmlformats.org/officeDocument/2006/customXml" ds:itemID="{00AC8D6D-5779-4BBC-8502-2A72088B289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55D5A60B-AB5D-4CD4-9BCB-58FFB6A3F23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433</vt:i4>
      </vt:variant>
    </vt:vector>
  </HeadingPairs>
  <TitlesOfParts>
    <vt:vector size="464" baseType="lpstr">
      <vt:lpstr>Cover</vt:lpstr>
      <vt:lpstr>Instructions </vt:lpstr>
      <vt:lpstr>Changes</vt:lpstr>
      <vt:lpstr>INPUT-OUTPUT</vt:lpstr>
      <vt:lpstr>Annual Cost Charts</vt:lpstr>
      <vt:lpstr>Yearly Costs</vt:lpstr>
      <vt:lpstr>Print Tables</vt:lpstr>
      <vt:lpstr>Screening Curve</vt:lpstr>
      <vt:lpstr>Sensitivity Curve</vt:lpstr>
      <vt:lpstr>Physical Data</vt:lpstr>
      <vt:lpstr>Financial Data</vt:lpstr>
      <vt:lpstr>Construction Costs</vt:lpstr>
      <vt:lpstr>O&amp;M Costs</vt:lpstr>
      <vt:lpstr>Income_Cash Flow</vt:lpstr>
      <vt:lpstr>Income_Rev_Req</vt:lpstr>
      <vt:lpstr>Inflation</vt:lpstr>
      <vt:lpstr>Financial Assumptions</vt:lpstr>
      <vt:lpstr>Tax_Equity</vt:lpstr>
      <vt:lpstr>Tax Incentives</vt:lpstr>
      <vt:lpstr>Transmission</vt:lpstr>
      <vt:lpstr>Fuel Price Forecasts</vt:lpstr>
      <vt:lpstr>Air &amp; Water Data</vt:lpstr>
      <vt:lpstr>ERC Forecasts</vt:lpstr>
      <vt:lpstr>SCAQMD Fees</vt:lpstr>
      <vt:lpstr>Plant Type Assumptions</vt:lpstr>
      <vt:lpstr>PTA-Mid</vt:lpstr>
      <vt:lpstr>PTA-Hi</vt:lpstr>
      <vt:lpstr>PTA-Lo</vt:lpstr>
      <vt:lpstr>General Assumptions</vt:lpstr>
      <vt:lpstr>Labor Table</vt:lpstr>
      <vt:lpstr>Overhaul Calcs</vt:lpstr>
      <vt:lpstr>ACAT_ActiveFuelAndGHGs</vt:lpstr>
      <vt:lpstr>ACAT_ActiveFuelYears</vt:lpstr>
      <vt:lpstr>ACAT_ActiveNGForecast</vt:lpstr>
      <vt:lpstr>ACAT_BiomassPrice</vt:lpstr>
      <vt:lpstr>ACAT_CarbonPrice</vt:lpstr>
      <vt:lpstr>ACAT_Execute</vt:lpstr>
      <vt:lpstr>ACAT_FinAssumptions</vt:lpstr>
      <vt:lpstr>ACAT_FinAssumptionsValsHi</vt:lpstr>
      <vt:lpstr>ACAT_FinAssumptionValsLo</vt:lpstr>
      <vt:lpstr>ACAT_FinAssumptionValsMid</vt:lpstr>
      <vt:lpstr>ACAT_FuelYear</vt:lpstr>
      <vt:lpstr>ACAT_GasCoalPrice</vt:lpstr>
      <vt:lpstr>ACAT_NGScenarios</vt:lpstr>
      <vt:lpstr>ACAT_OwnershipScenarios</vt:lpstr>
      <vt:lpstr>ACAT_PTAValsHi</vt:lpstr>
      <vt:lpstr>ACAT_PTAValsLo</vt:lpstr>
      <vt:lpstr>ACAT_PTAValsMid</vt:lpstr>
      <vt:lpstr>ACAT_TechNames</vt:lpstr>
      <vt:lpstr>ACAT_UraniumPrice</vt:lpstr>
      <vt:lpstr>AcrePerMW</vt:lpstr>
      <vt:lpstr>AcrePerPlant</vt:lpstr>
      <vt:lpstr>AdditionalAcreage</vt:lpstr>
      <vt:lpstr>AdValoremTaxRate</vt:lpstr>
      <vt:lpstr>AFUDCRate</vt:lpstr>
      <vt:lpstr>AirCapitalCosts</vt:lpstr>
      <vt:lpstr>AirControlAnnualConsumables</vt:lpstr>
      <vt:lpstr>AirControlAnnualLabor</vt:lpstr>
      <vt:lpstr>AirControlComponentLife</vt:lpstr>
      <vt:lpstr>AirControlInstallCost</vt:lpstr>
      <vt:lpstr>AirControlReplacementCost</vt:lpstr>
      <vt:lpstr>AirPermitCost</vt:lpstr>
      <vt:lpstr>AllPlants</vt:lpstr>
      <vt:lpstr>AlternativePlants</vt:lpstr>
      <vt:lpstr>AnnCapDegredationRate</vt:lpstr>
      <vt:lpstr>AnnualFuelUse</vt:lpstr>
      <vt:lpstr>AnnualGrossEnergy</vt:lpstr>
      <vt:lpstr>AnnualMaintenanceItemCosts</vt:lpstr>
      <vt:lpstr>AnnualMaintenanceItemLabels</vt:lpstr>
      <vt:lpstr>AnnualNetGWh</vt:lpstr>
      <vt:lpstr>AnnualSalary</vt:lpstr>
      <vt:lpstr>AnnualStarts</vt:lpstr>
      <vt:lpstr>ApplyBETC</vt:lpstr>
      <vt:lpstr>ApplyGeothermalDepletion</vt:lpstr>
      <vt:lpstr>ApplyREPTC</vt:lpstr>
      <vt:lpstr>AverageOutputPct</vt:lpstr>
      <vt:lpstr>AvgDCR</vt:lpstr>
      <vt:lpstr>AvgEquityRate</vt:lpstr>
      <vt:lpstr>AvgHeatRate</vt:lpstr>
      <vt:lpstr>BaseYr</vt:lpstr>
      <vt:lpstr>BETCDepreciation</vt:lpstr>
      <vt:lpstr>BETCExpires</vt:lpstr>
      <vt:lpstr>BETCLimitDollar</vt:lpstr>
      <vt:lpstr>BETCLimitPct</vt:lpstr>
      <vt:lpstr>BETCPct</vt:lpstr>
      <vt:lpstr>BookLife</vt:lpstr>
      <vt:lpstr>Byproduct1LbsPerkW</vt:lpstr>
      <vt:lpstr>Byproduct1ProcessingCostPerLb</vt:lpstr>
      <vt:lpstr>Byproduct1RevenuesPerLb</vt:lpstr>
      <vt:lpstr>Byproduct1ShippingCostPerLb</vt:lpstr>
      <vt:lpstr>Capacity</vt:lpstr>
      <vt:lpstr>CapitalComponentCosts</vt:lpstr>
      <vt:lpstr>CapitalComponentLabels</vt:lpstr>
      <vt:lpstr>CapitalCostEscalationRate</vt:lpstr>
      <vt:lpstr>CapitalCostTotal</vt:lpstr>
      <vt:lpstr>Carbon_Price_List</vt:lpstr>
      <vt:lpstr>CarbonPrice</vt:lpstr>
      <vt:lpstr>CleaningFTE</vt:lpstr>
      <vt:lpstr>CleaningHrs</vt:lpstr>
      <vt:lpstr>CleaningWage</vt:lpstr>
      <vt:lpstr>CommitmentFee</vt:lpstr>
      <vt:lpstr>ComponentCost1</vt:lpstr>
      <vt:lpstr>ComponentCost10</vt:lpstr>
      <vt:lpstr>ComponentCost11</vt:lpstr>
      <vt:lpstr>ComponentCost2</vt:lpstr>
      <vt:lpstr>ComponentCost3</vt:lpstr>
      <vt:lpstr>ComponentCost4</vt:lpstr>
      <vt:lpstr>ComponentCost5</vt:lpstr>
      <vt:lpstr>ComponentCost6</vt:lpstr>
      <vt:lpstr>ComponentCost7</vt:lpstr>
      <vt:lpstr>ComponentCost8</vt:lpstr>
      <vt:lpstr>ComponentCost9</vt:lpstr>
      <vt:lpstr>ComponentCosts</vt:lpstr>
      <vt:lpstr>ComponentName1</vt:lpstr>
      <vt:lpstr>ComponentName10</vt:lpstr>
      <vt:lpstr>ComponentName11</vt:lpstr>
      <vt:lpstr>ComponentName2</vt:lpstr>
      <vt:lpstr>ComponentName3</vt:lpstr>
      <vt:lpstr>ComponentName4</vt:lpstr>
      <vt:lpstr>ComponentName5</vt:lpstr>
      <vt:lpstr>ComponentName6</vt:lpstr>
      <vt:lpstr>ComponentName7</vt:lpstr>
      <vt:lpstr>ComponentName8</vt:lpstr>
      <vt:lpstr>ComponentName9</vt:lpstr>
      <vt:lpstr>ConstructedCostTotal</vt:lpstr>
      <vt:lpstr>ConstructionInsurance</vt:lpstr>
      <vt:lpstr>ConstructTransCost</vt:lpstr>
      <vt:lpstr>ConsumableLaborPerPeriod</vt:lpstr>
      <vt:lpstr>ConsumableMaintenancePeriod</vt:lpstr>
      <vt:lpstr>ConsumablesCostPerPeriod</vt:lpstr>
      <vt:lpstr>CostBasis</vt:lpstr>
      <vt:lpstr>CostPerAcre</vt:lpstr>
      <vt:lpstr>CostPerMajorOverhaul</vt:lpstr>
      <vt:lpstr>CostScenario</vt:lpstr>
      <vt:lpstr>CostScenarios</vt:lpstr>
      <vt:lpstr>CSI_PBI</vt:lpstr>
      <vt:lpstr>CSIDuration</vt:lpstr>
      <vt:lpstr>Debt_Financed</vt:lpstr>
      <vt:lpstr>DebtArrangementFees</vt:lpstr>
      <vt:lpstr>DebtArrangmentFees</vt:lpstr>
      <vt:lpstr>DebtPremium</vt:lpstr>
      <vt:lpstr>DebtRate</vt:lpstr>
      <vt:lpstr>DebtRatio</vt:lpstr>
      <vt:lpstr>DebtTerm</vt:lpstr>
      <vt:lpstr>DeveloperEquity</vt:lpstr>
      <vt:lpstr>DiscountRate</vt:lpstr>
      <vt:lpstr>EffectiveMW</vt:lpstr>
      <vt:lpstr>EligibleBETC</vt:lpstr>
      <vt:lpstr>EligibleCERRP</vt:lpstr>
      <vt:lpstr>EligibleGeothermalDepletion</vt:lpstr>
      <vt:lpstr>EligibleREPI</vt:lpstr>
      <vt:lpstr>EligibleREPTC</vt:lpstr>
      <vt:lpstr>EmissionsList</vt:lpstr>
      <vt:lpstr>EndDate</vt:lpstr>
      <vt:lpstr>EnterSchdOutageFactor</vt:lpstr>
      <vt:lpstr>EnvControlCostsPerMWh</vt:lpstr>
      <vt:lpstr>EnvironmenalPermitCost</vt:lpstr>
      <vt:lpstr>EnvironmenalPermitCosts</vt:lpstr>
      <vt:lpstr>EquipLifeHours</vt:lpstr>
      <vt:lpstr>EquipLifeYears</vt:lpstr>
      <vt:lpstr>EquityRate</vt:lpstr>
      <vt:lpstr>EquivalentAvailabilityFactor</vt:lpstr>
      <vt:lpstr>ERCCosts</vt:lpstr>
      <vt:lpstr>FedTaxLife</vt:lpstr>
      <vt:lpstr>FedTaxRate</vt:lpstr>
      <vt:lpstr>FinancialTransactionCostPct</vt:lpstr>
      <vt:lpstr>FixedOMPerkWYr</vt:lpstr>
      <vt:lpstr>FixedOMPerkWYrUserInput</vt:lpstr>
      <vt:lpstr>ForcedOutageFactor</vt:lpstr>
      <vt:lpstr>ForcedOutageRate</vt:lpstr>
      <vt:lpstr>ForceOutageHrs</vt:lpstr>
      <vt:lpstr>FossilPlants</vt:lpstr>
      <vt:lpstr>Fuel_List</vt:lpstr>
      <vt:lpstr>FuelConsumptionPerHour</vt:lpstr>
      <vt:lpstr>FuelCostskWYr</vt:lpstr>
      <vt:lpstr>FuelCostsMWh</vt:lpstr>
      <vt:lpstr>FuelPriceList</vt:lpstr>
      <vt:lpstr>FuelPriceMultiplier</vt:lpstr>
      <vt:lpstr>FuelType</vt:lpstr>
      <vt:lpstr>FuelWaterSewerConnectionCost</vt:lpstr>
      <vt:lpstr>GasForecast</vt:lpstr>
      <vt:lpstr>GeneralAssumptionsCellNames</vt:lpstr>
      <vt:lpstr>GeneralAssumptionScenario</vt:lpstr>
      <vt:lpstr>GeneralAssumptionsOffset</vt:lpstr>
      <vt:lpstr>Generation_Turbine_49.9_MW</vt:lpstr>
      <vt:lpstr>GenTieLosses</vt:lpstr>
      <vt:lpstr>GeothermalDepletionLimit</vt:lpstr>
      <vt:lpstr>GeothermalDepletionPct</vt:lpstr>
      <vt:lpstr>GrossMW</vt:lpstr>
      <vt:lpstr>HazardCollectionCost</vt:lpstr>
      <vt:lpstr>HazardTippingCost</vt:lpstr>
      <vt:lpstr>HazardTonsPerYear</vt:lpstr>
      <vt:lpstr>HeatRate</vt:lpstr>
      <vt:lpstr>HeatRateDegredation</vt:lpstr>
      <vt:lpstr>HistInflationRate</vt:lpstr>
      <vt:lpstr>InflationRate</vt:lpstr>
      <vt:lpstr>InstalledCostAdder</vt:lpstr>
      <vt:lpstr>InstalledCostPerkW</vt:lpstr>
      <vt:lpstr>InstantCost</vt:lpstr>
      <vt:lpstr>InstantCostPerkW</vt:lpstr>
      <vt:lpstr>InsurancePct</vt:lpstr>
      <vt:lpstr>InvestTaxCredit</vt:lpstr>
      <vt:lpstr>IODSCR</vt:lpstr>
      <vt:lpstr>IOU_Alternatives</vt:lpstr>
      <vt:lpstr>IOU_Fossil</vt:lpstr>
      <vt:lpstr>kW_Yr</vt:lpstr>
      <vt:lpstr>LaborEscalation</vt:lpstr>
      <vt:lpstr>LandPrepCostPerAcre</vt:lpstr>
      <vt:lpstr>LbsCH4</vt:lpstr>
      <vt:lpstr>LbsCH4CostFix</vt:lpstr>
      <vt:lpstr>LbsCH4CostVar</vt:lpstr>
      <vt:lpstr>LbsCO</vt:lpstr>
      <vt:lpstr>LbsCO2</vt:lpstr>
      <vt:lpstr>LbsCO2CostFix</vt:lpstr>
      <vt:lpstr>LbsCO2CostVar</vt:lpstr>
      <vt:lpstr>LbsCOCostFix</vt:lpstr>
      <vt:lpstr>LbsCOCostVar</vt:lpstr>
      <vt:lpstr>LbsH2S</vt:lpstr>
      <vt:lpstr>LbsH2SCostFix</vt:lpstr>
      <vt:lpstr>LbsH2SCostVar</vt:lpstr>
      <vt:lpstr>LbsNH3</vt:lpstr>
      <vt:lpstr>LbsNH3CostFix</vt:lpstr>
      <vt:lpstr>LbsNH3CostVar</vt:lpstr>
      <vt:lpstr>LbsNOx</vt:lpstr>
      <vt:lpstr>LbsNOxCostFix</vt:lpstr>
      <vt:lpstr>LbsNOxCostVar</vt:lpstr>
      <vt:lpstr>LbsPM10</vt:lpstr>
      <vt:lpstr>LbsPM10CostFix</vt:lpstr>
      <vt:lpstr>LbsPM10CostVar</vt:lpstr>
      <vt:lpstr>LbsSOx</vt:lpstr>
      <vt:lpstr>LbsSOxCostFix</vt:lpstr>
      <vt:lpstr>LbsSOxCostVar</vt:lpstr>
      <vt:lpstr>LbsVOC</vt:lpstr>
      <vt:lpstr>LbsVOCCostFix</vt:lpstr>
      <vt:lpstr>LbsVOCCostVar</vt:lpstr>
      <vt:lpstr>LevelizedkWyr</vt:lpstr>
      <vt:lpstr>LevelizedMWh</vt:lpstr>
      <vt:lpstr>LinearsCost</vt:lpstr>
      <vt:lpstr>LoadCenterGWh</vt:lpstr>
      <vt:lpstr>LoadCenterMW</vt:lpstr>
      <vt:lpstr>LocalBuildingPermitCost</vt:lpstr>
      <vt:lpstr>LocalBuildingPermitCosts</vt:lpstr>
      <vt:lpstr>MaintenanceCost1</vt:lpstr>
      <vt:lpstr>MaintenanceCost2</vt:lpstr>
      <vt:lpstr>MaintenanceCost3</vt:lpstr>
      <vt:lpstr>MaintenanceCost4</vt:lpstr>
      <vt:lpstr>MaintenanceCost5</vt:lpstr>
      <vt:lpstr>MaintenanceCost6</vt:lpstr>
      <vt:lpstr>MaintenanceCost7</vt:lpstr>
      <vt:lpstr>MaintenanceCost8</vt:lpstr>
      <vt:lpstr>MaintenanceFTE</vt:lpstr>
      <vt:lpstr>MaintenanceHrs</vt:lpstr>
      <vt:lpstr>MaintenanceIntervalHours</vt:lpstr>
      <vt:lpstr>MaintenanceLabor</vt:lpstr>
      <vt:lpstr>MaintenanceName1</vt:lpstr>
      <vt:lpstr>MaintenanceName2</vt:lpstr>
      <vt:lpstr>MaintenanceName3</vt:lpstr>
      <vt:lpstr>MaintenanceName4</vt:lpstr>
      <vt:lpstr>MaintenanceName5</vt:lpstr>
      <vt:lpstr>MaintenanceName6</vt:lpstr>
      <vt:lpstr>MaintenanceName7</vt:lpstr>
      <vt:lpstr>MaintenanceName8</vt:lpstr>
      <vt:lpstr>MaintenanceSuppliesCost</vt:lpstr>
      <vt:lpstr>MaintenanceWage</vt:lpstr>
      <vt:lpstr>MajorOverhaulInterval</vt:lpstr>
      <vt:lpstr>MajorOverhaulLabor</vt:lpstr>
      <vt:lpstr>MajorOverhaulReplacementCost</vt:lpstr>
      <vt:lpstr>MakeUpWater</vt:lpstr>
      <vt:lpstr>ManagerFTE</vt:lpstr>
      <vt:lpstr>ManagerHrs</vt:lpstr>
      <vt:lpstr>ManagerSalary</vt:lpstr>
      <vt:lpstr>Merchant_Alternatives</vt:lpstr>
      <vt:lpstr>Merchant_Fossil</vt:lpstr>
      <vt:lpstr>MerchantEquity</vt:lpstr>
      <vt:lpstr>MinDCR</vt:lpstr>
      <vt:lpstr>MinorOverhaulItem1</vt:lpstr>
      <vt:lpstr>MinorOverhaulItem1Hrs</vt:lpstr>
      <vt:lpstr>MinorOverhaulItem2</vt:lpstr>
      <vt:lpstr>MinorOverhaulItem2Hrs</vt:lpstr>
      <vt:lpstr>MinorOverhaulItem3</vt:lpstr>
      <vt:lpstr>MinorOverhaulItem3Hrs</vt:lpstr>
      <vt:lpstr>MiscCosts</vt:lpstr>
      <vt:lpstr>MiscIntervalHrs</vt:lpstr>
      <vt:lpstr>MiscLabor</vt:lpstr>
      <vt:lpstr>MonthYear0</vt:lpstr>
      <vt:lpstr>MonthYear1</vt:lpstr>
      <vt:lpstr>MonthYear2</vt:lpstr>
      <vt:lpstr>MonthYear3</vt:lpstr>
      <vt:lpstr>MonthYear4</vt:lpstr>
      <vt:lpstr>MonthYear5</vt:lpstr>
      <vt:lpstr>MuniInlieu</vt:lpstr>
      <vt:lpstr>MWh</vt:lpstr>
      <vt:lpstr>NCF</vt:lpstr>
      <vt:lpstr>NetCapacityFactor</vt:lpstr>
      <vt:lpstr>NetMW</vt:lpstr>
      <vt:lpstr>NetOutputFactor</vt:lpstr>
      <vt:lpstr>NOF</vt:lpstr>
      <vt:lpstr>NonHazardCollectionCost</vt:lpstr>
      <vt:lpstr>NonHazardTippingCost</vt:lpstr>
      <vt:lpstr>NonHazardTonsPerYear</vt:lpstr>
      <vt:lpstr>NonlaborFixedOM</vt:lpstr>
      <vt:lpstr>OilConsumptionPerPeriod</vt:lpstr>
      <vt:lpstr>OilPrice</vt:lpstr>
      <vt:lpstr>OMEscalation</vt:lpstr>
      <vt:lpstr>OpCapMW</vt:lpstr>
      <vt:lpstr>OperationalInfo</vt:lpstr>
      <vt:lpstr>OpHeatRate</vt:lpstr>
      <vt:lpstr>OpHrsPerYr</vt:lpstr>
      <vt:lpstr>OverheadMultiplier</vt:lpstr>
      <vt:lpstr>Owner_List</vt:lpstr>
      <vt:lpstr>OwnerOffset</vt:lpstr>
      <vt:lpstr>OwnerScenario</vt:lpstr>
      <vt:lpstr>OwnershipCellNames</vt:lpstr>
      <vt:lpstr>OwnerType</vt:lpstr>
      <vt:lpstr>PctEquity</vt:lpstr>
      <vt:lpstr>PctSubjectITC</vt:lpstr>
      <vt:lpstr>PctTaxEquity</vt:lpstr>
      <vt:lpstr>Perspective</vt:lpstr>
      <vt:lpstr>PlannedOpHrs</vt:lpstr>
      <vt:lpstr>PlannedPctYrOp</vt:lpstr>
      <vt:lpstr>PlantTechnology</vt:lpstr>
      <vt:lpstr>PlantType</vt:lpstr>
      <vt:lpstr>PlantTypeList</vt:lpstr>
      <vt:lpstr>PlantTypes</vt:lpstr>
      <vt:lpstr>POU</vt:lpstr>
      <vt:lpstr>POU_Debt_30</vt:lpstr>
      <vt:lpstr>PredevelopmentExpense</vt:lpstr>
      <vt:lpstr>'Construction Costs'!Print_Area</vt:lpstr>
      <vt:lpstr>'INPUT-OUTPUT'!Print_Area</vt:lpstr>
      <vt:lpstr>Transmission!Print_Area</vt:lpstr>
      <vt:lpstr>ProductionFTE</vt:lpstr>
      <vt:lpstr>ProductionHrs</vt:lpstr>
      <vt:lpstr>ProductionWage</vt:lpstr>
      <vt:lpstr>PropTaxExpiration</vt:lpstr>
      <vt:lpstr>ProtectionFTE</vt:lpstr>
      <vt:lpstr>ProtectionHrs</vt:lpstr>
      <vt:lpstr>ProtectionWage</vt:lpstr>
      <vt:lpstr>RealDiscountRate</vt:lpstr>
      <vt:lpstr>Region</vt:lpstr>
      <vt:lpstr>RegionList</vt:lpstr>
      <vt:lpstr>REPI</vt:lpstr>
      <vt:lpstr>REPIBaseYr</vt:lpstr>
      <vt:lpstr>REPIDuration</vt:lpstr>
      <vt:lpstr>REPIExpires</vt:lpstr>
      <vt:lpstr>REPIStartYr</vt:lpstr>
      <vt:lpstr>REPITier</vt:lpstr>
      <vt:lpstr>REPITierIIPaid</vt:lpstr>
      <vt:lpstr>REPITierIPaid</vt:lpstr>
      <vt:lpstr>ReplacementIntervalHrs</vt:lpstr>
      <vt:lpstr>ReplacementLabor</vt:lpstr>
      <vt:lpstr>ReplacementParts</vt:lpstr>
      <vt:lpstr>REPTC</vt:lpstr>
      <vt:lpstr>REPTCBaseYr</vt:lpstr>
      <vt:lpstr>REPTCDuration</vt:lpstr>
      <vt:lpstr>REPTCExpires</vt:lpstr>
      <vt:lpstr>REPTCStartYr</vt:lpstr>
      <vt:lpstr>ReservoirManagementCost</vt:lpstr>
      <vt:lpstr>ResultsPlant</vt:lpstr>
      <vt:lpstr>SalesTaxProportion</vt:lpstr>
      <vt:lpstr>SalesTaxRate</vt:lpstr>
      <vt:lpstr>SchdOutageFactor</vt:lpstr>
      <vt:lpstr>SchdOutageHours</vt:lpstr>
      <vt:lpstr>SchdOutHours</vt:lpstr>
      <vt:lpstr>SchedulerCosts</vt:lpstr>
      <vt:lpstr>ScreeningCurveChart1Location</vt:lpstr>
      <vt:lpstr>ScreeningCurveChart2Location</vt:lpstr>
      <vt:lpstr>ScreeningCurveTable1Location</vt:lpstr>
      <vt:lpstr>ScreeningCurveTable2Location</vt:lpstr>
      <vt:lpstr>SelectedCandOCosts</vt:lpstr>
      <vt:lpstr>SelectedCapEnergy</vt:lpstr>
      <vt:lpstr>SelectedFinInfo</vt:lpstr>
      <vt:lpstr>SelectedFuelUse</vt:lpstr>
      <vt:lpstr>SelectedLevCosts</vt:lpstr>
      <vt:lpstr>SelectedMWGWh</vt:lpstr>
      <vt:lpstr>SelectedOpPerf</vt:lpstr>
      <vt:lpstr>SelectedPollutant</vt:lpstr>
      <vt:lpstr>SensitivityAnalysisChartLocation</vt:lpstr>
      <vt:lpstr>SensitivityAnalysisTableLocation</vt:lpstr>
      <vt:lpstr>SGBETCLimit</vt:lpstr>
      <vt:lpstr>SGBETCPct</vt:lpstr>
      <vt:lpstr>SGIPRebate</vt:lpstr>
      <vt:lpstr>SiteLoad</vt:lpstr>
      <vt:lpstr>SiteLoadPct</vt:lpstr>
      <vt:lpstr>SolarInstalled</vt:lpstr>
      <vt:lpstr>SolarPropTax</vt:lpstr>
      <vt:lpstr>SolarPropTax25</vt:lpstr>
      <vt:lpstr>Source</vt:lpstr>
      <vt:lpstr>StartUpFuel</vt:lpstr>
      <vt:lpstr>StartYr</vt:lpstr>
      <vt:lpstr>StateTaxLife</vt:lpstr>
      <vt:lpstr>StateTaxRate</vt:lpstr>
      <vt:lpstr>StudyGWH</vt:lpstr>
      <vt:lpstr>StudyMW</vt:lpstr>
      <vt:lpstr>SupportStaffFTE</vt:lpstr>
      <vt:lpstr>SupportStaffHrs</vt:lpstr>
      <vt:lpstr>SupportStaffWage</vt:lpstr>
      <vt:lpstr>T3_Merchant_kWyr</vt:lpstr>
      <vt:lpstr>T3_Merchant_kWyr_2</vt:lpstr>
      <vt:lpstr>T3_Merchant_MWH</vt:lpstr>
      <vt:lpstr>T3_Merchant_MWH_2</vt:lpstr>
      <vt:lpstr>T4_IOU_kWyr</vt:lpstr>
      <vt:lpstr>T4_IOU_kWyr_2</vt:lpstr>
      <vt:lpstr>T4_IOU_MWH</vt:lpstr>
      <vt:lpstr>T4_IOU_MWH_2</vt:lpstr>
      <vt:lpstr>T5_POU_kWyr</vt:lpstr>
      <vt:lpstr>T5_POU_kWyr_2</vt:lpstr>
      <vt:lpstr>T5_POU_MWH</vt:lpstr>
      <vt:lpstr>T5_POU_MWH_2</vt:lpstr>
      <vt:lpstr>TableNames</vt:lpstr>
      <vt:lpstr>Target_CF</vt:lpstr>
      <vt:lpstr>TaxCredit</vt:lpstr>
      <vt:lpstr>TaxCreditEquityPV</vt:lpstr>
      <vt:lpstr>TaxEquityRate</vt:lpstr>
      <vt:lpstr>TaxLossTreatment</vt:lpstr>
      <vt:lpstr>TaxMinZero</vt:lpstr>
      <vt:lpstr>Tech_List</vt:lpstr>
      <vt:lpstr>TechNames</vt:lpstr>
      <vt:lpstr>Technology_Cost_Escalation</vt:lpstr>
      <vt:lpstr>TechnologyCellNames</vt:lpstr>
      <vt:lpstr>TechnologyOffset</vt:lpstr>
      <vt:lpstr>TotalAcres</vt:lpstr>
      <vt:lpstr>TotalConsumableCostPerPeriod</vt:lpstr>
      <vt:lpstr>TotalTaxRate</vt:lpstr>
      <vt:lpstr>TotalVariableOMPerMWh</vt:lpstr>
      <vt:lpstr>TotalVariableOMPerMWhUserInput</vt:lpstr>
      <vt:lpstr>TransEscalation</vt:lpstr>
      <vt:lpstr>Transformer_Losses</vt:lpstr>
      <vt:lpstr>Transmission_Service</vt:lpstr>
      <vt:lpstr>TransmissionCost</vt:lpstr>
      <vt:lpstr>TransServiceCostPerMW</vt:lpstr>
      <vt:lpstr>Turbines</vt:lpstr>
      <vt:lpstr>Tx_FCR</vt:lpstr>
      <vt:lpstr>UnschdMaintenancePartsCost</vt:lpstr>
      <vt:lpstr>UtilityArea</vt:lpstr>
      <vt:lpstr>VariableOMPerMWh</vt:lpstr>
      <vt:lpstr>W2_Wages</vt:lpstr>
      <vt:lpstr>WaterCapitalCosts</vt:lpstr>
      <vt:lpstr>WaterConsumptionAF</vt:lpstr>
      <vt:lpstr>WaterControlAnnualConsumables</vt:lpstr>
      <vt:lpstr>WaterControlAnnualLabor</vt:lpstr>
      <vt:lpstr>WaterControlComponentLife</vt:lpstr>
      <vt:lpstr>WaterControlInstallCost</vt:lpstr>
      <vt:lpstr>WaterControlReplacementCost</vt:lpstr>
      <vt:lpstr>WaterCostPerAF</vt:lpstr>
      <vt:lpstr>WaterCostPerMWh</vt:lpstr>
      <vt:lpstr>WaterDischargeInstreamFlows</vt:lpstr>
      <vt:lpstr>WaterDischargeList</vt:lpstr>
      <vt:lpstr>WaterDischargeThermal</vt:lpstr>
      <vt:lpstr>WaterPrices</vt:lpstr>
      <vt:lpstr>WellChemicals</vt:lpstr>
      <vt:lpstr>WellCleanOut</vt:lpstr>
      <vt:lpstr>WellFieldCostsAnnual</vt:lpstr>
      <vt:lpstr>WellMisc</vt:lpstr>
      <vt:lpstr>WellPumpMaintenance</vt:lpstr>
      <vt:lpstr>WheelingChargesPerkWh</vt:lpstr>
      <vt:lpstr>Year0</vt:lpstr>
      <vt:lpstr>Year1</vt:lpstr>
      <vt:lpstr>Year2</vt:lpstr>
      <vt:lpstr>Year3</vt:lpstr>
      <vt:lpstr>Year4</vt:lpstr>
      <vt:lpstr>Year5</vt:lpstr>
      <vt:lpstr>YearlyCostsChartLocation</vt:lpstr>
      <vt:lpstr>YearlyCostsTableLocation</vt:lpstr>
      <vt:lpstr>Years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dc:creator>
  <cp:lastModifiedBy>bneff</cp:lastModifiedBy>
  <cp:lastPrinted>2014-10-17T23:30:31Z</cp:lastPrinted>
  <dcterms:created xsi:type="dcterms:W3CDTF">2001-10-12T00:13:00Z</dcterms:created>
  <dcterms:modified xsi:type="dcterms:W3CDTF">2015-11-12T21:00:12Z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ReviewCycleID">
    <vt:i4>-500355140</vt:i4>
  </property>
  <property fmtid="{D5CDD505-2E9C-101B-9397-08002B2CF9AE}" pid="3" name="_EmailEntryID">
    <vt:lpwstr>000000002BF2425B3B73F54DA99E25ED51E17BB0070014B74F1F6D007B4F99C3034180B4D9C900006335696A000014B74F1F6D007B4F99C3034180B4D9C9000184FF59F90000</vt:lpwstr>
  </property>
  <property fmtid="{D5CDD505-2E9C-101B-9397-08002B2CF9AE}" pid="4" name="_EmailStoreID0">
    <vt:lpwstr>0000000038A1BB1005E5101AA1BB08002B2A56C20000454D534D44422E444C4C00000000000000001B55FA20AA6611CD9BC800AA002FC45A0C0000004558564D42583031382D3130002F6F3D4F455843483031382F6F753D45786368616E67652041646D696E6973747261746976652047726F7570202846594449424F48463</vt:lpwstr>
  </property>
  <property fmtid="{D5CDD505-2E9C-101B-9397-08002B2CF9AE}" pid="5" name="_EmailStoreID1">
    <vt:lpwstr>2335350444C54292F636E3D526563697069656E74732F636E3D524D6343616E6E5F617370656E656700</vt:lpwstr>
  </property>
  <property fmtid="{D5CDD505-2E9C-101B-9397-08002B2CF9AE}" pid="6" name="_NewReviewCycle">
    <vt:lpwstr/>
  </property>
  <property fmtid="{D5CDD505-2E9C-101B-9397-08002B2CF9AE}" pid="7" name="Reviewer 3">
    <vt:lpwstr/>
  </property>
  <property fmtid="{D5CDD505-2E9C-101B-9397-08002B2CF9AE}" pid="8" name="Reviewer 2">
    <vt:lpwstr/>
  </property>
  <property fmtid="{D5CDD505-2E9C-101B-9397-08002B2CF9AE}" pid="9" name="Final">
    <vt:lpwstr>0</vt:lpwstr>
  </property>
  <property fmtid="{D5CDD505-2E9C-101B-9397-08002B2CF9AE}" pid="10" name="Reviewer 1">
    <vt:lpwstr/>
  </property>
  <property fmtid="{D5CDD505-2E9C-101B-9397-08002B2CF9AE}" pid="11" name="ContentTypeId">
    <vt:lpwstr>0x010100F2796FD48775A84880AC49455D092B9A</vt:lpwstr>
  </property>
</Properties>
</file>

<file path=userCustomization/customUI.xml><?xml version="1.0" encoding="utf-8"?>
<mso:customUI xmlns:mso="http://schemas.microsoft.com/office/2006/01/customui">
  <mso:ribbon>
    <mso:qat>
      <mso:documentControls>
        <mso:control idQ="mso:MacroPlay" visible="true"/>
      </mso:documentControls>
    </mso:qat>
  </mso:ribbon>
</mso:customUI>
</file>